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8115" activeTab="0"/>
  </bookViews>
  <sheets>
    <sheet name="Model" sheetId="1" r:id="rId1"/>
    <sheet name="Comparative Page" sheetId="2" r:id="rId2"/>
  </sheets>
  <definedNames>
    <definedName name="CashSweep">'Model'!#REF!</definedName>
    <definedName name="CC">'Model'!#REF!</definedName>
    <definedName name="_xlnm.Print_Area" localSheetId="1">'Comparative Page'!$A$1:$G$52</definedName>
    <definedName name="_xlnm.Print_Area" localSheetId="0">'Model'!$A$4:$Q$298</definedName>
    <definedName name="_xlnm.Print_Titles" localSheetId="0">'Model'!$1:$3</definedName>
  </definedNames>
  <calcPr fullCalcOnLoad="1"/>
</workbook>
</file>

<file path=xl/sharedStrings.xml><?xml version="1.0" encoding="utf-8"?>
<sst xmlns="http://schemas.openxmlformats.org/spreadsheetml/2006/main" count="315" uniqueCount="224">
  <si>
    <t>EBITDA</t>
  </si>
  <si>
    <t>Divestitures</t>
  </si>
  <si>
    <t>Cash</t>
  </si>
  <si>
    <t>Revolver</t>
  </si>
  <si>
    <t>Sources</t>
  </si>
  <si>
    <t>Amount</t>
  </si>
  <si>
    <t>Term Loan A</t>
  </si>
  <si>
    <t>Term Loan B</t>
  </si>
  <si>
    <t xml:space="preserve">   Total Bank Debt</t>
  </si>
  <si>
    <t xml:space="preserve">  Total Secured Debt</t>
  </si>
  <si>
    <t>Senior Secured Notes</t>
  </si>
  <si>
    <t>Junior Subordinated Notes</t>
  </si>
  <si>
    <t>Total Sources</t>
  </si>
  <si>
    <t>Uses</t>
  </si>
  <si>
    <t>Purchase Price</t>
  </si>
  <si>
    <t>Refinance Debt</t>
  </si>
  <si>
    <t>Assumption of Debt</t>
  </si>
  <si>
    <t>Other Bank Debt / Exisiting</t>
  </si>
  <si>
    <t>Transaction Fees &amp; Expenses</t>
  </si>
  <si>
    <t>Total Uses</t>
  </si>
  <si>
    <t>% Cap</t>
  </si>
  <si>
    <t>Debit</t>
  </si>
  <si>
    <t>Credit</t>
  </si>
  <si>
    <t>PROJECTED</t>
  </si>
  <si>
    <t>Total Liabilities</t>
  </si>
  <si>
    <t>Total Liabilities &amp; Equity</t>
  </si>
  <si>
    <t>INCOME STATEMENT</t>
  </si>
  <si>
    <t xml:space="preserve">   Sales Growth</t>
  </si>
  <si>
    <t xml:space="preserve">   Gross Margin</t>
  </si>
  <si>
    <t xml:space="preserve">   % Sales</t>
  </si>
  <si>
    <t xml:space="preserve">   Depreciation</t>
  </si>
  <si>
    <t xml:space="preserve">   Operating Margin</t>
  </si>
  <si>
    <t xml:space="preserve">   Amort. of Goodwill / Intagibles</t>
  </si>
  <si>
    <t xml:space="preserve">   Amort. of Fees</t>
  </si>
  <si>
    <t xml:space="preserve">   Other Non-Oper. Cash Expense</t>
  </si>
  <si>
    <t xml:space="preserve">   Other Non-Oper. Cash (Income)</t>
  </si>
  <si>
    <t>EBIT</t>
  </si>
  <si>
    <t>INTEREST EXPENSE (INCOME):</t>
  </si>
  <si>
    <t xml:space="preserve"> Total Interest Expense</t>
  </si>
  <si>
    <t xml:space="preserve">   Tax Rate</t>
  </si>
  <si>
    <t>Tax Expense</t>
  </si>
  <si>
    <t>NET INCOME (LOSS)</t>
  </si>
  <si>
    <t>COST OF SALES (excl. Deprec.)</t>
  </si>
  <si>
    <t>REVENUE</t>
  </si>
  <si>
    <t>CASH FLOW STATEMENT</t>
  </si>
  <si>
    <t xml:space="preserve">   Net Income (Loss)</t>
  </si>
  <si>
    <t>INVESTMENT ACTIVITIES:</t>
  </si>
  <si>
    <t>Beginning Cash Balance</t>
  </si>
  <si>
    <t>Required Operating Cash</t>
  </si>
  <si>
    <t>CASH SURPLUS/(NEEDS)</t>
  </si>
  <si>
    <t xml:space="preserve">  Total Debt Payments</t>
  </si>
  <si>
    <t>Free Cash Flow</t>
  </si>
  <si>
    <t>Gross Profit</t>
  </si>
  <si>
    <t>Revenue Growth</t>
  </si>
  <si>
    <t>Cost of Good as % of Sales</t>
  </si>
  <si>
    <t>Operating Expense as % of Total Revenue</t>
  </si>
  <si>
    <t>Depreciation % of Revenue</t>
  </si>
  <si>
    <t>DEBT SCHEDULES / ANALYSIS</t>
  </si>
  <si>
    <t>Outstanding</t>
  </si>
  <si>
    <t>Interest</t>
  </si>
  <si>
    <t>Interest rate</t>
  </si>
  <si>
    <t>Interest Rate Assumptions</t>
  </si>
  <si>
    <t>LIBOR Rate</t>
  </si>
  <si>
    <t>LIBOR Iincrease / Decrease</t>
  </si>
  <si>
    <t>Funded</t>
  </si>
  <si>
    <t>Senior Unsecured / Subordinated Notes</t>
  </si>
  <si>
    <t>Enteprise Value</t>
  </si>
  <si>
    <t>Multiple of EBITDA</t>
  </si>
  <si>
    <t>mm</t>
  </si>
  <si>
    <t>Spread
 (bps) / Fixed</t>
  </si>
  <si>
    <t>Acquisition Target EBITDA =</t>
  </si>
  <si>
    <t xml:space="preserve">   Acquistions</t>
  </si>
  <si>
    <t xml:space="preserve">      Total Capex / Acquisitions</t>
  </si>
  <si>
    <t>Revenues</t>
  </si>
  <si>
    <t xml:space="preserve">  EBITDA Margin</t>
  </si>
  <si>
    <t>Capex</t>
  </si>
  <si>
    <t>Cash Taxes</t>
  </si>
  <si>
    <t>Total Debt</t>
  </si>
  <si>
    <t>Senior Debt / EBITDA</t>
  </si>
  <si>
    <t>Total Debt / EBITDA</t>
  </si>
  <si>
    <t>TRANSACTION SOURCES &amp; USES</t>
  </si>
  <si>
    <t>BALANCE SHEET</t>
  </si>
  <si>
    <t>OPERATING ASSUMPTIONS (INCOME, CASH FLOW AND BALANCE SHEET STATEMENTS)</t>
  </si>
  <si>
    <t>Variable</t>
  </si>
  <si>
    <t>Revenue Growth (%)</t>
  </si>
  <si>
    <t xml:space="preserve">  Difference</t>
  </si>
  <si>
    <t>EBITDA Margin (%)</t>
  </si>
  <si>
    <t>Change in Working Capital ($)</t>
  </si>
  <si>
    <t>CAPEX ($)</t>
  </si>
  <si>
    <t>Results</t>
  </si>
  <si>
    <t>Revenues ($)</t>
  </si>
  <si>
    <t>EBITDA ($)</t>
  </si>
  <si>
    <t>EBITDA (Cumulative)</t>
  </si>
  <si>
    <t>EBITDA/Interest Expense</t>
  </si>
  <si>
    <t>Total Debt/EBITDA</t>
  </si>
  <si>
    <t>Total Debt/Total Capital (%)</t>
  </si>
  <si>
    <t>Comparative Analysis</t>
  </si>
  <si>
    <t>Amort. of Fees</t>
  </si>
  <si>
    <t xml:space="preserve">  EBITDA
 x</t>
  </si>
  <si>
    <t>Net Bank Debt Remaining ($) (a)</t>
  </si>
  <si>
    <t>Net Total Debt Remaining ($)</t>
  </si>
  <si>
    <t>(EBITDA - Capex)/Interest Expense</t>
  </si>
  <si>
    <t>Net Senior Debt/EBITDA</t>
  </si>
  <si>
    <t xml:space="preserve">MACRO = </t>
  </si>
  <si>
    <t>Cntl + A</t>
  </si>
  <si>
    <t>Make sure the Automatic Cal is on (to check go to Tools/Options/Calc and click Automatic)</t>
  </si>
  <si>
    <t>Current Case:</t>
  </si>
  <si>
    <t>Increase / (Decrease)</t>
  </si>
  <si>
    <t>Short Term Investment (Income)</t>
  </si>
  <si>
    <t>Scheduled Amortization</t>
  </si>
  <si>
    <t>OID</t>
  </si>
  <si>
    <t xml:space="preserve">   Capital Expenditures</t>
  </si>
  <si>
    <t>LIBOR Rate/Floor=</t>
  </si>
  <si>
    <t>Other Investments</t>
  </si>
  <si>
    <t>Interest Expense</t>
  </si>
  <si>
    <t>Current Assets</t>
  </si>
  <si>
    <t>Total Current Assets</t>
  </si>
  <si>
    <t>Current Liabilities</t>
  </si>
  <si>
    <t>Total Current Liabilities</t>
  </si>
  <si>
    <t>Retained Earnings</t>
  </si>
  <si>
    <t>Term Loan C</t>
  </si>
  <si>
    <t>Yell Group Ltd</t>
  </si>
  <si>
    <t>LBO Analysis</t>
  </si>
  <si>
    <t>Proforma</t>
  </si>
  <si>
    <t>Selling, General &amp; Administrative Expenses</t>
  </si>
  <si>
    <t>EBITA</t>
  </si>
  <si>
    <t xml:space="preserve">   Amortization of Fees</t>
  </si>
  <si>
    <t xml:space="preserve">   Deffered Taxes</t>
  </si>
  <si>
    <t>Total Working Capital</t>
  </si>
  <si>
    <t>WORKING CAPITAL ACTIVITIES:</t>
  </si>
  <si>
    <t>Operating Cash Flow (OCF)</t>
  </si>
  <si>
    <t>FINANCING ACTIVITIES (Pmts/Borrowings):</t>
  </si>
  <si>
    <t>Cash Available for Debt Service (CAFDS)</t>
  </si>
  <si>
    <t>Cash Income (CI)</t>
  </si>
  <si>
    <t>Equity Contribution</t>
  </si>
  <si>
    <t>Equity Distribution (Dividends)</t>
  </si>
  <si>
    <t>Total Equity Cash inflow/outflow</t>
  </si>
  <si>
    <t>Total Investment Activivites</t>
  </si>
  <si>
    <t>Total Financing Activivites</t>
  </si>
  <si>
    <t>EBT Taxes</t>
  </si>
  <si>
    <t>Goodwill &amp; Intagibles Assets</t>
  </si>
  <si>
    <t>Tangible Assets</t>
  </si>
  <si>
    <t>Invesment in JV</t>
  </si>
  <si>
    <t xml:space="preserve">  Total Assets</t>
  </si>
  <si>
    <t>Other Current Assets (Debtors/Stock)</t>
  </si>
  <si>
    <t>Total Long Term Debt</t>
  </si>
  <si>
    <t>Shareholder's Equity</t>
  </si>
  <si>
    <t xml:space="preserve">  Common Stock</t>
  </si>
  <si>
    <t>Total Shareholder's Equity</t>
  </si>
  <si>
    <t>All-in
Yield
 (4 yrs)</t>
  </si>
  <si>
    <t>Existing Long Term Debt</t>
  </si>
  <si>
    <t>Capitalized Fees</t>
  </si>
  <si>
    <t xml:space="preserve">Cash </t>
  </si>
  <si>
    <t>Spread</t>
  </si>
  <si>
    <t>Total Interest</t>
  </si>
  <si>
    <t>Other Liabilities / Deferred Taxes</t>
  </si>
  <si>
    <t>Other Current Liabilities (Loans &amp; Other Borrowings &amp; Deffered Taxes)</t>
  </si>
  <si>
    <t xml:space="preserve">Accrued </t>
  </si>
  <si>
    <t>Cash Equity</t>
  </si>
  <si>
    <t>Total Subordincated Debt</t>
  </si>
  <si>
    <t xml:space="preserve"> Total Sponsor Equity &amp; Intercompany loan</t>
  </si>
  <si>
    <t xml:space="preserve">  Revenue Growth</t>
  </si>
  <si>
    <t xml:space="preserve">Working capital </t>
  </si>
  <si>
    <t>EBITDA/ Interest</t>
  </si>
  <si>
    <t xml:space="preserve">  Covenant</t>
  </si>
  <si>
    <t xml:space="preserve">  Covnant</t>
  </si>
  <si>
    <t>Total Debt / Total Capitalization</t>
  </si>
  <si>
    <t>SUMMARY INFO &amp; CREDIT ANALYSIS</t>
  </si>
  <si>
    <t>Cash Flow (EBITDA - WC - Capex - Cash Taxes)</t>
  </si>
  <si>
    <t>Total Debt Outstanding</t>
  </si>
  <si>
    <t>Net Debt (Total Debt - Cash)</t>
  </si>
  <si>
    <t>Total Senior Debt</t>
  </si>
  <si>
    <t>Total Net Senior Debt</t>
  </si>
  <si>
    <t>Net Worth (Including Sponsor Bonds)</t>
  </si>
  <si>
    <t xml:space="preserve">  Cushion (%)</t>
  </si>
  <si>
    <t>…………………………………………………………………………………………………………………………………….</t>
  </si>
  <si>
    <t>Working Capital % of Revenues</t>
  </si>
  <si>
    <t>Capex  % of Revenues</t>
  </si>
  <si>
    <t>Entry Year</t>
  </si>
  <si>
    <t>Cost of Rooms</t>
  </si>
  <si>
    <t>Operating Costs</t>
  </si>
  <si>
    <t xml:space="preserve"> EBITDA</t>
  </si>
  <si>
    <t>Less Taxes</t>
  </si>
  <si>
    <t>Cash Flow</t>
  </si>
  <si>
    <t>Less Financing</t>
  </si>
  <si>
    <t>Equity Cash Flows</t>
  </si>
  <si>
    <t>Terminal Value</t>
  </si>
  <si>
    <t xml:space="preserve">  EBITDA Multiple Method</t>
  </si>
  <si>
    <t>Growth</t>
  </si>
  <si>
    <t>EBITDA Multiple x Exit Yr's EBITDA =</t>
  </si>
  <si>
    <t xml:space="preserve">  Perpetuity Method  (using WACC)</t>
  </si>
  <si>
    <t>Next Yr's CF / (WACC - Growth) =</t>
  </si>
  <si>
    <t>Average</t>
  </si>
  <si>
    <t>Debt Outstanding</t>
  </si>
  <si>
    <t>Equity Value (TV - Debt)</t>
  </si>
  <si>
    <t>x</t>
  </si>
  <si>
    <t>PV Table=</t>
  </si>
  <si>
    <t>=</t>
  </si>
  <si>
    <t>PV (1) =</t>
  </si>
  <si>
    <t>PV (2) =</t>
  </si>
  <si>
    <t>PV (3) =</t>
  </si>
  <si>
    <t>PV (4) =</t>
  </si>
  <si>
    <t>PV (5) =</t>
  </si>
  <si>
    <t>PV (6) =</t>
  </si>
  <si>
    <t>PV=</t>
  </si>
  <si>
    <t>Initial Investment</t>
  </si>
  <si>
    <t>NPV=</t>
  </si>
  <si>
    <t>positive</t>
  </si>
  <si>
    <t>IRR=</t>
  </si>
  <si>
    <t>at IRR</t>
  </si>
  <si>
    <t>at Expected Equity Return</t>
  </si>
  <si>
    <t>Enteprise Value =</t>
  </si>
  <si>
    <t>PV of Equity + PV of Debt</t>
  </si>
  <si>
    <t xml:space="preserve">PV of Equity = </t>
  </si>
  <si>
    <t xml:space="preserve">+ PV of Debt = </t>
  </si>
  <si>
    <t xml:space="preserve"> - PV of Cash</t>
  </si>
  <si>
    <t>EV =</t>
  </si>
  <si>
    <t>Discout Cash Flow Valuation Analysis (Equity Analysis)</t>
  </si>
  <si>
    <t>Rollover Equity</t>
  </si>
  <si>
    <t>Prefered Equity</t>
  </si>
  <si>
    <t>Less Capex &amp; other Investments</t>
  </si>
  <si>
    <t>Less Working Capital</t>
  </si>
  <si>
    <t>WACC
(afer tax)</t>
  </si>
  <si>
    <t>WACC=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</si>
</sst>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_);\(0\)"/>
    <numFmt numFmtId="167" formatCode="_(* #,##0.0_);_(* \(#,##0.0\);_(* &quot;-&quot;??_);_(@_)"/>
    <numFmt numFmtId="168" formatCode="0.0\x"/>
    <numFmt numFmtId="169" formatCode="0.00\x"/>
    <numFmt numFmtId="170" formatCode="_(* #,##0.0_);_(* \(#,##0.0\);_(* &quot;-&quot;?_);_(@_)"/>
    <numFmt numFmtId="171" formatCode="_(&quot;$&quot;* #,##0.0_);_(&quot;$&quot;* \(#,##0.0\);_(&quot;$&quot;* &quot;-&quot;??_);_(@_)"/>
    <numFmt numFmtId="172" formatCode="&quot;$&quot;#,##0.0_);\(&quot;$&quot;#,##0.0\);\-\-_)"/>
    <numFmt numFmtId="173" formatCode="#,##0.0_);\(#,##0.0\)"/>
    <numFmt numFmtId="174" formatCode="#,##0.0_);\(#,##0.0\);#,##0.0_);@_)"/>
    <numFmt numFmtId="175" formatCode="_(* #,##0.000_);_(* \(#,##0.000\);_(* &quot;-&quot;??_);_(@_)"/>
    <numFmt numFmtId="176" formatCode="0.0"/>
    <numFmt numFmtId="177" formatCode="[$-409]dddd\,\ mmmm\ dd\,\ yyyy"/>
    <numFmt numFmtId="178" formatCode="m/d/yy;@"/>
    <numFmt numFmtId="179" formatCode="0_)"/>
    <numFmt numFmtId="180" formatCode="General_)"/>
    <numFmt numFmtId="181" formatCode="General_);[Red]\-General_)"/>
    <numFmt numFmtId="182" formatCode="#,##0.0_);[Red]\(#,##0.0\)"/>
    <numFmt numFmtId="183" formatCode="0_);[Red]\-0_)"/>
    <numFmt numFmtId="184" formatCode="[$-409]mmm\-yy;@"/>
    <numFmt numFmtId="185" formatCode="0.0_);[Red]\(0.0\)"/>
    <numFmt numFmtId="186" formatCode="_(* #,##0.000_);_(* \(#,##0.000\);_(* &quot;-&quot;_);_(@_)"/>
    <numFmt numFmtId="187" formatCode="#,##0.0"/>
    <numFmt numFmtId="188" formatCode="_(* #,##0.0_);_(* \(#,##0.0\);_(* &quot;-&quot;_);_(@_)"/>
    <numFmt numFmtId="189" formatCode="#,##0.0;\-#,##0.0"/>
    <numFmt numFmtId="190" formatCode="_-* #,##0_-;\-* #,##0_-;_-* &quot;-&quot;_-;_-@_-"/>
    <numFmt numFmtId="191" formatCode="0.000"/>
    <numFmt numFmtId="192" formatCode="[$-409]mmmm\-yy;@"/>
    <numFmt numFmtId="193" formatCode="[$-409]d\-mmm;@"/>
    <numFmt numFmtId="194" formatCode="0.00_);\(0.00\)"/>
    <numFmt numFmtId="195" formatCode="0.00_ "/>
    <numFmt numFmtId="196" formatCode="_(* #,##0.0000_);_(* \(#,##0.0000\);_(* &quot;-&quot;??_);_(@_)"/>
    <numFmt numFmtId="197" formatCode="_(* #,##0_);_(* \(#,##0\);_(* &quot;-&quot;?_);_(@_)"/>
    <numFmt numFmtId="198" formatCode="0.000\x"/>
    <numFmt numFmtId="199" formatCode="_(* #,##0.0000000_);_(* \(#,##0.000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  <numFmt numFmtId="205" formatCode="_(* #,##0.00000000000_);_(* \(#,##0.00000000000\);_(* &quot;-&quot;??_);_(@_)"/>
    <numFmt numFmtId="206" formatCode="_(* #,##0.000000000000_);_(* \(#,##0.000000000000\);_(* &quot;-&quot;??_);_(@_)"/>
    <numFmt numFmtId="207" formatCode="_(* #,##0.0000000000000_);_(* \(#,##0.0000000000000\);_(* &quot;-&quot;??_);_(@_)"/>
    <numFmt numFmtId="208" formatCode="_(* #,##0.00000000000000_);_(* \(#,##0.00000000000000\);_(* &quot;-&quot;??_);_(@_)"/>
    <numFmt numFmtId="209" formatCode="_(* #,##0.000000000000000_);_(* \(#,##0.0000000000000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8"/>
      <color indexed="62"/>
      <name val="Arial"/>
      <family val="2"/>
    </font>
    <font>
      <sz val="10"/>
      <color indexed="4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4" tint="-0.24997000396251678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33A8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8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7" fontId="17" fillId="33" borderId="0">
      <alignment/>
      <protection/>
    </xf>
  </cellStyleXfs>
  <cellXfs count="260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34" borderId="0" xfId="55" applyFont="1" applyFill="1">
      <alignment/>
      <protection/>
    </xf>
    <xf numFmtId="0" fontId="6" fillId="34" borderId="0" xfId="0" applyFont="1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7" fontId="0" fillId="0" borderId="0" xfId="42" applyNumberFormat="1" applyFont="1" applyAlignment="1">
      <alignment/>
    </xf>
    <xf numFmtId="167" fontId="9" fillId="0" borderId="0" xfId="42" applyNumberFormat="1" applyFont="1" applyAlignment="1">
      <alignment/>
    </xf>
    <xf numFmtId="164" fontId="0" fillId="0" borderId="0" xfId="58" applyNumberFormat="1" applyFont="1" applyAlignment="1">
      <alignment/>
    </xf>
    <xf numFmtId="164" fontId="0" fillId="0" borderId="10" xfId="58" applyNumberFormat="1" applyFont="1" applyBorder="1" applyAlignment="1">
      <alignment/>
    </xf>
    <xf numFmtId="164" fontId="0" fillId="0" borderId="11" xfId="58" applyNumberFormat="1" applyFont="1" applyBorder="1" applyAlignment="1">
      <alignment/>
    </xf>
    <xf numFmtId="164" fontId="0" fillId="0" borderId="12" xfId="58" applyNumberFormat="1" applyFont="1" applyBorder="1" applyAlignment="1">
      <alignment/>
    </xf>
    <xf numFmtId="0" fontId="4" fillId="0" borderId="0" xfId="0" applyFont="1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 horizontal="center"/>
    </xf>
    <xf numFmtId="164" fontId="9" fillId="0" borderId="0" xfId="58" applyNumberFormat="1" applyFont="1" applyAlignment="1">
      <alignment/>
    </xf>
    <xf numFmtId="0" fontId="9" fillId="0" borderId="0" xfId="0" applyFont="1" applyAlignment="1">
      <alignment/>
    </xf>
    <xf numFmtId="167" fontId="8" fillId="0" borderId="0" xfId="42" applyNumberFormat="1" applyFont="1" applyAlignment="1">
      <alignment/>
    </xf>
    <xf numFmtId="0" fontId="8" fillId="0" borderId="0" xfId="0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35" borderId="14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14" xfId="0" applyFill="1" applyBorder="1" applyAlignment="1">
      <alignment vertical="center"/>
    </xf>
    <xf numFmtId="164" fontId="9" fillId="0" borderId="0" xfId="0" applyNumberFormat="1" applyFont="1" applyAlignment="1">
      <alignment/>
    </xf>
    <xf numFmtId="164" fontId="0" fillId="0" borderId="15" xfId="58" applyNumberFormat="1" applyFont="1" applyBorder="1" applyAlignment="1">
      <alignment/>
    </xf>
    <xf numFmtId="0" fontId="0" fillId="0" borderId="15" xfId="0" applyBorder="1" applyAlignment="1">
      <alignment/>
    </xf>
    <xf numFmtId="167" fontId="0" fillId="0" borderId="15" xfId="42" applyNumberFormat="1" applyFont="1" applyBorder="1" applyAlignment="1">
      <alignment/>
    </xf>
    <xf numFmtId="10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40" fontId="1" fillId="0" borderId="0" xfId="55" applyNumberFormat="1" applyFont="1">
      <alignment/>
      <protection/>
    </xf>
    <xf numFmtId="165" fontId="0" fillId="0" borderId="10" xfId="42" applyNumberFormat="1" applyFont="1" applyBorder="1" applyAlignment="1">
      <alignment/>
    </xf>
    <xf numFmtId="167" fontId="0" fillId="0" borderId="0" xfId="42" applyNumberFormat="1" applyFont="1" applyAlignment="1">
      <alignment/>
    </xf>
    <xf numFmtId="0" fontId="11" fillId="34" borderId="0" xfId="55" applyFont="1" applyFill="1">
      <alignment/>
      <protection/>
    </xf>
    <xf numFmtId="0" fontId="11" fillId="34" borderId="0" xfId="0" applyFont="1" applyFill="1" applyAlignment="1">
      <alignment/>
    </xf>
    <xf numFmtId="0" fontId="3" fillId="0" borderId="0" xfId="55" applyFont="1" applyAlignment="1">
      <alignment horizontal="centerContinuous"/>
      <protection/>
    </xf>
    <xf numFmtId="40" fontId="13" fillId="0" borderId="0" xfId="55" applyNumberFormat="1" applyFont="1" applyAlignment="1">
      <alignment horizontal="centerContinuous"/>
      <protection/>
    </xf>
    <xf numFmtId="0" fontId="4" fillId="0" borderId="16" xfId="0" applyFont="1" applyBorder="1" applyAlignment="1">
      <alignment/>
    </xf>
    <xf numFmtId="173" fontId="4" fillId="0" borderId="16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9" fontId="0" fillId="0" borderId="0" xfId="58" applyFont="1" applyAlignment="1">
      <alignment/>
    </xf>
    <xf numFmtId="173" fontId="0" fillId="0" borderId="0" xfId="0" applyNumberFormat="1" applyFont="1" applyAlignment="1" applyProtection="1">
      <alignment/>
      <protection/>
    </xf>
    <xf numFmtId="0" fontId="4" fillId="36" borderId="17" xfId="0" applyFont="1" applyFill="1" applyBorder="1" applyAlignment="1">
      <alignment horizontal="left"/>
    </xf>
    <xf numFmtId="181" fontId="4" fillId="0" borderId="18" xfId="0" applyNumberFormat="1" applyFont="1" applyBorder="1" applyAlignment="1" applyProtection="1">
      <alignment horizontal="left"/>
      <protection/>
    </xf>
    <xf numFmtId="181" fontId="0" fillId="0" borderId="18" xfId="0" applyNumberFormat="1" applyFont="1" applyBorder="1" applyAlignment="1" applyProtection="1">
      <alignment/>
      <protection/>
    </xf>
    <xf numFmtId="181" fontId="0" fillId="0" borderId="18" xfId="0" applyNumberFormat="1" applyFont="1" applyBorder="1" applyAlignment="1" applyProtection="1">
      <alignment horizontal="left"/>
      <protection locked="0"/>
    </xf>
    <xf numFmtId="182" fontId="0" fillId="0" borderId="18" xfId="0" applyNumberFormat="1" applyFont="1" applyBorder="1" applyAlignment="1" applyProtection="1">
      <alignment/>
      <protection/>
    </xf>
    <xf numFmtId="181" fontId="4" fillId="0" borderId="18" xfId="0" applyNumberFormat="1" applyFont="1" applyBorder="1" applyAlignment="1" applyProtection="1">
      <alignment horizontal="left"/>
      <protection locked="0"/>
    </xf>
    <xf numFmtId="182" fontId="4" fillId="0" borderId="18" xfId="0" applyNumberFormat="1" applyFont="1" applyBorder="1" applyAlignment="1" applyProtection="1">
      <alignment/>
      <protection/>
    </xf>
    <xf numFmtId="181" fontId="4" fillId="0" borderId="19" xfId="0" applyNumberFormat="1" applyFont="1" applyBorder="1" applyAlignment="1" applyProtection="1">
      <alignment horizontal="left"/>
      <protection/>
    </xf>
    <xf numFmtId="182" fontId="0" fillId="0" borderId="19" xfId="0" applyNumberFormat="1" applyFont="1" applyBorder="1" applyAlignment="1" applyProtection="1">
      <alignment/>
      <protection/>
    </xf>
    <xf numFmtId="182" fontId="0" fillId="0" borderId="18" xfId="0" applyNumberFormat="1" applyFont="1" applyBorder="1" applyAlignment="1" applyProtection="1" quotePrefix="1">
      <alignment/>
      <protection/>
    </xf>
    <xf numFmtId="181" fontId="4" fillId="36" borderId="17" xfId="0" applyNumberFormat="1" applyFont="1" applyFill="1" applyBorder="1" applyAlignment="1" applyProtection="1">
      <alignment horizontal="left"/>
      <protection/>
    </xf>
    <xf numFmtId="181" fontId="0" fillId="0" borderId="19" xfId="0" applyNumberFormat="1" applyFont="1" applyBorder="1" applyAlignment="1" applyProtection="1">
      <alignment/>
      <protection/>
    </xf>
    <xf numFmtId="38" fontId="0" fillId="0" borderId="18" xfId="0" applyNumberFormat="1" applyFont="1" applyBorder="1" applyAlignment="1" applyProtection="1">
      <alignment/>
      <protection/>
    </xf>
    <xf numFmtId="38" fontId="0" fillId="0" borderId="19" xfId="0" applyNumberFormat="1" applyFont="1" applyBorder="1" applyAlignment="1" applyProtection="1">
      <alignment/>
      <protection/>
    </xf>
    <xf numFmtId="181" fontId="4" fillId="0" borderId="20" xfId="0" applyNumberFormat="1" applyFont="1" applyBorder="1" applyAlignment="1" applyProtection="1">
      <alignment horizontal="left"/>
      <protection/>
    </xf>
    <xf numFmtId="38" fontId="0" fillId="0" borderId="20" xfId="0" applyNumberFormat="1" applyFont="1" applyBorder="1" applyAlignment="1" applyProtection="1">
      <alignment/>
      <protection/>
    </xf>
    <xf numFmtId="181" fontId="0" fillId="0" borderId="21" xfId="0" applyNumberFormat="1" applyFont="1" applyBorder="1" applyAlignment="1" applyProtection="1">
      <alignment/>
      <protection/>
    </xf>
    <xf numFmtId="168" fontId="0" fillId="0" borderId="18" xfId="0" applyNumberFormat="1" applyFont="1" applyBorder="1" applyAlignment="1" applyProtection="1">
      <alignment/>
      <protection/>
    </xf>
    <xf numFmtId="168" fontId="0" fillId="0" borderId="19" xfId="0" applyNumberFormat="1" applyFont="1" applyBorder="1" applyAlignment="1" applyProtection="1">
      <alignment/>
      <protection/>
    </xf>
    <xf numFmtId="40" fontId="12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164" fontId="0" fillId="0" borderId="22" xfId="58" applyNumberFormat="1" applyFont="1" applyBorder="1" applyAlignment="1" applyProtection="1">
      <alignment/>
      <protection/>
    </xf>
    <xf numFmtId="164" fontId="0" fillId="0" borderId="21" xfId="58" applyNumberFormat="1" applyFont="1" applyBorder="1" applyAlignment="1" applyProtection="1">
      <alignment/>
      <protection/>
    </xf>
    <xf numFmtId="164" fontId="0" fillId="0" borderId="18" xfId="58" applyNumberFormat="1" applyFont="1" applyBorder="1" applyAlignment="1" applyProtection="1">
      <alignment/>
      <protection/>
    </xf>
    <xf numFmtId="182" fontId="0" fillId="0" borderId="21" xfId="0" applyNumberFormat="1" applyFont="1" applyBorder="1" applyAlignment="1" applyProtection="1">
      <alignment/>
      <protection/>
    </xf>
    <xf numFmtId="167" fontId="15" fillId="0" borderId="0" xfId="42" applyNumberFormat="1" applyFont="1" applyAlignment="1">
      <alignment/>
    </xf>
    <xf numFmtId="167" fontId="15" fillId="0" borderId="10" xfId="42" applyNumberFormat="1" applyFont="1" applyBorder="1" applyAlignment="1">
      <alignment/>
    </xf>
    <xf numFmtId="17" fontId="4" fillId="35" borderId="14" xfId="0" applyNumberFormat="1" applyFont="1" applyFill="1" applyBorder="1" applyAlignment="1">
      <alignment/>
    </xf>
    <xf numFmtId="17" fontId="4" fillId="35" borderId="23" xfId="0" applyNumberFormat="1" applyFont="1" applyFill="1" applyBorder="1" applyAlignment="1">
      <alignment/>
    </xf>
    <xf numFmtId="167" fontId="0" fillId="0" borderId="24" xfId="42" applyNumberFormat="1" applyFont="1" applyBorder="1" applyAlignment="1">
      <alignment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  <xf numFmtId="17" fontId="4" fillId="35" borderId="25" xfId="0" applyNumberFormat="1" applyFont="1" applyFill="1" applyBorder="1" applyAlignment="1">
      <alignment/>
    </xf>
    <xf numFmtId="167" fontId="9" fillId="0" borderId="24" xfId="42" applyNumberFormat="1" applyFont="1" applyBorder="1" applyAlignment="1">
      <alignment/>
    </xf>
    <xf numFmtId="164" fontId="0" fillId="0" borderId="24" xfId="58" applyNumberFormat="1" applyFont="1" applyBorder="1" applyAlignment="1">
      <alignment/>
    </xf>
    <xf numFmtId="0" fontId="0" fillId="0" borderId="24" xfId="0" applyBorder="1" applyAlignment="1">
      <alignment/>
    </xf>
    <xf numFmtId="167" fontId="9" fillId="0" borderId="26" xfId="42" applyNumberFormat="1" applyFont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left"/>
    </xf>
    <xf numFmtId="184" fontId="2" fillId="35" borderId="27" xfId="55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>
      <alignment horizontal="left"/>
    </xf>
    <xf numFmtId="181" fontId="4" fillId="0" borderId="18" xfId="0" applyNumberFormat="1" applyFont="1" applyBorder="1" applyAlignment="1" applyProtection="1" quotePrefix="1">
      <alignment horizontal="left"/>
      <protection/>
    </xf>
    <xf numFmtId="167" fontId="0" fillId="0" borderId="18" xfId="42" applyNumberFormat="1" applyFont="1" applyBorder="1" applyAlignment="1" applyProtection="1">
      <alignment/>
      <protection/>
    </xf>
    <xf numFmtId="173" fontId="16" fillId="37" borderId="28" xfId="0" applyNumberFormat="1" applyFont="1" applyFill="1" applyBorder="1" applyAlignment="1" applyProtection="1">
      <alignment/>
      <protection/>
    </xf>
    <xf numFmtId="173" fontId="16" fillId="37" borderId="29" xfId="0" applyNumberFormat="1" applyFont="1" applyFill="1" applyBorder="1" applyAlignment="1" applyProtection="1">
      <alignment/>
      <protection/>
    </xf>
    <xf numFmtId="173" fontId="4" fillId="37" borderId="29" xfId="0" applyNumberFormat="1" applyFont="1" applyFill="1" applyBorder="1" applyAlignment="1" applyProtection="1">
      <alignment/>
      <protection/>
    </xf>
    <xf numFmtId="0" fontId="3" fillId="37" borderId="30" xfId="0" applyFont="1" applyFill="1" applyBorder="1" applyAlignment="1">
      <alignment/>
    </xf>
    <xf numFmtId="173" fontId="4" fillId="37" borderId="31" xfId="0" applyNumberFormat="1" applyFont="1" applyFill="1" applyBorder="1" applyAlignment="1" applyProtection="1">
      <alignment/>
      <protection/>
    </xf>
    <xf numFmtId="173" fontId="4" fillId="37" borderId="32" xfId="0" applyNumberFormat="1" applyFont="1" applyFill="1" applyBorder="1" applyAlignment="1" applyProtection="1">
      <alignment/>
      <protection/>
    </xf>
    <xf numFmtId="0" fontId="7" fillId="37" borderId="33" xfId="0" applyFont="1" applyFill="1" applyBorder="1" applyAlignment="1">
      <alignment/>
    </xf>
    <xf numFmtId="173" fontId="0" fillId="37" borderId="14" xfId="0" applyNumberFormat="1" applyFont="1" applyFill="1" applyBorder="1" applyAlignment="1" applyProtection="1">
      <alignment/>
      <protection/>
    </xf>
    <xf numFmtId="173" fontId="0" fillId="37" borderId="34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Continuous"/>
    </xf>
    <xf numFmtId="0" fontId="4" fillId="35" borderId="14" xfId="0" applyFont="1" applyFill="1" applyBorder="1" applyAlignment="1">
      <alignment vertical="center" wrapText="1"/>
    </xf>
    <xf numFmtId="164" fontId="8" fillId="0" borderId="0" xfId="58" applyNumberFormat="1" applyFont="1" applyAlignment="1">
      <alignment/>
    </xf>
    <xf numFmtId="10" fontId="0" fillId="0" borderId="15" xfId="0" applyNumberFormat="1" applyFont="1" applyBorder="1" applyAlignment="1">
      <alignment/>
    </xf>
    <xf numFmtId="167" fontId="9" fillId="0" borderId="0" xfId="42" applyNumberFormat="1" applyFont="1" applyAlignment="1">
      <alignment horizontal="center"/>
    </xf>
    <xf numFmtId="0" fontId="8" fillId="35" borderId="24" xfId="0" applyFont="1" applyFill="1" applyBorder="1" applyAlignment="1">
      <alignment horizontal="center"/>
    </xf>
    <xf numFmtId="40" fontId="53" fillId="0" borderId="0" xfId="55" applyNumberFormat="1" applyFont="1" applyAlignment="1">
      <alignment horizontal="centerContinuous"/>
      <protection/>
    </xf>
    <xf numFmtId="165" fontId="15" fillId="0" borderId="0" xfId="42" applyNumberFormat="1" applyFont="1" applyAlignment="1">
      <alignment/>
    </xf>
    <xf numFmtId="165" fontId="9" fillId="0" borderId="0" xfId="42" applyNumberFormat="1" applyFont="1" applyAlignment="1">
      <alignment/>
    </xf>
    <xf numFmtId="165" fontId="15" fillId="0" borderId="10" xfId="42" applyNumberFormat="1" applyFont="1" applyBorder="1" applyAlignment="1">
      <alignment/>
    </xf>
    <xf numFmtId="165" fontId="9" fillId="0" borderId="10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5" xfId="42" applyNumberFormat="1" applyFont="1" applyBorder="1" applyAlignment="1">
      <alignment/>
    </xf>
    <xf numFmtId="165" fontId="9" fillId="0" borderId="15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9" fillId="0" borderId="24" xfId="42" applyNumberFormat="1" applyFont="1" applyBorder="1" applyAlignment="1">
      <alignment/>
    </xf>
    <xf numFmtId="165" fontId="9" fillId="0" borderId="26" xfId="42" applyNumberFormat="1" applyFont="1" applyBorder="1" applyAlignment="1">
      <alignment/>
    </xf>
    <xf numFmtId="165" fontId="0" fillId="0" borderId="24" xfId="0" applyNumberFormat="1" applyBorder="1" applyAlignment="1">
      <alignment/>
    </xf>
    <xf numFmtId="197" fontId="0" fillId="0" borderId="0" xfId="0" applyNumberFormat="1" applyFill="1" applyAlignment="1">
      <alignment/>
    </xf>
    <xf numFmtId="197" fontId="0" fillId="0" borderId="15" xfId="0" applyNumberFormat="1" applyBorder="1" applyAlignment="1">
      <alignment/>
    </xf>
    <xf numFmtId="197" fontId="0" fillId="0" borderId="0" xfId="42" applyNumberFormat="1" applyFont="1" applyAlignment="1">
      <alignment/>
    </xf>
    <xf numFmtId="197" fontId="0" fillId="0" borderId="0" xfId="42" applyNumberFormat="1" applyFont="1" applyFill="1" applyAlignment="1">
      <alignment/>
    </xf>
    <xf numFmtId="197" fontId="0" fillId="0" borderId="15" xfId="42" applyNumberFormat="1" applyFont="1" applyBorder="1" applyAlignment="1">
      <alignment/>
    </xf>
    <xf numFmtId="197" fontId="0" fillId="0" borderId="10" xfId="42" applyNumberFormat="1" applyFont="1" applyFill="1" applyBorder="1" applyAlignment="1">
      <alignment/>
    </xf>
    <xf numFmtId="197" fontId="0" fillId="0" borderId="35" xfId="42" applyNumberFormat="1" applyFont="1" applyBorder="1" applyAlignment="1">
      <alignment/>
    </xf>
    <xf numFmtId="197" fontId="0" fillId="0" borderId="10" xfId="42" applyNumberFormat="1" applyFont="1" applyBorder="1" applyAlignment="1">
      <alignment/>
    </xf>
    <xf numFmtId="197" fontId="15" fillId="0" borderId="0" xfId="42" applyNumberFormat="1" applyFont="1" applyFill="1" applyAlignment="1">
      <alignment/>
    </xf>
    <xf numFmtId="197" fontId="15" fillId="0" borderId="15" xfId="42" applyNumberFormat="1" applyFont="1" applyBorder="1" applyAlignment="1">
      <alignment/>
    </xf>
    <xf numFmtId="197" fontId="9" fillId="0" borderId="10" xfId="42" applyNumberFormat="1" applyFont="1" applyFill="1" applyBorder="1" applyAlignment="1">
      <alignment/>
    </xf>
    <xf numFmtId="197" fontId="9" fillId="0" borderId="35" xfId="42" applyNumberFormat="1" applyFont="1" applyBorder="1" applyAlignment="1">
      <alignment/>
    </xf>
    <xf numFmtId="197" fontId="15" fillId="0" borderId="10" xfId="42" applyNumberFormat="1" applyFont="1" applyFill="1" applyBorder="1" applyAlignment="1">
      <alignment/>
    </xf>
    <xf numFmtId="197" fontId="15" fillId="0" borderId="35" xfId="42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35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Fill="1" applyAlignment="1">
      <alignment/>
    </xf>
    <xf numFmtId="167" fontId="9" fillId="0" borderId="0" xfId="42" applyNumberFormat="1" applyFont="1" applyBorder="1" applyAlignment="1">
      <alignment/>
    </xf>
    <xf numFmtId="164" fontId="0" fillId="0" borderId="0" xfId="58" applyNumberFormat="1" applyFont="1" applyBorder="1" applyAlignment="1">
      <alignment/>
    </xf>
    <xf numFmtId="168" fontId="0" fillId="0" borderId="0" xfId="0" applyNumberFormat="1" applyBorder="1" applyAlignment="1">
      <alignment horizontal="center"/>
    </xf>
    <xf numFmtId="165" fontId="9" fillId="0" borderId="13" xfId="42" applyNumberFormat="1" applyFont="1" applyBorder="1" applyAlignment="1">
      <alignment/>
    </xf>
    <xf numFmtId="165" fontId="9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4" fillId="0" borderId="12" xfId="42" applyNumberFormat="1" applyFont="1" applyBorder="1" applyAlignment="1">
      <alignment/>
    </xf>
    <xf numFmtId="165" fontId="8" fillId="0" borderId="0" xfId="44" applyNumberFormat="1" applyFont="1" applyAlignment="1">
      <alignment/>
    </xf>
    <xf numFmtId="165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165" fontId="54" fillId="0" borderId="10" xfId="42" applyNumberFormat="1" applyFont="1" applyBorder="1" applyAlignment="1">
      <alignment/>
    </xf>
    <xf numFmtId="165" fontId="54" fillId="0" borderId="0" xfId="42" applyNumberFormat="1" applyFont="1" applyAlignment="1">
      <alignment/>
    </xf>
    <xf numFmtId="165" fontId="15" fillId="0" borderId="0" xfId="42" applyNumberFormat="1" applyFont="1" applyBorder="1" applyAlignment="1">
      <alignment/>
    </xf>
    <xf numFmtId="165" fontId="0" fillId="0" borderId="35" xfId="42" applyNumberFormat="1" applyFont="1" applyBorder="1" applyAlignment="1">
      <alignment/>
    </xf>
    <xf numFmtId="0" fontId="10" fillId="0" borderId="0" xfId="0" applyFont="1" applyAlignment="1">
      <alignment/>
    </xf>
    <xf numFmtId="197" fontId="54" fillId="0" borderId="0" xfId="42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Continuous"/>
    </xf>
    <xf numFmtId="197" fontId="54" fillId="0" borderId="10" xfId="42" applyNumberFormat="1" applyFont="1" applyBorder="1" applyAlignment="1">
      <alignment/>
    </xf>
    <xf numFmtId="167" fontId="15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7" fontId="4" fillId="35" borderId="0" xfId="0" applyNumberFormat="1" applyFont="1" applyFill="1" applyBorder="1" applyAlignment="1">
      <alignment/>
    </xf>
    <xf numFmtId="165" fontId="54" fillId="0" borderId="0" xfId="42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4" fillId="0" borderId="0" xfId="42" applyNumberFormat="1" applyFont="1" applyBorder="1" applyAlignment="1">
      <alignment horizontal="left"/>
    </xf>
    <xf numFmtId="165" fontId="4" fillId="0" borderId="0" xfId="42" applyNumberFormat="1" applyFont="1" applyBorder="1" applyAlignment="1">
      <alignment horizontal="centerContinuous"/>
    </xf>
    <xf numFmtId="165" fontId="0" fillId="0" borderId="0" xfId="42" applyNumberFormat="1" applyFont="1" applyBorder="1" applyAlignment="1">
      <alignment horizontal="left"/>
    </xf>
    <xf numFmtId="165" fontId="0" fillId="0" borderId="0" xfId="42" applyNumberFormat="1" applyFont="1" applyBorder="1" applyAlignment="1">
      <alignment horizontal="centerContinuous"/>
    </xf>
    <xf numFmtId="165" fontId="0" fillId="0" borderId="12" xfId="42" applyNumberFormat="1" applyFont="1" applyBorder="1" applyAlignment="1">
      <alignment/>
    </xf>
    <xf numFmtId="165" fontId="15" fillId="0" borderId="12" xfId="42" applyNumberFormat="1" applyFont="1" applyBorder="1" applyAlignment="1">
      <alignment/>
    </xf>
    <xf numFmtId="0" fontId="4" fillId="0" borderId="24" xfId="0" applyFont="1" applyBorder="1" applyAlignment="1">
      <alignment horizontal="centerContinuous"/>
    </xf>
    <xf numFmtId="165" fontId="0" fillId="0" borderId="24" xfId="42" applyNumberFormat="1" applyFont="1" applyBorder="1" applyAlignment="1">
      <alignment/>
    </xf>
    <xf numFmtId="165" fontId="0" fillId="0" borderId="36" xfId="42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0" xfId="42" applyNumberFormat="1" applyFont="1" applyBorder="1" applyAlignment="1">
      <alignment/>
    </xf>
    <xf numFmtId="165" fontId="54" fillId="0" borderId="24" xfId="42" applyNumberFormat="1" applyFont="1" applyBorder="1" applyAlignment="1">
      <alignment/>
    </xf>
    <xf numFmtId="165" fontId="54" fillId="0" borderId="26" xfId="42" applyNumberFormat="1" applyFont="1" applyBorder="1" applyAlignment="1">
      <alignment/>
    </xf>
    <xf numFmtId="0" fontId="4" fillId="38" borderId="0" xfId="0" applyFont="1" applyFill="1" applyAlignment="1">
      <alignment horizontal="center"/>
    </xf>
    <xf numFmtId="0" fontId="4" fillId="38" borderId="0" xfId="0" applyFont="1" applyFill="1" applyAlignment="1">
      <alignment horizontal="centerContinuous"/>
    </xf>
    <xf numFmtId="17" fontId="4" fillId="35" borderId="0" xfId="0" applyNumberFormat="1" applyFont="1" applyFill="1" applyBorder="1" applyAlignment="1">
      <alignment horizontal="center"/>
    </xf>
    <xf numFmtId="17" fontId="4" fillId="35" borderId="2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37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197" fontId="4" fillId="0" borderId="0" xfId="0" applyNumberFormat="1" applyFont="1" applyBorder="1" applyAlignment="1">
      <alignment horizontal="centerContinuous"/>
    </xf>
    <xf numFmtId="197" fontId="54" fillId="0" borderId="10" xfId="42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12" xfId="0" applyNumberFormat="1" applyFill="1" applyBorder="1" applyAlignment="1">
      <alignment/>
    </xf>
    <xf numFmtId="165" fontId="0" fillId="0" borderId="37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4" fontId="4" fillId="0" borderId="0" xfId="58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65" fontId="4" fillId="0" borderId="0" xfId="42" applyNumberFormat="1" applyFont="1" applyAlignment="1">
      <alignment/>
    </xf>
    <xf numFmtId="164" fontId="4" fillId="0" borderId="0" xfId="58" applyNumberFormat="1" applyFont="1" applyAlignment="1">
      <alignment/>
    </xf>
    <xf numFmtId="168" fontId="4" fillId="0" borderId="0" xfId="0" applyNumberFormat="1" applyFont="1" applyAlignment="1">
      <alignment horizontal="center"/>
    </xf>
    <xf numFmtId="165" fontId="36" fillId="0" borderId="0" xfId="42" applyNumberFormat="1" applyFont="1" applyAlignment="1">
      <alignment/>
    </xf>
    <xf numFmtId="169" fontId="0" fillId="0" borderId="0" xfId="0" applyNumberFormat="1" applyAlignment="1">
      <alignment/>
    </xf>
    <xf numFmtId="0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167" fontId="0" fillId="0" borderId="0" xfId="42" applyNumberFormat="1" applyFont="1" applyAlignment="1" quotePrefix="1">
      <alignment/>
    </xf>
    <xf numFmtId="164" fontId="54" fillId="0" borderId="0" xfId="58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42" applyNumberFormat="1" applyFont="1" applyFill="1" applyAlignment="1">
      <alignment/>
    </xf>
    <xf numFmtId="165" fontId="56" fillId="0" borderId="0" xfId="42" applyNumberFormat="1" applyFont="1" applyAlignment="1">
      <alignment/>
    </xf>
    <xf numFmtId="165" fontId="56" fillId="0" borderId="10" xfId="42" applyNumberFormat="1" applyFont="1" applyBorder="1" applyAlignment="1">
      <alignment/>
    </xf>
    <xf numFmtId="0" fontId="4" fillId="37" borderId="38" xfId="0" applyFont="1" applyFill="1" applyBorder="1" applyAlignment="1">
      <alignment horizontal="right"/>
    </xf>
    <xf numFmtId="0" fontId="0" fillId="0" borderId="39" xfId="0" applyBorder="1" applyAlignment="1">
      <alignment/>
    </xf>
    <xf numFmtId="165" fontId="0" fillId="0" borderId="39" xfId="0" applyNumberFormat="1" applyBorder="1" applyAlignment="1">
      <alignment/>
    </xf>
    <xf numFmtId="165" fontId="4" fillId="0" borderId="40" xfId="0" applyNumberFormat="1" applyFont="1" applyBorder="1" applyAlignment="1">
      <alignment/>
    </xf>
    <xf numFmtId="165" fontId="0" fillId="0" borderId="40" xfId="0" applyNumberFormat="1" applyBorder="1" applyAlignment="1">
      <alignment/>
    </xf>
    <xf numFmtId="0" fontId="0" fillId="0" borderId="0" xfId="0" applyAlignment="1">
      <alignment horizontal="center"/>
    </xf>
    <xf numFmtId="198" fontId="0" fillId="39" borderId="41" xfId="0" applyNumberFormat="1" applyFill="1" applyBorder="1" applyAlignment="1">
      <alignment/>
    </xf>
    <xf numFmtId="0" fontId="4" fillId="35" borderId="42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39" borderId="41" xfId="0" applyNumberFormat="1" applyFill="1" applyBorder="1" applyAlignment="1">
      <alignment/>
    </xf>
    <xf numFmtId="164" fontId="0" fillId="37" borderId="42" xfId="0" applyNumberForma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165" fontId="0" fillId="0" borderId="40" xfId="42" applyNumberFormat="1" applyFont="1" applyBorder="1" applyAlignment="1">
      <alignment/>
    </xf>
    <xf numFmtId="165" fontId="0" fillId="0" borderId="43" xfId="0" applyNumberFormat="1" applyBorder="1" applyAlignment="1">
      <alignment/>
    </xf>
    <xf numFmtId="165" fontId="4" fillId="40" borderId="40" xfId="0" applyNumberFormat="1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99" fontId="4" fillId="0" borderId="44" xfId="42" applyNumberFormat="1" applyFont="1" applyBorder="1" applyAlignment="1">
      <alignment horizontal="center"/>
    </xf>
    <xf numFmtId="10" fontId="4" fillId="39" borderId="38" xfId="58" applyNumberFormat="1" applyFont="1" applyFill="1" applyBorder="1" applyAlignment="1">
      <alignment/>
    </xf>
    <xf numFmtId="196" fontId="4" fillId="0" borderId="11" xfId="42" applyNumberFormat="1" applyFont="1" applyBorder="1" applyAlignment="1">
      <alignment horizontal="center"/>
    </xf>
    <xf numFmtId="199" fontId="4" fillId="0" borderId="0" xfId="42" applyNumberFormat="1" applyFont="1" applyBorder="1" applyAlignment="1">
      <alignment horizontal="center"/>
    </xf>
    <xf numFmtId="6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4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40" borderId="0" xfId="0" applyFont="1" applyFill="1" applyAlignment="1">
      <alignment horizontal="right"/>
    </xf>
    <xf numFmtId="6" fontId="4" fillId="40" borderId="12" xfId="0" applyNumberFormat="1" applyFont="1" applyFill="1" applyBorder="1" applyAlignment="1">
      <alignment/>
    </xf>
    <xf numFmtId="0" fontId="4" fillId="40" borderId="0" xfId="0" applyFont="1" applyFill="1" applyAlignment="1">
      <alignment/>
    </xf>
    <xf numFmtId="6" fontId="4" fillId="0" borderId="0" xfId="0" applyNumberFormat="1" applyFont="1" applyBorder="1" applyAlignment="1">
      <alignment/>
    </xf>
    <xf numFmtId="164" fontId="4" fillId="0" borderId="38" xfId="58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6" fontId="1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6" fontId="4" fillId="0" borderId="32" xfId="0" applyNumberFormat="1" applyFont="1" applyBorder="1" applyAlignment="1">
      <alignment/>
    </xf>
    <xf numFmtId="17" fontId="4" fillId="37" borderId="32" xfId="0" applyNumberFormat="1" applyFont="1" applyFill="1" applyBorder="1" applyAlignment="1">
      <alignment horizontal="right"/>
    </xf>
    <xf numFmtId="17" fontId="4" fillId="37" borderId="31" xfId="0" applyNumberFormat="1" applyFont="1" applyFill="1" applyBorder="1" applyAlignment="1">
      <alignment horizontal="right"/>
    </xf>
    <xf numFmtId="199" fontId="4" fillId="0" borderId="10" xfId="42" applyNumberFormat="1" applyFont="1" applyBorder="1" applyAlignment="1">
      <alignment horizontal="center"/>
    </xf>
    <xf numFmtId="17" fontId="4" fillId="37" borderId="38" xfId="0" applyNumberFormat="1" applyFont="1" applyFill="1" applyBorder="1" applyAlignment="1">
      <alignment horizontal="right"/>
    </xf>
    <xf numFmtId="165" fontId="4" fillId="0" borderId="45" xfId="0" applyNumberFormat="1" applyFont="1" applyBorder="1" applyAlignment="1">
      <alignment/>
    </xf>
    <xf numFmtId="10" fontId="0" fillId="0" borderId="0" xfId="58" applyNumberFormat="1" applyFont="1" applyAlignment="1">
      <alignment/>
    </xf>
    <xf numFmtId="10" fontId="4" fillId="0" borderId="38" xfId="58" applyNumberFormat="1" applyFont="1" applyBorder="1" applyAlignment="1">
      <alignment/>
    </xf>
    <xf numFmtId="0" fontId="0" fillId="0" borderId="0" xfId="0" applyFont="1" applyAlignment="1">
      <alignment horizontal="right"/>
    </xf>
    <xf numFmtId="209" fontId="0" fillId="0" borderId="39" xfId="42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SK Spreads - 2006-3Q 10Q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  <cellStyle name="桁区切り_2005 8 2 NEW GCM Corp Card" xfId="63"/>
    <cellStyle name="標準_B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457200</xdr:colOff>
      <xdr:row>324</xdr:row>
      <xdr:rowOff>66675</xdr:rowOff>
    </xdr:from>
    <xdr:to>
      <xdr:col>17</xdr:col>
      <xdr:colOff>457200</xdr:colOff>
      <xdr:row>330</xdr:row>
      <xdr:rowOff>95250</xdr:rowOff>
    </xdr:to>
    <xdr:sp>
      <xdr:nvSpPr>
        <xdr:cNvPr id="1" name="Line 7"/>
        <xdr:cNvSpPr>
          <a:spLocks/>
        </xdr:cNvSpPr>
      </xdr:nvSpPr>
      <xdr:spPr>
        <a:xfrm>
          <a:off x="16287750" y="519588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323</xdr:row>
      <xdr:rowOff>66675</xdr:rowOff>
    </xdr:from>
    <xdr:to>
      <xdr:col>17</xdr:col>
      <xdr:colOff>457200</xdr:colOff>
      <xdr:row>329</xdr:row>
      <xdr:rowOff>95250</xdr:rowOff>
    </xdr:to>
    <xdr:sp>
      <xdr:nvSpPr>
        <xdr:cNvPr id="2" name="Line 7"/>
        <xdr:cNvSpPr>
          <a:spLocks/>
        </xdr:cNvSpPr>
      </xdr:nvSpPr>
      <xdr:spPr>
        <a:xfrm>
          <a:off x="16287750" y="517969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347"/>
  <sheetViews>
    <sheetView tabSelected="1" view="pageBreakPreview" zoomScaleSheetLayoutView="100" workbookViewId="0" topLeftCell="A1">
      <selection activeCell="L19" sqref="L19"/>
    </sheetView>
  </sheetViews>
  <sheetFormatPr defaultColWidth="9.140625" defaultRowHeight="12.75"/>
  <cols>
    <col min="1" max="1" width="5.140625" style="0" customWidth="1"/>
    <col min="2" max="2" width="41.7109375" style="0" customWidth="1"/>
    <col min="3" max="3" width="14.7109375" style="0" customWidth="1"/>
    <col min="4" max="4" width="14.8515625" style="0" customWidth="1"/>
    <col min="5" max="6" width="11.7109375" style="0" customWidth="1"/>
    <col min="7" max="7" width="11.8515625" style="0" bestFit="1" customWidth="1"/>
    <col min="9" max="9" width="10.28125" style="0" bestFit="1" customWidth="1"/>
    <col min="10" max="10" width="11.28125" style="0" customWidth="1"/>
    <col min="11" max="11" width="5.00390625" style="0" customWidth="1"/>
    <col min="12" max="17" width="15.00390625" style="0" customWidth="1"/>
    <col min="18" max="18" width="13.28125" style="0" customWidth="1"/>
    <col min="19" max="19" width="11.57421875" style="0" customWidth="1"/>
  </cols>
  <sheetData>
    <row r="1" spans="2:17" ht="26.25" customHeight="1">
      <c r="B1" s="109" t="s">
        <v>121</v>
      </c>
      <c r="C1" s="44"/>
      <c r="D1" s="44"/>
      <c r="E1" s="44"/>
      <c r="F1" s="44"/>
      <c r="G1" s="44"/>
      <c r="H1" s="44"/>
      <c r="I1" s="44"/>
      <c r="J1" s="44"/>
      <c r="K1" s="44"/>
      <c r="L1" s="6"/>
      <c r="M1" s="6"/>
      <c r="N1" s="6"/>
      <c r="O1" s="6"/>
      <c r="P1" s="6"/>
      <c r="Q1" s="6"/>
    </row>
    <row r="2" spans="2:17" ht="16.5" customHeight="1">
      <c r="B2" s="45" t="s">
        <v>122</v>
      </c>
      <c r="C2" s="44"/>
      <c r="D2" s="44"/>
      <c r="E2" s="44"/>
      <c r="F2" s="44"/>
      <c r="G2" s="44"/>
      <c r="H2" s="44"/>
      <c r="I2" s="44"/>
      <c r="J2" s="44"/>
      <c r="K2" s="44"/>
      <c r="L2" s="6"/>
      <c r="M2" s="6"/>
      <c r="N2" s="6"/>
      <c r="O2" s="6"/>
      <c r="P2" s="6"/>
      <c r="Q2" s="6"/>
    </row>
    <row r="3" spans="2:11" ht="5.25" customHeight="1">
      <c r="B3" s="39"/>
      <c r="C3" s="1"/>
      <c r="D3" s="1"/>
      <c r="E3" s="1"/>
      <c r="F3" s="1"/>
      <c r="G3" s="1"/>
      <c r="H3" s="1"/>
      <c r="I3" s="1"/>
      <c r="J3" s="1"/>
      <c r="K3" s="1"/>
    </row>
    <row r="4" spans="2:17" ht="18">
      <c r="B4" s="42" t="s">
        <v>80</v>
      </c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</row>
    <row r="5" spans="3:4" ht="11.25" customHeight="1">
      <c r="C5" s="3"/>
      <c r="D5" s="3"/>
    </row>
    <row r="6" spans="2:17" ht="42" customHeight="1" thickBot="1">
      <c r="B6" s="28" t="s">
        <v>4</v>
      </c>
      <c r="C6" s="30" t="s">
        <v>64</v>
      </c>
      <c r="D6" s="30" t="s">
        <v>20</v>
      </c>
      <c r="E6" s="29" t="s">
        <v>98</v>
      </c>
      <c r="F6" s="29" t="s">
        <v>69</v>
      </c>
      <c r="G6" s="30" t="s">
        <v>110</v>
      </c>
      <c r="H6" s="104" t="s">
        <v>149</v>
      </c>
      <c r="I6" s="29" t="s">
        <v>222</v>
      </c>
      <c r="J6" s="31"/>
      <c r="K6" s="28" t="s">
        <v>13</v>
      </c>
      <c r="L6" s="28"/>
      <c r="M6" s="32"/>
      <c r="N6" s="28"/>
      <c r="O6" s="28" t="s">
        <v>5</v>
      </c>
      <c r="P6" s="29" t="s">
        <v>66</v>
      </c>
      <c r="Q6" s="29" t="s">
        <v>67</v>
      </c>
    </row>
    <row r="7" spans="1:15" ht="12.75">
      <c r="A7">
        <f>ROW()</f>
        <v>7</v>
      </c>
      <c r="B7" t="s">
        <v>2</v>
      </c>
      <c r="C7" s="145">
        <v>0</v>
      </c>
      <c r="D7" s="20"/>
      <c r="E7" s="20"/>
      <c r="F7" s="20"/>
      <c r="G7" s="20"/>
      <c r="H7" s="20"/>
      <c r="I7" s="20"/>
      <c r="K7" t="s">
        <v>2</v>
      </c>
      <c r="O7" s="111"/>
    </row>
    <row r="8" spans="1:15" ht="12.75">
      <c r="A8">
        <f>ROW()</f>
        <v>8</v>
      </c>
      <c r="B8" t="s">
        <v>3</v>
      </c>
      <c r="C8" s="115">
        <v>0</v>
      </c>
      <c r="D8" s="10">
        <f aca="true" t="shared" si="0" ref="D8:D19">+C8/$C$25</f>
        <v>0</v>
      </c>
      <c r="E8" s="16">
        <f aca="true" t="shared" si="1" ref="E8:E19">+C8/$D$27</f>
        <v>0</v>
      </c>
      <c r="F8" s="9">
        <v>237.5</v>
      </c>
      <c r="G8" s="107">
        <v>100</v>
      </c>
      <c r="H8" s="10">
        <f>+((F8/10000)+$D$28)+(100-G8)/1000/4</f>
        <v>0.08075</v>
      </c>
      <c r="I8" s="256">
        <f>+H8*(1-$M$160)*D8</f>
        <v>0</v>
      </c>
      <c r="K8" t="s">
        <v>14</v>
      </c>
      <c r="O8" s="111">
        <v>1900000</v>
      </c>
    </row>
    <row r="9" spans="1:15" ht="12.75">
      <c r="A9">
        <f>ROW()</f>
        <v>9</v>
      </c>
      <c r="B9" t="s">
        <v>6</v>
      </c>
      <c r="C9" s="211">
        <v>600000</v>
      </c>
      <c r="D9" s="10">
        <f t="shared" si="0"/>
        <v>0.2857142857142857</v>
      </c>
      <c r="E9" s="16">
        <f t="shared" si="1"/>
        <v>2.586206896551724</v>
      </c>
      <c r="F9" s="9">
        <v>237.5</v>
      </c>
      <c r="G9" s="107">
        <v>100</v>
      </c>
      <c r="H9" s="10">
        <f>+((F9/10000)+$D$28)+(100-G9)/1000/4</f>
        <v>0.08075</v>
      </c>
      <c r="I9" s="256">
        <f>+H9*(1-$M$160)*D9</f>
        <v>0.014765714285714287</v>
      </c>
      <c r="K9" t="s">
        <v>15</v>
      </c>
      <c r="O9" s="111">
        <v>100000</v>
      </c>
    </row>
    <row r="10" spans="1:17" ht="12.75">
      <c r="A10">
        <f>ROW()</f>
        <v>10</v>
      </c>
      <c r="B10" t="s">
        <v>7</v>
      </c>
      <c r="C10" s="211">
        <v>175000</v>
      </c>
      <c r="D10" s="10">
        <f t="shared" si="0"/>
        <v>0.08333333333333333</v>
      </c>
      <c r="E10" s="16">
        <f t="shared" si="1"/>
        <v>0.7543103448275862</v>
      </c>
      <c r="F10" s="9">
        <v>300</v>
      </c>
      <c r="G10" s="107">
        <v>100</v>
      </c>
      <c r="H10" s="10">
        <f>+((F10/10000)+$D$28)+(100-G10)/1000/4</f>
        <v>0.087</v>
      </c>
      <c r="I10" s="256">
        <f>+H10*(1-$M$160)*D10</f>
        <v>0.00464</v>
      </c>
      <c r="K10" t="s">
        <v>16</v>
      </c>
      <c r="O10" s="111">
        <v>0</v>
      </c>
      <c r="P10" s="152">
        <f>+O10+O9+O8</f>
        <v>2000000</v>
      </c>
      <c r="Q10" s="15">
        <f>+P10/$D$27</f>
        <v>8.620689655172415</v>
      </c>
    </row>
    <row r="11" spans="1:15" ht="12.75">
      <c r="A11">
        <f>ROW()</f>
        <v>11</v>
      </c>
      <c r="B11" s="48" t="s">
        <v>120</v>
      </c>
      <c r="C11" s="211">
        <v>175000</v>
      </c>
      <c r="D11" s="10">
        <f t="shared" si="0"/>
        <v>0.08333333333333333</v>
      </c>
      <c r="E11" s="16">
        <f t="shared" si="1"/>
        <v>0.7543103448275862</v>
      </c>
      <c r="F11" s="9">
        <v>350</v>
      </c>
      <c r="G11" s="107">
        <v>100</v>
      </c>
      <c r="H11" s="10">
        <f>+((F11/10000)+$D$28)+(100-G11)/1000/4</f>
        <v>0.092</v>
      </c>
      <c r="I11" s="256">
        <f>+H11*(1-$M$160)*D11</f>
        <v>0.004906666666666667</v>
      </c>
      <c r="K11" t="s">
        <v>18</v>
      </c>
      <c r="O11" s="111">
        <v>100000</v>
      </c>
    </row>
    <row r="12" spans="1:15" ht="12.75">
      <c r="A12">
        <f>ROW()</f>
        <v>12</v>
      </c>
      <c r="B12" t="s">
        <v>17</v>
      </c>
      <c r="C12" s="212">
        <v>0</v>
      </c>
      <c r="D12" s="11">
        <f t="shared" si="0"/>
        <v>0</v>
      </c>
      <c r="E12" s="17">
        <f t="shared" si="1"/>
        <v>0</v>
      </c>
      <c r="F12" s="9"/>
      <c r="G12" s="21"/>
      <c r="H12" s="21"/>
      <c r="I12" s="256"/>
      <c r="O12" s="151"/>
    </row>
    <row r="13" spans="1:15" ht="12.75">
      <c r="A13">
        <f>ROW()</f>
        <v>13</v>
      </c>
      <c r="B13" t="s">
        <v>8</v>
      </c>
      <c r="C13" s="115">
        <f>SUM(C8:C12)</f>
        <v>950000</v>
      </c>
      <c r="D13" s="10">
        <f t="shared" si="0"/>
        <v>0.4523809523809524</v>
      </c>
      <c r="E13" s="16">
        <f t="shared" si="1"/>
        <v>4.094827586206897</v>
      </c>
      <c r="F13" s="9"/>
      <c r="G13" s="21"/>
      <c r="H13" s="21"/>
      <c r="I13" s="256"/>
      <c r="O13" s="151"/>
    </row>
    <row r="14" spans="1:15" ht="12.75">
      <c r="A14">
        <f>ROW()</f>
        <v>14</v>
      </c>
      <c r="B14" t="s">
        <v>10</v>
      </c>
      <c r="C14" s="139">
        <v>0</v>
      </c>
      <c r="D14" s="11">
        <f t="shared" si="0"/>
        <v>0</v>
      </c>
      <c r="E14" s="17">
        <f t="shared" si="1"/>
        <v>0</v>
      </c>
      <c r="F14" s="22">
        <v>0</v>
      </c>
      <c r="G14" s="21"/>
      <c r="H14" s="21"/>
      <c r="I14" s="256">
        <f>+F14*(1-$M$160)*D14</f>
        <v>0</v>
      </c>
      <c r="O14" s="151"/>
    </row>
    <row r="15" spans="1:15" ht="12.75">
      <c r="A15">
        <f>ROW()</f>
        <v>15</v>
      </c>
      <c r="B15" t="s">
        <v>9</v>
      </c>
      <c r="C15" s="115">
        <f>SUM(C13:C14)</f>
        <v>950000</v>
      </c>
      <c r="D15" s="10">
        <f t="shared" si="0"/>
        <v>0.4523809523809524</v>
      </c>
      <c r="E15" s="16">
        <f t="shared" si="1"/>
        <v>4.094827586206897</v>
      </c>
      <c r="F15" s="9"/>
      <c r="G15" s="21"/>
      <c r="H15" s="21"/>
      <c r="I15" s="256"/>
      <c r="O15" s="151"/>
    </row>
    <row r="16" spans="1:15" ht="12.75">
      <c r="A16">
        <f>ROW()</f>
        <v>16</v>
      </c>
      <c r="B16" t="s">
        <v>65</v>
      </c>
      <c r="C16" s="115">
        <v>375000</v>
      </c>
      <c r="D16" s="10">
        <f t="shared" si="0"/>
        <v>0.17857142857142858</v>
      </c>
      <c r="E16" s="16">
        <f t="shared" si="1"/>
        <v>1.6163793103448276</v>
      </c>
      <c r="F16" s="22">
        <v>0.105</v>
      </c>
      <c r="G16" s="21"/>
      <c r="H16" s="21"/>
      <c r="I16" s="256">
        <f>+F16*(1-$M$160)*D16</f>
        <v>0.012</v>
      </c>
      <c r="O16" s="151"/>
    </row>
    <row r="17" spans="1:15" ht="12.75">
      <c r="A17">
        <f>ROW()</f>
        <v>17</v>
      </c>
      <c r="B17" t="s">
        <v>11</v>
      </c>
      <c r="C17" s="139">
        <v>125000</v>
      </c>
      <c r="D17" s="11">
        <f t="shared" si="0"/>
        <v>0.05952380952380952</v>
      </c>
      <c r="E17" s="17">
        <f t="shared" si="1"/>
        <v>0.5387931034482759</v>
      </c>
      <c r="F17" s="22">
        <f>+(141-125)/125</f>
        <v>0.128</v>
      </c>
      <c r="G17" s="23"/>
      <c r="H17" s="23"/>
      <c r="I17" s="256">
        <f>+F17*(1-$M$160)*D17</f>
        <v>0.004876190476190477</v>
      </c>
      <c r="O17" s="151"/>
    </row>
    <row r="18" spans="1:15" ht="12.75">
      <c r="A18">
        <f>ROW()</f>
        <v>18</v>
      </c>
      <c r="B18" s="48" t="s">
        <v>159</v>
      </c>
      <c r="C18" s="148">
        <f>SUM(C16:C17)</f>
        <v>500000</v>
      </c>
      <c r="D18" s="12">
        <f t="shared" si="0"/>
        <v>0.23809523809523808</v>
      </c>
      <c r="E18" s="18">
        <f t="shared" si="1"/>
        <v>2.1551724137931036</v>
      </c>
      <c r="F18" s="22"/>
      <c r="G18" s="23"/>
      <c r="H18" s="23"/>
      <c r="I18" s="256"/>
      <c r="O18" s="151"/>
    </row>
    <row r="19" spans="1:15" ht="12.75">
      <c r="A19">
        <f>ROW()</f>
        <v>19</v>
      </c>
      <c r="B19" s="48" t="s">
        <v>77</v>
      </c>
      <c r="C19" s="168">
        <f>+C18+C15</f>
        <v>1450000</v>
      </c>
      <c r="D19" s="198">
        <f t="shared" si="0"/>
        <v>0.6904761904761905</v>
      </c>
      <c r="E19" s="199">
        <f t="shared" si="1"/>
        <v>6.25</v>
      </c>
      <c r="F19" s="22"/>
      <c r="G19" s="23"/>
      <c r="H19" s="23"/>
      <c r="I19" s="256"/>
      <c r="O19" s="151"/>
    </row>
    <row r="20" spans="1:15" ht="12.75">
      <c r="A20">
        <f>ROW()</f>
        <v>20</v>
      </c>
      <c r="B20" s="48"/>
      <c r="C20" s="168"/>
      <c r="D20" s="198"/>
      <c r="E20" s="199"/>
      <c r="F20" s="22"/>
      <c r="G20" s="23"/>
      <c r="H20" s="23"/>
      <c r="I20" s="256"/>
      <c r="O20" s="151"/>
    </row>
    <row r="21" spans="1:15" ht="12.75">
      <c r="A21">
        <f>ROW()</f>
        <v>21</v>
      </c>
      <c r="B21" s="48" t="s">
        <v>219</v>
      </c>
      <c r="C21" s="147">
        <v>100000</v>
      </c>
      <c r="D21" s="143">
        <f>+C21/$C$25</f>
        <v>0.047619047619047616</v>
      </c>
      <c r="E21" s="144">
        <f>+C21/$D$27</f>
        <v>0.43103448275862066</v>
      </c>
      <c r="F21" s="22">
        <v>0.07</v>
      </c>
      <c r="G21" s="23"/>
      <c r="H21" s="23"/>
      <c r="I21" s="256">
        <f>+F21*(1-$M$160)*D21</f>
        <v>0.0021333333333333334</v>
      </c>
      <c r="O21" s="151"/>
    </row>
    <row r="22" spans="1:15" ht="12.75">
      <c r="A22">
        <f>ROW()</f>
        <v>22</v>
      </c>
      <c r="B22" s="48" t="s">
        <v>218</v>
      </c>
      <c r="C22" s="147">
        <v>549000</v>
      </c>
      <c r="D22" s="143">
        <f>+C22/$C$25</f>
        <v>0.26142857142857145</v>
      </c>
      <c r="E22" s="144">
        <f>+C22/$D$27</f>
        <v>2.3663793103448274</v>
      </c>
      <c r="F22" s="22">
        <v>0.22</v>
      </c>
      <c r="G22" s="23"/>
      <c r="H22" s="23"/>
      <c r="I22" s="256">
        <f>+F22*(1-$M$160)*D22</f>
        <v>0.03680914285714286</v>
      </c>
      <c r="O22" s="151"/>
    </row>
    <row r="23" spans="1:15" ht="12.75">
      <c r="A23">
        <f>ROW()</f>
        <v>23</v>
      </c>
      <c r="B23" s="48" t="s">
        <v>158</v>
      </c>
      <c r="C23" s="139">
        <v>1000</v>
      </c>
      <c r="D23" s="11">
        <f>+C23/$C$25</f>
        <v>0.0004761904761904762</v>
      </c>
      <c r="E23" s="17">
        <f>+C23/$D$27</f>
        <v>0.004310344827586207</v>
      </c>
      <c r="F23" s="22">
        <v>0.22</v>
      </c>
      <c r="G23" s="23"/>
      <c r="H23" s="23"/>
      <c r="I23" s="256">
        <f>+F23*(1-$M$160)*D23</f>
        <v>6.704761904761906E-05</v>
      </c>
      <c r="O23" s="151"/>
    </row>
    <row r="24" spans="1:15" ht="13.5" thickBot="1">
      <c r="A24">
        <f>ROW()</f>
        <v>24</v>
      </c>
      <c r="B24" s="48" t="s">
        <v>160</v>
      </c>
      <c r="C24" s="200">
        <f>SUM(C21:C23)</f>
        <v>650000</v>
      </c>
      <c r="D24" s="201">
        <f>+C24/$C$25</f>
        <v>0.30952380952380953</v>
      </c>
      <c r="E24" s="202">
        <f>+C24/$D$27</f>
        <v>2.8017241379310347</v>
      </c>
      <c r="F24" s="9"/>
      <c r="G24" s="23"/>
      <c r="H24" s="23"/>
      <c r="I24" s="256"/>
      <c r="O24" s="151"/>
    </row>
    <row r="25" spans="1:15" ht="13.5" thickBot="1">
      <c r="A25">
        <f>ROW()</f>
        <v>25</v>
      </c>
      <c r="B25" s="2" t="s">
        <v>12</v>
      </c>
      <c r="C25" s="149">
        <f>+C24+C19</f>
        <v>2100000</v>
      </c>
      <c r="D25" s="13">
        <f>+C25/$C$25</f>
        <v>1</v>
      </c>
      <c r="E25" s="19">
        <f>+C25/$D$27</f>
        <v>9.051724137931034</v>
      </c>
      <c r="F25" s="24"/>
      <c r="G25" s="25"/>
      <c r="H25" s="258" t="s">
        <v>223</v>
      </c>
      <c r="I25" s="257">
        <f>SUM(I8:I24)</f>
        <v>0.08019809523809525</v>
      </c>
      <c r="J25" s="2"/>
      <c r="K25" s="2" t="s">
        <v>19</v>
      </c>
      <c r="L25" s="2"/>
      <c r="M25" s="2"/>
      <c r="N25" s="2"/>
      <c r="O25" s="149">
        <f>SUM(O7:O23)</f>
        <v>2100000</v>
      </c>
    </row>
    <row r="26" spans="1:3" ht="13.5" thickTop="1">
      <c r="A26">
        <f>ROW()</f>
        <v>26</v>
      </c>
      <c r="C26" s="118"/>
    </row>
    <row r="27" spans="1:5" ht="12.75">
      <c r="A27">
        <f>ROW()</f>
        <v>27</v>
      </c>
      <c r="B27" s="14" t="s">
        <v>70</v>
      </c>
      <c r="D27" s="150">
        <f>+L131</f>
        <v>232000</v>
      </c>
      <c r="E27" s="118" t="s">
        <v>68</v>
      </c>
    </row>
    <row r="28" spans="1:4" ht="12.75">
      <c r="A28">
        <f>ROW()</f>
        <v>28</v>
      </c>
      <c r="B28" s="14" t="s">
        <v>112</v>
      </c>
      <c r="D28" s="105">
        <v>0.057</v>
      </c>
    </row>
    <row r="29" spans="1:2" ht="12.75">
      <c r="A29">
        <f>ROW()</f>
        <v>29</v>
      </c>
      <c r="B29" s="14"/>
    </row>
    <row r="30" spans="1:7" ht="12.75">
      <c r="A30">
        <f>ROW()</f>
        <v>30</v>
      </c>
      <c r="C30" s="8"/>
      <c r="D30" s="8"/>
      <c r="E30" s="8"/>
      <c r="F30" s="8"/>
      <c r="G30" s="8"/>
    </row>
    <row r="31" spans="1:19" ht="18">
      <c r="A31">
        <f>ROW()</f>
        <v>31</v>
      </c>
      <c r="B31" s="43" t="s">
        <v>167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8" customHeight="1">
      <c r="A32">
        <f>ROW()</f>
        <v>32</v>
      </c>
      <c r="C32" s="7"/>
      <c r="D32" s="7"/>
      <c r="E32" s="7"/>
      <c r="F32" s="7"/>
      <c r="G32" s="175"/>
      <c r="H32" s="27"/>
      <c r="I32" s="7"/>
      <c r="J32" s="7"/>
      <c r="K32" s="7"/>
      <c r="L32" s="7" t="s">
        <v>23</v>
      </c>
      <c r="M32" s="7"/>
      <c r="N32" s="7"/>
      <c r="O32" s="7"/>
      <c r="P32" s="7"/>
      <c r="Q32" s="7"/>
      <c r="R32" s="7"/>
      <c r="S32" s="7"/>
    </row>
    <row r="33" spans="1:19" ht="18" customHeight="1">
      <c r="A33">
        <f>ROW()</f>
        <v>33</v>
      </c>
      <c r="C33" s="164"/>
      <c r="D33" s="164"/>
      <c r="E33" s="164"/>
      <c r="F33" s="184">
        <f>+G33-365</f>
        <v>36586</v>
      </c>
      <c r="G33" s="185">
        <v>36951</v>
      </c>
      <c r="H33" s="27"/>
      <c r="I33" s="182" t="s">
        <v>21</v>
      </c>
      <c r="J33" s="182" t="s">
        <v>22</v>
      </c>
      <c r="K33" s="7"/>
      <c r="L33" s="164">
        <f>+G33</f>
        <v>36951</v>
      </c>
      <c r="M33" s="164">
        <f>+L33+365</f>
        <v>37316</v>
      </c>
      <c r="N33" s="164">
        <f>+M33+365</f>
        <v>37681</v>
      </c>
      <c r="O33" s="164">
        <f>+N33+366</f>
        <v>38047</v>
      </c>
      <c r="P33" s="164">
        <f>+O33+365</f>
        <v>38412</v>
      </c>
      <c r="Q33" s="164">
        <f>+P33+365</f>
        <v>38777</v>
      </c>
      <c r="R33" s="164">
        <f>+Q33+365</f>
        <v>39142</v>
      </c>
      <c r="S33" s="164">
        <f>+R33+365</f>
        <v>39507</v>
      </c>
    </row>
    <row r="34" spans="1:19" ht="12.75">
      <c r="A34">
        <f>ROW()</f>
        <v>34</v>
      </c>
      <c r="B34" s="48" t="s">
        <v>73</v>
      </c>
      <c r="C34" s="8"/>
      <c r="D34" s="8"/>
      <c r="E34" s="8"/>
      <c r="F34" s="38">
        <f>+F123</f>
        <v>600000</v>
      </c>
      <c r="G34" s="38">
        <f>+G123</f>
        <v>774000</v>
      </c>
      <c r="H34" s="38"/>
      <c r="I34" s="38"/>
      <c r="J34" s="38"/>
      <c r="K34" s="38"/>
      <c r="L34" s="38">
        <f aca="true" t="shared" si="2" ref="L34:Q34">+L123</f>
        <v>774000</v>
      </c>
      <c r="M34" s="38">
        <f t="shared" si="2"/>
        <v>853000.0000000001</v>
      </c>
      <c r="N34" s="38">
        <f t="shared" si="2"/>
        <v>915000.0000000002</v>
      </c>
      <c r="O34" s="38">
        <f t="shared" si="2"/>
        <v>989000.0000000002</v>
      </c>
      <c r="P34" s="38">
        <f t="shared" si="2"/>
        <v>1035000.0000000003</v>
      </c>
      <c r="Q34" s="38">
        <f t="shared" si="2"/>
        <v>1087000.0000000002</v>
      </c>
      <c r="R34" s="38">
        <f>+R123</f>
        <v>1141612.5603864735</v>
      </c>
      <c r="S34" s="38">
        <f>+S123</f>
        <v>1198968.9402319775</v>
      </c>
    </row>
    <row r="35" spans="1:19" ht="12.75">
      <c r="A35">
        <f>ROW()</f>
        <v>35</v>
      </c>
      <c r="B35" s="48" t="s">
        <v>161</v>
      </c>
      <c r="C35" s="8"/>
      <c r="D35" s="8"/>
      <c r="E35" s="8"/>
      <c r="F35" s="38"/>
      <c r="G35" s="38"/>
      <c r="H35" s="38"/>
      <c r="I35" s="38"/>
      <c r="J35" s="38"/>
      <c r="K35" s="38"/>
      <c r="L35" s="38"/>
      <c r="M35" s="10">
        <f aca="true" t="shared" si="3" ref="M35:S35">+M34/L34-1</f>
        <v>0.10206718346253241</v>
      </c>
      <c r="N35" s="10">
        <f t="shared" si="3"/>
        <v>0.07268464243845263</v>
      </c>
      <c r="O35" s="10">
        <f t="shared" si="3"/>
        <v>0.08087431693989067</v>
      </c>
      <c r="P35" s="10">
        <f t="shared" si="3"/>
        <v>0.04651162790697683</v>
      </c>
      <c r="Q35" s="10">
        <f t="shared" si="3"/>
        <v>0.05024154589371976</v>
      </c>
      <c r="R35" s="10">
        <f t="shared" si="3"/>
        <v>0.05024154589371976</v>
      </c>
      <c r="S35" s="10">
        <f t="shared" si="3"/>
        <v>0.05024154589371976</v>
      </c>
    </row>
    <row r="36" spans="1:19" ht="12.75">
      <c r="A36">
        <f>ROW()</f>
        <v>36</v>
      </c>
      <c r="C36" s="8"/>
      <c r="D36" s="8"/>
      <c r="E36" s="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2.75">
      <c r="A37">
        <f>ROW()</f>
        <v>37</v>
      </c>
      <c r="B37" s="48" t="s">
        <v>0</v>
      </c>
      <c r="C37" s="8"/>
      <c r="D37" s="8"/>
      <c r="E37" s="8"/>
      <c r="F37" s="38">
        <f>+F131</f>
        <v>0</v>
      </c>
      <c r="G37" s="38">
        <f>+G131</f>
        <v>232000</v>
      </c>
      <c r="H37" s="38"/>
      <c r="I37" s="38"/>
      <c r="J37" s="38"/>
      <c r="K37" s="38"/>
      <c r="L37" s="38">
        <f aca="true" t="shared" si="4" ref="L37:Q37">+L131</f>
        <v>232000</v>
      </c>
      <c r="M37" s="38">
        <f t="shared" si="4"/>
        <v>238000.00000000003</v>
      </c>
      <c r="N37" s="38">
        <f t="shared" si="4"/>
        <v>254000.00000000006</v>
      </c>
      <c r="O37" s="38">
        <f t="shared" si="4"/>
        <v>285000.00000000006</v>
      </c>
      <c r="P37" s="38">
        <f t="shared" si="4"/>
        <v>306000.0000000002</v>
      </c>
      <c r="Q37" s="38">
        <f t="shared" si="4"/>
        <v>327000.00000000006</v>
      </c>
      <c r="R37" s="38">
        <f>+R131</f>
        <v>343428.98550724634</v>
      </c>
      <c r="S37" s="38">
        <f>+S131</f>
        <v>360683.38864384237</v>
      </c>
    </row>
    <row r="38" spans="1:19" ht="12.75">
      <c r="A38">
        <f>ROW()</f>
        <v>38</v>
      </c>
      <c r="B38" s="48" t="s">
        <v>74</v>
      </c>
      <c r="C38" s="8"/>
      <c r="D38" s="8"/>
      <c r="E38" s="8"/>
      <c r="F38" s="8"/>
      <c r="G38" s="8"/>
      <c r="L38" s="10">
        <f aca="true" t="shared" si="5" ref="L38:S38">+L37/L34</f>
        <v>0.2997416020671835</v>
      </c>
      <c r="M38" s="10">
        <f t="shared" si="5"/>
        <v>0.2790152403282532</v>
      </c>
      <c r="N38" s="10">
        <f t="shared" si="5"/>
        <v>0.27759562841530055</v>
      </c>
      <c r="O38" s="10">
        <f t="shared" si="5"/>
        <v>0.28816986855409504</v>
      </c>
      <c r="P38" s="10">
        <f t="shared" si="5"/>
        <v>0.29565217391304355</v>
      </c>
      <c r="Q38" s="10">
        <f t="shared" si="5"/>
        <v>0.30082796688132474</v>
      </c>
      <c r="R38" s="10">
        <f t="shared" si="5"/>
        <v>0.3008279668813247</v>
      </c>
      <c r="S38" s="10">
        <f t="shared" si="5"/>
        <v>0.30082796688132474</v>
      </c>
    </row>
    <row r="39" spans="1:12" ht="12.75">
      <c r="A39">
        <f>ROW()</f>
        <v>39</v>
      </c>
      <c r="C39" s="8"/>
      <c r="D39" s="8"/>
      <c r="E39" s="8"/>
      <c r="F39" s="8"/>
      <c r="G39" s="8"/>
      <c r="L39" s="48"/>
    </row>
    <row r="40" spans="1:19" ht="12.75">
      <c r="A40">
        <f>ROW()</f>
        <v>40</v>
      </c>
      <c r="B40" s="48" t="s">
        <v>162</v>
      </c>
      <c r="C40" s="207" t="s">
        <v>175</v>
      </c>
      <c r="D40" s="8"/>
      <c r="E40" s="8"/>
      <c r="F40" s="8"/>
      <c r="G40" s="8"/>
      <c r="M40" s="38">
        <f aca="true" t="shared" si="6" ref="M40:S40">+M176</f>
        <v>-51000.00000000001</v>
      </c>
      <c r="N40" s="38">
        <f t="shared" si="6"/>
        <v>-30000.00000000001</v>
      </c>
      <c r="O40" s="38">
        <f t="shared" si="6"/>
        <v>-33000.00000000001</v>
      </c>
      <c r="P40" s="38">
        <f t="shared" si="6"/>
        <v>-23000.000000000007</v>
      </c>
      <c r="Q40" s="38">
        <f t="shared" si="6"/>
        <v>-22000.000000000004</v>
      </c>
      <c r="R40" s="38">
        <f t="shared" si="6"/>
        <v>-23105.314009661837</v>
      </c>
      <c r="S40" s="38">
        <f t="shared" si="6"/>
        <v>-24266.160703867066</v>
      </c>
    </row>
    <row r="41" spans="1:19" ht="12.75">
      <c r="A41">
        <f>ROW()</f>
        <v>41</v>
      </c>
      <c r="B41" s="48" t="s">
        <v>75</v>
      </c>
      <c r="C41" s="207" t="s">
        <v>175</v>
      </c>
      <c r="D41" s="8"/>
      <c r="E41" s="8"/>
      <c r="F41" s="8"/>
      <c r="G41" s="8"/>
      <c r="M41" s="38">
        <f aca="true" t="shared" si="7" ref="M41:S41">+M181</f>
        <v>-22000.000000000004</v>
      </c>
      <c r="N41" s="38">
        <f t="shared" si="7"/>
        <v>-23000.000000000007</v>
      </c>
      <c r="O41" s="38">
        <f t="shared" si="7"/>
        <v>-28000.000000000007</v>
      </c>
      <c r="P41" s="38">
        <f t="shared" si="7"/>
        <v>-24000.000000000007</v>
      </c>
      <c r="Q41" s="38">
        <f t="shared" si="7"/>
        <v>-25000.000000000004</v>
      </c>
      <c r="R41" s="38">
        <f t="shared" si="7"/>
        <v>-26256.038647342997</v>
      </c>
      <c r="S41" s="38">
        <f t="shared" si="7"/>
        <v>-27575.18261803076</v>
      </c>
    </row>
    <row r="42" spans="1:19" ht="12.75">
      <c r="A42">
        <f>ROW()</f>
        <v>42</v>
      </c>
      <c r="B42" s="48" t="s">
        <v>114</v>
      </c>
      <c r="C42" s="207" t="s">
        <v>175</v>
      </c>
      <c r="D42" s="8"/>
      <c r="E42" s="8"/>
      <c r="F42" s="8"/>
      <c r="G42" s="8"/>
      <c r="M42" s="38">
        <f aca="true" t="shared" si="8" ref="M42:S42">-M157</f>
        <v>-124361.4</v>
      </c>
      <c r="N42" s="38">
        <f t="shared" si="8"/>
        <v>-125746.40101485714</v>
      </c>
      <c r="O42" s="38">
        <f t="shared" si="8"/>
        <v>-124509.36486673627</v>
      </c>
      <c r="P42" s="38">
        <f t="shared" si="8"/>
        <v>-122638.82186393195</v>
      </c>
      <c r="Q42" s="38">
        <f t="shared" si="8"/>
        <v>-118936.22626505732</v>
      </c>
      <c r="R42" s="38">
        <f t="shared" si="8"/>
        <v>-114133.05668742978</v>
      </c>
      <c r="S42" s="38">
        <f t="shared" si="8"/>
        <v>-108899.56891811868</v>
      </c>
    </row>
    <row r="43" spans="1:19" ht="12.75">
      <c r="A43">
        <f>ROW()</f>
        <v>43</v>
      </c>
      <c r="B43" s="48" t="s">
        <v>76</v>
      </c>
      <c r="C43" s="207" t="s">
        <v>175</v>
      </c>
      <c r="D43" s="8"/>
      <c r="E43" s="8"/>
      <c r="F43" s="8"/>
      <c r="G43" s="8"/>
      <c r="M43" s="38">
        <f aca="true" t="shared" si="9" ref="M43:S43">-M161+M172</f>
        <v>-45007.03885714286</v>
      </c>
      <c r="N43" s="38">
        <f t="shared" si="9"/>
        <v>-53548.4384917943</v>
      </c>
      <c r="O43" s="38">
        <f t="shared" si="9"/>
        <v>-73793.77150511782</v>
      </c>
      <c r="P43" s="38">
        <f t="shared" si="9"/>
        <v>-89027.16698612741</v>
      </c>
      <c r="Q43" s="38">
        <f t="shared" si="9"/>
        <v>-100760.10140172223</v>
      </c>
      <c r="R43" s="38">
        <f t="shared" si="9"/>
        <v>-107950.50331923335</v>
      </c>
      <c r="S43" s="38">
        <f t="shared" si="9"/>
        <v>-115570.25221591232</v>
      </c>
    </row>
    <row r="44" spans="1:19" ht="12.75">
      <c r="A44">
        <f>ROW()</f>
        <v>44</v>
      </c>
      <c r="B44" s="48" t="s">
        <v>168</v>
      </c>
      <c r="C44" s="207" t="s">
        <v>175</v>
      </c>
      <c r="D44" s="8"/>
      <c r="E44" s="8"/>
      <c r="F44" s="8"/>
      <c r="G44" s="8"/>
      <c r="M44" s="38">
        <f aca="true" t="shared" si="10" ref="M44:S44">+M37+SUM(M40:M43)</f>
        <v>-4368.438857142843</v>
      </c>
      <c r="N44" s="38">
        <f t="shared" si="10"/>
        <v>21705.16049334858</v>
      </c>
      <c r="O44" s="38">
        <f t="shared" si="10"/>
        <v>25696.863628145948</v>
      </c>
      <c r="P44" s="38">
        <f t="shared" si="10"/>
        <v>47334.01114994081</v>
      </c>
      <c r="Q44" s="38">
        <f t="shared" si="10"/>
        <v>60303.672333220486</v>
      </c>
      <c r="R44" s="38">
        <f t="shared" si="10"/>
        <v>71984.07284357835</v>
      </c>
      <c r="S44" s="38">
        <f t="shared" si="10"/>
        <v>84372.22418791353</v>
      </c>
    </row>
    <row r="45" spans="1:7" ht="12.75">
      <c r="A45">
        <f>ROW()</f>
        <v>45</v>
      </c>
      <c r="C45" s="207"/>
      <c r="D45" s="8"/>
      <c r="E45" s="8"/>
      <c r="F45" s="8"/>
      <c r="G45" s="8"/>
    </row>
    <row r="46" spans="1:19" ht="12.75">
      <c r="A46">
        <f>ROW()</f>
        <v>46</v>
      </c>
      <c r="B46" s="48" t="s">
        <v>77</v>
      </c>
      <c r="C46" s="207" t="s">
        <v>175</v>
      </c>
      <c r="D46" s="8"/>
      <c r="E46" s="8"/>
      <c r="F46" s="8"/>
      <c r="G46" s="8"/>
      <c r="L46" s="118">
        <f>+C19</f>
        <v>1450000</v>
      </c>
      <c r="M46" s="118">
        <f aca="true" t="shared" si="11" ref="M46:S46">+M295</f>
        <v>1466000</v>
      </c>
      <c r="N46" s="118">
        <f t="shared" si="11"/>
        <v>1431048</v>
      </c>
      <c r="O46" s="118">
        <f t="shared" si="11"/>
        <v>1374406.1439999999</v>
      </c>
      <c r="P46" s="118">
        <f t="shared" si="11"/>
        <v>1287370.130432</v>
      </c>
      <c r="Q46" s="118">
        <f t="shared" si="11"/>
        <v>1179273.507127296</v>
      </c>
      <c r="R46" s="118">
        <f t="shared" si="11"/>
        <v>1074497.51603959</v>
      </c>
      <c r="S46" s="118">
        <f t="shared" si="11"/>
        <v>973466.5580926574</v>
      </c>
    </row>
    <row r="47" spans="1:19" ht="12.75">
      <c r="A47">
        <f>ROW()</f>
        <v>47</v>
      </c>
      <c r="B47" s="48" t="s">
        <v>170</v>
      </c>
      <c r="C47" s="207" t="s">
        <v>175</v>
      </c>
      <c r="D47" s="8"/>
      <c r="E47" s="8"/>
      <c r="F47" s="8"/>
      <c r="G47" s="8"/>
      <c r="L47" s="118">
        <f aca="true" t="shared" si="12" ref="L47:Q47">+L46-L81</f>
        <v>1425200</v>
      </c>
      <c r="M47" s="118">
        <f t="shared" si="12"/>
        <v>1429568.4388571428</v>
      </c>
      <c r="N47" s="118">
        <f t="shared" si="12"/>
        <v>1407863.2783637943</v>
      </c>
      <c r="O47" s="118">
        <f t="shared" si="12"/>
        <v>1382166.414735648</v>
      </c>
      <c r="P47" s="118">
        <f t="shared" si="12"/>
        <v>1334832.4035857073</v>
      </c>
      <c r="Q47" s="118">
        <f t="shared" si="12"/>
        <v>1274528.7312524868</v>
      </c>
      <c r="R47" s="118">
        <f>+R46-R81</f>
        <v>1202542.6584089086</v>
      </c>
      <c r="S47" s="118">
        <f>+S46-S81</f>
        <v>1118166.4342209948</v>
      </c>
    </row>
    <row r="48" spans="1:19" ht="12.75">
      <c r="A48">
        <f>ROW()</f>
        <v>48</v>
      </c>
      <c r="B48" s="48" t="s">
        <v>171</v>
      </c>
      <c r="C48" s="207" t="s">
        <v>175</v>
      </c>
      <c r="D48" s="8"/>
      <c r="E48" s="8"/>
      <c r="F48" s="8"/>
      <c r="G48" s="8"/>
      <c r="L48" s="118">
        <f aca="true" t="shared" si="13" ref="L48:Q48">+L296</f>
        <v>950000</v>
      </c>
      <c r="M48" s="118">
        <f t="shared" si="13"/>
        <v>950000</v>
      </c>
      <c r="N48" s="118">
        <f t="shared" si="13"/>
        <v>897000</v>
      </c>
      <c r="O48" s="118">
        <f t="shared" si="13"/>
        <v>820000</v>
      </c>
      <c r="P48" s="118">
        <f t="shared" si="13"/>
        <v>710000</v>
      </c>
      <c r="Q48" s="118">
        <f t="shared" si="13"/>
        <v>576000</v>
      </c>
      <c r="R48" s="118">
        <f>+R296</f>
        <v>442005</v>
      </c>
      <c r="S48" s="118">
        <f>+S296</f>
        <v>308015</v>
      </c>
    </row>
    <row r="49" spans="1:19" ht="12.75">
      <c r="A49">
        <f>ROW()</f>
        <v>49</v>
      </c>
      <c r="B49" s="48" t="s">
        <v>172</v>
      </c>
      <c r="C49" s="207" t="s">
        <v>175</v>
      </c>
      <c r="D49" s="8"/>
      <c r="E49" s="8"/>
      <c r="F49" s="8"/>
      <c r="G49" s="8"/>
      <c r="L49" s="118">
        <f aca="true" t="shared" si="14" ref="L49:Q49">+L48-L81</f>
        <v>925200</v>
      </c>
      <c r="M49" s="118">
        <f t="shared" si="14"/>
        <v>913568.4388571428</v>
      </c>
      <c r="N49" s="118">
        <f t="shared" si="14"/>
        <v>873815.2783637942</v>
      </c>
      <c r="O49" s="118">
        <f t="shared" si="14"/>
        <v>827760.2707356482</v>
      </c>
      <c r="P49" s="118">
        <f t="shared" si="14"/>
        <v>757462.2731537074</v>
      </c>
      <c r="Q49" s="118">
        <f t="shared" si="14"/>
        <v>671255.2241251909</v>
      </c>
      <c r="R49" s="118">
        <f>+R48-R81</f>
        <v>570050.1423693186</v>
      </c>
      <c r="S49" s="118">
        <f>+S48-S81</f>
        <v>452714.8761283376</v>
      </c>
    </row>
    <row r="50" spans="1:19" ht="12.75">
      <c r="A50">
        <f>ROW()</f>
        <v>50</v>
      </c>
      <c r="B50" s="48" t="s">
        <v>173</v>
      </c>
      <c r="C50" s="207" t="s">
        <v>175</v>
      </c>
      <c r="D50" s="8"/>
      <c r="E50" s="8"/>
      <c r="F50" s="8"/>
      <c r="G50" s="8"/>
      <c r="L50" s="118">
        <f aca="true" t="shared" si="15" ref="L50:Q50">+L114+L105+L104</f>
        <v>650000</v>
      </c>
      <c r="M50" s="118">
        <f t="shared" si="15"/>
        <v>703345.8468571429</v>
      </c>
      <c r="N50" s="118">
        <f t="shared" si="15"/>
        <v>764765.2930647773</v>
      </c>
      <c r="O50" s="118">
        <f t="shared" si="15"/>
        <v>846176.442407209</v>
      </c>
      <c r="P50" s="118">
        <f t="shared" si="15"/>
        <v>942224.7392714354</v>
      </c>
      <c r="Q50" s="118">
        <f t="shared" si="15"/>
        <v>1050242.6973189416</v>
      </c>
      <c r="R50" s="118">
        <f>+R114+R105+R104</f>
        <v>1171045.3698864677</v>
      </c>
      <c r="S50" s="118">
        <f>+S114+S105+S104</f>
        <v>1305396.040492534</v>
      </c>
    </row>
    <row r="51" spans="1:7" ht="12.75">
      <c r="A51">
        <f>ROW()</f>
        <v>51</v>
      </c>
      <c r="C51" s="207"/>
      <c r="D51" s="8"/>
      <c r="E51" s="8"/>
      <c r="F51" s="8"/>
      <c r="G51" s="8"/>
    </row>
    <row r="52" spans="1:19" ht="12.75">
      <c r="A52">
        <f>ROW()</f>
        <v>52</v>
      </c>
      <c r="B52" s="48" t="s">
        <v>163</v>
      </c>
      <c r="C52" s="207" t="s">
        <v>175</v>
      </c>
      <c r="D52" s="8"/>
      <c r="E52" s="8"/>
      <c r="F52" s="8"/>
      <c r="G52" s="8"/>
      <c r="M52" s="204">
        <f aca="true" t="shared" si="16" ref="M52:S52">+M37/-M42</f>
        <v>1.9137771044713234</v>
      </c>
      <c r="N52" s="204">
        <f t="shared" si="16"/>
        <v>2.0199385266699563</v>
      </c>
      <c r="O52" s="204">
        <f t="shared" si="16"/>
        <v>2.288984449523445</v>
      </c>
      <c r="P52" s="204">
        <f t="shared" si="16"/>
        <v>2.495131601472068</v>
      </c>
      <c r="Q52" s="204">
        <f t="shared" si="16"/>
        <v>2.7493725862064826</v>
      </c>
      <c r="R52" s="204">
        <f t="shared" si="16"/>
        <v>3.009022937568187</v>
      </c>
      <c r="S52" s="204">
        <f t="shared" si="16"/>
        <v>3.3120736126608485</v>
      </c>
    </row>
    <row r="53" spans="1:19" ht="12.75">
      <c r="A53">
        <f>ROW()</f>
        <v>53</v>
      </c>
      <c r="B53" s="205" t="s">
        <v>164</v>
      </c>
      <c r="C53" s="207" t="s">
        <v>175</v>
      </c>
      <c r="D53" s="8"/>
      <c r="E53" s="8"/>
      <c r="F53" s="8"/>
      <c r="G53" s="8"/>
      <c r="L53" s="205"/>
      <c r="M53" s="206">
        <v>1.65</v>
      </c>
      <c r="N53" s="206">
        <v>1.8</v>
      </c>
      <c r="O53" s="206">
        <v>2.1</v>
      </c>
      <c r="P53" s="206">
        <v>2.3</v>
      </c>
      <c r="Q53" s="206">
        <v>2.45</v>
      </c>
      <c r="R53" s="206">
        <v>3.45</v>
      </c>
      <c r="S53" s="206">
        <v>4.45</v>
      </c>
    </row>
    <row r="54" spans="1:19" ht="12.75">
      <c r="A54">
        <f>ROW()</f>
        <v>54</v>
      </c>
      <c r="B54" s="48" t="s">
        <v>174</v>
      </c>
      <c r="C54" s="207" t="s">
        <v>175</v>
      </c>
      <c r="D54" s="8"/>
      <c r="E54" s="8"/>
      <c r="F54" s="8"/>
      <c r="G54" s="8"/>
      <c r="M54" s="10">
        <f aca="true" t="shared" si="17" ref="M54:S54">+(M52-M53)/M52</f>
        <v>0.13783063025210104</v>
      </c>
      <c r="N54" s="10">
        <f t="shared" si="17"/>
        <v>0.10888377233565816</v>
      </c>
      <c r="O54" s="10">
        <f t="shared" si="17"/>
        <v>0.08256257466615397</v>
      </c>
      <c r="P54" s="10">
        <f t="shared" si="17"/>
        <v>0.07820493370247289</v>
      </c>
      <c r="Q54" s="10">
        <f t="shared" si="17"/>
        <v>0.10888760137801091</v>
      </c>
      <c r="R54" s="10">
        <f t="shared" si="17"/>
        <v>-0.1465515788949749</v>
      </c>
      <c r="S54" s="10">
        <f t="shared" si="17"/>
        <v>-0.3435691715876345</v>
      </c>
    </row>
    <row r="55" spans="1:19" ht="12.75">
      <c r="A55">
        <f>ROW()</f>
        <v>55</v>
      </c>
      <c r="C55" s="207"/>
      <c r="D55" s="8"/>
      <c r="E55" s="8"/>
      <c r="F55" s="8"/>
      <c r="G55" s="8"/>
      <c r="M55" s="204"/>
      <c r="N55" s="204"/>
      <c r="O55" s="204"/>
      <c r="P55" s="204"/>
      <c r="Q55" s="204"/>
      <c r="R55" s="204"/>
      <c r="S55" s="204"/>
    </row>
    <row r="56" spans="1:19" ht="12.75">
      <c r="A56">
        <f>ROW()</f>
        <v>56</v>
      </c>
      <c r="B56" s="48" t="s">
        <v>78</v>
      </c>
      <c r="C56" s="207" t="s">
        <v>175</v>
      </c>
      <c r="D56" s="8"/>
      <c r="E56" s="8"/>
      <c r="F56" s="8"/>
      <c r="G56" s="8"/>
      <c r="L56" s="204">
        <f aca="true" t="shared" si="18" ref="L56:Q56">+L48/L131</f>
        <v>4.094827586206897</v>
      </c>
      <c r="M56" s="204">
        <f t="shared" si="18"/>
        <v>3.9915966386554618</v>
      </c>
      <c r="N56" s="204">
        <f t="shared" si="18"/>
        <v>3.531496062992125</v>
      </c>
      <c r="O56" s="204">
        <f t="shared" si="18"/>
        <v>2.87719298245614</v>
      </c>
      <c r="P56" s="204">
        <f t="shared" si="18"/>
        <v>2.3202614379084956</v>
      </c>
      <c r="Q56" s="204">
        <f t="shared" si="18"/>
        <v>1.7614678899082565</v>
      </c>
      <c r="R56" s="204">
        <f>+R48/R131</f>
        <v>1.28703463788054</v>
      </c>
      <c r="S56" s="204">
        <f>+S48/S131</f>
        <v>0.8539761178304502</v>
      </c>
    </row>
    <row r="57" spans="1:19" ht="12.75">
      <c r="A57">
        <f>ROW()</f>
        <v>57</v>
      </c>
      <c r="B57" s="205" t="s">
        <v>165</v>
      </c>
      <c r="C57" s="207" t="s">
        <v>175</v>
      </c>
      <c r="D57" s="8"/>
      <c r="E57" s="8"/>
      <c r="F57" s="8"/>
      <c r="G57" s="8"/>
      <c r="L57" s="206"/>
      <c r="M57" s="206">
        <v>4.95</v>
      </c>
      <c r="N57" s="206">
        <v>4.4</v>
      </c>
      <c r="O57" s="206">
        <v>3.6</v>
      </c>
      <c r="P57" s="206">
        <v>3</v>
      </c>
      <c r="Q57" s="206">
        <v>2.5</v>
      </c>
      <c r="R57" s="206">
        <v>3.5</v>
      </c>
      <c r="S57" s="206">
        <v>4.5</v>
      </c>
    </row>
    <row r="58" spans="1:19" ht="12.75">
      <c r="A58">
        <f>ROW()</f>
        <v>58</v>
      </c>
      <c r="B58" s="48" t="s">
        <v>174</v>
      </c>
      <c r="C58" s="207"/>
      <c r="D58" s="8"/>
      <c r="E58" s="8"/>
      <c r="F58" s="8"/>
      <c r="G58" s="8"/>
      <c r="L58" s="10"/>
      <c r="M58" s="10">
        <f aca="true" t="shared" si="19" ref="M58:S58">-(M56-M57)/M56</f>
        <v>0.2401052631578949</v>
      </c>
      <c r="N58" s="10">
        <f t="shared" si="19"/>
        <v>0.24593088071348984</v>
      </c>
      <c r="O58" s="10">
        <f t="shared" si="19"/>
        <v>0.2512195121951222</v>
      </c>
      <c r="P58" s="10">
        <f t="shared" si="19"/>
        <v>0.29295774647887385</v>
      </c>
      <c r="Q58" s="10">
        <f t="shared" si="19"/>
        <v>0.4192708333333336</v>
      </c>
      <c r="R58" s="10">
        <f t="shared" si="19"/>
        <v>1.7194295297007098</v>
      </c>
      <c r="S58" s="10">
        <f t="shared" si="19"/>
        <v>4.269468204137106</v>
      </c>
    </row>
    <row r="59" spans="1:19" ht="12.75">
      <c r="A59">
        <f>ROW()</f>
        <v>59</v>
      </c>
      <c r="C59" s="207" t="s">
        <v>175</v>
      </c>
      <c r="D59" s="8"/>
      <c r="E59" s="8"/>
      <c r="F59" s="8"/>
      <c r="G59" s="8"/>
      <c r="M59" s="10"/>
      <c r="N59" s="10"/>
      <c r="O59" s="10"/>
      <c r="P59" s="10"/>
      <c r="Q59" s="10"/>
      <c r="R59" s="10"/>
      <c r="S59" s="10"/>
    </row>
    <row r="60" spans="1:19" ht="12.75">
      <c r="A60">
        <f>ROW()</f>
        <v>60</v>
      </c>
      <c r="B60" s="48" t="s">
        <v>79</v>
      </c>
      <c r="C60" s="207" t="s">
        <v>175</v>
      </c>
      <c r="D60" s="8"/>
      <c r="E60" s="8"/>
      <c r="F60" s="8"/>
      <c r="G60" s="8"/>
      <c r="L60" s="204">
        <f aca="true" t="shared" si="20" ref="L60:Q60">+L46/L37</f>
        <v>6.25</v>
      </c>
      <c r="M60" s="204">
        <f t="shared" si="20"/>
        <v>6.159663865546218</v>
      </c>
      <c r="N60" s="204">
        <f t="shared" si="20"/>
        <v>5.634047244094487</v>
      </c>
      <c r="O60" s="204">
        <f t="shared" si="20"/>
        <v>4.822477698245613</v>
      </c>
      <c r="P60" s="204">
        <f t="shared" si="20"/>
        <v>4.207091929516337</v>
      </c>
      <c r="Q60" s="204">
        <f t="shared" si="20"/>
        <v>3.6063410003892837</v>
      </c>
      <c r="R60" s="204">
        <f>+R46/R37</f>
        <v>3.1287327551940662</v>
      </c>
      <c r="S60" s="204">
        <f>+S46/S37</f>
        <v>2.6989503502028733</v>
      </c>
    </row>
    <row r="61" spans="1:19" ht="12.75">
      <c r="A61">
        <f>ROW()</f>
        <v>61</v>
      </c>
      <c r="B61" s="48" t="s">
        <v>166</v>
      </c>
      <c r="C61" s="207" t="s">
        <v>175</v>
      </c>
      <c r="D61" s="8"/>
      <c r="E61" s="8"/>
      <c r="F61" s="8"/>
      <c r="G61" s="8"/>
      <c r="L61" s="10">
        <f aca="true" t="shared" si="21" ref="L61:Q61">+L46/(L46+L50)</f>
        <v>0.6904761904761905</v>
      </c>
      <c r="M61" s="10">
        <f t="shared" si="21"/>
        <v>0.675779752741537</v>
      </c>
      <c r="N61" s="10">
        <f t="shared" si="21"/>
        <v>0.6517166120269878</v>
      </c>
      <c r="O61" s="10">
        <f t="shared" si="21"/>
        <v>0.6189394406734136</v>
      </c>
      <c r="P61" s="10">
        <f t="shared" si="21"/>
        <v>0.5774009206449406</v>
      </c>
      <c r="Q61" s="10">
        <f t="shared" si="21"/>
        <v>0.5289369526785751</v>
      </c>
      <c r="R61" s="10">
        <f>+R46/(R46+R50)</f>
        <v>0.47850233579327484</v>
      </c>
      <c r="S61" s="10">
        <f>+S46/(S46+S50)</f>
        <v>0.4271721159042341</v>
      </c>
    </row>
    <row r="62" spans="1:19" ht="12.75">
      <c r="A62">
        <f>ROW()</f>
        <v>62</v>
      </c>
      <c r="B62" s="48"/>
      <c r="C62" s="207"/>
      <c r="D62" s="8"/>
      <c r="E62" s="8"/>
      <c r="F62" s="8"/>
      <c r="G62" s="8"/>
      <c r="L62" s="10"/>
      <c r="M62" s="10"/>
      <c r="N62" s="10"/>
      <c r="O62" s="10"/>
      <c r="P62" s="10"/>
      <c r="Q62" s="10"/>
      <c r="R62" s="10"/>
      <c r="S62" s="10"/>
    </row>
    <row r="63" spans="1:19" ht="18">
      <c r="A63">
        <f>ROW()</f>
        <v>63</v>
      </c>
      <c r="B63" s="43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>
        <f>ROW()</f>
        <v>64</v>
      </c>
      <c r="C64" s="7"/>
      <c r="D64" s="7"/>
      <c r="E64" s="7"/>
      <c r="F64" s="7"/>
      <c r="G64" s="7"/>
      <c r="H64" s="2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3.5" thickBot="1">
      <c r="A65">
        <f>ROW()</f>
        <v>65</v>
      </c>
      <c r="J65" s="7"/>
      <c r="K65" s="7"/>
      <c r="L65" s="7"/>
      <c r="M65" s="78">
        <f aca="true" t="shared" si="22" ref="M65:S65">+M33</f>
        <v>37316</v>
      </c>
      <c r="N65" s="78">
        <f t="shared" si="22"/>
        <v>37681</v>
      </c>
      <c r="O65" s="78">
        <f t="shared" si="22"/>
        <v>38047</v>
      </c>
      <c r="P65" s="78">
        <f t="shared" si="22"/>
        <v>38412</v>
      </c>
      <c r="Q65" s="78">
        <f t="shared" si="22"/>
        <v>38777</v>
      </c>
      <c r="R65" s="78">
        <f t="shared" si="22"/>
        <v>39142</v>
      </c>
      <c r="S65" s="78">
        <f t="shared" si="22"/>
        <v>39507</v>
      </c>
    </row>
    <row r="66" spans="1:19" ht="12.75">
      <c r="A66">
        <f>ROW()</f>
        <v>66</v>
      </c>
      <c r="B66" s="48" t="s">
        <v>53</v>
      </c>
      <c r="H66" s="27"/>
      <c r="I66" s="7"/>
      <c r="J66" s="7"/>
      <c r="L66" s="7"/>
      <c r="M66" s="208">
        <v>0.10206718346253241</v>
      </c>
      <c r="N66" s="208">
        <v>0.07268464243845263</v>
      </c>
      <c r="O66" s="208">
        <v>0.08087431693989067</v>
      </c>
      <c r="P66" s="208">
        <v>0.04651162790697683</v>
      </c>
      <c r="Q66" s="208">
        <v>0.05024154589371976</v>
      </c>
      <c r="R66" s="208">
        <v>0.05024154589371976</v>
      </c>
      <c r="S66" s="208">
        <v>0.05024154589371976</v>
      </c>
    </row>
    <row r="67" spans="1:19" ht="12.75">
      <c r="A67">
        <f>ROW()</f>
        <v>67</v>
      </c>
      <c r="B67" s="48"/>
      <c r="H67" s="27"/>
      <c r="I67" s="7"/>
      <c r="J67" s="7"/>
      <c r="L67" s="7"/>
      <c r="M67" s="208"/>
      <c r="N67" s="208"/>
      <c r="O67" s="208"/>
      <c r="P67" s="208"/>
      <c r="Q67" s="208"/>
      <c r="R67" s="208"/>
      <c r="S67" s="208"/>
    </row>
    <row r="68" spans="1:19" ht="12.75">
      <c r="A68">
        <f>ROW()</f>
        <v>68</v>
      </c>
      <c r="B68" s="48" t="s">
        <v>54</v>
      </c>
      <c r="L68" s="7"/>
      <c r="M68" s="208">
        <v>0.4396248534583822</v>
      </c>
      <c r="N68" s="208">
        <v>0.44043715846994536</v>
      </c>
      <c r="O68" s="208">
        <v>0.4398382204246714</v>
      </c>
      <c r="P68" s="208">
        <v>0.4396135265700483</v>
      </c>
      <c r="Q68" s="208">
        <v>0.43974241030358785</v>
      </c>
      <c r="R68" s="208">
        <v>0.43974241030358785</v>
      </c>
      <c r="S68" s="208">
        <v>0.43974241030358785</v>
      </c>
    </row>
    <row r="69" spans="1:19" ht="12.75">
      <c r="A69">
        <f>ROW()</f>
        <v>69</v>
      </c>
      <c r="B69" s="48" t="s">
        <v>55</v>
      </c>
      <c r="L69" s="7"/>
      <c r="M69" s="208">
        <v>0.2813599062133646</v>
      </c>
      <c r="N69" s="208">
        <v>0.2819672131147541</v>
      </c>
      <c r="O69" s="208">
        <v>0.27199191102123355</v>
      </c>
      <c r="P69" s="208">
        <v>0.2647342995169082</v>
      </c>
      <c r="Q69" s="208">
        <v>0.2594296228150874</v>
      </c>
      <c r="R69" s="208">
        <v>0.2594296228150874</v>
      </c>
      <c r="S69" s="208">
        <v>0.2594296228150874</v>
      </c>
    </row>
    <row r="70" spans="1:19" ht="12.75">
      <c r="A70">
        <f>ROW()</f>
        <v>70</v>
      </c>
      <c r="B70" s="48" t="s">
        <v>56</v>
      </c>
      <c r="L70" s="7"/>
      <c r="M70" s="208">
        <v>0.01875732708089097</v>
      </c>
      <c r="N70" s="208">
        <v>0.019672131147540985</v>
      </c>
      <c r="O70" s="208">
        <v>0.019211324570273004</v>
      </c>
      <c r="P70" s="208">
        <v>0.018357487922705314</v>
      </c>
      <c r="Q70" s="208">
        <v>0.022999080036798528</v>
      </c>
      <c r="R70" s="208">
        <v>0.022999080036798528</v>
      </c>
      <c r="S70" s="208">
        <v>0.022999080036798528</v>
      </c>
    </row>
    <row r="71" spans="1:19" ht="12.75">
      <c r="A71">
        <f>ROW()</f>
        <v>71</v>
      </c>
      <c r="B71" t="s">
        <v>97</v>
      </c>
      <c r="L71" s="7"/>
      <c r="M71" s="154">
        <f aca="true" t="shared" si="23" ref="M71:S71">+$O$11/7</f>
        <v>14285.714285714286</v>
      </c>
      <c r="N71" s="154">
        <f t="shared" si="23"/>
        <v>14285.714285714286</v>
      </c>
      <c r="O71" s="154">
        <f t="shared" si="23"/>
        <v>14285.714285714286</v>
      </c>
      <c r="P71" s="154">
        <f t="shared" si="23"/>
        <v>14285.714285714286</v>
      </c>
      <c r="Q71" s="154">
        <f t="shared" si="23"/>
        <v>14285.714285714286</v>
      </c>
      <c r="R71" s="154">
        <f t="shared" si="23"/>
        <v>14285.714285714286</v>
      </c>
      <c r="S71" s="154">
        <f t="shared" si="23"/>
        <v>14285.714285714286</v>
      </c>
    </row>
    <row r="72" spans="1:19" ht="12.75">
      <c r="A72">
        <f>ROW()</f>
        <v>72</v>
      </c>
      <c r="B72" t="s">
        <v>176</v>
      </c>
      <c r="L72" s="7"/>
      <c r="M72" s="208">
        <v>0.059788980070339975</v>
      </c>
      <c r="N72" s="208">
        <v>0.03278688524590164</v>
      </c>
      <c r="O72" s="208">
        <v>0.033367037411526794</v>
      </c>
      <c r="P72" s="208">
        <v>0.022222222222222223</v>
      </c>
      <c r="Q72" s="208">
        <v>0.020239190432382703</v>
      </c>
      <c r="R72" s="208">
        <v>0.020239190432382703</v>
      </c>
      <c r="S72" s="208">
        <v>0.020239190432382703</v>
      </c>
    </row>
    <row r="73" spans="1:19" ht="12.75">
      <c r="A73">
        <f>ROW()</f>
        <v>73</v>
      </c>
      <c r="B73" t="s">
        <v>177</v>
      </c>
      <c r="L73" s="7"/>
      <c r="M73" s="208">
        <v>0.02579132473622509</v>
      </c>
      <c r="N73" s="208">
        <v>0.025136612021857924</v>
      </c>
      <c r="O73" s="208">
        <v>0.028311425682507583</v>
      </c>
      <c r="P73" s="208">
        <v>0.02318840579710145</v>
      </c>
      <c r="Q73" s="208">
        <v>0.022999080036798528</v>
      </c>
      <c r="R73" s="208">
        <v>0.022999080036798528</v>
      </c>
      <c r="S73" s="208">
        <v>0.022999080036798528</v>
      </c>
    </row>
    <row r="74" spans="1:7" ht="12.75">
      <c r="A74">
        <f>ROW()</f>
        <v>74</v>
      </c>
      <c r="C74" s="8"/>
      <c r="D74" s="8"/>
      <c r="E74" s="8"/>
      <c r="F74" s="8"/>
      <c r="G74" s="8"/>
    </row>
    <row r="75" spans="1:7" ht="12.75">
      <c r="A75">
        <f>ROW()</f>
        <v>75</v>
      </c>
      <c r="C75" s="8"/>
      <c r="D75" s="8"/>
      <c r="E75" s="8"/>
      <c r="F75" s="8"/>
      <c r="G75" s="8"/>
    </row>
    <row r="76" spans="1:19" ht="18">
      <c r="A76">
        <f>ROW()</f>
        <v>76</v>
      </c>
      <c r="B76" s="43" t="s">
        <v>81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" customHeight="1">
      <c r="A77">
        <f>ROW()</f>
        <v>77</v>
      </c>
      <c r="C77" s="7"/>
      <c r="D77" s="7"/>
      <c r="E77" s="7"/>
      <c r="F77" s="7"/>
      <c r="G77" s="175"/>
      <c r="H77" s="27"/>
      <c r="I77" s="7"/>
      <c r="J77" s="7"/>
      <c r="K77" s="7"/>
      <c r="L77" s="7" t="s">
        <v>23</v>
      </c>
      <c r="M77" s="7"/>
      <c r="N77" s="7"/>
      <c r="O77" s="7"/>
      <c r="P77" s="7"/>
      <c r="Q77" s="7"/>
      <c r="R77" s="7"/>
      <c r="S77" s="7"/>
    </row>
    <row r="78" spans="1:19" ht="18" customHeight="1">
      <c r="A78">
        <f>ROW()</f>
        <v>78</v>
      </c>
      <c r="C78" s="82"/>
      <c r="D78" s="82"/>
      <c r="E78" s="82"/>
      <c r="F78" s="82"/>
      <c r="G78" s="108" t="s">
        <v>123</v>
      </c>
      <c r="H78" s="27"/>
      <c r="I78" s="182" t="s">
        <v>21</v>
      </c>
      <c r="J78" s="182" t="s">
        <v>22</v>
      </c>
      <c r="K78" s="7"/>
      <c r="L78" s="91"/>
      <c r="M78" s="81"/>
      <c r="N78" s="81"/>
      <c r="O78" s="81"/>
      <c r="P78" s="81"/>
      <c r="Q78" s="81"/>
      <c r="R78" s="81"/>
      <c r="S78" s="81"/>
    </row>
    <row r="79" spans="1:19" ht="12.75">
      <c r="A79">
        <f>ROW()</f>
        <v>79</v>
      </c>
      <c r="C79" s="164"/>
      <c r="D79" s="164"/>
      <c r="E79" s="164"/>
      <c r="F79" s="184">
        <f>+G79-365</f>
        <v>36586</v>
      </c>
      <c r="G79" s="185">
        <v>36951</v>
      </c>
      <c r="H79" s="27"/>
      <c r="I79" s="183"/>
      <c r="J79" s="183"/>
      <c r="K79" s="7"/>
      <c r="L79" s="164">
        <f>+G79</f>
        <v>36951</v>
      </c>
      <c r="M79" s="164">
        <f>+L79+365</f>
        <v>37316</v>
      </c>
      <c r="N79" s="164">
        <f>+M79+365</f>
        <v>37681</v>
      </c>
      <c r="O79" s="164">
        <f>+N79+366</f>
        <v>38047</v>
      </c>
      <c r="P79" s="164">
        <f>+O79+365</f>
        <v>38412</v>
      </c>
      <c r="Q79" s="164">
        <f>+P79+365</f>
        <v>38777</v>
      </c>
      <c r="R79" s="164">
        <f>+Q79+365</f>
        <v>39142</v>
      </c>
      <c r="S79" s="164">
        <f>+R79+365</f>
        <v>39507</v>
      </c>
    </row>
    <row r="80" spans="1:19" ht="12.75">
      <c r="A80">
        <f>ROW()</f>
        <v>80</v>
      </c>
      <c r="B80" s="168" t="s">
        <v>115</v>
      </c>
      <c r="C80" s="155"/>
      <c r="D80" s="155"/>
      <c r="E80" s="155"/>
      <c r="F80" s="155"/>
      <c r="G80" s="120"/>
      <c r="H80" s="169"/>
      <c r="I80" s="170"/>
      <c r="J80" s="170"/>
      <c r="K80" s="163"/>
      <c r="L80" s="147"/>
      <c r="M80" s="165"/>
      <c r="N80" s="165"/>
      <c r="O80" s="165"/>
      <c r="P80" s="165"/>
      <c r="Q80" s="165"/>
      <c r="R80" s="165"/>
      <c r="S80" s="165"/>
    </row>
    <row r="81" spans="1:19" ht="12.75">
      <c r="A81">
        <f>ROW()</f>
        <v>81</v>
      </c>
      <c r="B81" s="167" t="s">
        <v>2</v>
      </c>
      <c r="C81" s="167"/>
      <c r="D81" s="167"/>
      <c r="E81" s="167"/>
      <c r="F81" s="165">
        <v>4700</v>
      </c>
      <c r="G81" s="180">
        <v>24800</v>
      </c>
      <c r="H81" s="171"/>
      <c r="I81" s="172"/>
      <c r="J81" s="172"/>
      <c r="K81" s="167"/>
      <c r="L81" s="178">
        <f>+G81+I81-J81</f>
        <v>24800</v>
      </c>
      <c r="M81" s="178">
        <f aca="true" t="shared" si="24" ref="M81:S81">+M214</f>
        <v>36431.56114285716</v>
      </c>
      <c r="N81" s="167">
        <f t="shared" si="24"/>
        <v>23184.72163620576</v>
      </c>
      <c r="O81" s="167">
        <f t="shared" si="24"/>
        <v>-7760.270735648279</v>
      </c>
      <c r="P81" s="167">
        <f t="shared" si="24"/>
        <v>-47462.27315370744</v>
      </c>
      <c r="Q81" s="167">
        <f t="shared" si="24"/>
        <v>-95255.22412519093</v>
      </c>
      <c r="R81" s="167">
        <f t="shared" si="24"/>
        <v>-128045.14236931867</v>
      </c>
      <c r="S81" s="167">
        <f t="shared" si="24"/>
        <v>-144699.87612833758</v>
      </c>
    </row>
    <row r="82" spans="1:19" ht="12.75">
      <c r="A82">
        <f>ROW()</f>
        <v>82</v>
      </c>
      <c r="B82" s="167" t="s">
        <v>144</v>
      </c>
      <c r="C82" s="167"/>
      <c r="D82" s="167"/>
      <c r="E82" s="167"/>
      <c r="F82" s="153">
        <f>75100+209400</f>
        <v>284500</v>
      </c>
      <c r="G82" s="181">
        <f>87500+278100</f>
        <v>365600</v>
      </c>
      <c r="H82" s="171"/>
      <c r="I82" s="172"/>
      <c r="J82" s="172"/>
      <c r="K82" s="167"/>
      <c r="L82" s="188">
        <f>+G82+I82-J82</f>
        <v>365600</v>
      </c>
      <c r="M82" s="188">
        <f aca="true" t="shared" si="25" ref="M82:S82">+L82-M176</f>
        <v>416600</v>
      </c>
      <c r="N82" s="188">
        <f t="shared" si="25"/>
        <v>446600</v>
      </c>
      <c r="O82" s="188">
        <f t="shared" si="25"/>
        <v>479600</v>
      </c>
      <c r="P82" s="188">
        <f t="shared" si="25"/>
        <v>502600</v>
      </c>
      <c r="Q82" s="188">
        <f t="shared" si="25"/>
        <v>524600</v>
      </c>
      <c r="R82" s="188">
        <f t="shared" si="25"/>
        <v>547705.3140096618</v>
      </c>
      <c r="S82" s="188">
        <f t="shared" si="25"/>
        <v>571971.4747135289</v>
      </c>
    </row>
    <row r="83" spans="1:19" ht="12.75">
      <c r="A83">
        <f>ROW()</f>
        <v>83</v>
      </c>
      <c r="B83" s="168" t="s">
        <v>116</v>
      </c>
      <c r="C83" s="155"/>
      <c r="D83" s="155"/>
      <c r="E83" s="155"/>
      <c r="F83" s="178">
        <f>SUM(F81:F82)</f>
        <v>289200</v>
      </c>
      <c r="G83" s="176">
        <f>+G82+G81</f>
        <v>390400</v>
      </c>
      <c r="H83" s="167"/>
      <c r="I83" s="167"/>
      <c r="J83" s="167"/>
      <c r="K83" s="167"/>
      <c r="L83" s="178">
        <f aca="true" t="shared" si="26" ref="L83:Q83">+L82+L81</f>
        <v>390400</v>
      </c>
      <c r="M83" s="178">
        <f t="shared" si="26"/>
        <v>453031.5611428572</v>
      </c>
      <c r="N83" s="167">
        <f t="shared" si="26"/>
        <v>469784.72163620574</v>
      </c>
      <c r="O83" s="167">
        <f t="shared" si="26"/>
        <v>471839.7292643517</v>
      </c>
      <c r="P83" s="167">
        <f t="shared" si="26"/>
        <v>455137.72684629256</v>
      </c>
      <c r="Q83" s="167">
        <f t="shared" si="26"/>
        <v>429344.7758748091</v>
      </c>
      <c r="R83" s="167">
        <f>+R82+R81</f>
        <v>419660.17164034315</v>
      </c>
      <c r="S83" s="167">
        <f>+S82+S81</f>
        <v>427271.5985851913</v>
      </c>
    </row>
    <row r="84" spans="1:19" ht="12.75">
      <c r="A84">
        <f>ROW()</f>
        <v>84</v>
      </c>
      <c r="B84" s="167"/>
      <c r="C84" s="167"/>
      <c r="D84" s="167"/>
      <c r="E84" s="167"/>
      <c r="F84" s="167"/>
      <c r="G84" s="176"/>
      <c r="H84" s="167"/>
      <c r="I84" s="167"/>
      <c r="J84" s="167"/>
      <c r="K84" s="167"/>
      <c r="L84" s="178"/>
      <c r="M84" s="178"/>
      <c r="N84" s="167"/>
      <c r="O84" s="167"/>
      <c r="P84" s="167"/>
      <c r="Q84" s="167"/>
      <c r="R84" s="167"/>
      <c r="S84" s="167"/>
    </row>
    <row r="85" spans="1:19" ht="12.75">
      <c r="A85">
        <f>ROW()</f>
        <v>85</v>
      </c>
      <c r="B85" s="167" t="s">
        <v>140</v>
      </c>
      <c r="C85" s="167"/>
      <c r="D85" s="167"/>
      <c r="E85" s="167"/>
      <c r="F85" s="165">
        <v>370500</v>
      </c>
      <c r="G85" s="180">
        <v>429300</v>
      </c>
      <c r="H85" s="167"/>
      <c r="I85" s="167">
        <f>+J116-SUM(I81:I84)-SUM(I86:I115)</f>
        <v>1383900</v>
      </c>
      <c r="J85" s="167"/>
      <c r="K85" s="167"/>
      <c r="L85" s="178">
        <f>+G85+I85-J85</f>
        <v>1813200</v>
      </c>
      <c r="M85" s="178">
        <f aca="true" t="shared" si="27" ref="M85:S85">+L85</f>
        <v>1813200</v>
      </c>
      <c r="N85" s="167">
        <f t="shared" si="27"/>
        <v>1813200</v>
      </c>
      <c r="O85" s="167">
        <f t="shared" si="27"/>
        <v>1813200</v>
      </c>
      <c r="P85" s="167">
        <f t="shared" si="27"/>
        <v>1813200</v>
      </c>
      <c r="Q85" s="167">
        <f t="shared" si="27"/>
        <v>1813200</v>
      </c>
      <c r="R85" s="167">
        <f t="shared" si="27"/>
        <v>1813200</v>
      </c>
      <c r="S85" s="167">
        <f t="shared" si="27"/>
        <v>1813200</v>
      </c>
    </row>
    <row r="86" spans="1:19" ht="12.75">
      <c r="A86">
        <f>ROW()</f>
        <v>86</v>
      </c>
      <c r="B86" s="167" t="s">
        <v>151</v>
      </c>
      <c r="C86" s="167"/>
      <c r="D86" s="167"/>
      <c r="E86" s="167"/>
      <c r="F86" s="165"/>
      <c r="G86" s="180"/>
      <c r="H86" s="167"/>
      <c r="I86" s="167">
        <f>+O11</f>
        <v>100000</v>
      </c>
      <c r="J86" s="167"/>
      <c r="K86" s="167"/>
      <c r="L86" s="178">
        <f>+G86+I86-J86</f>
        <v>100000</v>
      </c>
      <c r="M86" s="178">
        <f aca="true" t="shared" si="28" ref="M86:S86">+L86-M171</f>
        <v>85714.28571428571</v>
      </c>
      <c r="N86" s="167">
        <f t="shared" si="28"/>
        <v>71428.57142857142</v>
      </c>
      <c r="O86" s="167">
        <f t="shared" si="28"/>
        <v>57142.85714285713</v>
      </c>
      <c r="P86" s="167">
        <f t="shared" si="28"/>
        <v>42857.14285714284</v>
      </c>
      <c r="Q86" s="167">
        <f t="shared" si="28"/>
        <v>28571.428571428554</v>
      </c>
      <c r="R86" s="167">
        <f t="shared" si="28"/>
        <v>14285.714285714268</v>
      </c>
      <c r="S86" s="167">
        <f t="shared" si="28"/>
        <v>-1.8189894035458565E-11</v>
      </c>
    </row>
    <row r="87" spans="1:19" ht="12.75">
      <c r="A87">
        <f>ROW()</f>
        <v>87</v>
      </c>
      <c r="B87" s="167" t="s">
        <v>141</v>
      </c>
      <c r="C87" s="167"/>
      <c r="D87" s="167"/>
      <c r="E87" s="167"/>
      <c r="F87" s="165">
        <v>22000</v>
      </c>
      <c r="G87" s="180">
        <v>42700</v>
      </c>
      <c r="H87" s="167"/>
      <c r="I87" s="167"/>
      <c r="J87" s="167"/>
      <c r="K87" s="167"/>
      <c r="L87" s="178">
        <f>+G87+I87-J87</f>
        <v>42700</v>
      </c>
      <c r="M87" s="178">
        <f aca="true" t="shared" si="29" ref="M87:S87">+L87-M181-M170</f>
        <v>48700</v>
      </c>
      <c r="N87" s="178">
        <f t="shared" si="29"/>
        <v>53699.99999999999</v>
      </c>
      <c r="O87" s="178">
        <f t="shared" si="29"/>
        <v>62699.99999999999</v>
      </c>
      <c r="P87" s="178">
        <f t="shared" si="29"/>
        <v>67700</v>
      </c>
      <c r="Q87" s="178">
        <f t="shared" si="29"/>
        <v>67700</v>
      </c>
      <c r="R87" s="178">
        <f t="shared" si="29"/>
        <v>67700</v>
      </c>
      <c r="S87" s="178">
        <f t="shared" si="29"/>
        <v>67700</v>
      </c>
    </row>
    <row r="88" spans="1:19" ht="12.75">
      <c r="A88">
        <f>ROW()</f>
        <v>88</v>
      </c>
      <c r="B88" s="167" t="s">
        <v>142</v>
      </c>
      <c r="C88" s="155"/>
      <c r="D88" s="155"/>
      <c r="E88" s="155"/>
      <c r="F88" s="165">
        <v>1500</v>
      </c>
      <c r="G88" s="180">
        <v>1900</v>
      </c>
      <c r="H88" s="167"/>
      <c r="I88" s="167"/>
      <c r="J88" s="167"/>
      <c r="K88" s="167"/>
      <c r="L88" s="178">
        <f>+G88+I88-J88</f>
        <v>1900</v>
      </c>
      <c r="M88" s="178">
        <f aca="true" t="shared" si="30" ref="M88:S88">+L88</f>
        <v>1900</v>
      </c>
      <c r="N88" s="167">
        <f t="shared" si="30"/>
        <v>1900</v>
      </c>
      <c r="O88" s="167">
        <f t="shared" si="30"/>
        <v>1900</v>
      </c>
      <c r="P88" s="167">
        <f t="shared" si="30"/>
        <v>1900</v>
      </c>
      <c r="Q88" s="167">
        <f t="shared" si="30"/>
        <v>1900</v>
      </c>
      <c r="R88" s="167">
        <f t="shared" si="30"/>
        <v>1900</v>
      </c>
      <c r="S88" s="167">
        <f t="shared" si="30"/>
        <v>1900</v>
      </c>
    </row>
    <row r="89" spans="1:19" ht="13.5" thickBot="1">
      <c r="A89">
        <f>ROW()</f>
        <v>89</v>
      </c>
      <c r="B89" s="168" t="s">
        <v>143</v>
      </c>
      <c r="C89" s="173"/>
      <c r="D89" s="173"/>
      <c r="E89" s="173"/>
      <c r="F89" s="173">
        <f>SUM(F83:F88)</f>
        <v>683200</v>
      </c>
      <c r="G89" s="177">
        <f>SUM(G83:G88)</f>
        <v>864300</v>
      </c>
      <c r="H89" s="167"/>
      <c r="I89" s="167"/>
      <c r="J89" s="167"/>
      <c r="K89" s="167"/>
      <c r="L89" s="189">
        <f aca="true" t="shared" si="31" ref="L89:Q89">SUM(L83:L88)</f>
        <v>2348200</v>
      </c>
      <c r="M89" s="189">
        <f t="shared" si="31"/>
        <v>2402545.846857143</v>
      </c>
      <c r="N89" s="173">
        <f t="shared" si="31"/>
        <v>2410013.2930647773</v>
      </c>
      <c r="O89" s="173">
        <f t="shared" si="31"/>
        <v>2406782.586407209</v>
      </c>
      <c r="P89" s="173">
        <f t="shared" si="31"/>
        <v>2380794.8697034353</v>
      </c>
      <c r="Q89" s="173">
        <f t="shared" si="31"/>
        <v>2340716.2044462375</v>
      </c>
      <c r="R89" s="173">
        <f>SUM(R83:R88)</f>
        <v>2316745.885926057</v>
      </c>
      <c r="S89" s="173">
        <f>SUM(S83:S88)</f>
        <v>2310071.598585191</v>
      </c>
    </row>
    <row r="90" spans="1:19" ht="13.5" thickTop="1">
      <c r="A90">
        <f>ROW()</f>
        <v>90</v>
      </c>
      <c r="B90" s="167"/>
      <c r="C90" s="167"/>
      <c r="D90" s="167"/>
      <c r="E90" s="167"/>
      <c r="F90" s="167"/>
      <c r="G90" s="176"/>
      <c r="H90" s="167"/>
      <c r="I90" s="167"/>
      <c r="J90" s="167"/>
      <c r="K90" s="167"/>
      <c r="L90" s="178"/>
      <c r="M90" s="178"/>
      <c r="N90" s="167"/>
      <c r="O90" s="167"/>
      <c r="P90" s="167"/>
      <c r="Q90" s="167"/>
      <c r="R90" s="167"/>
      <c r="S90" s="167"/>
    </row>
    <row r="91" spans="1:19" ht="12.75">
      <c r="A91">
        <f>ROW()</f>
        <v>91</v>
      </c>
      <c r="B91" s="168" t="s">
        <v>117</v>
      </c>
      <c r="C91" s="167"/>
      <c r="D91" s="167"/>
      <c r="E91" s="167"/>
      <c r="F91" s="167"/>
      <c r="G91" s="176"/>
      <c r="H91" s="167"/>
      <c r="I91" s="167"/>
      <c r="J91" s="167"/>
      <c r="K91" s="167"/>
      <c r="L91" s="178"/>
      <c r="M91" s="178"/>
      <c r="N91" s="167"/>
      <c r="O91" s="167"/>
      <c r="P91" s="167"/>
      <c r="Q91" s="167"/>
      <c r="R91" s="167"/>
      <c r="S91" s="167"/>
    </row>
    <row r="92" spans="1:19" ht="12.75">
      <c r="A92">
        <f>ROW()</f>
        <v>92</v>
      </c>
      <c r="B92" s="167" t="s">
        <v>156</v>
      </c>
      <c r="C92" s="112"/>
      <c r="D92" s="112"/>
      <c r="E92" s="112"/>
      <c r="F92" s="153">
        <f>21800+89800</f>
        <v>111600</v>
      </c>
      <c r="G92" s="181">
        <f>97200+133000</f>
        <v>230200</v>
      </c>
      <c r="H92" s="167"/>
      <c r="I92" s="167"/>
      <c r="J92" s="167"/>
      <c r="K92" s="167"/>
      <c r="L92" s="188">
        <f>+G92+J92-I92</f>
        <v>230200</v>
      </c>
      <c r="M92" s="188">
        <f aca="true" t="shared" si="32" ref="M92:S92">+L92+M172</f>
        <v>215200</v>
      </c>
      <c r="N92" s="188">
        <f t="shared" si="32"/>
        <v>196200</v>
      </c>
      <c r="O92" s="188">
        <f t="shared" si="32"/>
        <v>168200</v>
      </c>
      <c r="P92" s="188">
        <f t="shared" si="32"/>
        <v>133200</v>
      </c>
      <c r="Q92" s="188">
        <f t="shared" si="32"/>
        <v>93200</v>
      </c>
      <c r="R92" s="188">
        <f t="shared" si="32"/>
        <v>53201</v>
      </c>
      <c r="S92" s="188">
        <f t="shared" si="32"/>
        <v>13203</v>
      </c>
    </row>
    <row r="93" spans="1:19" ht="12.75">
      <c r="A93">
        <f>ROW()</f>
        <v>93</v>
      </c>
      <c r="B93" s="168" t="s">
        <v>118</v>
      </c>
      <c r="C93" s="155"/>
      <c r="D93" s="155"/>
      <c r="E93" s="155"/>
      <c r="F93" s="178">
        <f>+F92</f>
        <v>111600</v>
      </c>
      <c r="G93" s="176">
        <f>+G92</f>
        <v>230200</v>
      </c>
      <c r="H93" s="167"/>
      <c r="I93" s="167"/>
      <c r="J93" s="167"/>
      <c r="K93" s="167"/>
      <c r="L93" s="178">
        <f aca="true" t="shared" si="33" ref="L93:Q93">+L92</f>
        <v>230200</v>
      </c>
      <c r="M93" s="178">
        <f t="shared" si="33"/>
        <v>215200</v>
      </c>
      <c r="N93" s="167">
        <f t="shared" si="33"/>
        <v>196200</v>
      </c>
      <c r="O93" s="167">
        <f t="shared" si="33"/>
        <v>168200</v>
      </c>
      <c r="P93" s="167">
        <f t="shared" si="33"/>
        <v>133200</v>
      </c>
      <c r="Q93" s="167">
        <f t="shared" si="33"/>
        <v>93200</v>
      </c>
      <c r="R93" s="167">
        <f>+R92</f>
        <v>53201</v>
      </c>
      <c r="S93" s="167">
        <f>+S92</f>
        <v>13203</v>
      </c>
    </row>
    <row r="94" spans="1:19" ht="12.75">
      <c r="A94">
        <f>ROW()</f>
        <v>94</v>
      </c>
      <c r="B94" s="167"/>
      <c r="C94" s="167"/>
      <c r="D94" s="167"/>
      <c r="E94" s="167"/>
      <c r="F94" s="167"/>
      <c r="G94" s="176"/>
      <c r="H94" s="167"/>
      <c r="I94" s="167"/>
      <c r="J94" s="167"/>
      <c r="K94" s="167"/>
      <c r="L94" s="178"/>
      <c r="M94" s="178"/>
      <c r="N94" s="167"/>
      <c r="O94" s="167"/>
      <c r="P94" s="167"/>
      <c r="Q94" s="167"/>
      <c r="R94" s="167"/>
      <c r="S94" s="167"/>
    </row>
    <row r="95" spans="1:19" ht="12.75">
      <c r="A95">
        <f>ROW()</f>
        <v>95</v>
      </c>
      <c r="B95" s="167" t="s">
        <v>150</v>
      </c>
      <c r="C95" s="167"/>
      <c r="D95" s="167"/>
      <c r="E95" s="167"/>
      <c r="F95" s="165">
        <v>201300</v>
      </c>
      <c r="G95" s="180">
        <v>221800</v>
      </c>
      <c r="H95" s="167"/>
      <c r="I95" s="167">
        <f>+G95</f>
        <v>221800</v>
      </c>
      <c r="J95" s="167"/>
      <c r="K95" s="167"/>
      <c r="L95" s="178">
        <f>+G95+J95-I95</f>
        <v>0</v>
      </c>
      <c r="M95" s="178">
        <f aca="true" t="shared" si="34" ref="M95:S95">+L95</f>
        <v>0</v>
      </c>
      <c r="N95" s="167">
        <f t="shared" si="34"/>
        <v>0</v>
      </c>
      <c r="O95" s="167">
        <f t="shared" si="34"/>
        <v>0</v>
      </c>
      <c r="P95" s="167">
        <f t="shared" si="34"/>
        <v>0</v>
      </c>
      <c r="Q95" s="167">
        <f t="shared" si="34"/>
        <v>0</v>
      </c>
      <c r="R95" s="167">
        <f t="shared" si="34"/>
        <v>0</v>
      </c>
      <c r="S95" s="167">
        <f t="shared" si="34"/>
        <v>0</v>
      </c>
    </row>
    <row r="96" spans="1:19" ht="12.75">
      <c r="A96">
        <f>ROW()</f>
        <v>96</v>
      </c>
      <c r="B96" s="167" t="str">
        <f>+B8</f>
        <v>Revolver</v>
      </c>
      <c r="C96" s="167"/>
      <c r="D96" s="167"/>
      <c r="E96" s="167"/>
      <c r="F96" s="165"/>
      <c r="G96" s="180"/>
      <c r="H96" s="167"/>
      <c r="I96" s="167"/>
      <c r="J96" s="167">
        <f>+C8</f>
        <v>0</v>
      </c>
      <c r="K96" s="167"/>
      <c r="L96" s="178">
        <f aca="true" t="shared" si="35" ref="L96:L105">+G96+J96-I96</f>
        <v>0</v>
      </c>
      <c r="M96" s="178">
        <f aca="true" t="shared" si="36" ref="M96:S96">+M230</f>
        <v>0</v>
      </c>
      <c r="N96" s="167">
        <f t="shared" si="36"/>
        <v>0</v>
      </c>
      <c r="O96" s="167">
        <f t="shared" si="36"/>
        <v>0</v>
      </c>
      <c r="P96" s="167">
        <f t="shared" si="36"/>
        <v>0</v>
      </c>
      <c r="Q96" s="167">
        <f t="shared" si="36"/>
        <v>0</v>
      </c>
      <c r="R96" s="167">
        <f t="shared" si="36"/>
        <v>1</v>
      </c>
      <c r="S96" s="167">
        <f t="shared" si="36"/>
        <v>3</v>
      </c>
    </row>
    <row r="97" spans="1:19" ht="12.75">
      <c r="A97">
        <f>ROW()</f>
        <v>97</v>
      </c>
      <c r="B97" s="167" t="str">
        <f>+B9</f>
        <v>Term Loan A</v>
      </c>
      <c r="C97" s="167"/>
      <c r="D97" s="167"/>
      <c r="E97" s="167"/>
      <c r="F97" s="165"/>
      <c r="G97" s="180"/>
      <c r="H97" s="167"/>
      <c r="I97" s="167"/>
      <c r="J97" s="167">
        <f>+C9</f>
        <v>600000</v>
      </c>
      <c r="K97" s="167"/>
      <c r="L97" s="178">
        <f t="shared" si="35"/>
        <v>600000</v>
      </c>
      <c r="M97" s="178">
        <f aca="true" t="shared" si="37" ref="M97:S97">+M237</f>
        <v>600000</v>
      </c>
      <c r="N97" s="167">
        <f t="shared" si="37"/>
        <v>549000</v>
      </c>
      <c r="O97" s="167">
        <f t="shared" si="37"/>
        <v>474000</v>
      </c>
      <c r="P97" s="167">
        <f t="shared" si="37"/>
        <v>366000</v>
      </c>
      <c r="Q97" s="167">
        <f t="shared" si="37"/>
        <v>234000</v>
      </c>
      <c r="R97" s="167">
        <f t="shared" si="37"/>
        <v>102000</v>
      </c>
      <c r="S97" s="167">
        <f t="shared" si="37"/>
        <v>-30000</v>
      </c>
    </row>
    <row r="98" spans="1:19" ht="12.75">
      <c r="A98">
        <f>ROW()</f>
        <v>98</v>
      </c>
      <c r="B98" s="167" t="str">
        <f>+B10</f>
        <v>Term Loan B</v>
      </c>
      <c r="C98" s="167"/>
      <c r="D98" s="167"/>
      <c r="E98" s="167"/>
      <c r="F98" s="165"/>
      <c r="G98" s="180"/>
      <c r="H98" s="167"/>
      <c r="I98" s="167"/>
      <c r="J98" s="167">
        <f>+C10</f>
        <v>175000</v>
      </c>
      <c r="K98" s="167"/>
      <c r="L98" s="178">
        <f t="shared" si="35"/>
        <v>175000</v>
      </c>
      <c r="M98" s="178">
        <f aca="true" t="shared" si="38" ref="M98:S98">+M244</f>
        <v>175000</v>
      </c>
      <c r="N98" s="167">
        <f t="shared" si="38"/>
        <v>175000</v>
      </c>
      <c r="O98" s="167">
        <f t="shared" si="38"/>
        <v>175000</v>
      </c>
      <c r="P98" s="167">
        <f t="shared" si="38"/>
        <v>175000</v>
      </c>
      <c r="Q98" s="167">
        <f t="shared" si="38"/>
        <v>175000</v>
      </c>
      <c r="R98" s="167">
        <f t="shared" si="38"/>
        <v>175001</v>
      </c>
      <c r="S98" s="167">
        <f t="shared" si="38"/>
        <v>175003</v>
      </c>
    </row>
    <row r="99" spans="1:19" ht="12.75">
      <c r="A99">
        <f>ROW()</f>
        <v>99</v>
      </c>
      <c r="B99" s="167" t="str">
        <f>+B11</f>
        <v>Term Loan C</v>
      </c>
      <c r="C99" s="167"/>
      <c r="D99" s="167"/>
      <c r="E99" s="167"/>
      <c r="F99" s="165"/>
      <c r="G99" s="180"/>
      <c r="H99" s="167"/>
      <c r="I99" s="167"/>
      <c r="J99" s="167">
        <f>+C11</f>
        <v>175000</v>
      </c>
      <c r="K99" s="167"/>
      <c r="L99" s="178">
        <f t="shared" si="35"/>
        <v>175000</v>
      </c>
      <c r="M99" s="178">
        <f aca="true" t="shared" si="39" ref="M99:S99">+M251</f>
        <v>175000</v>
      </c>
      <c r="N99" s="167">
        <f t="shared" si="39"/>
        <v>173000</v>
      </c>
      <c r="O99" s="167">
        <f t="shared" si="39"/>
        <v>171000</v>
      </c>
      <c r="P99" s="167">
        <f t="shared" si="39"/>
        <v>169000</v>
      </c>
      <c r="Q99" s="167">
        <f t="shared" si="39"/>
        <v>167000</v>
      </c>
      <c r="R99" s="167">
        <f t="shared" si="39"/>
        <v>165001</v>
      </c>
      <c r="S99" s="167">
        <f t="shared" si="39"/>
        <v>163003</v>
      </c>
    </row>
    <row r="100" spans="1:19" ht="12.75">
      <c r="A100">
        <f>ROW()</f>
        <v>100</v>
      </c>
      <c r="B100" s="167" t="str">
        <f>+B12</f>
        <v>Other Bank Debt / Exisiting</v>
      </c>
      <c r="C100" s="167"/>
      <c r="D100" s="167"/>
      <c r="E100" s="167"/>
      <c r="F100" s="165"/>
      <c r="G100" s="180"/>
      <c r="H100" s="167"/>
      <c r="I100" s="167"/>
      <c r="J100" s="167">
        <f>+C12</f>
        <v>0</v>
      </c>
      <c r="K100" s="167"/>
      <c r="L100" s="178">
        <f t="shared" si="35"/>
        <v>0</v>
      </c>
      <c r="M100" s="178">
        <f aca="true" t="shared" si="40" ref="M100:S100">+M258</f>
        <v>0</v>
      </c>
      <c r="N100" s="167">
        <f t="shared" si="40"/>
        <v>0</v>
      </c>
      <c r="O100" s="167">
        <f t="shared" si="40"/>
        <v>0</v>
      </c>
      <c r="P100" s="167">
        <f t="shared" si="40"/>
        <v>0</v>
      </c>
      <c r="Q100" s="167">
        <f t="shared" si="40"/>
        <v>0</v>
      </c>
      <c r="R100" s="167">
        <f t="shared" si="40"/>
        <v>1</v>
      </c>
      <c r="S100" s="167">
        <f t="shared" si="40"/>
        <v>3</v>
      </c>
    </row>
    <row r="101" spans="1:19" ht="12.75">
      <c r="A101">
        <f>ROW()</f>
        <v>101</v>
      </c>
      <c r="B101" s="167" t="str">
        <f>+B14</f>
        <v>Senior Secured Notes</v>
      </c>
      <c r="C101" s="167"/>
      <c r="D101" s="167"/>
      <c r="E101" s="167"/>
      <c r="F101" s="165"/>
      <c r="G101" s="180"/>
      <c r="H101" s="167"/>
      <c r="I101" s="167"/>
      <c r="J101" s="167">
        <f>+C14</f>
        <v>0</v>
      </c>
      <c r="K101" s="167"/>
      <c r="L101" s="178">
        <f t="shared" si="35"/>
        <v>0</v>
      </c>
      <c r="M101" s="178">
        <f aca="true" t="shared" si="41" ref="M101:S101">+M265</f>
        <v>0</v>
      </c>
      <c r="N101" s="167">
        <f t="shared" si="41"/>
        <v>0</v>
      </c>
      <c r="O101" s="167">
        <f t="shared" si="41"/>
        <v>0</v>
      </c>
      <c r="P101" s="167">
        <f t="shared" si="41"/>
        <v>0</v>
      </c>
      <c r="Q101" s="167">
        <f t="shared" si="41"/>
        <v>0</v>
      </c>
      <c r="R101" s="167">
        <f t="shared" si="41"/>
        <v>1</v>
      </c>
      <c r="S101" s="167">
        <f t="shared" si="41"/>
        <v>3</v>
      </c>
    </row>
    <row r="102" spans="1:19" ht="12.75">
      <c r="A102">
        <f>ROW()</f>
        <v>102</v>
      </c>
      <c r="B102" s="167" t="str">
        <f>+B16</f>
        <v>Senior Unsecured / Subordinated Notes</v>
      </c>
      <c r="C102" s="167"/>
      <c r="D102" s="167"/>
      <c r="E102" s="167"/>
      <c r="F102" s="165"/>
      <c r="G102" s="180"/>
      <c r="H102" s="167"/>
      <c r="I102" s="167"/>
      <c r="J102" s="167">
        <f>+C16</f>
        <v>375000</v>
      </c>
      <c r="K102" s="167"/>
      <c r="L102" s="178">
        <f t="shared" si="35"/>
        <v>375000</v>
      </c>
      <c r="M102" s="178">
        <f aca="true" t="shared" si="42" ref="M102:S102">+M271</f>
        <v>375000</v>
      </c>
      <c r="N102" s="167">
        <f t="shared" si="42"/>
        <v>375000</v>
      </c>
      <c r="O102" s="167">
        <f t="shared" si="42"/>
        <v>375000</v>
      </c>
      <c r="P102" s="167">
        <f t="shared" si="42"/>
        <v>375000</v>
      </c>
      <c r="Q102" s="167">
        <f t="shared" si="42"/>
        <v>375000</v>
      </c>
      <c r="R102" s="167">
        <f t="shared" si="42"/>
        <v>375000</v>
      </c>
      <c r="S102" s="167">
        <f t="shared" si="42"/>
        <v>375000</v>
      </c>
    </row>
    <row r="103" spans="1:19" ht="12.75">
      <c r="A103">
        <f>ROW()</f>
        <v>103</v>
      </c>
      <c r="B103" s="167" t="str">
        <f>+B17</f>
        <v>Junior Subordinated Notes</v>
      </c>
      <c r="C103" s="167"/>
      <c r="D103" s="167"/>
      <c r="E103" s="167"/>
      <c r="F103" s="165"/>
      <c r="G103" s="180"/>
      <c r="H103" s="167"/>
      <c r="I103" s="167"/>
      <c r="J103" s="167">
        <f>+C17</f>
        <v>125000</v>
      </c>
      <c r="K103" s="167"/>
      <c r="L103" s="178">
        <f t="shared" si="35"/>
        <v>125000</v>
      </c>
      <c r="M103" s="178">
        <f aca="true" t="shared" si="43" ref="M103:S103">+M277</f>
        <v>141000</v>
      </c>
      <c r="N103" s="167">
        <f t="shared" si="43"/>
        <v>159048</v>
      </c>
      <c r="O103" s="167">
        <f t="shared" si="43"/>
        <v>179406.144</v>
      </c>
      <c r="P103" s="167">
        <f t="shared" si="43"/>
        <v>202370.130432</v>
      </c>
      <c r="Q103" s="167">
        <f t="shared" si="43"/>
        <v>228273.507127296</v>
      </c>
      <c r="R103" s="167">
        <f t="shared" si="43"/>
        <v>257492.5160395899</v>
      </c>
      <c r="S103" s="167">
        <f t="shared" si="43"/>
        <v>290451.55809265736</v>
      </c>
    </row>
    <row r="104" spans="1:19" ht="12.75">
      <c r="A104">
        <f>ROW()</f>
        <v>104</v>
      </c>
      <c r="B104" s="167" t="str">
        <f>+B21</f>
        <v>Prefered Equity</v>
      </c>
      <c r="C104" s="167"/>
      <c r="D104" s="167"/>
      <c r="E104" s="167"/>
      <c r="F104" s="165"/>
      <c r="G104" s="180"/>
      <c r="H104" s="167"/>
      <c r="I104" s="167"/>
      <c r="J104" s="167">
        <f>+C21</f>
        <v>100000</v>
      </c>
      <c r="K104" s="167"/>
      <c r="L104" s="178">
        <f t="shared" si="35"/>
        <v>100000</v>
      </c>
      <c r="M104" s="178">
        <f aca="true" t="shared" si="44" ref="M104:S104">+M283</f>
        <v>100000</v>
      </c>
      <c r="N104" s="167">
        <f t="shared" si="44"/>
        <v>100000</v>
      </c>
      <c r="O104" s="167">
        <f t="shared" si="44"/>
        <v>100000</v>
      </c>
      <c r="P104" s="167">
        <f t="shared" si="44"/>
        <v>100000</v>
      </c>
      <c r="Q104" s="167">
        <f t="shared" si="44"/>
        <v>100000</v>
      </c>
      <c r="R104" s="167">
        <f t="shared" si="44"/>
        <v>100000</v>
      </c>
      <c r="S104" s="167">
        <f t="shared" si="44"/>
        <v>100000</v>
      </c>
    </row>
    <row r="105" spans="1:19" ht="12.75">
      <c r="A105">
        <f>ROW()</f>
        <v>105</v>
      </c>
      <c r="B105" s="167" t="str">
        <f>+B22</f>
        <v>Rollover Equity</v>
      </c>
      <c r="C105" s="179"/>
      <c r="D105" s="179"/>
      <c r="E105" s="179"/>
      <c r="F105" s="153"/>
      <c r="G105" s="181"/>
      <c r="H105" s="167"/>
      <c r="I105" s="167"/>
      <c r="J105" s="167">
        <f>+C22</f>
        <v>549000</v>
      </c>
      <c r="K105" s="167"/>
      <c r="L105" s="188">
        <f t="shared" si="35"/>
        <v>549000</v>
      </c>
      <c r="M105" s="188">
        <f aca="true" t="shared" si="45" ref="M105:S105">+M289</f>
        <v>549000</v>
      </c>
      <c r="N105" s="179">
        <f t="shared" si="45"/>
        <v>549000</v>
      </c>
      <c r="O105" s="179">
        <f t="shared" si="45"/>
        <v>549000</v>
      </c>
      <c r="P105" s="179">
        <f t="shared" si="45"/>
        <v>549000</v>
      </c>
      <c r="Q105" s="179">
        <f t="shared" si="45"/>
        <v>549000</v>
      </c>
      <c r="R105" s="179">
        <f t="shared" si="45"/>
        <v>549000</v>
      </c>
      <c r="S105" s="179">
        <f t="shared" si="45"/>
        <v>549000</v>
      </c>
    </row>
    <row r="106" spans="1:19" ht="12.75">
      <c r="A106">
        <f>ROW()</f>
        <v>106</v>
      </c>
      <c r="B106" s="167" t="s">
        <v>145</v>
      </c>
      <c r="C106" s="167"/>
      <c r="D106" s="167"/>
      <c r="E106" s="167"/>
      <c r="F106" s="165">
        <f>SUM(F94:F105)</f>
        <v>201300</v>
      </c>
      <c r="G106" s="180">
        <f>SUM(G95:G105)</f>
        <v>221800</v>
      </c>
      <c r="H106" s="167"/>
      <c r="I106" s="167"/>
      <c r="J106" s="167"/>
      <c r="K106" s="167"/>
      <c r="L106" s="178">
        <f aca="true" t="shared" si="46" ref="L106:Q106">SUM(L95:L105)</f>
        <v>2099000</v>
      </c>
      <c r="M106" s="178">
        <f t="shared" si="46"/>
        <v>2115000</v>
      </c>
      <c r="N106" s="167">
        <f t="shared" si="46"/>
        <v>2080048</v>
      </c>
      <c r="O106" s="167">
        <f t="shared" si="46"/>
        <v>2023406.144</v>
      </c>
      <c r="P106" s="167">
        <f t="shared" si="46"/>
        <v>1936370.130432</v>
      </c>
      <c r="Q106" s="167">
        <f t="shared" si="46"/>
        <v>1828273.507127296</v>
      </c>
      <c r="R106" s="167">
        <f>SUM(R95:R105)</f>
        <v>1723497.51603959</v>
      </c>
      <c r="S106" s="167">
        <f>SUM(S95:S105)</f>
        <v>1622466.5580926575</v>
      </c>
    </row>
    <row r="107" spans="1:19" ht="12.75">
      <c r="A107">
        <f>ROW()</f>
        <v>107</v>
      </c>
      <c r="B107" s="167"/>
      <c r="C107" s="167"/>
      <c r="D107" s="167"/>
      <c r="E107" s="167"/>
      <c r="F107" s="165"/>
      <c r="G107" s="180"/>
      <c r="H107" s="167"/>
      <c r="I107" s="167"/>
      <c r="J107" s="167"/>
      <c r="K107" s="167"/>
      <c r="L107" s="178"/>
      <c r="M107" s="178"/>
      <c r="N107" s="167"/>
      <c r="O107" s="167"/>
      <c r="P107" s="167"/>
      <c r="Q107" s="167"/>
      <c r="R107" s="167"/>
      <c r="S107" s="167"/>
    </row>
    <row r="108" spans="1:19" ht="12.75">
      <c r="A108">
        <f>ROW()</f>
        <v>108</v>
      </c>
      <c r="B108" s="167" t="s">
        <v>155</v>
      </c>
      <c r="C108" s="179"/>
      <c r="D108" s="179"/>
      <c r="E108" s="179"/>
      <c r="F108" s="153">
        <v>5300</v>
      </c>
      <c r="G108" s="181">
        <v>18000</v>
      </c>
      <c r="H108" s="167"/>
      <c r="I108" s="167"/>
      <c r="J108" s="167"/>
      <c r="K108" s="167"/>
      <c r="L108" s="188">
        <f>+G108+J108-I108</f>
        <v>18000</v>
      </c>
      <c r="M108" s="188">
        <f aca="true" t="shared" si="47" ref="M108:S108">+L108</f>
        <v>18000</v>
      </c>
      <c r="N108" s="188">
        <f t="shared" si="47"/>
        <v>18000</v>
      </c>
      <c r="O108" s="188">
        <f t="shared" si="47"/>
        <v>18000</v>
      </c>
      <c r="P108" s="188">
        <f t="shared" si="47"/>
        <v>18000</v>
      </c>
      <c r="Q108" s="188">
        <f t="shared" si="47"/>
        <v>18000</v>
      </c>
      <c r="R108" s="188">
        <f t="shared" si="47"/>
        <v>18000</v>
      </c>
      <c r="S108" s="188">
        <f t="shared" si="47"/>
        <v>18000</v>
      </c>
    </row>
    <row r="109" spans="1:19" ht="12.75">
      <c r="A109">
        <f>ROW()</f>
        <v>109</v>
      </c>
      <c r="B109" s="168" t="s">
        <v>24</v>
      </c>
      <c r="C109" s="167"/>
      <c r="D109" s="167"/>
      <c r="E109" s="167"/>
      <c r="F109" s="167">
        <f>+F108+F106+F93</f>
        <v>318200</v>
      </c>
      <c r="G109" s="176">
        <f>+G108+G106+G93</f>
        <v>470000</v>
      </c>
      <c r="H109" s="167"/>
      <c r="I109" s="167"/>
      <c r="J109" s="167"/>
      <c r="K109" s="167"/>
      <c r="L109" s="178">
        <f aca="true" t="shared" si="48" ref="L109:Q109">+L108+L106+L93</f>
        <v>2347200</v>
      </c>
      <c r="M109" s="178">
        <f t="shared" si="48"/>
        <v>2348200</v>
      </c>
      <c r="N109" s="167">
        <f t="shared" si="48"/>
        <v>2294248</v>
      </c>
      <c r="O109" s="167">
        <f t="shared" si="48"/>
        <v>2209606.1440000003</v>
      </c>
      <c r="P109" s="167">
        <f t="shared" si="48"/>
        <v>2087570.130432</v>
      </c>
      <c r="Q109" s="167">
        <f t="shared" si="48"/>
        <v>1939473.507127296</v>
      </c>
      <c r="R109" s="167">
        <f>+R108+R106+R93</f>
        <v>1794698.51603959</v>
      </c>
      <c r="S109" s="167">
        <f>+S108+S106+S93</f>
        <v>1653669.5580926575</v>
      </c>
    </row>
    <row r="110" spans="1:19" ht="12.75">
      <c r="A110">
        <f>ROW()</f>
        <v>110</v>
      </c>
      <c r="B110" s="167"/>
      <c r="C110" s="146"/>
      <c r="D110" s="146"/>
      <c r="E110" s="146"/>
      <c r="F110" s="146"/>
      <c r="G110" s="120"/>
      <c r="H110" s="167"/>
      <c r="I110" s="167"/>
      <c r="J110" s="167"/>
      <c r="K110" s="167"/>
      <c r="L110" s="178"/>
      <c r="M110" s="178"/>
      <c r="N110" s="167"/>
      <c r="O110" s="167"/>
      <c r="P110" s="167"/>
      <c r="Q110" s="167"/>
      <c r="R110" s="167"/>
      <c r="S110" s="167"/>
    </row>
    <row r="111" spans="1:19" ht="12.75">
      <c r="A111">
        <f>ROW()</f>
        <v>111</v>
      </c>
      <c r="B111" s="168" t="s">
        <v>146</v>
      </c>
      <c r="C111" s="146"/>
      <c r="D111" s="146"/>
      <c r="E111" s="146"/>
      <c r="F111" s="146"/>
      <c r="G111" s="120"/>
      <c r="H111" s="167"/>
      <c r="I111" s="167"/>
      <c r="J111" s="167"/>
      <c r="K111" s="167"/>
      <c r="L111" s="178"/>
      <c r="M111" s="178"/>
      <c r="N111" s="167"/>
      <c r="O111" s="167"/>
      <c r="P111" s="167"/>
      <c r="Q111" s="167"/>
      <c r="R111" s="167"/>
      <c r="S111" s="167"/>
    </row>
    <row r="112" spans="1:19" ht="12.75">
      <c r="A112">
        <f>ROW()</f>
        <v>112</v>
      </c>
      <c r="B112" s="167" t="s">
        <v>147</v>
      </c>
      <c r="C112" s="146"/>
      <c r="D112" s="146"/>
      <c r="E112" s="146"/>
      <c r="F112" s="146">
        <v>365000</v>
      </c>
      <c r="G112" s="120">
        <v>394300</v>
      </c>
      <c r="H112" s="167"/>
      <c r="I112" s="167">
        <f>+G112</f>
        <v>394300</v>
      </c>
      <c r="J112" s="167">
        <f>+C23</f>
        <v>1000</v>
      </c>
      <c r="K112" s="167"/>
      <c r="L112" s="178">
        <f>+G112+J112-I112</f>
        <v>1000</v>
      </c>
      <c r="M112" s="178">
        <f aca="true" t="shared" si="49" ref="M112:S112">+L112</f>
        <v>1000</v>
      </c>
      <c r="N112" s="167">
        <f t="shared" si="49"/>
        <v>1000</v>
      </c>
      <c r="O112" s="167">
        <f t="shared" si="49"/>
        <v>1000</v>
      </c>
      <c r="P112" s="167">
        <f t="shared" si="49"/>
        <v>1000</v>
      </c>
      <c r="Q112" s="167">
        <f t="shared" si="49"/>
        <v>1000</v>
      </c>
      <c r="R112" s="167">
        <f t="shared" si="49"/>
        <v>1000</v>
      </c>
      <c r="S112" s="167">
        <f t="shared" si="49"/>
        <v>1000</v>
      </c>
    </row>
    <row r="113" spans="1:19" ht="12.75">
      <c r="A113">
        <f>ROW()</f>
        <v>113</v>
      </c>
      <c r="B113" s="167" t="s">
        <v>119</v>
      </c>
      <c r="C113" s="113"/>
      <c r="D113" s="113"/>
      <c r="E113" s="113"/>
      <c r="F113" s="113"/>
      <c r="G113" s="121"/>
      <c r="H113" s="167"/>
      <c r="I113" s="167"/>
      <c r="J113" s="167"/>
      <c r="K113" s="167"/>
      <c r="L113" s="188">
        <f>+G113+J113-I113</f>
        <v>0</v>
      </c>
      <c r="M113" s="188">
        <f aca="true" t="shared" si="50" ref="M113:S113">+L113+M162</f>
        <v>53345.84685714288</v>
      </c>
      <c r="N113" s="179">
        <f t="shared" si="50"/>
        <v>114765.29306477722</v>
      </c>
      <c r="O113" s="179">
        <f t="shared" si="50"/>
        <v>196176.4424072089</v>
      </c>
      <c r="P113" s="179">
        <f t="shared" si="50"/>
        <v>292224.7392714354</v>
      </c>
      <c r="Q113" s="179">
        <f t="shared" si="50"/>
        <v>400242.69731894165</v>
      </c>
      <c r="R113" s="179">
        <f t="shared" si="50"/>
        <v>521045.3698864676</v>
      </c>
      <c r="S113" s="179">
        <f t="shared" si="50"/>
        <v>655396.0404925339</v>
      </c>
    </row>
    <row r="114" spans="1:19" ht="12.75">
      <c r="A114">
        <f>ROW()</f>
        <v>114</v>
      </c>
      <c r="B114" s="168" t="s">
        <v>148</v>
      </c>
      <c r="C114" s="155"/>
      <c r="D114" s="155"/>
      <c r="E114" s="155"/>
      <c r="F114" s="167">
        <f>+F113+F112</f>
        <v>365000</v>
      </c>
      <c r="G114" s="176">
        <f>+G113+G112</f>
        <v>394300</v>
      </c>
      <c r="H114" s="167"/>
      <c r="I114" s="167"/>
      <c r="J114" s="167"/>
      <c r="K114" s="167"/>
      <c r="L114" s="178">
        <f aca="true" t="shared" si="51" ref="L114:Q114">+L113+L112</f>
        <v>1000</v>
      </c>
      <c r="M114" s="178">
        <f t="shared" si="51"/>
        <v>54345.84685714288</v>
      </c>
      <c r="N114" s="167">
        <f t="shared" si="51"/>
        <v>115765.29306477722</v>
      </c>
      <c r="O114" s="167">
        <f t="shared" si="51"/>
        <v>197176.4424072089</v>
      </c>
      <c r="P114" s="167">
        <f t="shared" si="51"/>
        <v>293224.7392714354</v>
      </c>
      <c r="Q114" s="167">
        <f t="shared" si="51"/>
        <v>401242.69731894165</v>
      </c>
      <c r="R114" s="167">
        <f>+R113+R112</f>
        <v>522045.3698864676</v>
      </c>
      <c r="S114" s="167">
        <f>+S113+S112</f>
        <v>656396.0404925339</v>
      </c>
    </row>
    <row r="115" spans="1:19" ht="12.75">
      <c r="A115">
        <f>ROW()</f>
        <v>115</v>
      </c>
      <c r="B115" s="167"/>
      <c r="C115" s="155"/>
      <c r="D115" s="155"/>
      <c r="E115" s="155"/>
      <c r="F115" s="155"/>
      <c r="G115" s="120"/>
      <c r="H115" s="167"/>
      <c r="I115" s="167"/>
      <c r="J115" s="167"/>
      <c r="K115" s="167"/>
      <c r="L115" s="178"/>
      <c r="M115" s="178"/>
      <c r="N115" s="167"/>
      <c r="O115" s="167"/>
      <c r="P115" s="167"/>
      <c r="Q115" s="167"/>
      <c r="R115" s="167"/>
      <c r="S115" s="167"/>
    </row>
    <row r="116" spans="1:19" ht="13.5" thickBot="1">
      <c r="A116">
        <f>ROW()</f>
        <v>116</v>
      </c>
      <c r="B116" s="168" t="s">
        <v>25</v>
      </c>
      <c r="C116" s="174"/>
      <c r="D116" s="174"/>
      <c r="E116" s="174"/>
      <c r="F116" s="173">
        <f>+F114+F109</f>
        <v>683200</v>
      </c>
      <c r="G116" s="177">
        <f>+G114+G109</f>
        <v>864300</v>
      </c>
      <c r="H116" s="167"/>
      <c r="I116" s="173">
        <f>SUM(I80:I115)</f>
        <v>2100000</v>
      </c>
      <c r="J116" s="173">
        <f>SUM(J80:J115)</f>
        <v>2100000</v>
      </c>
      <c r="K116" s="167"/>
      <c r="L116" s="189">
        <f aca="true" t="shared" si="52" ref="L116:Q116">+L114+L109</f>
        <v>2348200</v>
      </c>
      <c r="M116" s="189">
        <f t="shared" si="52"/>
        <v>2402545.846857143</v>
      </c>
      <c r="N116" s="173">
        <f t="shared" si="52"/>
        <v>2410013.2930647773</v>
      </c>
      <c r="O116" s="173">
        <f t="shared" si="52"/>
        <v>2406782.5864072093</v>
      </c>
      <c r="P116" s="173">
        <f t="shared" si="52"/>
        <v>2380794.8697034353</v>
      </c>
      <c r="Q116" s="173">
        <f t="shared" si="52"/>
        <v>2340716.2044462375</v>
      </c>
      <c r="R116" s="173">
        <f>+R114+R109</f>
        <v>2316743.8859260576</v>
      </c>
      <c r="S116" s="173">
        <f>+S114+S109</f>
        <v>2310065.598585191</v>
      </c>
    </row>
    <row r="117" spans="1:19" ht="13.5" thickTop="1">
      <c r="A117">
        <f>ROW()</f>
        <v>117</v>
      </c>
      <c r="B117" s="168"/>
      <c r="C117" s="155"/>
      <c r="D117" s="155"/>
      <c r="E117" s="155"/>
      <c r="F117" s="167"/>
      <c r="G117" s="167"/>
      <c r="H117" s="167"/>
      <c r="I117" s="167"/>
      <c r="J117" s="167"/>
      <c r="K117" s="167"/>
      <c r="L117" s="178"/>
      <c r="M117" s="178"/>
      <c r="N117" s="167"/>
      <c r="O117" s="167"/>
      <c r="P117" s="167"/>
      <c r="Q117" s="167"/>
      <c r="R117" s="167"/>
      <c r="S117" s="167"/>
    </row>
    <row r="118" spans="1:19" ht="12.75">
      <c r="A118">
        <f>ROW()</f>
        <v>118</v>
      </c>
      <c r="C118" s="162"/>
      <c r="D118" s="162"/>
      <c r="E118" s="162"/>
      <c r="F118" s="162"/>
      <c r="G118" s="142"/>
      <c r="L118" s="146">
        <f aca="true" t="shared" si="53" ref="L118:Q118">+L116-L89</f>
        <v>0</v>
      </c>
      <c r="M118" s="146">
        <f t="shared" si="53"/>
        <v>0</v>
      </c>
      <c r="N118" s="146">
        <f t="shared" si="53"/>
        <v>0</v>
      </c>
      <c r="O118" s="146">
        <f t="shared" si="53"/>
        <v>0</v>
      </c>
      <c r="P118" s="146">
        <f t="shared" si="53"/>
        <v>0</v>
      </c>
      <c r="Q118" s="146">
        <f t="shared" si="53"/>
        <v>0</v>
      </c>
      <c r="R118" s="146">
        <f>+R116-R89</f>
        <v>-1.9999999995343387</v>
      </c>
      <c r="S118" s="146">
        <f>+S116-S89</f>
        <v>-6</v>
      </c>
    </row>
    <row r="119" spans="1:19" ht="18">
      <c r="A119">
        <f>ROW()</f>
        <v>119</v>
      </c>
      <c r="B119" s="43" t="s">
        <v>26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8" customHeight="1">
      <c r="A120">
        <f>ROW()</f>
        <v>120</v>
      </c>
      <c r="C120" s="7"/>
      <c r="D120" s="7"/>
      <c r="E120" s="7"/>
      <c r="F120" s="7"/>
      <c r="G120" s="7"/>
      <c r="H120" s="27"/>
      <c r="I120" s="7"/>
      <c r="J120" s="7"/>
      <c r="K120" s="7"/>
      <c r="L120" s="7" t="s">
        <v>23</v>
      </c>
      <c r="M120" s="7"/>
      <c r="N120" s="7"/>
      <c r="O120" s="7"/>
      <c r="P120" s="7"/>
      <c r="Q120" s="7"/>
      <c r="R120" s="7"/>
      <c r="S120" s="7"/>
    </row>
    <row r="121" spans="1:19" ht="18" customHeight="1">
      <c r="A121">
        <f>ROW()</f>
        <v>121</v>
      </c>
      <c r="C121" s="82"/>
      <c r="D121" s="82"/>
      <c r="E121" s="82"/>
      <c r="F121" s="82"/>
      <c r="G121" s="108" t="s">
        <v>123</v>
      </c>
      <c r="H121" s="27"/>
      <c r="I121" s="7"/>
      <c r="J121" s="7"/>
      <c r="K121" s="7"/>
      <c r="L121" s="89"/>
      <c r="M121" s="81"/>
      <c r="N121" s="81"/>
      <c r="O121" s="81"/>
      <c r="P121" s="81"/>
      <c r="Q121" s="81"/>
      <c r="R121" s="81"/>
      <c r="S121" s="81"/>
    </row>
    <row r="122" spans="1:19" ht="13.5" thickBot="1">
      <c r="A122">
        <f>ROW()</f>
        <v>122</v>
      </c>
      <c r="C122" s="78"/>
      <c r="D122" s="78"/>
      <c r="E122" s="78"/>
      <c r="F122" s="78"/>
      <c r="G122" s="83">
        <v>36951</v>
      </c>
      <c r="H122" s="27"/>
      <c r="I122" s="7"/>
      <c r="J122" s="7"/>
      <c r="K122" s="7"/>
      <c r="L122" s="79">
        <f>+G122</f>
        <v>36951</v>
      </c>
      <c r="M122" s="78">
        <f>+L122+365</f>
        <v>37316</v>
      </c>
      <c r="N122" s="78">
        <f>+M122+365</f>
        <v>37681</v>
      </c>
      <c r="O122" s="78">
        <f>+N122+366</f>
        <v>38047</v>
      </c>
      <c r="P122" s="78">
        <f>+O122+365</f>
        <v>38412</v>
      </c>
      <c r="Q122" s="78">
        <f>+P122+365</f>
        <v>38777</v>
      </c>
      <c r="R122" s="78">
        <f>+Q122+365</f>
        <v>39142</v>
      </c>
      <c r="S122" s="78">
        <f>+R122+365</f>
        <v>39507</v>
      </c>
    </row>
    <row r="123" spans="1:19" ht="12.75">
      <c r="A123">
        <f>ROW()</f>
        <v>123</v>
      </c>
      <c r="B123" s="2" t="s">
        <v>43</v>
      </c>
      <c r="C123" s="110"/>
      <c r="D123" s="110"/>
      <c r="E123" s="110"/>
      <c r="F123" s="110">
        <f>+G123/(1+0.29)</f>
        <v>600000</v>
      </c>
      <c r="G123" s="120">
        <v>774000</v>
      </c>
      <c r="H123" s="27"/>
      <c r="I123" s="7"/>
      <c r="J123" s="7"/>
      <c r="K123" s="8"/>
      <c r="L123" s="116">
        <f>+G123</f>
        <v>774000</v>
      </c>
      <c r="M123" s="140">
        <f aca="true" t="shared" si="54" ref="M123:S123">+L123*(1+M124)</f>
        <v>853000.0000000001</v>
      </c>
      <c r="N123" s="140">
        <f t="shared" si="54"/>
        <v>915000.0000000002</v>
      </c>
      <c r="O123" s="140">
        <f t="shared" si="54"/>
        <v>989000.0000000002</v>
      </c>
      <c r="P123" s="140">
        <f t="shared" si="54"/>
        <v>1035000.0000000003</v>
      </c>
      <c r="Q123" s="140">
        <f t="shared" si="54"/>
        <v>1087000.0000000002</v>
      </c>
      <c r="R123" s="140">
        <f t="shared" si="54"/>
        <v>1141612.5603864735</v>
      </c>
      <c r="S123" s="140">
        <f t="shared" si="54"/>
        <v>1198968.9402319775</v>
      </c>
    </row>
    <row r="124" spans="1:19" ht="12.75">
      <c r="A124">
        <f>ROW()</f>
        <v>124</v>
      </c>
      <c r="B124" t="s">
        <v>27</v>
      </c>
      <c r="C124" s="10"/>
      <c r="D124" s="10"/>
      <c r="E124" s="10"/>
      <c r="F124" s="10"/>
      <c r="G124" s="85">
        <f>+G123/F123-1</f>
        <v>0.29000000000000004</v>
      </c>
      <c r="H124" s="27"/>
      <c r="I124" s="7"/>
      <c r="J124" s="7"/>
      <c r="L124" s="34">
        <f>+G124</f>
        <v>0.29000000000000004</v>
      </c>
      <c r="M124" s="10">
        <f aca="true" t="shared" si="55" ref="M124:S124">+M66</f>
        <v>0.10206718346253241</v>
      </c>
      <c r="N124" s="10">
        <f t="shared" si="55"/>
        <v>0.07268464243845263</v>
      </c>
      <c r="O124" s="10">
        <f t="shared" si="55"/>
        <v>0.08087431693989067</v>
      </c>
      <c r="P124" s="10">
        <f t="shared" si="55"/>
        <v>0.04651162790697683</v>
      </c>
      <c r="Q124" s="10">
        <f t="shared" si="55"/>
        <v>0.05024154589371976</v>
      </c>
      <c r="R124" s="10">
        <f t="shared" si="55"/>
        <v>0.05024154589371976</v>
      </c>
      <c r="S124" s="10">
        <f t="shared" si="55"/>
        <v>0.05024154589371976</v>
      </c>
    </row>
    <row r="125" spans="1:12" ht="12.75">
      <c r="A125">
        <f>ROW()</f>
        <v>125</v>
      </c>
      <c r="G125" s="86"/>
      <c r="H125" s="27"/>
      <c r="I125" s="7"/>
      <c r="J125" s="7"/>
      <c r="L125" s="35"/>
    </row>
    <row r="126" spans="1:19" ht="12.75">
      <c r="A126">
        <f>ROW()</f>
        <v>126</v>
      </c>
      <c r="B126" s="2" t="s">
        <v>42</v>
      </c>
      <c r="C126" s="112"/>
      <c r="D126" s="112"/>
      <c r="E126" s="112"/>
      <c r="F126" s="112"/>
      <c r="G126" s="121">
        <v>341000</v>
      </c>
      <c r="H126" s="8"/>
      <c r="I126" s="8"/>
      <c r="J126" s="8"/>
      <c r="K126" s="8"/>
      <c r="L126" s="138">
        <f>+G126</f>
        <v>341000</v>
      </c>
      <c r="M126" s="179">
        <f aca="true" t="shared" si="56" ref="M126:S126">+M123*M68</f>
        <v>375000.00000000006</v>
      </c>
      <c r="N126" s="179">
        <f t="shared" si="56"/>
        <v>403000.0000000001</v>
      </c>
      <c r="O126" s="179">
        <f t="shared" si="56"/>
        <v>435000.0000000001</v>
      </c>
      <c r="P126" s="179">
        <f t="shared" si="56"/>
        <v>455000.0000000002</v>
      </c>
      <c r="Q126" s="179">
        <f t="shared" si="56"/>
        <v>478000.0000000001</v>
      </c>
      <c r="R126" s="179">
        <f t="shared" si="56"/>
        <v>502015.4589371981</v>
      </c>
      <c r="S126" s="179">
        <f t="shared" si="56"/>
        <v>527237.4916567481</v>
      </c>
    </row>
    <row r="127" spans="1:19" ht="12.75">
      <c r="A127">
        <f>ROW()</f>
        <v>127</v>
      </c>
      <c r="B127" s="2" t="s">
        <v>52</v>
      </c>
      <c r="C127" s="118"/>
      <c r="D127" s="118"/>
      <c r="E127" s="118"/>
      <c r="F127" s="118"/>
      <c r="G127" s="122">
        <f>+G123-G126</f>
        <v>433000</v>
      </c>
      <c r="L127" s="137">
        <f aca="true" t="shared" si="57" ref="L127:Q127">+L123-L126</f>
        <v>433000</v>
      </c>
      <c r="M127" s="118">
        <f t="shared" si="57"/>
        <v>478000.00000000006</v>
      </c>
      <c r="N127" s="118">
        <f t="shared" si="57"/>
        <v>512000.0000000001</v>
      </c>
      <c r="O127" s="118">
        <f t="shared" si="57"/>
        <v>554000.0000000001</v>
      </c>
      <c r="P127" s="118">
        <f t="shared" si="57"/>
        <v>580000.0000000002</v>
      </c>
      <c r="Q127" s="118">
        <f t="shared" si="57"/>
        <v>609000.0000000001</v>
      </c>
      <c r="R127" s="118">
        <f>+R123-R126</f>
        <v>639597.1014492754</v>
      </c>
      <c r="S127" s="118">
        <f>+S123-S126</f>
        <v>671731.4485752294</v>
      </c>
    </row>
    <row r="128" spans="1:19" ht="12.75">
      <c r="A128">
        <f>ROW()</f>
        <v>128</v>
      </c>
      <c r="B128" t="s">
        <v>28</v>
      </c>
      <c r="C128" s="10"/>
      <c r="D128" s="10"/>
      <c r="E128" s="10"/>
      <c r="F128" s="10"/>
      <c r="G128" s="85">
        <f>+G127/G123</f>
        <v>0.5594315245478036</v>
      </c>
      <c r="L128" s="34">
        <f aca="true" t="shared" si="58" ref="L128:Q128">+L127/L123</f>
        <v>0.5594315245478036</v>
      </c>
      <c r="M128" s="10">
        <f t="shared" si="58"/>
        <v>0.5603751465416178</v>
      </c>
      <c r="N128" s="10">
        <f t="shared" si="58"/>
        <v>0.5595628415300546</v>
      </c>
      <c r="O128" s="10">
        <f t="shared" si="58"/>
        <v>0.5601617795753286</v>
      </c>
      <c r="P128" s="10">
        <f t="shared" si="58"/>
        <v>0.5603864734299517</v>
      </c>
      <c r="Q128" s="10">
        <f t="shared" si="58"/>
        <v>0.5602575896964122</v>
      </c>
      <c r="R128" s="10">
        <f>+R127/R123</f>
        <v>0.5602575896964122</v>
      </c>
      <c r="S128" s="10">
        <f>+S127/S123</f>
        <v>0.5602575896964122</v>
      </c>
    </row>
    <row r="129" spans="1:12" ht="12.75">
      <c r="A129">
        <f>ROW()</f>
        <v>129</v>
      </c>
      <c r="G129" s="86"/>
      <c r="L129" s="35"/>
    </row>
    <row r="130" spans="1:19" ht="12.75">
      <c r="A130">
        <f>ROW()</f>
        <v>130</v>
      </c>
      <c r="B130" s="2" t="s">
        <v>124</v>
      </c>
      <c r="C130" s="112"/>
      <c r="D130" s="112"/>
      <c r="E130" s="112"/>
      <c r="F130" s="112"/>
      <c r="G130" s="121">
        <v>201000</v>
      </c>
      <c r="H130" s="8"/>
      <c r="I130" s="8"/>
      <c r="J130" s="8"/>
      <c r="K130" s="8"/>
      <c r="L130" s="138">
        <f>+G130</f>
        <v>201000</v>
      </c>
      <c r="M130" s="179">
        <f aca="true" t="shared" si="59" ref="M130:S130">+M123*M69</f>
        <v>240000.00000000003</v>
      </c>
      <c r="N130" s="179">
        <f t="shared" si="59"/>
        <v>258000.00000000006</v>
      </c>
      <c r="O130" s="179">
        <f t="shared" si="59"/>
        <v>269000.00000000006</v>
      </c>
      <c r="P130" s="179">
        <f t="shared" si="59"/>
        <v>274000.00000000006</v>
      </c>
      <c r="Q130" s="179">
        <f t="shared" si="59"/>
        <v>282000.00000000006</v>
      </c>
      <c r="R130" s="179">
        <f t="shared" si="59"/>
        <v>296168.11594202905</v>
      </c>
      <c r="S130" s="179">
        <f t="shared" si="59"/>
        <v>311048.059931387</v>
      </c>
    </row>
    <row r="131" spans="1:19" ht="12.75">
      <c r="A131">
        <f>ROW()</f>
        <v>131</v>
      </c>
      <c r="B131" s="2" t="s">
        <v>0</v>
      </c>
      <c r="C131" s="118"/>
      <c r="D131" s="118"/>
      <c r="E131" s="118"/>
      <c r="F131" s="118"/>
      <c r="G131" s="122">
        <f>+G127-G130</f>
        <v>232000</v>
      </c>
      <c r="L131" s="137">
        <f aca="true" t="shared" si="60" ref="L131:Q131">+L127-L130</f>
        <v>232000</v>
      </c>
      <c r="M131" s="118">
        <f t="shared" si="60"/>
        <v>238000.00000000003</v>
      </c>
      <c r="N131" s="118">
        <f t="shared" si="60"/>
        <v>254000.00000000006</v>
      </c>
      <c r="O131" s="118">
        <f t="shared" si="60"/>
        <v>285000.00000000006</v>
      </c>
      <c r="P131" s="118">
        <f t="shared" si="60"/>
        <v>306000.0000000002</v>
      </c>
      <c r="Q131" s="118">
        <f t="shared" si="60"/>
        <v>327000.00000000006</v>
      </c>
      <c r="R131" s="118">
        <f>+R127-R130</f>
        <v>343428.98550724634</v>
      </c>
      <c r="S131" s="118">
        <f>+S127-S130</f>
        <v>360683.38864384237</v>
      </c>
    </row>
    <row r="132" spans="1:19" ht="12.75">
      <c r="A132">
        <f>ROW()</f>
        <v>132</v>
      </c>
      <c r="B132" t="s">
        <v>29</v>
      </c>
      <c r="C132" s="10"/>
      <c r="D132" s="10"/>
      <c r="E132" s="10"/>
      <c r="F132" s="10"/>
      <c r="G132" s="85">
        <f>+G131/G123</f>
        <v>0.2997416020671835</v>
      </c>
      <c r="L132" s="34">
        <f aca="true" t="shared" si="61" ref="L132:Q132">+L131/L123</f>
        <v>0.2997416020671835</v>
      </c>
      <c r="M132" s="10">
        <f t="shared" si="61"/>
        <v>0.2790152403282532</v>
      </c>
      <c r="N132" s="10">
        <f t="shared" si="61"/>
        <v>0.27759562841530055</v>
      </c>
      <c r="O132" s="10">
        <f t="shared" si="61"/>
        <v>0.28816986855409504</v>
      </c>
      <c r="P132" s="10">
        <f t="shared" si="61"/>
        <v>0.29565217391304355</v>
      </c>
      <c r="Q132" s="10">
        <f t="shared" si="61"/>
        <v>0.30082796688132474</v>
      </c>
      <c r="R132" s="10">
        <f>+R131/R123</f>
        <v>0.3008279668813247</v>
      </c>
      <c r="S132" s="10">
        <f>+S131/S123</f>
        <v>0.30082796688132474</v>
      </c>
    </row>
    <row r="133" spans="1:12" ht="12.75">
      <c r="A133">
        <f>ROW()</f>
        <v>133</v>
      </c>
      <c r="G133" s="86"/>
      <c r="L133" s="35"/>
    </row>
    <row r="134" spans="1:19" ht="12.75">
      <c r="A134">
        <f>ROW()</f>
        <v>134</v>
      </c>
      <c r="B134" t="s">
        <v>30</v>
      </c>
      <c r="C134" s="112"/>
      <c r="D134" s="112"/>
      <c r="E134" s="112"/>
      <c r="F134" s="112"/>
      <c r="G134" s="121">
        <v>12000</v>
      </c>
      <c r="L134" s="156">
        <f>+G134</f>
        <v>12000</v>
      </c>
      <c r="M134" s="179">
        <f aca="true" t="shared" si="62" ref="M134:S134">+M123*M70</f>
        <v>16000.000000000002</v>
      </c>
      <c r="N134" s="179">
        <f t="shared" si="62"/>
        <v>18000.000000000007</v>
      </c>
      <c r="O134" s="179">
        <f t="shared" si="62"/>
        <v>19000.000000000007</v>
      </c>
      <c r="P134" s="179">
        <f t="shared" si="62"/>
        <v>19000.000000000007</v>
      </c>
      <c r="Q134" s="179">
        <f t="shared" si="62"/>
        <v>25000.000000000004</v>
      </c>
      <c r="R134" s="179">
        <f t="shared" si="62"/>
        <v>26256.038647342997</v>
      </c>
      <c r="S134" s="179">
        <f t="shared" si="62"/>
        <v>27575.18261803076</v>
      </c>
    </row>
    <row r="135" spans="1:19" ht="12.75">
      <c r="A135">
        <f>ROW()</f>
        <v>135</v>
      </c>
      <c r="C135" s="155"/>
      <c r="D135" s="155"/>
      <c r="E135" s="155"/>
      <c r="F135" s="155"/>
      <c r="G135" s="120">
        <f>+G131-G134</f>
        <v>220000</v>
      </c>
      <c r="L135" s="117">
        <f aca="true" t="shared" si="63" ref="L135:Q135">+L131-L134</f>
        <v>220000</v>
      </c>
      <c r="M135" s="147">
        <f t="shared" si="63"/>
        <v>222000.00000000003</v>
      </c>
      <c r="N135" s="147">
        <f t="shared" si="63"/>
        <v>236000.00000000006</v>
      </c>
      <c r="O135" s="147">
        <f t="shared" si="63"/>
        <v>266000.00000000006</v>
      </c>
      <c r="P135" s="147">
        <f t="shared" si="63"/>
        <v>287000.0000000002</v>
      </c>
      <c r="Q135" s="147">
        <f t="shared" si="63"/>
        <v>302000.00000000006</v>
      </c>
      <c r="R135" s="147">
        <f>+R131-R134</f>
        <v>317172.94685990334</v>
      </c>
      <c r="S135" s="147">
        <f>+S131-S134</f>
        <v>333108.2060258116</v>
      </c>
    </row>
    <row r="136" spans="1:19" ht="12.75">
      <c r="A136">
        <f>ROW()</f>
        <v>136</v>
      </c>
      <c r="B136" s="2" t="s">
        <v>125</v>
      </c>
      <c r="C136" s="118"/>
      <c r="D136" s="118"/>
      <c r="E136" s="118"/>
      <c r="F136" s="118"/>
      <c r="G136" s="85">
        <f>+G135/G123</f>
        <v>0.2842377260981912</v>
      </c>
      <c r="L136" s="34">
        <f aca="true" t="shared" si="64" ref="L136:Q136">+L135/L123</f>
        <v>0.2842377260981912</v>
      </c>
      <c r="M136" s="10">
        <f t="shared" si="64"/>
        <v>0.26025791324736225</v>
      </c>
      <c r="N136" s="10">
        <f t="shared" si="64"/>
        <v>0.25792349726775954</v>
      </c>
      <c r="O136" s="10">
        <f t="shared" si="64"/>
        <v>0.268958543983822</v>
      </c>
      <c r="P136" s="10">
        <f t="shared" si="64"/>
        <v>0.27729468599033824</v>
      </c>
      <c r="Q136" s="10">
        <f t="shared" si="64"/>
        <v>0.2778288868445262</v>
      </c>
      <c r="R136" s="10">
        <f>+R135/R123</f>
        <v>0.27782888684452617</v>
      </c>
      <c r="S136" s="10">
        <f>+S135/S123</f>
        <v>0.2778288868445262</v>
      </c>
    </row>
    <row r="137" spans="1:19" ht="12.75">
      <c r="A137">
        <f>ROW()</f>
        <v>137</v>
      </c>
      <c r="B137" t="s">
        <v>31</v>
      </c>
      <c r="C137" s="10"/>
      <c r="D137" s="10"/>
      <c r="E137" s="10"/>
      <c r="F137" s="10"/>
      <c r="G137" s="85"/>
      <c r="L137" s="34"/>
      <c r="M137" s="10"/>
      <c r="N137" s="10"/>
      <c r="O137" s="10"/>
      <c r="P137" s="10"/>
      <c r="Q137" s="10"/>
      <c r="R137" s="10"/>
      <c r="S137" s="10"/>
    </row>
    <row r="138" spans="1:12" ht="12.75">
      <c r="A138">
        <f>ROW()</f>
        <v>138</v>
      </c>
      <c r="G138" s="86"/>
      <c r="L138" s="35"/>
    </row>
    <row r="139" spans="1:19" ht="12.75">
      <c r="A139">
        <f>ROW()</f>
        <v>139</v>
      </c>
      <c r="B139" t="s">
        <v>32</v>
      </c>
      <c r="C139" s="8"/>
      <c r="D139" s="8"/>
      <c r="E139" s="8"/>
      <c r="F139" s="8"/>
      <c r="G139" s="80"/>
      <c r="L139" s="36"/>
      <c r="M139" s="8"/>
      <c r="N139" s="8"/>
      <c r="O139" s="8"/>
      <c r="P139" s="8"/>
      <c r="Q139" s="8"/>
      <c r="R139" s="8"/>
      <c r="S139" s="8"/>
    </row>
    <row r="140" spans="1:19" ht="12.75">
      <c r="A140">
        <f>ROW()</f>
        <v>140</v>
      </c>
      <c r="B140" t="s">
        <v>33</v>
      </c>
      <c r="C140" s="9"/>
      <c r="D140" s="9"/>
      <c r="E140" s="9"/>
      <c r="F140" s="9"/>
      <c r="G140" s="84"/>
      <c r="L140" s="114"/>
      <c r="M140" s="38">
        <f aca="true" t="shared" si="65" ref="M140:S140">+M71</f>
        <v>14285.714285714286</v>
      </c>
      <c r="N140" s="38">
        <f t="shared" si="65"/>
        <v>14285.714285714286</v>
      </c>
      <c r="O140" s="38">
        <f t="shared" si="65"/>
        <v>14285.714285714286</v>
      </c>
      <c r="P140" s="38">
        <f t="shared" si="65"/>
        <v>14285.714285714286</v>
      </c>
      <c r="Q140" s="38">
        <f t="shared" si="65"/>
        <v>14285.714285714286</v>
      </c>
      <c r="R140" s="38">
        <f t="shared" si="65"/>
        <v>14285.714285714286</v>
      </c>
      <c r="S140" s="38">
        <f t="shared" si="65"/>
        <v>14285.714285714286</v>
      </c>
    </row>
    <row r="141" spans="1:19" ht="12.75">
      <c r="A141">
        <f>ROW()</f>
        <v>141</v>
      </c>
      <c r="B141" t="s">
        <v>34</v>
      </c>
      <c r="C141" s="76"/>
      <c r="D141" s="76"/>
      <c r="E141" s="76"/>
      <c r="F141" s="76"/>
      <c r="G141" s="84"/>
      <c r="L141" s="36"/>
      <c r="M141" s="8"/>
      <c r="N141" s="8"/>
      <c r="O141" s="8"/>
      <c r="P141" s="8"/>
      <c r="Q141" s="8"/>
      <c r="R141" s="8"/>
      <c r="S141" s="8"/>
    </row>
    <row r="142" spans="1:19" ht="12.75">
      <c r="A142">
        <f>ROW()</f>
        <v>142</v>
      </c>
      <c r="B142" t="s">
        <v>35</v>
      </c>
      <c r="C142" s="77"/>
      <c r="D142" s="77"/>
      <c r="E142" s="77"/>
      <c r="F142" s="77"/>
      <c r="G142" s="87"/>
      <c r="L142" s="138"/>
      <c r="M142" s="113"/>
      <c r="N142" s="113"/>
      <c r="O142" s="113"/>
      <c r="P142" s="113"/>
      <c r="Q142" s="113"/>
      <c r="R142" s="113"/>
      <c r="S142" s="113"/>
    </row>
    <row r="143" spans="1:19" ht="12.75">
      <c r="A143">
        <f>ROW()</f>
        <v>143</v>
      </c>
      <c r="B143" s="2" t="s">
        <v>36</v>
      </c>
      <c r="C143" s="118"/>
      <c r="D143" s="118"/>
      <c r="E143" s="118"/>
      <c r="F143" s="118"/>
      <c r="G143" s="122">
        <f>+G135-SUM(G138:G142)</f>
        <v>220000</v>
      </c>
      <c r="L143" s="137">
        <f aca="true" t="shared" si="66" ref="L143:Q143">+L135-SUM(L138:L142)</f>
        <v>220000</v>
      </c>
      <c r="M143" s="118">
        <f t="shared" si="66"/>
        <v>207714.28571428574</v>
      </c>
      <c r="N143" s="118">
        <f t="shared" si="66"/>
        <v>221714.28571428577</v>
      </c>
      <c r="O143" s="118">
        <f t="shared" si="66"/>
        <v>251714.28571428577</v>
      </c>
      <c r="P143" s="118">
        <f t="shared" si="66"/>
        <v>272714.2857142859</v>
      </c>
      <c r="Q143" s="118">
        <f t="shared" si="66"/>
        <v>287714.2857142858</v>
      </c>
      <c r="R143" s="118">
        <f>+R135-SUM(R138:R142)</f>
        <v>302887.2325741891</v>
      </c>
      <c r="S143" s="118">
        <f>+S135-SUM(S138:S142)</f>
        <v>318822.49174009735</v>
      </c>
    </row>
    <row r="144" spans="1:12" ht="12.75">
      <c r="A144">
        <f>ROW()</f>
        <v>144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1:7" ht="12.75">
      <c r="A145">
        <f>ROW()</f>
        <v>145</v>
      </c>
      <c r="B145" s="2" t="s">
        <v>37</v>
      </c>
      <c r="C145" s="118"/>
      <c r="D145" s="118"/>
      <c r="E145" s="118"/>
      <c r="F145" s="118"/>
      <c r="G145" s="118"/>
    </row>
    <row r="146" spans="1:19" ht="12.75">
      <c r="A146">
        <f>ROW()</f>
        <v>146</v>
      </c>
      <c r="B146" t="s">
        <v>108</v>
      </c>
      <c r="C146" s="118"/>
      <c r="D146" s="118"/>
      <c r="E146" s="118"/>
      <c r="F146" s="118"/>
      <c r="G146" s="118"/>
      <c r="M146" s="118">
        <f aca="true" t="shared" si="67" ref="M146:S146">+M226</f>
        <v>-1413.6000000000001</v>
      </c>
      <c r="N146" s="118">
        <f t="shared" si="67"/>
        <v>-2076.598985142858</v>
      </c>
      <c r="O146" s="118">
        <f t="shared" si="67"/>
        <v>-1321.5291332637282</v>
      </c>
      <c r="P146" s="118">
        <f t="shared" si="67"/>
        <v>442.3354319319519</v>
      </c>
      <c r="Q146" s="118">
        <f t="shared" si="67"/>
        <v>2705.3495697613243</v>
      </c>
      <c r="R146" s="118">
        <f t="shared" si="67"/>
        <v>5429.547775135883</v>
      </c>
      <c r="S146" s="118">
        <f t="shared" si="67"/>
        <v>7298.6301150511645</v>
      </c>
    </row>
    <row r="147" spans="1:19" ht="12.75">
      <c r="A147">
        <f>ROW()</f>
        <v>147</v>
      </c>
      <c r="B147" t="str">
        <f>+B8</f>
        <v>Revolver</v>
      </c>
      <c r="C147" s="118"/>
      <c r="D147" s="118"/>
      <c r="E147" s="118"/>
      <c r="F147" s="118"/>
      <c r="G147" s="118"/>
      <c r="M147" s="118">
        <f aca="true" t="shared" si="68" ref="M147:S147">+M233</f>
        <v>0</v>
      </c>
      <c r="N147" s="118">
        <f t="shared" si="68"/>
        <v>0</v>
      </c>
      <c r="O147" s="118">
        <f t="shared" si="68"/>
        <v>0</v>
      </c>
      <c r="P147" s="118">
        <f t="shared" si="68"/>
        <v>0</v>
      </c>
      <c r="Q147" s="118">
        <f t="shared" si="68"/>
        <v>0</v>
      </c>
      <c r="R147" s="118">
        <f t="shared" si="68"/>
        <v>0</v>
      </c>
      <c r="S147" s="118">
        <f t="shared" si="68"/>
        <v>0.08075</v>
      </c>
    </row>
    <row r="148" spans="1:19" ht="12.75">
      <c r="A148">
        <f>ROW()</f>
        <v>148</v>
      </c>
      <c r="B148" t="str">
        <f>+B9</f>
        <v>Term Loan A</v>
      </c>
      <c r="C148" s="118"/>
      <c r="D148" s="118"/>
      <c r="E148" s="118"/>
      <c r="F148" s="118"/>
      <c r="G148" s="118"/>
      <c r="M148" s="118">
        <f aca="true" t="shared" si="69" ref="M148:S148">+M240</f>
        <v>48450</v>
      </c>
      <c r="N148" s="118">
        <f t="shared" si="69"/>
        <v>48450</v>
      </c>
      <c r="O148" s="118">
        <f t="shared" si="69"/>
        <v>44331.75</v>
      </c>
      <c r="P148" s="118">
        <f t="shared" si="69"/>
        <v>38275.5</v>
      </c>
      <c r="Q148" s="118">
        <f t="shared" si="69"/>
        <v>29554.5</v>
      </c>
      <c r="R148" s="118">
        <f t="shared" si="69"/>
        <v>18895.5</v>
      </c>
      <c r="S148" s="118">
        <f t="shared" si="69"/>
        <v>8236.5</v>
      </c>
    </row>
    <row r="149" spans="1:19" ht="12.75">
      <c r="A149">
        <f>ROW()</f>
        <v>149</v>
      </c>
      <c r="B149" t="str">
        <f>+B10</f>
        <v>Term Loan B</v>
      </c>
      <c r="C149" s="118"/>
      <c r="D149" s="118"/>
      <c r="E149" s="118"/>
      <c r="F149" s="118"/>
      <c r="G149" s="118"/>
      <c r="M149" s="118">
        <f aca="true" t="shared" si="70" ref="M149:S149">+M247</f>
        <v>15224.999999999998</v>
      </c>
      <c r="N149" s="118">
        <f t="shared" si="70"/>
        <v>15224.999999999998</v>
      </c>
      <c r="O149" s="118">
        <f t="shared" si="70"/>
        <v>15224.999999999998</v>
      </c>
      <c r="P149" s="118">
        <f t="shared" si="70"/>
        <v>15224.999999999998</v>
      </c>
      <c r="Q149" s="118">
        <f t="shared" si="70"/>
        <v>15224.999999999998</v>
      </c>
      <c r="R149" s="118">
        <f t="shared" si="70"/>
        <v>15224.999999999998</v>
      </c>
      <c r="S149" s="118">
        <f t="shared" si="70"/>
        <v>15225.087</v>
      </c>
    </row>
    <row r="150" spans="1:19" ht="12.75">
      <c r="A150">
        <f>ROW()</f>
        <v>150</v>
      </c>
      <c r="B150" t="str">
        <f>+B11</f>
        <v>Term Loan C</v>
      </c>
      <c r="C150" s="118"/>
      <c r="D150" s="118"/>
      <c r="E150" s="118"/>
      <c r="F150" s="118"/>
      <c r="G150" s="118"/>
      <c r="M150" s="118">
        <f aca="true" t="shared" si="71" ref="M150:S150">+M254</f>
        <v>16100</v>
      </c>
      <c r="N150" s="118">
        <f t="shared" si="71"/>
        <v>16100</v>
      </c>
      <c r="O150" s="118">
        <f t="shared" si="71"/>
        <v>15916</v>
      </c>
      <c r="P150" s="118">
        <f t="shared" si="71"/>
        <v>15732</v>
      </c>
      <c r="Q150" s="118">
        <f t="shared" si="71"/>
        <v>15548</v>
      </c>
      <c r="R150" s="118">
        <f t="shared" si="71"/>
        <v>15364</v>
      </c>
      <c r="S150" s="118">
        <f t="shared" si="71"/>
        <v>15180.092</v>
      </c>
    </row>
    <row r="151" spans="1:19" ht="12.75">
      <c r="A151">
        <f>ROW()</f>
        <v>151</v>
      </c>
      <c r="B151" t="str">
        <f>+B12</f>
        <v>Other Bank Debt / Exisiting</v>
      </c>
      <c r="C151" s="118"/>
      <c r="D151" s="118"/>
      <c r="E151" s="118"/>
      <c r="F151" s="118"/>
      <c r="G151" s="118"/>
      <c r="M151" s="118">
        <f aca="true" t="shared" si="72" ref="M151:S151">+M261</f>
        <v>0</v>
      </c>
      <c r="N151" s="118">
        <f t="shared" si="72"/>
        <v>0</v>
      </c>
      <c r="O151" s="118">
        <f t="shared" si="72"/>
        <v>0</v>
      </c>
      <c r="P151" s="118">
        <f t="shared" si="72"/>
        <v>0</v>
      </c>
      <c r="Q151" s="118">
        <f t="shared" si="72"/>
        <v>0</v>
      </c>
      <c r="R151" s="118">
        <f t="shared" si="72"/>
        <v>0</v>
      </c>
      <c r="S151" s="118">
        <f t="shared" si="72"/>
        <v>0.057</v>
      </c>
    </row>
    <row r="152" spans="1:19" ht="12.75">
      <c r="A152">
        <f>ROW()</f>
        <v>152</v>
      </c>
      <c r="B152" t="str">
        <f>+B14</f>
        <v>Senior Secured Notes</v>
      </c>
      <c r="C152" s="118"/>
      <c r="D152" s="118"/>
      <c r="E152" s="118"/>
      <c r="F152" s="118"/>
      <c r="G152" s="118"/>
      <c r="M152" s="118">
        <f aca="true" t="shared" si="73" ref="M152:S152">+M267</f>
        <v>0</v>
      </c>
      <c r="N152" s="118">
        <f t="shared" si="73"/>
        <v>0</v>
      </c>
      <c r="O152" s="118">
        <f t="shared" si="73"/>
        <v>0</v>
      </c>
      <c r="P152" s="118">
        <f t="shared" si="73"/>
        <v>0</v>
      </c>
      <c r="Q152" s="118">
        <f t="shared" si="73"/>
        <v>0</v>
      </c>
      <c r="R152" s="118">
        <f t="shared" si="73"/>
        <v>0</v>
      </c>
      <c r="S152" s="118">
        <f t="shared" si="73"/>
        <v>0.08</v>
      </c>
    </row>
    <row r="153" spans="1:19" ht="12.75">
      <c r="A153">
        <f>ROW()</f>
        <v>153</v>
      </c>
      <c r="B153" t="str">
        <f>+B16</f>
        <v>Senior Unsecured / Subordinated Notes</v>
      </c>
      <c r="C153" s="118"/>
      <c r="D153" s="118"/>
      <c r="E153" s="118"/>
      <c r="F153" s="118"/>
      <c r="G153" s="118"/>
      <c r="M153" s="118">
        <f aca="true" t="shared" si="74" ref="M153:S153">+M273</f>
        <v>30000</v>
      </c>
      <c r="N153" s="118">
        <f t="shared" si="74"/>
        <v>30000</v>
      </c>
      <c r="O153" s="118">
        <f t="shared" si="74"/>
        <v>30000</v>
      </c>
      <c r="P153" s="118">
        <f t="shared" si="74"/>
        <v>30000</v>
      </c>
      <c r="Q153" s="118">
        <f t="shared" si="74"/>
        <v>30000</v>
      </c>
      <c r="R153" s="118">
        <f t="shared" si="74"/>
        <v>30000</v>
      </c>
      <c r="S153" s="118">
        <f t="shared" si="74"/>
        <v>30000</v>
      </c>
    </row>
    <row r="154" spans="1:19" ht="12.75">
      <c r="A154">
        <f>ROW()</f>
        <v>154</v>
      </c>
      <c r="B154" t="str">
        <f>+B17</f>
        <v>Junior Subordinated Notes</v>
      </c>
      <c r="C154" s="118"/>
      <c r="D154" s="118"/>
      <c r="E154" s="118"/>
      <c r="F154" s="118"/>
      <c r="G154" s="118"/>
      <c r="M154" s="166">
        <f aca="true" t="shared" si="75" ref="M154:S154">+M279</f>
        <v>16000</v>
      </c>
      <c r="N154" s="166">
        <f t="shared" si="75"/>
        <v>18048</v>
      </c>
      <c r="O154" s="166">
        <f t="shared" si="75"/>
        <v>20358.144</v>
      </c>
      <c r="P154" s="166">
        <f t="shared" si="75"/>
        <v>22963.986432</v>
      </c>
      <c r="Q154" s="166">
        <f t="shared" si="75"/>
        <v>25903.376695296</v>
      </c>
      <c r="R154" s="166">
        <f t="shared" si="75"/>
        <v>29219.008912293888</v>
      </c>
      <c r="S154" s="166">
        <f t="shared" si="75"/>
        <v>32959.042053067504</v>
      </c>
    </row>
    <row r="155" spans="1:19" ht="12.75">
      <c r="A155">
        <f>ROW()</f>
        <v>155</v>
      </c>
      <c r="B155" t="str">
        <f>+B21</f>
        <v>Prefered Equity</v>
      </c>
      <c r="C155" s="118"/>
      <c r="D155" s="118"/>
      <c r="E155" s="118"/>
      <c r="F155" s="118"/>
      <c r="G155" s="118"/>
      <c r="M155" s="166">
        <f aca="true" t="shared" si="76" ref="M155:S155">+M285</f>
        <v>0</v>
      </c>
      <c r="N155" s="166">
        <f t="shared" si="76"/>
        <v>0</v>
      </c>
      <c r="O155" s="166">
        <f t="shared" si="76"/>
        <v>0</v>
      </c>
      <c r="P155" s="166">
        <f t="shared" si="76"/>
        <v>0</v>
      </c>
      <c r="Q155" s="166">
        <f t="shared" si="76"/>
        <v>0</v>
      </c>
      <c r="R155" s="166">
        <f t="shared" si="76"/>
        <v>0</v>
      </c>
      <c r="S155" s="166">
        <f t="shared" si="76"/>
        <v>0</v>
      </c>
    </row>
    <row r="156" spans="1:19" ht="12.75">
      <c r="A156">
        <f>ROW()</f>
        <v>156</v>
      </c>
      <c r="B156" t="str">
        <f>+B22</f>
        <v>Rollover Equity</v>
      </c>
      <c r="C156" s="118"/>
      <c r="D156" s="118"/>
      <c r="E156" s="118"/>
      <c r="F156" s="118"/>
      <c r="G156" s="118"/>
      <c r="M156" s="166">
        <f aca="true" t="shared" si="77" ref="M156:S156">+M291</f>
        <v>0</v>
      </c>
      <c r="N156" s="166">
        <f t="shared" si="77"/>
        <v>0</v>
      </c>
      <c r="O156" s="166">
        <f t="shared" si="77"/>
        <v>0</v>
      </c>
      <c r="P156" s="166">
        <f t="shared" si="77"/>
        <v>0</v>
      </c>
      <c r="Q156" s="166">
        <f t="shared" si="77"/>
        <v>0</v>
      </c>
      <c r="R156" s="166">
        <f t="shared" si="77"/>
        <v>0</v>
      </c>
      <c r="S156" s="166">
        <f t="shared" si="77"/>
        <v>0</v>
      </c>
    </row>
    <row r="157" spans="1:19" ht="12.75">
      <c r="A157">
        <f>ROW()</f>
        <v>157</v>
      </c>
      <c r="B157" t="s">
        <v>38</v>
      </c>
      <c r="C157" s="118"/>
      <c r="D157" s="118"/>
      <c r="E157" s="118"/>
      <c r="F157" s="118"/>
      <c r="G157" s="118"/>
      <c r="M157" s="187">
        <f aca="true" t="shared" si="78" ref="M157:S157">SUM(M145:M156)</f>
        <v>124361.4</v>
      </c>
      <c r="N157" s="187">
        <f t="shared" si="78"/>
        <v>125746.40101485714</v>
      </c>
      <c r="O157" s="187">
        <f t="shared" si="78"/>
        <v>124509.36486673627</v>
      </c>
      <c r="P157" s="187">
        <f t="shared" si="78"/>
        <v>122638.82186393195</v>
      </c>
      <c r="Q157" s="187">
        <f t="shared" si="78"/>
        <v>118936.22626505732</v>
      </c>
      <c r="R157" s="187">
        <f t="shared" si="78"/>
        <v>114133.05668742978</v>
      </c>
      <c r="S157" s="187">
        <f t="shared" si="78"/>
        <v>108899.56891811868</v>
      </c>
    </row>
    <row r="158" spans="1:19" ht="12.75">
      <c r="A158">
        <f>ROW()</f>
        <v>158</v>
      </c>
      <c r="C158" s="118"/>
      <c r="D158" s="118"/>
      <c r="E158" s="118"/>
      <c r="F158" s="118"/>
      <c r="G158" s="118"/>
      <c r="M158" s="118"/>
      <c r="N158" s="118"/>
      <c r="O158" s="118"/>
      <c r="P158" s="118"/>
      <c r="Q158" s="118"/>
      <c r="R158" s="118"/>
      <c r="S158" s="118"/>
    </row>
    <row r="159" spans="1:19" ht="12.75">
      <c r="A159">
        <f>ROW()</f>
        <v>159</v>
      </c>
      <c r="B159" s="48" t="s">
        <v>139</v>
      </c>
      <c r="C159" s="118"/>
      <c r="D159" s="118"/>
      <c r="E159" s="118"/>
      <c r="F159" s="118"/>
      <c r="G159" s="118"/>
      <c r="M159" s="118">
        <f aca="true" t="shared" si="79" ref="M159:S159">+M143-M157</f>
        <v>83352.88571428575</v>
      </c>
      <c r="N159" s="118">
        <f t="shared" si="79"/>
        <v>95967.88469942863</v>
      </c>
      <c r="O159" s="118">
        <f t="shared" si="79"/>
        <v>127204.9208475495</v>
      </c>
      <c r="P159" s="118">
        <f t="shared" si="79"/>
        <v>150075.46385035396</v>
      </c>
      <c r="Q159" s="118">
        <f t="shared" si="79"/>
        <v>168778.05944922846</v>
      </c>
      <c r="R159" s="118">
        <f t="shared" si="79"/>
        <v>188754.1758867593</v>
      </c>
      <c r="S159" s="118">
        <f t="shared" si="79"/>
        <v>209922.9228219787</v>
      </c>
    </row>
    <row r="160" spans="1:19" ht="12.75">
      <c r="A160">
        <f>ROW()</f>
        <v>160</v>
      </c>
      <c r="B160" t="s">
        <v>39</v>
      </c>
      <c r="C160" s="118"/>
      <c r="D160" s="118"/>
      <c r="E160" s="118"/>
      <c r="F160" s="118"/>
      <c r="G160" s="118"/>
      <c r="M160" s="22">
        <v>0.36</v>
      </c>
      <c r="N160" s="22">
        <v>0.36</v>
      </c>
      <c r="O160" s="22">
        <v>0.36</v>
      </c>
      <c r="P160" s="22">
        <v>0.36</v>
      </c>
      <c r="Q160" s="22">
        <v>0.36</v>
      </c>
      <c r="R160" s="22">
        <f>+Q160</f>
        <v>0.36</v>
      </c>
      <c r="S160" s="22">
        <f>+R160</f>
        <v>0.36</v>
      </c>
    </row>
    <row r="161" spans="1:19" ht="12.75">
      <c r="A161">
        <f>ROW()</f>
        <v>161</v>
      </c>
      <c r="B161" t="s">
        <v>40</v>
      </c>
      <c r="C161" s="118"/>
      <c r="D161" s="118"/>
      <c r="E161" s="118"/>
      <c r="F161" s="118"/>
      <c r="G161" s="118"/>
      <c r="M161" s="40">
        <f aca="true" t="shared" si="80" ref="M161:S161">+M160*M159</f>
        <v>30007.038857142867</v>
      </c>
      <c r="N161" s="40">
        <f t="shared" si="80"/>
        <v>34548.4384917943</v>
      </c>
      <c r="O161" s="40">
        <f t="shared" si="80"/>
        <v>45793.77150511782</v>
      </c>
      <c r="P161" s="40">
        <f t="shared" si="80"/>
        <v>54027.16698612742</v>
      </c>
      <c r="Q161" s="40">
        <f t="shared" si="80"/>
        <v>60760.10140172224</v>
      </c>
      <c r="R161" s="40">
        <f t="shared" si="80"/>
        <v>67951.50331923335</v>
      </c>
      <c r="S161" s="40">
        <f t="shared" si="80"/>
        <v>75572.25221591232</v>
      </c>
    </row>
    <row r="162" spans="1:19" ht="13.5" thickBot="1">
      <c r="A162">
        <f>ROW()</f>
        <v>162</v>
      </c>
      <c r="B162" s="2" t="s">
        <v>41</v>
      </c>
      <c r="C162" s="118"/>
      <c r="D162" s="118"/>
      <c r="E162" s="118"/>
      <c r="F162" s="118"/>
      <c r="G162" s="118"/>
      <c r="M162" s="119">
        <f aca="true" t="shared" si="81" ref="M162:S162">+M159-M161</f>
        <v>53345.84685714288</v>
      </c>
      <c r="N162" s="119">
        <f t="shared" si="81"/>
        <v>61419.446207634326</v>
      </c>
      <c r="O162" s="119">
        <f t="shared" si="81"/>
        <v>81411.14934243169</v>
      </c>
      <c r="P162" s="119">
        <f t="shared" si="81"/>
        <v>96048.29686422655</v>
      </c>
      <c r="Q162" s="119">
        <f t="shared" si="81"/>
        <v>108017.95804750622</v>
      </c>
      <c r="R162" s="119">
        <f t="shared" si="81"/>
        <v>120802.67256752595</v>
      </c>
      <c r="S162" s="119">
        <f t="shared" si="81"/>
        <v>134350.67060606636</v>
      </c>
    </row>
    <row r="163" spans="1:7" ht="13.5" thickTop="1">
      <c r="A163">
        <f>ROW()</f>
        <v>163</v>
      </c>
      <c r="C163" s="118"/>
      <c r="D163" s="118"/>
      <c r="E163" s="118"/>
      <c r="F163" s="118"/>
      <c r="G163" s="118"/>
    </row>
    <row r="164" ht="12.75">
      <c r="A164">
        <f>ROW()</f>
        <v>164</v>
      </c>
    </row>
    <row r="165" spans="1:19" ht="18">
      <c r="A165">
        <f>ROW()</f>
        <v>165</v>
      </c>
      <c r="B165" s="43" t="s">
        <v>44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9.5" customHeight="1">
      <c r="A166">
        <f>ROW()</f>
        <v>166</v>
      </c>
      <c r="C166" s="7"/>
      <c r="D166" s="7"/>
      <c r="E166" s="7"/>
      <c r="F166" s="7"/>
      <c r="G166" s="7"/>
      <c r="H166" s="2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9.5" customHeight="1">
      <c r="A167">
        <f>ROW()</f>
        <v>167</v>
      </c>
      <c r="C167" s="82"/>
      <c r="D167" s="82"/>
      <c r="E167" s="82"/>
      <c r="F167" s="88"/>
      <c r="G167" s="82"/>
      <c r="H167" s="27"/>
      <c r="I167" s="7"/>
      <c r="J167" s="7"/>
      <c r="K167" s="7"/>
      <c r="L167" s="103"/>
      <c r="M167" s="81"/>
      <c r="N167" s="81"/>
      <c r="O167" s="81"/>
      <c r="P167" s="81"/>
      <c r="Q167" s="81"/>
      <c r="R167" s="81"/>
      <c r="S167" s="81"/>
    </row>
    <row r="168" spans="1:19" ht="13.5" thickBot="1">
      <c r="A168">
        <f>ROW()</f>
        <v>168</v>
      </c>
      <c r="C168" s="78"/>
      <c r="D168" s="78"/>
      <c r="E168" s="78"/>
      <c r="F168" s="79"/>
      <c r="G168" s="78">
        <f>+G122</f>
        <v>36951</v>
      </c>
      <c r="H168" s="27"/>
      <c r="I168" s="7"/>
      <c r="J168" s="7"/>
      <c r="K168" s="7"/>
      <c r="L168" s="103"/>
      <c r="M168" s="78">
        <f aca="true" t="shared" si="82" ref="M168:S168">+M122</f>
        <v>37316</v>
      </c>
      <c r="N168" s="78">
        <f t="shared" si="82"/>
        <v>37681</v>
      </c>
      <c r="O168" s="78">
        <f t="shared" si="82"/>
        <v>38047</v>
      </c>
      <c r="P168" s="78">
        <f t="shared" si="82"/>
        <v>38412</v>
      </c>
      <c r="Q168" s="78">
        <f t="shared" si="82"/>
        <v>38777</v>
      </c>
      <c r="R168" s="78">
        <f t="shared" si="82"/>
        <v>39142</v>
      </c>
      <c r="S168" s="78">
        <f t="shared" si="82"/>
        <v>39507</v>
      </c>
    </row>
    <row r="169" spans="1:19" ht="12.75">
      <c r="A169">
        <f>ROW()</f>
        <v>169</v>
      </c>
      <c r="B169" t="s">
        <v>45</v>
      </c>
      <c r="C169" s="123"/>
      <c r="D169" s="123"/>
      <c r="E169" s="123"/>
      <c r="F169" s="124"/>
      <c r="G169" s="125"/>
      <c r="H169" s="27"/>
      <c r="I169" s="7"/>
      <c r="J169" s="7"/>
      <c r="L169" s="103"/>
      <c r="M169" s="123">
        <f aca="true" t="shared" si="83" ref="M169:S169">+M162</f>
        <v>53345.84685714288</v>
      </c>
      <c r="N169" s="152">
        <f t="shared" si="83"/>
        <v>61419.446207634326</v>
      </c>
      <c r="O169" s="152">
        <f t="shared" si="83"/>
        <v>81411.14934243169</v>
      </c>
      <c r="P169" s="152">
        <f t="shared" si="83"/>
        <v>96048.29686422655</v>
      </c>
      <c r="Q169" s="152">
        <f t="shared" si="83"/>
        <v>108017.95804750622</v>
      </c>
      <c r="R169" s="152">
        <f t="shared" si="83"/>
        <v>120802.67256752595</v>
      </c>
      <c r="S169" s="152">
        <f t="shared" si="83"/>
        <v>134350.67060606636</v>
      </c>
    </row>
    <row r="170" spans="1:19" ht="12.75">
      <c r="A170">
        <f>ROW()</f>
        <v>170</v>
      </c>
      <c r="B170" t="s">
        <v>30</v>
      </c>
      <c r="C170" s="126"/>
      <c r="D170" s="126"/>
      <c r="E170" s="126"/>
      <c r="F170" s="127"/>
      <c r="G170" s="125">
        <f>+G134</f>
        <v>12000</v>
      </c>
      <c r="H170" s="27"/>
      <c r="I170" s="7"/>
      <c r="J170" s="7"/>
      <c r="K170" s="7"/>
      <c r="L170" s="103"/>
      <c r="M170" s="126">
        <f aca="true" t="shared" si="84" ref="M170:S170">+M134</f>
        <v>16000.000000000002</v>
      </c>
      <c r="N170" s="125">
        <f t="shared" si="84"/>
        <v>18000.000000000007</v>
      </c>
      <c r="O170" s="125">
        <f t="shared" si="84"/>
        <v>19000.000000000007</v>
      </c>
      <c r="P170" s="125">
        <f t="shared" si="84"/>
        <v>19000.000000000007</v>
      </c>
      <c r="Q170" s="125">
        <f t="shared" si="84"/>
        <v>25000.000000000004</v>
      </c>
      <c r="R170" s="125">
        <f t="shared" si="84"/>
        <v>26256.038647342997</v>
      </c>
      <c r="S170" s="125">
        <f t="shared" si="84"/>
        <v>27575.18261803076</v>
      </c>
    </row>
    <row r="171" spans="1:19" ht="12.75">
      <c r="A171">
        <f>ROW()</f>
        <v>171</v>
      </c>
      <c r="B171" t="s">
        <v>126</v>
      </c>
      <c r="C171" s="126"/>
      <c r="D171" s="126"/>
      <c r="E171" s="126"/>
      <c r="F171" s="127"/>
      <c r="G171" s="125"/>
      <c r="H171" s="27"/>
      <c r="I171" s="7"/>
      <c r="J171" s="7"/>
      <c r="L171" s="103"/>
      <c r="M171" s="126">
        <f aca="true" t="shared" si="85" ref="M171:S171">+M140</f>
        <v>14285.714285714286</v>
      </c>
      <c r="N171" s="125">
        <f t="shared" si="85"/>
        <v>14285.714285714286</v>
      </c>
      <c r="O171" s="125">
        <f t="shared" si="85"/>
        <v>14285.714285714286</v>
      </c>
      <c r="P171" s="125">
        <f t="shared" si="85"/>
        <v>14285.714285714286</v>
      </c>
      <c r="Q171" s="125">
        <f t="shared" si="85"/>
        <v>14285.714285714286</v>
      </c>
      <c r="R171" s="125">
        <f t="shared" si="85"/>
        <v>14285.714285714286</v>
      </c>
      <c r="S171" s="125">
        <f t="shared" si="85"/>
        <v>14285.714285714286</v>
      </c>
    </row>
    <row r="172" spans="1:19" ht="12.75">
      <c r="A172">
        <f>ROW()</f>
        <v>172</v>
      </c>
      <c r="B172" t="s">
        <v>127</v>
      </c>
      <c r="C172" s="133"/>
      <c r="D172" s="133"/>
      <c r="E172" s="133"/>
      <c r="F172" s="134"/>
      <c r="G172" s="161">
        <v>0</v>
      </c>
      <c r="L172" s="103"/>
      <c r="M172" s="191">
        <v>-15000</v>
      </c>
      <c r="N172" s="161">
        <v>-19000</v>
      </c>
      <c r="O172" s="161">
        <v>-28000</v>
      </c>
      <c r="P172" s="161">
        <v>-35000</v>
      </c>
      <c r="Q172" s="161">
        <v>-40000</v>
      </c>
      <c r="R172" s="161">
        <v>-39999</v>
      </c>
      <c r="S172" s="161">
        <v>-39998</v>
      </c>
    </row>
    <row r="173" spans="1:19" ht="12.75">
      <c r="A173">
        <f>ROW()</f>
        <v>173</v>
      </c>
      <c r="B173" s="2" t="s">
        <v>133</v>
      </c>
      <c r="C173" s="126"/>
      <c r="D173" s="126"/>
      <c r="E173" s="126"/>
      <c r="F173" s="127"/>
      <c r="G173" s="125"/>
      <c r="L173" s="190"/>
      <c r="M173" s="126">
        <f aca="true" t="shared" si="86" ref="M173:S173">SUM(M169:M172)</f>
        <v>68631.56114285717</v>
      </c>
      <c r="N173" s="125">
        <f t="shared" si="86"/>
        <v>74705.16049334862</v>
      </c>
      <c r="O173" s="125">
        <f t="shared" si="86"/>
        <v>86696.86362814598</v>
      </c>
      <c r="P173" s="125">
        <f t="shared" si="86"/>
        <v>94334.01114994084</v>
      </c>
      <c r="Q173" s="125">
        <f t="shared" si="86"/>
        <v>107303.67233322051</v>
      </c>
      <c r="R173" s="125">
        <f t="shared" si="86"/>
        <v>121345.42550058322</v>
      </c>
      <c r="S173" s="125">
        <f t="shared" si="86"/>
        <v>136213.5675098114</v>
      </c>
    </row>
    <row r="174" spans="1:19" ht="12.75">
      <c r="A174">
        <f>ROW()</f>
        <v>174</v>
      </c>
      <c r="C174" s="126"/>
      <c r="D174" s="126"/>
      <c r="E174" s="126"/>
      <c r="F174" s="127"/>
      <c r="G174" s="125"/>
      <c r="L174" s="103"/>
      <c r="M174" s="123"/>
      <c r="N174" s="152"/>
      <c r="O174" s="152"/>
      <c r="P174" s="152"/>
      <c r="Q174" s="152"/>
      <c r="R174" s="152"/>
      <c r="S174" s="152"/>
    </row>
    <row r="175" spans="1:19" ht="12.75">
      <c r="A175">
        <f>ROW()</f>
        <v>175</v>
      </c>
      <c r="B175" s="157" t="s">
        <v>129</v>
      </c>
      <c r="C175" s="126"/>
      <c r="D175" s="126"/>
      <c r="E175" s="126"/>
      <c r="F175" s="127"/>
      <c r="G175" s="125"/>
      <c r="L175" s="103"/>
      <c r="M175" s="123"/>
      <c r="N175" s="152"/>
      <c r="O175" s="152"/>
      <c r="P175" s="152"/>
      <c r="Q175" s="152"/>
      <c r="R175" s="152"/>
      <c r="S175" s="152"/>
    </row>
    <row r="176" spans="1:19" ht="12.75">
      <c r="A176">
        <f>ROW()</f>
        <v>176</v>
      </c>
      <c r="B176" t="s">
        <v>128</v>
      </c>
      <c r="C176" s="126"/>
      <c r="D176" s="126"/>
      <c r="E176" s="126"/>
      <c r="F176" s="127"/>
      <c r="G176" s="158">
        <v>-43000</v>
      </c>
      <c r="H176" s="159"/>
      <c r="I176" s="159"/>
      <c r="J176" s="159"/>
      <c r="K176" s="159"/>
      <c r="L176" s="160"/>
      <c r="M176" s="209">
        <f aca="true" t="shared" si="87" ref="M176:S176">-M123*M72</f>
        <v>-51000.00000000001</v>
      </c>
      <c r="N176" s="209">
        <f t="shared" si="87"/>
        <v>-30000.00000000001</v>
      </c>
      <c r="O176" s="209">
        <f t="shared" si="87"/>
        <v>-33000.00000000001</v>
      </c>
      <c r="P176" s="209">
        <f t="shared" si="87"/>
        <v>-23000.000000000007</v>
      </c>
      <c r="Q176" s="209">
        <f t="shared" si="87"/>
        <v>-22000.000000000004</v>
      </c>
      <c r="R176" s="209">
        <f t="shared" si="87"/>
        <v>-23105.314009661837</v>
      </c>
      <c r="S176" s="209">
        <f t="shared" si="87"/>
        <v>-24266.160703867066</v>
      </c>
    </row>
    <row r="177" spans="1:19" ht="12.75">
      <c r="A177">
        <f>ROW()</f>
        <v>177</v>
      </c>
      <c r="C177" s="133"/>
      <c r="D177" s="133"/>
      <c r="E177" s="133"/>
      <c r="F177" s="134"/>
      <c r="G177" s="130"/>
      <c r="L177" s="103"/>
      <c r="M177" s="128"/>
      <c r="N177" s="130"/>
      <c r="O177" s="130"/>
      <c r="P177" s="130"/>
      <c r="Q177" s="130"/>
      <c r="R177" s="130"/>
      <c r="S177" s="130"/>
    </row>
    <row r="178" spans="1:19" ht="12.75">
      <c r="A178">
        <f>ROW()</f>
        <v>178</v>
      </c>
      <c r="B178" s="2" t="s">
        <v>130</v>
      </c>
      <c r="C178" s="126"/>
      <c r="D178" s="126"/>
      <c r="E178" s="126"/>
      <c r="F178" s="127"/>
      <c r="G178" s="125">
        <f>SUM(G174:G177)</f>
        <v>-43000</v>
      </c>
      <c r="L178" s="103"/>
      <c r="M178" s="126">
        <f aca="true" t="shared" si="88" ref="M178:S178">SUM(M173:M177)</f>
        <v>17631.561142857165</v>
      </c>
      <c r="N178" s="125">
        <f t="shared" si="88"/>
        <v>44705.16049334861</v>
      </c>
      <c r="O178" s="125">
        <f t="shared" si="88"/>
        <v>53696.86362814597</v>
      </c>
      <c r="P178" s="125">
        <f t="shared" si="88"/>
        <v>71334.01114994084</v>
      </c>
      <c r="Q178" s="125">
        <f t="shared" si="88"/>
        <v>85303.67233322051</v>
      </c>
      <c r="R178" s="125">
        <f t="shared" si="88"/>
        <v>98240.11149092138</v>
      </c>
      <c r="S178" s="125">
        <f t="shared" si="88"/>
        <v>111947.40680594434</v>
      </c>
    </row>
    <row r="179" spans="1:19" ht="12.75">
      <c r="A179">
        <f>ROW()</f>
        <v>179</v>
      </c>
      <c r="C179" s="126"/>
      <c r="D179" s="126"/>
      <c r="E179" s="126"/>
      <c r="F179" s="127"/>
      <c r="G179" s="125"/>
      <c r="L179" s="103"/>
      <c r="M179" s="123"/>
      <c r="N179" s="152"/>
      <c r="O179" s="152"/>
      <c r="P179" s="152"/>
      <c r="Q179" s="152"/>
      <c r="R179" s="152"/>
      <c r="S179" s="152"/>
    </row>
    <row r="180" spans="1:19" ht="12.75">
      <c r="A180">
        <f>ROW()</f>
        <v>180</v>
      </c>
      <c r="B180" s="157" t="s">
        <v>46</v>
      </c>
      <c r="C180" s="126"/>
      <c r="D180" s="126"/>
      <c r="E180" s="126"/>
      <c r="F180" s="127"/>
      <c r="G180" s="125"/>
      <c r="L180" s="103"/>
      <c r="M180" s="123"/>
      <c r="N180" s="152"/>
      <c r="O180" s="152"/>
      <c r="P180" s="152"/>
      <c r="Q180" s="152"/>
      <c r="R180" s="152"/>
      <c r="S180" s="152"/>
    </row>
    <row r="181" spans="1:19" ht="12.75">
      <c r="A181">
        <f>ROW()</f>
        <v>181</v>
      </c>
      <c r="B181" t="s">
        <v>111</v>
      </c>
      <c r="C181" s="131"/>
      <c r="D181" s="131"/>
      <c r="E181" s="131"/>
      <c r="F181" s="132"/>
      <c r="G181" s="158">
        <v>-23000</v>
      </c>
      <c r="H181" s="159"/>
      <c r="I181" s="159"/>
      <c r="J181" s="159"/>
      <c r="K181" s="159"/>
      <c r="L181" s="160"/>
      <c r="M181" s="210">
        <f aca="true" t="shared" si="89" ref="M181:S181">-M123*M73</f>
        <v>-22000.000000000004</v>
      </c>
      <c r="N181" s="210">
        <f t="shared" si="89"/>
        <v>-23000.000000000007</v>
      </c>
      <c r="O181" s="210">
        <f t="shared" si="89"/>
        <v>-28000.000000000007</v>
      </c>
      <c r="P181" s="210">
        <f t="shared" si="89"/>
        <v>-24000.000000000007</v>
      </c>
      <c r="Q181" s="210">
        <f t="shared" si="89"/>
        <v>-25000.000000000004</v>
      </c>
      <c r="R181" s="210">
        <f t="shared" si="89"/>
        <v>-26256.038647342997</v>
      </c>
      <c r="S181" s="210">
        <f t="shared" si="89"/>
        <v>-27575.18261803076</v>
      </c>
    </row>
    <row r="182" spans="1:19" ht="12.75">
      <c r="A182">
        <f>ROW()</f>
        <v>182</v>
      </c>
      <c r="B182" t="s">
        <v>71</v>
      </c>
      <c r="C182" s="135"/>
      <c r="D182" s="135"/>
      <c r="E182" s="135"/>
      <c r="F182" s="136"/>
      <c r="G182" s="161"/>
      <c r="H182" s="159"/>
      <c r="I182" s="159"/>
      <c r="J182" s="159"/>
      <c r="K182" s="159"/>
      <c r="L182" s="160"/>
      <c r="M182" s="191">
        <v>0</v>
      </c>
      <c r="N182" s="161">
        <v>0</v>
      </c>
      <c r="O182" s="161">
        <v>0</v>
      </c>
      <c r="P182" s="161">
        <v>0</v>
      </c>
      <c r="Q182" s="161">
        <v>0</v>
      </c>
      <c r="R182" s="161">
        <v>1</v>
      </c>
      <c r="S182" s="161">
        <v>2</v>
      </c>
    </row>
    <row r="183" spans="1:19" ht="12.75">
      <c r="A183">
        <f>ROW()</f>
        <v>183</v>
      </c>
      <c r="B183" t="s">
        <v>72</v>
      </c>
      <c r="C183" s="126"/>
      <c r="D183" s="126"/>
      <c r="E183" s="126"/>
      <c r="F183" s="127"/>
      <c r="G183" s="125"/>
      <c r="L183" s="103"/>
      <c r="M183" s="126">
        <f aca="true" t="shared" si="90" ref="M183:S183">SUM(M181:M182)</f>
        <v>-22000.000000000004</v>
      </c>
      <c r="N183" s="125">
        <f t="shared" si="90"/>
        <v>-23000.000000000007</v>
      </c>
      <c r="O183" s="125">
        <f t="shared" si="90"/>
        <v>-28000.000000000007</v>
      </c>
      <c r="P183" s="125">
        <f t="shared" si="90"/>
        <v>-24000.000000000007</v>
      </c>
      <c r="Q183" s="125">
        <f t="shared" si="90"/>
        <v>-25000.000000000004</v>
      </c>
      <c r="R183" s="125">
        <f t="shared" si="90"/>
        <v>-26255.038647342997</v>
      </c>
      <c r="S183" s="125">
        <f t="shared" si="90"/>
        <v>-27573.18261803076</v>
      </c>
    </row>
    <row r="184" spans="1:19" ht="12.75">
      <c r="A184">
        <f>ROW()</f>
        <v>184</v>
      </c>
      <c r="B184" t="s">
        <v>1</v>
      </c>
      <c r="C184" s="131"/>
      <c r="D184" s="131"/>
      <c r="E184" s="131"/>
      <c r="F184" s="132"/>
      <c r="G184" s="125"/>
      <c r="L184" s="103"/>
      <c r="M184" s="126">
        <v>0</v>
      </c>
      <c r="N184" s="125">
        <v>0</v>
      </c>
      <c r="O184" s="125">
        <v>0</v>
      </c>
      <c r="P184" s="125">
        <v>0</v>
      </c>
      <c r="Q184" s="125">
        <v>0</v>
      </c>
      <c r="R184" s="125">
        <v>0</v>
      </c>
      <c r="S184" s="125">
        <v>0</v>
      </c>
    </row>
    <row r="185" spans="1:19" ht="12.75">
      <c r="A185">
        <f>ROW()</f>
        <v>185</v>
      </c>
      <c r="B185" t="s">
        <v>113</v>
      </c>
      <c r="C185" s="135"/>
      <c r="D185" s="135"/>
      <c r="E185" s="135"/>
      <c r="F185" s="129"/>
      <c r="G185" s="130"/>
      <c r="L185" s="103"/>
      <c r="M185" s="128">
        <v>0</v>
      </c>
      <c r="N185" s="130">
        <v>0</v>
      </c>
      <c r="O185" s="130">
        <v>0</v>
      </c>
      <c r="P185" s="130">
        <v>0</v>
      </c>
      <c r="Q185" s="130">
        <v>0</v>
      </c>
      <c r="R185" s="130">
        <v>0</v>
      </c>
      <c r="S185" s="130">
        <v>0</v>
      </c>
    </row>
    <row r="186" spans="1:19" ht="12.75">
      <c r="A186">
        <f>ROW()</f>
        <v>186</v>
      </c>
      <c r="B186" s="2" t="s">
        <v>137</v>
      </c>
      <c r="C186" s="126"/>
      <c r="D186" s="126"/>
      <c r="E186" s="126"/>
      <c r="F186" s="127"/>
      <c r="G186" s="125"/>
      <c r="L186" s="103"/>
      <c r="M186" s="126">
        <f aca="true" t="shared" si="91" ref="M186:S186">SUM(M183:M185)</f>
        <v>-22000.000000000004</v>
      </c>
      <c r="N186" s="125">
        <f t="shared" si="91"/>
        <v>-23000.000000000007</v>
      </c>
      <c r="O186" s="125">
        <f t="shared" si="91"/>
        <v>-28000.000000000007</v>
      </c>
      <c r="P186" s="125">
        <f t="shared" si="91"/>
        <v>-24000.000000000007</v>
      </c>
      <c r="Q186" s="125">
        <f t="shared" si="91"/>
        <v>-25000.000000000004</v>
      </c>
      <c r="R186" s="125">
        <f t="shared" si="91"/>
        <v>-26255.038647342997</v>
      </c>
      <c r="S186" s="125">
        <f t="shared" si="91"/>
        <v>-27573.18261803076</v>
      </c>
    </row>
    <row r="187" spans="1:19" ht="12.75">
      <c r="A187">
        <f>ROW()</f>
        <v>187</v>
      </c>
      <c r="C187" s="126"/>
      <c r="D187" s="126"/>
      <c r="E187" s="126"/>
      <c r="F187" s="127"/>
      <c r="G187" s="125"/>
      <c r="L187" s="103"/>
      <c r="M187" s="123"/>
      <c r="N187" s="152"/>
      <c r="O187" s="152"/>
      <c r="P187" s="152"/>
      <c r="Q187" s="152"/>
      <c r="R187" s="152"/>
      <c r="S187" s="152"/>
    </row>
    <row r="188" spans="1:19" ht="12.75">
      <c r="A188">
        <f>ROW()</f>
        <v>188</v>
      </c>
      <c r="B188" s="2" t="s">
        <v>132</v>
      </c>
      <c r="C188" s="126"/>
      <c r="D188" s="126"/>
      <c r="E188" s="126"/>
      <c r="F188" s="127"/>
      <c r="G188" s="125"/>
      <c r="L188" s="103"/>
      <c r="M188" s="126">
        <f aca="true" t="shared" si="92" ref="M188:S188">+M178+M186</f>
        <v>-4368.438857142839</v>
      </c>
      <c r="N188" s="125">
        <f t="shared" si="92"/>
        <v>21705.1604933486</v>
      </c>
      <c r="O188" s="125">
        <f t="shared" si="92"/>
        <v>25696.863628145962</v>
      </c>
      <c r="P188" s="125">
        <f t="shared" si="92"/>
        <v>47334.01114994083</v>
      </c>
      <c r="Q188" s="125">
        <f t="shared" si="92"/>
        <v>60303.672333220515</v>
      </c>
      <c r="R188" s="125">
        <f t="shared" si="92"/>
        <v>71985.07284357838</v>
      </c>
      <c r="S188" s="125">
        <f t="shared" si="92"/>
        <v>84374.22418791358</v>
      </c>
    </row>
    <row r="189" spans="1:19" ht="12.75">
      <c r="A189">
        <f>ROW()</f>
        <v>189</v>
      </c>
      <c r="C189" s="126"/>
      <c r="D189" s="126"/>
      <c r="E189" s="126"/>
      <c r="F189" s="127"/>
      <c r="G189" s="125"/>
      <c r="L189" s="103"/>
      <c r="M189" s="123"/>
      <c r="N189" s="152"/>
      <c r="O189" s="152"/>
      <c r="P189" s="152"/>
      <c r="Q189" s="152"/>
      <c r="R189" s="152"/>
      <c r="S189" s="152"/>
    </row>
    <row r="190" spans="1:19" ht="12.75">
      <c r="A190">
        <f>ROW()</f>
        <v>190</v>
      </c>
      <c r="B190" s="157" t="s">
        <v>131</v>
      </c>
      <c r="C190" s="126"/>
      <c r="D190" s="126"/>
      <c r="E190" s="126"/>
      <c r="F190" s="127"/>
      <c r="G190" s="125"/>
      <c r="L190" s="103"/>
      <c r="M190" s="123"/>
      <c r="N190" s="152"/>
      <c r="O190" s="152"/>
      <c r="P190" s="152"/>
      <c r="Q190" s="152"/>
      <c r="R190" s="152"/>
      <c r="S190" s="152"/>
    </row>
    <row r="191" spans="1:19" ht="12.75">
      <c r="A191">
        <f>ROW()</f>
        <v>191</v>
      </c>
      <c r="B191" t="str">
        <f>+B8</f>
        <v>Revolver</v>
      </c>
      <c r="C191" s="126"/>
      <c r="D191" s="126"/>
      <c r="E191" s="126"/>
      <c r="F191" s="127"/>
      <c r="G191" s="125"/>
      <c r="L191" s="103"/>
      <c r="M191" s="193"/>
      <c r="N191" s="38"/>
      <c r="O191" s="38"/>
      <c r="P191" s="38"/>
      <c r="Q191" s="38">
        <f>+Q231</f>
        <v>0</v>
      </c>
      <c r="R191" s="38">
        <f>+R231</f>
        <v>1</v>
      </c>
      <c r="S191" s="38">
        <f>+S231</f>
        <v>2</v>
      </c>
    </row>
    <row r="192" spans="1:19" ht="12.75">
      <c r="A192">
        <f>ROW()</f>
        <v>192</v>
      </c>
      <c r="B192" t="str">
        <f>+B9</f>
        <v>Term Loan A</v>
      </c>
      <c r="C192" s="126"/>
      <c r="D192" s="126"/>
      <c r="E192" s="126"/>
      <c r="F192" s="127"/>
      <c r="G192" s="125"/>
      <c r="L192" s="103"/>
      <c r="M192" s="193">
        <f aca="true" t="shared" si="93" ref="M192:S192">+M238</f>
        <v>0</v>
      </c>
      <c r="N192" s="38">
        <f t="shared" si="93"/>
        <v>-51000</v>
      </c>
      <c r="O192" s="38">
        <f t="shared" si="93"/>
        <v>-75000</v>
      </c>
      <c r="P192" s="38">
        <f t="shared" si="93"/>
        <v>-108000</v>
      </c>
      <c r="Q192" s="38">
        <f t="shared" si="93"/>
        <v>-132000</v>
      </c>
      <c r="R192" s="38">
        <f t="shared" si="93"/>
        <v>-132000</v>
      </c>
      <c r="S192" s="38">
        <f t="shared" si="93"/>
        <v>-132000</v>
      </c>
    </row>
    <row r="193" spans="1:19" ht="12.75">
      <c r="A193">
        <f>ROW()</f>
        <v>193</v>
      </c>
      <c r="B193" t="str">
        <f>+B10</f>
        <v>Term Loan B</v>
      </c>
      <c r="C193" s="126"/>
      <c r="D193" s="126"/>
      <c r="E193" s="126"/>
      <c r="F193" s="127"/>
      <c r="G193" s="125"/>
      <c r="L193" s="103"/>
      <c r="M193" s="193">
        <f aca="true" t="shared" si="94" ref="M193:S193">+M245</f>
        <v>0</v>
      </c>
      <c r="N193" s="38">
        <f t="shared" si="94"/>
        <v>0</v>
      </c>
      <c r="O193" s="38">
        <f t="shared" si="94"/>
        <v>0</v>
      </c>
      <c r="P193" s="38">
        <f t="shared" si="94"/>
        <v>0</v>
      </c>
      <c r="Q193" s="38">
        <f t="shared" si="94"/>
        <v>0</v>
      </c>
      <c r="R193" s="38">
        <f t="shared" si="94"/>
        <v>1</v>
      </c>
      <c r="S193" s="38">
        <f t="shared" si="94"/>
        <v>2</v>
      </c>
    </row>
    <row r="194" spans="1:19" ht="12.75">
      <c r="A194">
        <f>ROW()</f>
        <v>194</v>
      </c>
      <c r="B194" t="str">
        <f>+B11</f>
        <v>Term Loan C</v>
      </c>
      <c r="C194" s="126"/>
      <c r="D194" s="126"/>
      <c r="E194" s="126"/>
      <c r="F194" s="127"/>
      <c r="G194" s="125"/>
      <c r="L194" s="103"/>
      <c r="M194" s="193">
        <f aca="true" t="shared" si="95" ref="M194:S194">+M252</f>
        <v>0</v>
      </c>
      <c r="N194" s="38">
        <f t="shared" si="95"/>
        <v>-2000</v>
      </c>
      <c r="O194" s="38">
        <f t="shared" si="95"/>
        <v>-2000</v>
      </c>
      <c r="P194" s="38">
        <f t="shared" si="95"/>
        <v>-2000</v>
      </c>
      <c r="Q194" s="38">
        <f t="shared" si="95"/>
        <v>-2000</v>
      </c>
      <c r="R194" s="38">
        <f t="shared" si="95"/>
        <v>-1999</v>
      </c>
      <c r="S194" s="38">
        <f t="shared" si="95"/>
        <v>-1998</v>
      </c>
    </row>
    <row r="195" spans="1:19" ht="12.75">
      <c r="A195">
        <f>ROW()</f>
        <v>195</v>
      </c>
      <c r="B195" t="str">
        <f>+B12</f>
        <v>Other Bank Debt / Exisiting</v>
      </c>
      <c r="C195" s="131"/>
      <c r="D195" s="131"/>
      <c r="E195" s="131"/>
      <c r="F195" s="132"/>
      <c r="G195" s="125"/>
      <c r="L195" s="103"/>
      <c r="M195" s="193">
        <f aca="true" t="shared" si="96" ref="M195:S195">+M259</f>
        <v>0</v>
      </c>
      <c r="N195" s="38">
        <f t="shared" si="96"/>
        <v>0</v>
      </c>
      <c r="O195" s="38">
        <f t="shared" si="96"/>
        <v>0</v>
      </c>
      <c r="P195" s="38">
        <f t="shared" si="96"/>
        <v>0</v>
      </c>
      <c r="Q195" s="38">
        <f t="shared" si="96"/>
        <v>0</v>
      </c>
      <c r="R195" s="38">
        <f t="shared" si="96"/>
        <v>1</v>
      </c>
      <c r="S195" s="38">
        <f t="shared" si="96"/>
        <v>2</v>
      </c>
    </row>
    <row r="196" spans="1:19" ht="12.75">
      <c r="A196">
        <f>ROW()</f>
        <v>196</v>
      </c>
      <c r="B196" t="str">
        <f>+B14</f>
        <v>Senior Secured Notes</v>
      </c>
      <c r="C196" s="126"/>
      <c r="D196" s="126"/>
      <c r="E196" s="126"/>
      <c r="F196" s="127"/>
      <c r="G196" s="125"/>
      <c r="L196" s="103"/>
      <c r="M196" s="193">
        <f aca="true" t="shared" si="97" ref="M196:S196">+M266</f>
        <v>0</v>
      </c>
      <c r="N196" s="38">
        <f t="shared" si="97"/>
        <v>0</v>
      </c>
      <c r="O196" s="38">
        <f t="shared" si="97"/>
        <v>0</v>
      </c>
      <c r="P196" s="38">
        <f t="shared" si="97"/>
        <v>0</v>
      </c>
      <c r="Q196" s="38">
        <f t="shared" si="97"/>
        <v>0</v>
      </c>
      <c r="R196" s="38">
        <f t="shared" si="97"/>
        <v>1</v>
      </c>
      <c r="S196" s="38">
        <f t="shared" si="97"/>
        <v>2</v>
      </c>
    </row>
    <row r="197" spans="1:19" ht="12.75">
      <c r="A197">
        <f>ROW()</f>
        <v>197</v>
      </c>
      <c r="B197" t="str">
        <f>+B16</f>
        <v>Senior Unsecured / Subordinated Notes</v>
      </c>
      <c r="C197" s="126"/>
      <c r="D197" s="126"/>
      <c r="E197" s="126"/>
      <c r="F197" s="127"/>
      <c r="G197" s="125"/>
      <c r="L197" s="103"/>
      <c r="M197" s="193">
        <f aca="true" t="shared" si="98" ref="M197:S197">+M284</f>
        <v>0</v>
      </c>
      <c r="N197" s="38">
        <f t="shared" si="98"/>
        <v>0</v>
      </c>
      <c r="O197" s="38">
        <f t="shared" si="98"/>
        <v>0</v>
      </c>
      <c r="P197" s="38">
        <f t="shared" si="98"/>
        <v>0</v>
      </c>
      <c r="Q197" s="38">
        <f t="shared" si="98"/>
        <v>0</v>
      </c>
      <c r="R197" s="38">
        <f t="shared" si="98"/>
        <v>0</v>
      </c>
      <c r="S197" s="38">
        <f t="shared" si="98"/>
        <v>0</v>
      </c>
    </row>
    <row r="198" spans="1:19" ht="12.75">
      <c r="A198">
        <f>ROW()</f>
        <v>198</v>
      </c>
      <c r="B198" t="str">
        <f>+B17</f>
        <v>Junior Subordinated Notes</v>
      </c>
      <c r="C198" s="126"/>
      <c r="D198" s="126"/>
      <c r="E198" s="126"/>
      <c r="F198" s="127"/>
      <c r="G198" s="125"/>
      <c r="L198" s="103"/>
      <c r="M198" s="193">
        <f aca="true" t="shared" si="99" ref="M198:S198">+M278</f>
        <v>16000</v>
      </c>
      <c r="N198" s="38">
        <f t="shared" si="99"/>
        <v>18048</v>
      </c>
      <c r="O198" s="38">
        <f t="shared" si="99"/>
        <v>20358.144</v>
      </c>
      <c r="P198" s="38">
        <f t="shared" si="99"/>
        <v>22963.986432</v>
      </c>
      <c r="Q198" s="38">
        <f t="shared" si="99"/>
        <v>25903.376695296</v>
      </c>
      <c r="R198" s="38">
        <f t="shared" si="99"/>
        <v>29219.008912293888</v>
      </c>
      <c r="S198" s="38">
        <f t="shared" si="99"/>
        <v>32959.042053067504</v>
      </c>
    </row>
    <row r="199" spans="1:19" ht="12.75">
      <c r="A199">
        <f>ROW()</f>
        <v>199</v>
      </c>
      <c r="B199" t="str">
        <f>+B21</f>
        <v>Prefered Equity</v>
      </c>
      <c r="C199" s="126"/>
      <c r="D199" s="126"/>
      <c r="E199" s="126"/>
      <c r="F199" s="127"/>
      <c r="G199" s="125"/>
      <c r="L199" s="103"/>
      <c r="M199" s="193">
        <f aca="true" t="shared" si="100" ref="M199:S199">+M284</f>
        <v>0</v>
      </c>
      <c r="N199" s="38">
        <f t="shared" si="100"/>
        <v>0</v>
      </c>
      <c r="O199" s="38">
        <f t="shared" si="100"/>
        <v>0</v>
      </c>
      <c r="P199" s="38">
        <f t="shared" si="100"/>
        <v>0</v>
      </c>
      <c r="Q199" s="38">
        <f t="shared" si="100"/>
        <v>0</v>
      </c>
      <c r="R199" s="38">
        <f t="shared" si="100"/>
        <v>0</v>
      </c>
      <c r="S199" s="38">
        <f t="shared" si="100"/>
        <v>0</v>
      </c>
    </row>
    <row r="200" spans="1:19" ht="12.75">
      <c r="A200">
        <f>ROW()</f>
        <v>200</v>
      </c>
      <c r="B200" t="str">
        <f>+B22</f>
        <v>Rollover Equity</v>
      </c>
      <c r="C200" s="126"/>
      <c r="D200" s="126"/>
      <c r="E200" s="126"/>
      <c r="F200" s="127"/>
      <c r="G200" s="125"/>
      <c r="L200" s="103"/>
      <c r="M200" s="193">
        <f aca="true" t="shared" si="101" ref="M200:S200">+M290</f>
        <v>0</v>
      </c>
      <c r="N200" s="38">
        <f t="shared" si="101"/>
        <v>0</v>
      </c>
      <c r="O200" s="38">
        <f t="shared" si="101"/>
        <v>0</v>
      </c>
      <c r="P200" s="38">
        <f t="shared" si="101"/>
        <v>0</v>
      </c>
      <c r="Q200" s="38">
        <f t="shared" si="101"/>
        <v>0</v>
      </c>
      <c r="R200" s="38">
        <f t="shared" si="101"/>
        <v>0</v>
      </c>
      <c r="S200" s="38">
        <f t="shared" si="101"/>
        <v>0</v>
      </c>
    </row>
    <row r="201" spans="1:19" ht="12.75">
      <c r="A201">
        <f>ROW()</f>
        <v>201</v>
      </c>
      <c r="B201" s="2" t="s">
        <v>50</v>
      </c>
      <c r="C201" s="126"/>
      <c r="D201" s="126"/>
      <c r="E201" s="126"/>
      <c r="F201" s="127"/>
      <c r="G201" s="125"/>
      <c r="L201" s="103"/>
      <c r="M201" s="196">
        <f aca="true" t="shared" si="102" ref="M201:S201">SUM(M191:M200)</f>
        <v>16000</v>
      </c>
      <c r="N201" s="187">
        <f t="shared" si="102"/>
        <v>-34952</v>
      </c>
      <c r="O201" s="187">
        <f t="shared" si="102"/>
        <v>-56641.856</v>
      </c>
      <c r="P201" s="187">
        <f t="shared" si="102"/>
        <v>-87036.013568</v>
      </c>
      <c r="Q201" s="187">
        <f t="shared" si="102"/>
        <v>-108096.623304704</v>
      </c>
      <c r="R201" s="187">
        <f t="shared" si="102"/>
        <v>-104775.99108770612</v>
      </c>
      <c r="S201" s="187">
        <f t="shared" si="102"/>
        <v>-101030.9579469325</v>
      </c>
    </row>
    <row r="202" spans="1:19" ht="12.75">
      <c r="A202">
        <f>ROW()</f>
        <v>202</v>
      </c>
      <c r="C202" s="126"/>
      <c r="D202" s="126"/>
      <c r="E202" s="126"/>
      <c r="F202" s="127"/>
      <c r="G202" s="125"/>
      <c r="L202" s="103"/>
      <c r="M202" s="192"/>
      <c r="N202" s="8"/>
      <c r="O202" s="8"/>
      <c r="P202" s="8"/>
      <c r="Q202" s="8"/>
      <c r="R202" s="8"/>
      <c r="S202" s="8"/>
    </row>
    <row r="203" spans="1:19" ht="12.75">
      <c r="A203">
        <f>ROW()</f>
        <v>203</v>
      </c>
      <c r="B203" s="48" t="s">
        <v>134</v>
      </c>
      <c r="C203" s="126"/>
      <c r="D203" s="126"/>
      <c r="E203" s="126"/>
      <c r="F203" s="127"/>
      <c r="G203" s="125"/>
      <c r="L203" s="103"/>
      <c r="M203" s="192"/>
      <c r="N203" s="8"/>
      <c r="O203" s="8"/>
      <c r="P203" s="8"/>
      <c r="Q203" s="8"/>
      <c r="R203" s="8"/>
      <c r="S203" s="8"/>
    </row>
    <row r="204" spans="1:19" ht="12.75">
      <c r="A204">
        <f>ROW()</f>
        <v>204</v>
      </c>
      <c r="B204" s="48" t="s">
        <v>135</v>
      </c>
      <c r="C204" s="128"/>
      <c r="D204" s="128"/>
      <c r="E204" s="128"/>
      <c r="F204" s="129"/>
      <c r="G204" s="130"/>
      <c r="L204" s="103"/>
      <c r="M204" s="197"/>
      <c r="N204" s="40"/>
      <c r="O204" s="40"/>
      <c r="P204" s="40"/>
      <c r="Q204" s="40"/>
      <c r="R204" s="40"/>
      <c r="S204" s="40"/>
    </row>
    <row r="205" spans="1:19" ht="12.75">
      <c r="A205">
        <f>ROW()</f>
        <v>205</v>
      </c>
      <c r="B205" s="2" t="s">
        <v>136</v>
      </c>
      <c r="C205" s="126"/>
      <c r="D205" s="126"/>
      <c r="E205" s="126"/>
      <c r="F205" s="127"/>
      <c r="G205" s="125"/>
      <c r="L205" s="103"/>
      <c r="M205" s="193">
        <f aca="true" t="shared" si="103" ref="M205:S205">SUM(M203:M204)</f>
        <v>0</v>
      </c>
      <c r="N205" s="38">
        <f t="shared" si="103"/>
        <v>0</v>
      </c>
      <c r="O205" s="38">
        <f t="shared" si="103"/>
        <v>0</v>
      </c>
      <c r="P205" s="38">
        <f t="shared" si="103"/>
        <v>0</v>
      </c>
      <c r="Q205" s="38">
        <f t="shared" si="103"/>
        <v>0</v>
      </c>
      <c r="R205" s="38">
        <f t="shared" si="103"/>
        <v>0</v>
      </c>
      <c r="S205" s="38">
        <f t="shared" si="103"/>
        <v>0</v>
      </c>
    </row>
    <row r="206" spans="1:19" ht="12.75">
      <c r="A206">
        <f>ROW()</f>
        <v>206</v>
      </c>
      <c r="B206" s="48"/>
      <c r="C206" s="128"/>
      <c r="D206" s="128"/>
      <c r="E206" s="128"/>
      <c r="F206" s="129"/>
      <c r="G206" s="130"/>
      <c r="L206" s="103"/>
      <c r="M206" s="197"/>
      <c r="N206" s="40"/>
      <c r="O206" s="40"/>
      <c r="P206" s="40"/>
      <c r="Q206" s="40"/>
      <c r="R206" s="40"/>
      <c r="S206" s="40"/>
    </row>
    <row r="207" spans="1:19" ht="12.75">
      <c r="A207">
        <f>ROW()</f>
        <v>207</v>
      </c>
      <c r="B207" s="2" t="s">
        <v>138</v>
      </c>
      <c r="C207" s="126"/>
      <c r="D207" s="126"/>
      <c r="E207" s="126"/>
      <c r="F207" s="127"/>
      <c r="G207" s="125"/>
      <c r="L207" s="103"/>
      <c r="M207" s="193">
        <f aca="true" t="shared" si="104" ref="M207:S207">+M205+M201</f>
        <v>16000</v>
      </c>
      <c r="N207" s="38">
        <f t="shared" si="104"/>
        <v>-34952</v>
      </c>
      <c r="O207" s="38">
        <f t="shared" si="104"/>
        <v>-56641.856</v>
      </c>
      <c r="P207" s="38">
        <f t="shared" si="104"/>
        <v>-87036.013568</v>
      </c>
      <c r="Q207" s="38">
        <f t="shared" si="104"/>
        <v>-108096.623304704</v>
      </c>
      <c r="R207" s="38">
        <f t="shared" si="104"/>
        <v>-104775.99108770612</v>
      </c>
      <c r="S207" s="38">
        <f t="shared" si="104"/>
        <v>-101030.9579469325</v>
      </c>
    </row>
    <row r="208" spans="1:19" ht="12.75">
      <c r="A208">
        <f>ROW()</f>
        <v>208</v>
      </c>
      <c r="B208" s="48"/>
      <c r="C208" s="126"/>
      <c r="D208" s="126"/>
      <c r="E208" s="126"/>
      <c r="F208" s="127"/>
      <c r="G208" s="125"/>
      <c r="L208" s="103"/>
      <c r="M208" s="193"/>
      <c r="N208" s="38"/>
      <c r="O208" s="38"/>
      <c r="P208" s="38"/>
      <c r="Q208" s="38"/>
      <c r="R208" s="38"/>
      <c r="S208" s="38"/>
    </row>
    <row r="209" spans="1:19" ht="12.75">
      <c r="A209">
        <f>ROW()</f>
        <v>209</v>
      </c>
      <c r="B209" t="s">
        <v>51</v>
      </c>
      <c r="C209" s="126"/>
      <c r="D209" s="126"/>
      <c r="E209" s="126"/>
      <c r="F209" s="127"/>
      <c r="G209" s="125"/>
      <c r="L209" s="103"/>
      <c r="M209" s="193">
        <f aca="true" t="shared" si="105" ref="M209:S209">+M188+M207</f>
        <v>11631.561142857161</v>
      </c>
      <c r="N209" s="38">
        <f t="shared" si="105"/>
        <v>-13246.839506651399</v>
      </c>
      <c r="O209" s="38">
        <f t="shared" si="105"/>
        <v>-30944.992371854038</v>
      </c>
      <c r="P209" s="38">
        <f t="shared" si="105"/>
        <v>-39702.002418059164</v>
      </c>
      <c r="Q209" s="38">
        <f t="shared" si="105"/>
        <v>-47792.950971483486</v>
      </c>
      <c r="R209" s="38">
        <f t="shared" si="105"/>
        <v>-32790.91824412774</v>
      </c>
      <c r="S209" s="38">
        <f t="shared" si="105"/>
        <v>-16656.733759018913</v>
      </c>
    </row>
    <row r="210" spans="1:13" ht="12.75">
      <c r="A210">
        <f>ROW()</f>
        <v>210</v>
      </c>
      <c r="C210" s="8"/>
      <c r="D210" s="8"/>
      <c r="E210" s="8"/>
      <c r="F210" s="8"/>
      <c r="G210" s="8"/>
      <c r="L210" s="103"/>
      <c r="M210" s="141"/>
    </row>
    <row r="211" spans="1:19" ht="12.75">
      <c r="A211">
        <f>ROW()</f>
        <v>211</v>
      </c>
      <c r="B211" t="s">
        <v>47</v>
      </c>
      <c r="C211" s="8"/>
      <c r="D211" s="8"/>
      <c r="E211" s="8"/>
      <c r="F211" s="8"/>
      <c r="G211" s="8"/>
      <c r="L211" s="103"/>
      <c r="M211" s="194">
        <f aca="true" t="shared" si="106" ref="M211:S211">+L81</f>
        <v>24800</v>
      </c>
      <c r="N211" s="118">
        <f t="shared" si="106"/>
        <v>36431.56114285716</v>
      </c>
      <c r="O211" s="118">
        <f t="shared" si="106"/>
        <v>23184.72163620576</v>
      </c>
      <c r="P211" s="118">
        <f t="shared" si="106"/>
        <v>-7760.270735648279</v>
      </c>
      <c r="Q211" s="118">
        <f t="shared" si="106"/>
        <v>-47462.27315370744</v>
      </c>
      <c r="R211" s="118">
        <f t="shared" si="106"/>
        <v>-95255.22412519093</v>
      </c>
      <c r="S211" s="118">
        <f t="shared" si="106"/>
        <v>-128045.14236931867</v>
      </c>
    </row>
    <row r="212" spans="1:19" ht="12.75">
      <c r="A212">
        <f>ROW()</f>
        <v>212</v>
      </c>
      <c r="B212" t="s">
        <v>48</v>
      </c>
      <c r="C212" s="8"/>
      <c r="D212" s="8"/>
      <c r="E212" s="8"/>
      <c r="F212" s="8"/>
      <c r="G212" s="8"/>
      <c r="L212" s="103"/>
      <c r="M212" s="193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1</v>
      </c>
      <c r="S212" s="38">
        <v>2</v>
      </c>
    </row>
    <row r="213" spans="1:19" ht="12.75">
      <c r="A213">
        <f>ROW()</f>
        <v>213</v>
      </c>
      <c r="C213" s="8"/>
      <c r="D213" s="8"/>
      <c r="E213" s="8"/>
      <c r="F213" s="8"/>
      <c r="G213" s="8"/>
      <c r="L213" s="103"/>
      <c r="M213" s="194"/>
      <c r="N213" s="118"/>
      <c r="O213" s="118"/>
      <c r="P213" s="118"/>
      <c r="Q213" s="118"/>
      <c r="R213" s="118"/>
      <c r="S213" s="118"/>
    </row>
    <row r="214" spans="1:19" ht="13.5" thickBot="1">
      <c r="A214">
        <f>ROW()</f>
        <v>214</v>
      </c>
      <c r="B214" s="2" t="s">
        <v>49</v>
      </c>
      <c r="C214" s="8"/>
      <c r="D214" s="8"/>
      <c r="E214" s="8"/>
      <c r="F214" s="8"/>
      <c r="G214" s="8"/>
      <c r="L214" s="103"/>
      <c r="M214" s="195">
        <f aca="true" t="shared" si="107" ref="M214:S214">SUM(M209:M213)</f>
        <v>36431.56114285716</v>
      </c>
      <c r="N214" s="119">
        <f t="shared" si="107"/>
        <v>23184.72163620576</v>
      </c>
      <c r="O214" s="119">
        <f t="shared" si="107"/>
        <v>-7760.270735648279</v>
      </c>
      <c r="P214" s="119">
        <f t="shared" si="107"/>
        <v>-47462.27315370744</v>
      </c>
      <c r="Q214" s="119">
        <f t="shared" si="107"/>
        <v>-95255.22412519093</v>
      </c>
      <c r="R214" s="119">
        <f t="shared" si="107"/>
        <v>-128045.14236931867</v>
      </c>
      <c r="S214" s="119">
        <f t="shared" si="107"/>
        <v>-144699.87612833758</v>
      </c>
    </row>
    <row r="215" ht="13.5" thickTop="1">
      <c r="A215">
        <f>ROW()</f>
        <v>215</v>
      </c>
    </row>
    <row r="216" spans="1:19" ht="18">
      <c r="A216">
        <f>ROW()</f>
        <v>216</v>
      </c>
      <c r="B216" s="43" t="s">
        <v>57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2.75">
      <c r="A217">
        <f>ROW()</f>
        <v>217</v>
      </c>
      <c r="C217" s="7"/>
      <c r="D217" s="7"/>
      <c r="E217" s="7"/>
      <c r="F217" s="7"/>
      <c r="G217" s="7"/>
      <c r="H217" s="2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3.5" thickBot="1">
      <c r="A218">
        <f>ROW()</f>
        <v>218</v>
      </c>
      <c r="C218" s="78"/>
      <c r="D218" s="78"/>
      <c r="E218" s="78"/>
      <c r="F218" s="78"/>
      <c r="G218" s="78">
        <f>+G168</f>
        <v>36951</v>
      </c>
      <c r="H218" s="27"/>
      <c r="I218" s="7"/>
      <c r="J218" s="7"/>
      <c r="K218" s="7"/>
      <c r="L218" s="79">
        <f>+L122</f>
        <v>36951</v>
      </c>
      <c r="M218" s="78">
        <f aca="true" t="shared" si="108" ref="M218:S218">+M168</f>
        <v>37316</v>
      </c>
      <c r="N218" s="78">
        <f t="shared" si="108"/>
        <v>37681</v>
      </c>
      <c r="O218" s="78">
        <f t="shared" si="108"/>
        <v>38047</v>
      </c>
      <c r="P218" s="78">
        <f t="shared" si="108"/>
        <v>38412</v>
      </c>
      <c r="Q218" s="78">
        <f t="shared" si="108"/>
        <v>38777</v>
      </c>
      <c r="R218" s="78">
        <f t="shared" si="108"/>
        <v>39142</v>
      </c>
      <c r="S218" s="78">
        <f t="shared" si="108"/>
        <v>39507</v>
      </c>
    </row>
    <row r="219" spans="1:12" ht="12.75">
      <c r="A219">
        <f>ROW()</f>
        <v>219</v>
      </c>
      <c r="B219" s="2" t="s">
        <v>61</v>
      </c>
      <c r="H219" s="27"/>
      <c r="I219" s="7"/>
      <c r="J219" s="7"/>
      <c r="L219" s="35"/>
    </row>
    <row r="220" spans="1:19" ht="12.75">
      <c r="A220">
        <f>ROW()</f>
        <v>220</v>
      </c>
      <c r="B220" t="s">
        <v>62</v>
      </c>
      <c r="H220" s="27"/>
      <c r="I220" s="7"/>
      <c r="J220" s="7"/>
      <c r="L220" s="106">
        <f>+D28</f>
        <v>0.057</v>
      </c>
      <c r="M220" s="37">
        <f aca="true" t="shared" si="109" ref="M220:S220">+L220+M221</f>
        <v>0.057</v>
      </c>
      <c r="N220" s="37">
        <f t="shared" si="109"/>
        <v>0.057</v>
      </c>
      <c r="O220" s="37">
        <f t="shared" si="109"/>
        <v>0.057</v>
      </c>
      <c r="P220" s="37">
        <f t="shared" si="109"/>
        <v>0.057</v>
      </c>
      <c r="Q220" s="37">
        <f t="shared" si="109"/>
        <v>0.057</v>
      </c>
      <c r="R220" s="37">
        <f t="shared" si="109"/>
        <v>0.057</v>
      </c>
      <c r="S220" s="37">
        <f t="shared" si="109"/>
        <v>0.057</v>
      </c>
    </row>
    <row r="221" spans="1:19" ht="12.75">
      <c r="A221">
        <f>ROW()</f>
        <v>221</v>
      </c>
      <c r="B221" t="s">
        <v>63</v>
      </c>
      <c r="H221" s="27"/>
      <c r="I221" s="7"/>
      <c r="J221" s="7"/>
      <c r="L221" s="35"/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</row>
    <row r="222" spans="1:12" ht="9" customHeight="1">
      <c r="A222">
        <f>ROW()</f>
        <v>222</v>
      </c>
      <c r="H222" s="27"/>
      <c r="I222" s="7"/>
      <c r="J222" s="7"/>
      <c r="L222" s="35"/>
    </row>
    <row r="223" spans="1:19" ht="12.75">
      <c r="A223">
        <f>ROW()</f>
        <v>223</v>
      </c>
      <c r="B223" s="2" t="s">
        <v>152</v>
      </c>
      <c r="H223" s="27"/>
      <c r="I223" s="7"/>
      <c r="J223" s="7"/>
      <c r="L223" s="114"/>
      <c r="M223" s="38"/>
      <c r="N223" s="38"/>
      <c r="O223" s="38"/>
      <c r="P223" s="38"/>
      <c r="Q223" s="38"/>
      <c r="R223" s="38"/>
      <c r="S223" s="38"/>
    </row>
    <row r="224" spans="1:19" ht="12.75">
      <c r="A224">
        <f>ROW()</f>
        <v>224</v>
      </c>
      <c r="B224" t="s">
        <v>58</v>
      </c>
      <c r="H224" s="27"/>
      <c r="I224" s="7"/>
      <c r="J224" s="7"/>
      <c r="L224" s="114">
        <f>+L81</f>
        <v>24800</v>
      </c>
      <c r="M224" s="38">
        <f aca="true" t="shared" si="110" ref="M224:S224">+L224+M225</f>
        <v>36431.56114285716</v>
      </c>
      <c r="N224" s="38">
        <f t="shared" si="110"/>
        <v>23184.72163620576</v>
      </c>
      <c r="O224" s="38">
        <f t="shared" si="110"/>
        <v>-7760.270735648279</v>
      </c>
      <c r="P224" s="38">
        <f t="shared" si="110"/>
        <v>-47462.27315370744</v>
      </c>
      <c r="Q224" s="38">
        <f t="shared" si="110"/>
        <v>-95255.22412519093</v>
      </c>
      <c r="R224" s="38">
        <f t="shared" si="110"/>
        <v>-128046.14236931867</v>
      </c>
      <c r="S224" s="38">
        <f t="shared" si="110"/>
        <v>-144702.87612833758</v>
      </c>
    </row>
    <row r="225" spans="1:19" ht="12.75">
      <c r="A225">
        <f>ROW()</f>
        <v>225</v>
      </c>
      <c r="B225" t="s">
        <v>107</v>
      </c>
      <c r="L225" s="114"/>
      <c r="M225" s="111">
        <f aca="true" t="shared" si="111" ref="M225:S225">+M209</f>
        <v>11631.561142857161</v>
      </c>
      <c r="N225" s="111">
        <f t="shared" si="111"/>
        <v>-13246.839506651399</v>
      </c>
      <c r="O225" s="111">
        <f t="shared" si="111"/>
        <v>-30944.992371854038</v>
      </c>
      <c r="P225" s="111">
        <f t="shared" si="111"/>
        <v>-39702.002418059164</v>
      </c>
      <c r="Q225" s="111">
        <f t="shared" si="111"/>
        <v>-47792.950971483486</v>
      </c>
      <c r="R225" s="111">
        <f t="shared" si="111"/>
        <v>-32790.91824412774</v>
      </c>
      <c r="S225" s="111">
        <f t="shared" si="111"/>
        <v>-16656.733759018913</v>
      </c>
    </row>
    <row r="226" spans="1:19" ht="12.75">
      <c r="A226">
        <f>ROW()</f>
        <v>226</v>
      </c>
      <c r="B226" t="s">
        <v>59</v>
      </c>
      <c r="L226" s="114"/>
      <c r="M226" s="38">
        <f aca="true" t="shared" si="112" ref="M226:S226">-M227*L224</f>
        <v>-1413.6000000000001</v>
      </c>
      <c r="N226" s="38">
        <f t="shared" si="112"/>
        <v>-2076.598985142858</v>
      </c>
      <c r="O226" s="38">
        <f t="shared" si="112"/>
        <v>-1321.5291332637282</v>
      </c>
      <c r="P226" s="38">
        <f t="shared" si="112"/>
        <v>442.3354319319519</v>
      </c>
      <c r="Q226" s="38">
        <f t="shared" si="112"/>
        <v>2705.3495697613243</v>
      </c>
      <c r="R226" s="38">
        <f t="shared" si="112"/>
        <v>5429.547775135883</v>
      </c>
      <c r="S226" s="38">
        <f t="shared" si="112"/>
        <v>7298.6301150511645</v>
      </c>
    </row>
    <row r="227" spans="1:19" ht="12.75">
      <c r="A227">
        <f>ROW()</f>
        <v>227</v>
      </c>
      <c r="B227" t="s">
        <v>60</v>
      </c>
      <c r="L227" s="35"/>
      <c r="M227" s="37">
        <f aca="true" t="shared" si="113" ref="M227:S227">+M220</f>
        <v>0.057</v>
      </c>
      <c r="N227" s="37">
        <f t="shared" si="113"/>
        <v>0.057</v>
      </c>
      <c r="O227" s="37">
        <f t="shared" si="113"/>
        <v>0.057</v>
      </c>
      <c r="P227" s="37">
        <f t="shared" si="113"/>
        <v>0.057</v>
      </c>
      <c r="Q227" s="37">
        <f t="shared" si="113"/>
        <v>0.057</v>
      </c>
      <c r="R227" s="37">
        <f t="shared" si="113"/>
        <v>0.057</v>
      </c>
      <c r="S227" s="37">
        <f t="shared" si="113"/>
        <v>0.057</v>
      </c>
    </row>
    <row r="228" spans="1:12" ht="9" customHeight="1">
      <c r="A228">
        <f>ROW()</f>
        <v>228</v>
      </c>
      <c r="L228" s="35"/>
    </row>
    <row r="229" spans="1:12" ht="12.75">
      <c r="A229">
        <f>ROW()</f>
        <v>229</v>
      </c>
      <c r="B229" s="2" t="str">
        <f>+B8</f>
        <v>Revolver</v>
      </c>
      <c r="J229" s="186" t="s">
        <v>153</v>
      </c>
      <c r="L229" s="35"/>
    </row>
    <row r="230" spans="1:19" ht="12.75">
      <c r="A230">
        <f>ROW()</f>
        <v>230</v>
      </c>
      <c r="B230" t="s">
        <v>58</v>
      </c>
      <c r="L230" s="114">
        <f>+C8</f>
        <v>0</v>
      </c>
      <c r="M230" s="8">
        <f aca="true" t="shared" si="114" ref="M230:S230">+L230+M231</f>
        <v>0</v>
      </c>
      <c r="N230" s="8">
        <f t="shared" si="114"/>
        <v>0</v>
      </c>
      <c r="O230" s="8">
        <f t="shared" si="114"/>
        <v>0</v>
      </c>
      <c r="P230" s="8">
        <f t="shared" si="114"/>
        <v>0</v>
      </c>
      <c r="Q230" s="8">
        <f t="shared" si="114"/>
        <v>0</v>
      </c>
      <c r="R230" s="8">
        <f t="shared" si="114"/>
        <v>1</v>
      </c>
      <c r="S230" s="8">
        <f t="shared" si="114"/>
        <v>3</v>
      </c>
    </row>
    <row r="231" spans="1:19" ht="12.75">
      <c r="A231">
        <f>ROW()</f>
        <v>231</v>
      </c>
      <c r="B231" t="s">
        <v>107</v>
      </c>
      <c r="L231" s="36"/>
      <c r="M231" s="41">
        <v>0</v>
      </c>
      <c r="N231" s="41">
        <f aca="true" t="shared" si="115" ref="N231:S231">+N232</f>
        <v>0</v>
      </c>
      <c r="O231" s="41">
        <f t="shared" si="115"/>
        <v>0</v>
      </c>
      <c r="P231" s="41">
        <f t="shared" si="115"/>
        <v>0</v>
      </c>
      <c r="Q231" s="41">
        <f t="shared" si="115"/>
        <v>0</v>
      </c>
      <c r="R231" s="41">
        <f t="shared" si="115"/>
        <v>1</v>
      </c>
      <c r="S231" s="41">
        <f t="shared" si="115"/>
        <v>2</v>
      </c>
    </row>
    <row r="232" spans="1:19" ht="12.75">
      <c r="A232">
        <f>ROW()</f>
        <v>232</v>
      </c>
      <c r="B232" t="s">
        <v>109</v>
      </c>
      <c r="L232" s="36"/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1</v>
      </c>
      <c r="S232" s="9">
        <v>2</v>
      </c>
    </row>
    <row r="233" spans="1:19" ht="12.75">
      <c r="A233">
        <f>ROW()</f>
        <v>233</v>
      </c>
      <c r="B233" t="s">
        <v>59</v>
      </c>
      <c r="L233" s="36"/>
      <c r="M233" s="8">
        <f aca="true" t="shared" si="116" ref="M233:S233">+M234*L230</f>
        <v>0</v>
      </c>
      <c r="N233" s="8">
        <f t="shared" si="116"/>
        <v>0</v>
      </c>
      <c r="O233" s="8">
        <f t="shared" si="116"/>
        <v>0</v>
      </c>
      <c r="P233" s="8">
        <f t="shared" si="116"/>
        <v>0</v>
      </c>
      <c r="Q233" s="8">
        <f t="shared" si="116"/>
        <v>0</v>
      </c>
      <c r="R233" s="8">
        <f t="shared" si="116"/>
        <v>0</v>
      </c>
      <c r="S233" s="8">
        <f t="shared" si="116"/>
        <v>0.08075</v>
      </c>
    </row>
    <row r="234" spans="1:19" ht="12.75">
      <c r="A234">
        <f>ROW()</f>
        <v>234</v>
      </c>
      <c r="B234" t="s">
        <v>60</v>
      </c>
      <c r="J234" s="26">
        <f>+F8</f>
        <v>237.5</v>
      </c>
      <c r="L234" s="35"/>
      <c r="M234" s="37">
        <f aca="true" t="shared" si="117" ref="M234:S234">+$J234/10000+M220</f>
        <v>0.08075</v>
      </c>
      <c r="N234" s="37">
        <f t="shared" si="117"/>
        <v>0.08075</v>
      </c>
      <c r="O234" s="37">
        <f t="shared" si="117"/>
        <v>0.08075</v>
      </c>
      <c r="P234" s="37">
        <f t="shared" si="117"/>
        <v>0.08075</v>
      </c>
      <c r="Q234" s="37">
        <f t="shared" si="117"/>
        <v>0.08075</v>
      </c>
      <c r="R234" s="37">
        <f t="shared" si="117"/>
        <v>0.08075</v>
      </c>
      <c r="S234" s="37">
        <f t="shared" si="117"/>
        <v>0.08075</v>
      </c>
    </row>
    <row r="235" spans="1:12" ht="7.5" customHeight="1">
      <c r="A235">
        <f>ROW()</f>
        <v>235</v>
      </c>
      <c r="L235" s="35"/>
    </row>
    <row r="236" spans="1:12" ht="12.75">
      <c r="A236">
        <f>ROW()</f>
        <v>236</v>
      </c>
      <c r="B236" s="2" t="str">
        <f>+B9</f>
        <v>Term Loan A</v>
      </c>
      <c r="J236" s="48"/>
      <c r="L236" s="35"/>
    </row>
    <row r="237" spans="1:19" ht="12.75">
      <c r="A237">
        <f>ROW()</f>
        <v>237</v>
      </c>
      <c r="B237" t="s">
        <v>58</v>
      </c>
      <c r="L237" s="114">
        <f>+C9</f>
        <v>600000</v>
      </c>
      <c r="M237" s="38">
        <f>+L237-M238</f>
        <v>600000</v>
      </c>
      <c r="N237" s="38">
        <f aca="true" t="shared" si="118" ref="N237:S237">+M237+N238</f>
        <v>549000</v>
      </c>
      <c r="O237" s="38">
        <f t="shared" si="118"/>
        <v>474000</v>
      </c>
      <c r="P237" s="38">
        <f t="shared" si="118"/>
        <v>366000</v>
      </c>
      <c r="Q237" s="38">
        <f t="shared" si="118"/>
        <v>234000</v>
      </c>
      <c r="R237" s="38">
        <f t="shared" si="118"/>
        <v>102000</v>
      </c>
      <c r="S237" s="38">
        <f t="shared" si="118"/>
        <v>-30000</v>
      </c>
    </row>
    <row r="238" spans="1:19" ht="12.75">
      <c r="A238">
        <f>ROW()</f>
        <v>238</v>
      </c>
      <c r="B238" t="s">
        <v>107</v>
      </c>
      <c r="L238" s="114"/>
      <c r="M238" s="154">
        <f aca="true" t="shared" si="119" ref="M238:S238">+M239</f>
        <v>0</v>
      </c>
      <c r="N238" s="203">
        <f t="shared" si="119"/>
        <v>-51000</v>
      </c>
      <c r="O238" s="203">
        <f t="shared" si="119"/>
        <v>-75000</v>
      </c>
      <c r="P238" s="203">
        <f t="shared" si="119"/>
        <v>-108000</v>
      </c>
      <c r="Q238" s="203">
        <f t="shared" si="119"/>
        <v>-132000</v>
      </c>
      <c r="R238" s="203">
        <f t="shared" si="119"/>
        <v>-132000</v>
      </c>
      <c r="S238" s="203">
        <f t="shared" si="119"/>
        <v>-132000</v>
      </c>
    </row>
    <row r="239" spans="1:19" ht="12.75">
      <c r="A239">
        <f>ROW()</f>
        <v>239</v>
      </c>
      <c r="B239" t="s">
        <v>109</v>
      </c>
      <c r="L239" s="114"/>
      <c r="M239" s="154">
        <v>0</v>
      </c>
      <c r="N239" s="154">
        <v>-51000</v>
      </c>
      <c r="O239" s="154">
        <v>-75000</v>
      </c>
      <c r="P239" s="154">
        <v>-108000</v>
      </c>
      <c r="Q239" s="154">
        <f>234000-366000</f>
        <v>-132000</v>
      </c>
      <c r="R239" s="154">
        <f>234000-366000</f>
        <v>-132000</v>
      </c>
      <c r="S239" s="154">
        <f>234000-366000</f>
        <v>-132000</v>
      </c>
    </row>
    <row r="240" spans="1:19" ht="12.75">
      <c r="A240">
        <f>ROW()</f>
        <v>240</v>
      </c>
      <c r="B240" t="s">
        <v>59</v>
      </c>
      <c r="L240" s="114"/>
      <c r="M240" s="38">
        <f aca="true" t="shared" si="120" ref="M240:S240">+M241*L237</f>
        <v>48450</v>
      </c>
      <c r="N240" s="38">
        <f t="shared" si="120"/>
        <v>48450</v>
      </c>
      <c r="O240" s="38">
        <f t="shared" si="120"/>
        <v>44331.75</v>
      </c>
      <c r="P240" s="38">
        <f t="shared" si="120"/>
        <v>38275.5</v>
      </c>
      <c r="Q240" s="38">
        <f t="shared" si="120"/>
        <v>29554.5</v>
      </c>
      <c r="R240" s="38">
        <f t="shared" si="120"/>
        <v>18895.5</v>
      </c>
      <c r="S240" s="38">
        <f t="shared" si="120"/>
        <v>8236.5</v>
      </c>
    </row>
    <row r="241" spans="1:19" ht="12.75">
      <c r="A241">
        <f>ROW()</f>
        <v>241</v>
      </c>
      <c r="B241" t="s">
        <v>60</v>
      </c>
      <c r="J241" s="26">
        <f>+F9</f>
        <v>237.5</v>
      </c>
      <c r="L241" s="35"/>
      <c r="M241" s="37">
        <f aca="true" t="shared" si="121" ref="M241:S241">+$J241/10000+M$220</f>
        <v>0.08075</v>
      </c>
      <c r="N241" s="37">
        <f t="shared" si="121"/>
        <v>0.08075</v>
      </c>
      <c r="O241" s="37">
        <f t="shared" si="121"/>
        <v>0.08075</v>
      </c>
      <c r="P241" s="37">
        <f t="shared" si="121"/>
        <v>0.08075</v>
      </c>
      <c r="Q241" s="37">
        <f t="shared" si="121"/>
        <v>0.08075</v>
      </c>
      <c r="R241" s="37">
        <f t="shared" si="121"/>
        <v>0.08075</v>
      </c>
      <c r="S241" s="37">
        <f t="shared" si="121"/>
        <v>0.08075</v>
      </c>
    </row>
    <row r="242" spans="1:12" ht="12" customHeight="1">
      <c r="A242">
        <f>ROW()</f>
        <v>242</v>
      </c>
      <c r="L242" s="35"/>
    </row>
    <row r="243" spans="1:19" ht="12.75">
      <c r="A243">
        <f>ROW()</f>
        <v>243</v>
      </c>
      <c r="B243" s="2" t="str">
        <f>+B10</f>
        <v>Term Loan B</v>
      </c>
      <c r="L243" s="114"/>
      <c r="M243" s="38"/>
      <c r="N243" s="38"/>
      <c r="O243" s="38"/>
      <c r="P243" s="38"/>
      <c r="Q243" s="38"/>
      <c r="R243" s="38"/>
      <c r="S243" s="38"/>
    </row>
    <row r="244" spans="1:19" ht="12.75">
      <c r="A244">
        <f>ROW()</f>
        <v>244</v>
      </c>
      <c r="B244" t="s">
        <v>58</v>
      </c>
      <c r="L244" s="114">
        <f>+C10</f>
        <v>175000</v>
      </c>
      <c r="M244" s="38">
        <f>+L244-M245</f>
        <v>175000</v>
      </c>
      <c r="N244" s="38">
        <f aca="true" t="shared" si="122" ref="N244:S244">+M244+N245</f>
        <v>175000</v>
      </c>
      <c r="O244" s="38">
        <f t="shared" si="122"/>
        <v>175000</v>
      </c>
      <c r="P244" s="38">
        <f t="shared" si="122"/>
        <v>175000</v>
      </c>
      <c r="Q244" s="38">
        <f t="shared" si="122"/>
        <v>175000</v>
      </c>
      <c r="R244" s="38">
        <f t="shared" si="122"/>
        <v>175001</v>
      </c>
      <c r="S244" s="38">
        <f t="shared" si="122"/>
        <v>175003</v>
      </c>
    </row>
    <row r="245" spans="1:19" ht="12.75">
      <c r="A245">
        <f>ROW()</f>
        <v>245</v>
      </c>
      <c r="B245" t="s">
        <v>107</v>
      </c>
      <c r="L245" s="114"/>
      <c r="M245" s="140">
        <f aca="true" t="shared" si="123" ref="M245:S245">+M246</f>
        <v>0</v>
      </c>
      <c r="N245" s="140">
        <f t="shared" si="123"/>
        <v>0</v>
      </c>
      <c r="O245" s="140">
        <f t="shared" si="123"/>
        <v>0</v>
      </c>
      <c r="P245" s="140">
        <f t="shared" si="123"/>
        <v>0</v>
      </c>
      <c r="Q245" s="140">
        <f t="shared" si="123"/>
        <v>0</v>
      </c>
      <c r="R245" s="140">
        <f t="shared" si="123"/>
        <v>1</v>
      </c>
      <c r="S245" s="140">
        <f t="shared" si="123"/>
        <v>2</v>
      </c>
    </row>
    <row r="246" spans="1:19" ht="12.75">
      <c r="A246">
        <f>ROW()</f>
        <v>246</v>
      </c>
      <c r="B246" t="s">
        <v>109</v>
      </c>
      <c r="L246" s="114"/>
      <c r="M246" s="111">
        <v>0</v>
      </c>
      <c r="N246" s="111">
        <v>0</v>
      </c>
      <c r="O246" s="111">
        <v>0</v>
      </c>
      <c r="P246" s="111">
        <v>0</v>
      </c>
      <c r="Q246" s="111">
        <v>0</v>
      </c>
      <c r="R246" s="111">
        <v>1</v>
      </c>
      <c r="S246" s="111">
        <v>2</v>
      </c>
    </row>
    <row r="247" spans="1:19" ht="12.75">
      <c r="A247">
        <f>ROW()</f>
        <v>247</v>
      </c>
      <c r="B247" t="s">
        <v>59</v>
      </c>
      <c r="L247" s="114"/>
      <c r="M247" s="38">
        <f aca="true" t="shared" si="124" ref="M247:S247">+M248*L244</f>
        <v>15224.999999999998</v>
      </c>
      <c r="N247" s="38">
        <f t="shared" si="124"/>
        <v>15224.999999999998</v>
      </c>
      <c r="O247" s="38">
        <f t="shared" si="124"/>
        <v>15224.999999999998</v>
      </c>
      <c r="P247" s="38">
        <f t="shared" si="124"/>
        <v>15224.999999999998</v>
      </c>
      <c r="Q247" s="38">
        <f t="shared" si="124"/>
        <v>15224.999999999998</v>
      </c>
      <c r="R247" s="38">
        <f t="shared" si="124"/>
        <v>15224.999999999998</v>
      </c>
      <c r="S247" s="38">
        <f t="shared" si="124"/>
        <v>15225.087</v>
      </c>
    </row>
    <row r="248" spans="1:19" ht="12.75">
      <c r="A248">
        <f>ROW()</f>
        <v>248</v>
      </c>
      <c r="B248" t="s">
        <v>60</v>
      </c>
      <c r="J248" s="26">
        <f>+F10</f>
        <v>300</v>
      </c>
      <c r="L248" s="35"/>
      <c r="M248" s="37">
        <f aca="true" t="shared" si="125" ref="M248:S248">+$J248/10000+M$220</f>
        <v>0.087</v>
      </c>
      <c r="N248" s="37">
        <f t="shared" si="125"/>
        <v>0.087</v>
      </c>
      <c r="O248" s="37">
        <f t="shared" si="125"/>
        <v>0.087</v>
      </c>
      <c r="P248" s="37">
        <f t="shared" si="125"/>
        <v>0.087</v>
      </c>
      <c r="Q248" s="37">
        <f t="shared" si="125"/>
        <v>0.087</v>
      </c>
      <c r="R248" s="37">
        <f t="shared" si="125"/>
        <v>0.087</v>
      </c>
      <c r="S248" s="37">
        <f t="shared" si="125"/>
        <v>0.087</v>
      </c>
    </row>
    <row r="249" spans="1:12" ht="5.25" customHeight="1">
      <c r="A249">
        <f>ROW()</f>
        <v>249</v>
      </c>
      <c r="L249" s="35"/>
    </row>
    <row r="250" spans="1:19" ht="12.75">
      <c r="A250">
        <f>ROW()</f>
        <v>250</v>
      </c>
      <c r="B250" s="2" t="str">
        <f>+B11</f>
        <v>Term Loan C</v>
      </c>
      <c r="L250" s="114"/>
      <c r="M250" s="38"/>
      <c r="N250" s="38"/>
      <c r="O250" s="38"/>
      <c r="P250" s="38"/>
      <c r="Q250" s="38"/>
      <c r="R250" s="38"/>
      <c r="S250" s="38"/>
    </row>
    <row r="251" spans="1:19" ht="12.75">
      <c r="A251">
        <f>ROW()</f>
        <v>251</v>
      </c>
      <c r="B251" t="s">
        <v>58</v>
      </c>
      <c r="L251" s="114">
        <f>+C11</f>
        <v>175000</v>
      </c>
      <c r="M251" s="38">
        <f>+L251-M252</f>
        <v>175000</v>
      </c>
      <c r="N251" s="38">
        <f aca="true" t="shared" si="126" ref="N251:S251">+M251+N252</f>
        <v>173000</v>
      </c>
      <c r="O251" s="38">
        <f t="shared" si="126"/>
        <v>171000</v>
      </c>
      <c r="P251" s="38">
        <f t="shared" si="126"/>
        <v>169000</v>
      </c>
      <c r="Q251" s="38">
        <f t="shared" si="126"/>
        <v>167000</v>
      </c>
      <c r="R251" s="38">
        <f t="shared" si="126"/>
        <v>165001</v>
      </c>
      <c r="S251" s="38">
        <f t="shared" si="126"/>
        <v>163003</v>
      </c>
    </row>
    <row r="252" spans="1:19" ht="12.75">
      <c r="A252">
        <f>ROW()</f>
        <v>252</v>
      </c>
      <c r="B252" t="s">
        <v>107</v>
      </c>
      <c r="L252" s="114"/>
      <c r="M252" s="140">
        <f aca="true" t="shared" si="127" ref="M252:S252">+M253</f>
        <v>0</v>
      </c>
      <c r="N252" s="140">
        <f t="shared" si="127"/>
        <v>-2000</v>
      </c>
      <c r="O252" s="140">
        <f t="shared" si="127"/>
        <v>-2000</v>
      </c>
      <c r="P252" s="140">
        <f t="shared" si="127"/>
        <v>-2000</v>
      </c>
      <c r="Q252" s="140">
        <f t="shared" si="127"/>
        <v>-2000</v>
      </c>
      <c r="R252" s="140">
        <f t="shared" si="127"/>
        <v>-1999</v>
      </c>
      <c r="S252" s="140">
        <f t="shared" si="127"/>
        <v>-1998</v>
      </c>
    </row>
    <row r="253" spans="1:19" ht="12.75">
      <c r="A253">
        <f>ROW()</f>
        <v>253</v>
      </c>
      <c r="B253" t="s">
        <v>109</v>
      </c>
      <c r="L253" s="114"/>
      <c r="M253" s="154"/>
      <c r="N253" s="154">
        <v>-2000</v>
      </c>
      <c r="O253" s="154">
        <v>-2000</v>
      </c>
      <c r="P253" s="154">
        <v>-2000</v>
      </c>
      <c r="Q253" s="154">
        <v>-2000</v>
      </c>
      <c r="R253" s="154">
        <v>-1999</v>
      </c>
      <c r="S253" s="154">
        <v>-1998</v>
      </c>
    </row>
    <row r="254" spans="1:19" ht="12.75">
      <c r="A254">
        <f>ROW()</f>
        <v>254</v>
      </c>
      <c r="B254" t="s">
        <v>59</v>
      </c>
      <c r="L254" s="114"/>
      <c r="M254" s="38">
        <f aca="true" t="shared" si="128" ref="M254:S254">+M255*L251</f>
        <v>16100</v>
      </c>
      <c r="N254" s="38">
        <f t="shared" si="128"/>
        <v>16100</v>
      </c>
      <c r="O254" s="38">
        <f t="shared" si="128"/>
        <v>15916</v>
      </c>
      <c r="P254" s="38">
        <f t="shared" si="128"/>
        <v>15732</v>
      </c>
      <c r="Q254" s="38">
        <f t="shared" si="128"/>
        <v>15548</v>
      </c>
      <c r="R254" s="38">
        <f t="shared" si="128"/>
        <v>15364</v>
      </c>
      <c r="S254" s="38">
        <f t="shared" si="128"/>
        <v>15180.092</v>
      </c>
    </row>
    <row r="255" spans="1:19" ht="12.75">
      <c r="A255">
        <f>ROW()</f>
        <v>255</v>
      </c>
      <c r="B255" t="s">
        <v>60</v>
      </c>
      <c r="J255" s="26">
        <f>+F11</f>
        <v>350</v>
      </c>
      <c r="L255" s="35"/>
      <c r="M255" s="37">
        <f aca="true" t="shared" si="129" ref="M255:S255">+$J255/10000+M$220</f>
        <v>0.092</v>
      </c>
      <c r="N255" s="37">
        <f t="shared" si="129"/>
        <v>0.092</v>
      </c>
      <c r="O255" s="37">
        <f t="shared" si="129"/>
        <v>0.092</v>
      </c>
      <c r="P255" s="37">
        <f t="shared" si="129"/>
        <v>0.092</v>
      </c>
      <c r="Q255" s="37">
        <f t="shared" si="129"/>
        <v>0.092</v>
      </c>
      <c r="R255" s="37">
        <f t="shared" si="129"/>
        <v>0.092</v>
      </c>
      <c r="S255" s="37">
        <f t="shared" si="129"/>
        <v>0.092</v>
      </c>
    </row>
    <row r="256" spans="1:12" ht="7.5" customHeight="1">
      <c r="A256">
        <f>ROW()</f>
        <v>256</v>
      </c>
      <c r="L256" s="35"/>
    </row>
    <row r="257" spans="1:12" ht="12.75" hidden="1">
      <c r="A257">
        <f>ROW()</f>
        <v>257</v>
      </c>
      <c r="B257" s="2" t="str">
        <f>+B12</f>
        <v>Other Bank Debt / Exisiting</v>
      </c>
      <c r="L257" s="35"/>
    </row>
    <row r="258" spans="1:19" ht="12.75" hidden="1">
      <c r="A258">
        <f>ROW()</f>
        <v>258</v>
      </c>
      <c r="B258" t="s">
        <v>58</v>
      </c>
      <c r="L258" s="114">
        <f>+C12</f>
        <v>0</v>
      </c>
      <c r="M258" s="38">
        <f>+L258-M259</f>
        <v>0</v>
      </c>
      <c r="N258" s="38">
        <f aca="true" t="shared" si="130" ref="N258:S258">+M258+N259</f>
        <v>0</v>
      </c>
      <c r="O258" s="38">
        <f t="shared" si="130"/>
        <v>0</v>
      </c>
      <c r="P258" s="38">
        <f t="shared" si="130"/>
        <v>0</v>
      </c>
      <c r="Q258" s="38">
        <f t="shared" si="130"/>
        <v>0</v>
      </c>
      <c r="R258" s="38">
        <f t="shared" si="130"/>
        <v>1</v>
      </c>
      <c r="S258" s="38">
        <f t="shared" si="130"/>
        <v>3</v>
      </c>
    </row>
    <row r="259" spans="1:19" ht="12.75" hidden="1">
      <c r="A259">
        <f>ROW()</f>
        <v>259</v>
      </c>
      <c r="B259" t="s">
        <v>107</v>
      </c>
      <c r="L259" s="114"/>
      <c r="M259" s="140">
        <f aca="true" t="shared" si="131" ref="M259:S259">+M260</f>
        <v>0</v>
      </c>
      <c r="N259" s="140">
        <f t="shared" si="131"/>
        <v>0</v>
      </c>
      <c r="O259" s="140">
        <f t="shared" si="131"/>
        <v>0</v>
      </c>
      <c r="P259" s="140">
        <f t="shared" si="131"/>
        <v>0</v>
      </c>
      <c r="Q259" s="140">
        <f t="shared" si="131"/>
        <v>0</v>
      </c>
      <c r="R259" s="140">
        <f t="shared" si="131"/>
        <v>1</v>
      </c>
      <c r="S259" s="140">
        <f t="shared" si="131"/>
        <v>2</v>
      </c>
    </row>
    <row r="260" spans="1:19" ht="12.75" hidden="1">
      <c r="A260">
        <f>ROW()</f>
        <v>260</v>
      </c>
      <c r="B260" t="s">
        <v>109</v>
      </c>
      <c r="L260" s="114"/>
      <c r="M260" s="111">
        <v>0</v>
      </c>
      <c r="N260" s="111">
        <v>0</v>
      </c>
      <c r="O260" s="111">
        <v>0</v>
      </c>
      <c r="P260" s="111">
        <v>0</v>
      </c>
      <c r="Q260" s="111">
        <v>0</v>
      </c>
      <c r="R260" s="111">
        <v>1</v>
      </c>
      <c r="S260" s="111">
        <v>2</v>
      </c>
    </row>
    <row r="261" spans="1:19" ht="12.75" hidden="1">
      <c r="A261">
        <f>ROW()</f>
        <v>261</v>
      </c>
      <c r="B261" t="s">
        <v>59</v>
      </c>
      <c r="L261" s="114"/>
      <c r="M261" s="38">
        <f aca="true" t="shared" si="132" ref="M261:S261">+M262*L258</f>
        <v>0</v>
      </c>
      <c r="N261" s="38">
        <f t="shared" si="132"/>
        <v>0</v>
      </c>
      <c r="O261" s="38">
        <f t="shared" si="132"/>
        <v>0</v>
      </c>
      <c r="P261" s="38">
        <f t="shared" si="132"/>
        <v>0</v>
      </c>
      <c r="Q261" s="38">
        <f t="shared" si="132"/>
        <v>0</v>
      </c>
      <c r="R261" s="38">
        <f t="shared" si="132"/>
        <v>0</v>
      </c>
      <c r="S261" s="38">
        <f t="shared" si="132"/>
        <v>0.057</v>
      </c>
    </row>
    <row r="262" spans="1:19" ht="12.75" hidden="1">
      <c r="A262">
        <f>ROW()</f>
        <v>262</v>
      </c>
      <c r="B262" t="s">
        <v>60</v>
      </c>
      <c r="J262" s="26">
        <f>+F12</f>
        <v>0</v>
      </c>
      <c r="L262" s="35"/>
      <c r="M262" s="37">
        <f aca="true" t="shared" si="133" ref="M262:S262">+$J262/10000+M$220</f>
        <v>0.057</v>
      </c>
      <c r="N262" s="37">
        <f t="shared" si="133"/>
        <v>0.057</v>
      </c>
      <c r="O262" s="37">
        <f t="shared" si="133"/>
        <v>0.057</v>
      </c>
      <c r="P262" s="37">
        <f t="shared" si="133"/>
        <v>0.057</v>
      </c>
      <c r="Q262" s="37">
        <f t="shared" si="133"/>
        <v>0.057</v>
      </c>
      <c r="R262" s="37">
        <f t="shared" si="133"/>
        <v>0.057</v>
      </c>
      <c r="S262" s="37">
        <f t="shared" si="133"/>
        <v>0.057</v>
      </c>
    </row>
    <row r="263" spans="1:12" ht="6.75" customHeight="1">
      <c r="A263">
        <f>ROW()</f>
        <v>263</v>
      </c>
      <c r="L263" s="35"/>
    </row>
    <row r="264" spans="1:12" ht="12.75" hidden="1">
      <c r="A264">
        <f>ROW()</f>
        <v>264</v>
      </c>
      <c r="B264" s="2" t="str">
        <f>+B14</f>
        <v>Senior Secured Notes</v>
      </c>
      <c r="L264" s="35"/>
    </row>
    <row r="265" spans="1:19" ht="12.75" hidden="1">
      <c r="A265">
        <f>ROW()</f>
        <v>265</v>
      </c>
      <c r="B265" t="s">
        <v>58</v>
      </c>
      <c r="L265" s="36">
        <f>+C14</f>
        <v>0</v>
      </c>
      <c r="M265" s="38">
        <f>+L265-M266</f>
        <v>0</v>
      </c>
      <c r="N265" s="38">
        <f aca="true" t="shared" si="134" ref="N265:S265">+M265+N266</f>
        <v>0</v>
      </c>
      <c r="O265" s="38">
        <f t="shared" si="134"/>
        <v>0</v>
      </c>
      <c r="P265" s="38">
        <f t="shared" si="134"/>
        <v>0</v>
      </c>
      <c r="Q265" s="38">
        <f t="shared" si="134"/>
        <v>0</v>
      </c>
      <c r="R265" s="38">
        <f t="shared" si="134"/>
        <v>1</v>
      </c>
      <c r="S265" s="38">
        <f t="shared" si="134"/>
        <v>3</v>
      </c>
    </row>
    <row r="266" spans="1:19" ht="12.75" hidden="1">
      <c r="A266">
        <f>ROW()</f>
        <v>266</v>
      </c>
      <c r="B266" t="s">
        <v>107</v>
      </c>
      <c r="L266" s="36"/>
      <c r="M266" s="111">
        <v>0</v>
      </c>
      <c r="N266" s="111">
        <v>0</v>
      </c>
      <c r="O266" s="111">
        <v>0</v>
      </c>
      <c r="P266" s="111">
        <v>0</v>
      </c>
      <c r="Q266" s="111">
        <v>0</v>
      </c>
      <c r="R266" s="111">
        <v>1</v>
      </c>
      <c r="S266" s="111">
        <v>2</v>
      </c>
    </row>
    <row r="267" spans="1:19" ht="12.75" hidden="1">
      <c r="A267">
        <f>ROW()</f>
        <v>267</v>
      </c>
      <c r="B267" t="s">
        <v>59</v>
      </c>
      <c r="L267" s="36"/>
      <c r="M267" s="38">
        <f aca="true" t="shared" si="135" ref="M267:S267">+M268*L265</f>
        <v>0</v>
      </c>
      <c r="N267" s="38">
        <f t="shared" si="135"/>
        <v>0</v>
      </c>
      <c r="O267" s="38">
        <f t="shared" si="135"/>
        <v>0</v>
      </c>
      <c r="P267" s="38">
        <f t="shared" si="135"/>
        <v>0</v>
      </c>
      <c r="Q267" s="38">
        <f t="shared" si="135"/>
        <v>0</v>
      </c>
      <c r="R267" s="38">
        <f t="shared" si="135"/>
        <v>0</v>
      </c>
      <c r="S267" s="38">
        <f t="shared" si="135"/>
        <v>0.08</v>
      </c>
    </row>
    <row r="268" spans="1:19" ht="12.75" hidden="1">
      <c r="A268">
        <f>ROW()</f>
        <v>268</v>
      </c>
      <c r="B268" t="s">
        <v>60</v>
      </c>
      <c r="J268" s="37">
        <v>0.08</v>
      </c>
      <c r="L268" s="35"/>
      <c r="M268" s="37">
        <f>+J268</f>
        <v>0.08</v>
      </c>
      <c r="N268" s="37">
        <f aca="true" t="shared" si="136" ref="N268:S268">+M268</f>
        <v>0.08</v>
      </c>
      <c r="O268" s="37">
        <f t="shared" si="136"/>
        <v>0.08</v>
      </c>
      <c r="P268" s="37">
        <f t="shared" si="136"/>
        <v>0.08</v>
      </c>
      <c r="Q268" s="37">
        <f t="shared" si="136"/>
        <v>0.08</v>
      </c>
      <c r="R268" s="37">
        <f t="shared" si="136"/>
        <v>0.08</v>
      </c>
      <c r="S268" s="37">
        <f t="shared" si="136"/>
        <v>0.08</v>
      </c>
    </row>
    <row r="269" spans="1:12" ht="4.5" customHeight="1">
      <c r="A269">
        <f>ROW()</f>
        <v>269</v>
      </c>
      <c r="L269" s="35"/>
    </row>
    <row r="270" spans="1:12" ht="12.75">
      <c r="A270">
        <f>ROW()</f>
        <v>270</v>
      </c>
      <c r="B270" s="2" t="str">
        <f>+B16</f>
        <v>Senior Unsecured / Subordinated Notes</v>
      </c>
      <c r="L270" s="35"/>
    </row>
    <row r="271" spans="1:19" ht="12.75">
      <c r="A271">
        <f>ROW()</f>
        <v>271</v>
      </c>
      <c r="B271" t="s">
        <v>58</v>
      </c>
      <c r="L271" s="114">
        <f>+C16</f>
        <v>375000</v>
      </c>
      <c r="M271" s="38">
        <f>+L271-M272</f>
        <v>375000</v>
      </c>
      <c r="N271" s="38">
        <f aca="true" t="shared" si="137" ref="N271:S271">+M271+N272</f>
        <v>375000</v>
      </c>
      <c r="O271" s="38">
        <f t="shared" si="137"/>
        <v>375000</v>
      </c>
      <c r="P271" s="38">
        <f t="shared" si="137"/>
        <v>375000</v>
      </c>
      <c r="Q271" s="38">
        <f t="shared" si="137"/>
        <v>375000</v>
      </c>
      <c r="R271" s="38">
        <f t="shared" si="137"/>
        <v>375000</v>
      </c>
      <c r="S271" s="38">
        <f t="shared" si="137"/>
        <v>375000</v>
      </c>
    </row>
    <row r="272" spans="1:19" ht="12.75">
      <c r="A272">
        <f>ROW()</f>
        <v>272</v>
      </c>
      <c r="B272" t="s">
        <v>107</v>
      </c>
      <c r="L272" s="36"/>
      <c r="M272" s="111">
        <v>0</v>
      </c>
      <c r="N272" s="111">
        <v>0</v>
      </c>
      <c r="O272" s="111">
        <v>0</v>
      </c>
      <c r="P272" s="111">
        <v>0</v>
      </c>
      <c r="Q272" s="111">
        <v>0</v>
      </c>
      <c r="R272" s="111"/>
      <c r="S272" s="111"/>
    </row>
    <row r="273" spans="1:19" ht="12.75">
      <c r="A273">
        <f>ROW()</f>
        <v>273</v>
      </c>
      <c r="B273" t="s">
        <v>59</v>
      </c>
      <c r="L273" s="114"/>
      <c r="M273" s="38">
        <f aca="true" t="shared" si="138" ref="M273:S273">+M274*L271</f>
        <v>30000</v>
      </c>
      <c r="N273" s="38">
        <f t="shared" si="138"/>
        <v>30000</v>
      </c>
      <c r="O273" s="38">
        <f t="shared" si="138"/>
        <v>30000</v>
      </c>
      <c r="P273" s="38">
        <f t="shared" si="138"/>
        <v>30000</v>
      </c>
      <c r="Q273" s="38">
        <f t="shared" si="138"/>
        <v>30000</v>
      </c>
      <c r="R273" s="38">
        <f t="shared" si="138"/>
        <v>30000</v>
      </c>
      <c r="S273" s="38">
        <f t="shared" si="138"/>
        <v>30000</v>
      </c>
    </row>
    <row r="274" spans="1:19" ht="12.75">
      <c r="A274">
        <f>ROW()</f>
        <v>274</v>
      </c>
      <c r="B274" t="s">
        <v>60</v>
      </c>
      <c r="J274" s="37">
        <v>0.08</v>
      </c>
      <c r="L274" s="114"/>
      <c r="M274" s="37">
        <f>+J274</f>
        <v>0.08</v>
      </c>
      <c r="N274" s="37">
        <f aca="true" t="shared" si="139" ref="N274:S274">+M274</f>
        <v>0.08</v>
      </c>
      <c r="O274" s="37">
        <f t="shared" si="139"/>
        <v>0.08</v>
      </c>
      <c r="P274" s="37">
        <f t="shared" si="139"/>
        <v>0.08</v>
      </c>
      <c r="Q274" s="37">
        <f t="shared" si="139"/>
        <v>0.08</v>
      </c>
      <c r="R274" s="37">
        <f t="shared" si="139"/>
        <v>0.08</v>
      </c>
      <c r="S274" s="37">
        <f t="shared" si="139"/>
        <v>0.08</v>
      </c>
    </row>
    <row r="275" spans="1:12" ht="6" customHeight="1">
      <c r="A275">
        <f>ROW()</f>
        <v>275</v>
      </c>
      <c r="L275" s="114"/>
    </row>
    <row r="276" spans="1:12" ht="12.75">
      <c r="A276">
        <f>ROW()</f>
        <v>276</v>
      </c>
      <c r="B276" s="2" t="str">
        <f>+B17</f>
        <v>Junior Subordinated Notes</v>
      </c>
      <c r="L276" s="114"/>
    </row>
    <row r="277" spans="1:19" ht="12.75">
      <c r="A277">
        <f>ROW()</f>
        <v>277</v>
      </c>
      <c r="B277" t="s">
        <v>58</v>
      </c>
      <c r="L277" s="114">
        <f>+C17</f>
        <v>125000</v>
      </c>
      <c r="M277" s="38">
        <f aca="true" t="shared" si="140" ref="M277:S277">+L277+M278</f>
        <v>141000</v>
      </c>
      <c r="N277" s="38">
        <f t="shared" si="140"/>
        <v>159048</v>
      </c>
      <c r="O277" s="38">
        <f t="shared" si="140"/>
        <v>179406.144</v>
      </c>
      <c r="P277" s="38">
        <f t="shared" si="140"/>
        <v>202370.130432</v>
      </c>
      <c r="Q277" s="38">
        <f t="shared" si="140"/>
        <v>228273.507127296</v>
      </c>
      <c r="R277" s="38">
        <f t="shared" si="140"/>
        <v>257492.5160395899</v>
      </c>
      <c r="S277" s="38">
        <f t="shared" si="140"/>
        <v>290451.55809265736</v>
      </c>
    </row>
    <row r="278" spans="1:19" ht="12.75">
      <c r="A278">
        <f>ROW()</f>
        <v>278</v>
      </c>
      <c r="B278" t="s">
        <v>107</v>
      </c>
      <c r="J278" s="48" t="s">
        <v>157</v>
      </c>
      <c r="L278" s="114"/>
      <c r="M278" s="111">
        <f aca="true" t="shared" si="141" ref="M278:S278">+M279</f>
        <v>16000</v>
      </c>
      <c r="N278" s="111">
        <f t="shared" si="141"/>
        <v>18048</v>
      </c>
      <c r="O278" s="111">
        <f t="shared" si="141"/>
        <v>20358.144</v>
      </c>
      <c r="P278" s="111">
        <f t="shared" si="141"/>
        <v>22963.986432</v>
      </c>
      <c r="Q278" s="111">
        <f t="shared" si="141"/>
        <v>25903.376695296</v>
      </c>
      <c r="R278" s="111">
        <f t="shared" si="141"/>
        <v>29219.008912293888</v>
      </c>
      <c r="S278" s="111">
        <f t="shared" si="141"/>
        <v>32959.042053067504</v>
      </c>
    </row>
    <row r="279" spans="1:19" ht="12.75">
      <c r="A279">
        <f>ROW()</f>
        <v>279</v>
      </c>
      <c r="B279" t="s">
        <v>59</v>
      </c>
      <c r="L279" s="114"/>
      <c r="M279" s="38">
        <f aca="true" t="shared" si="142" ref="M279:S279">+M280*L277</f>
        <v>16000</v>
      </c>
      <c r="N279" s="38">
        <f t="shared" si="142"/>
        <v>18048</v>
      </c>
      <c r="O279" s="38">
        <f t="shared" si="142"/>
        <v>20358.144</v>
      </c>
      <c r="P279" s="38">
        <f t="shared" si="142"/>
        <v>22963.986432</v>
      </c>
      <c r="Q279" s="38">
        <f t="shared" si="142"/>
        <v>25903.376695296</v>
      </c>
      <c r="R279" s="38">
        <f t="shared" si="142"/>
        <v>29219.008912293888</v>
      </c>
      <c r="S279" s="38">
        <f t="shared" si="142"/>
        <v>32959.042053067504</v>
      </c>
    </row>
    <row r="280" spans="1:19" ht="12.75">
      <c r="A280">
        <f>ROW()</f>
        <v>280</v>
      </c>
      <c r="B280" t="s">
        <v>60</v>
      </c>
      <c r="J280" s="37">
        <f>+(141-125)/125</f>
        <v>0.128</v>
      </c>
      <c r="L280" s="114"/>
      <c r="M280" s="37">
        <f>+J280</f>
        <v>0.128</v>
      </c>
      <c r="N280" s="37">
        <f aca="true" t="shared" si="143" ref="N280:S280">+M280</f>
        <v>0.128</v>
      </c>
      <c r="O280" s="37">
        <f t="shared" si="143"/>
        <v>0.128</v>
      </c>
      <c r="P280" s="37">
        <f t="shared" si="143"/>
        <v>0.128</v>
      </c>
      <c r="Q280" s="37">
        <f t="shared" si="143"/>
        <v>0.128</v>
      </c>
      <c r="R280" s="37">
        <f t="shared" si="143"/>
        <v>0.128</v>
      </c>
      <c r="S280" s="37">
        <f t="shared" si="143"/>
        <v>0.128</v>
      </c>
    </row>
    <row r="281" spans="1:12" ht="12.75">
      <c r="A281">
        <f>ROW()</f>
        <v>281</v>
      </c>
      <c r="L281" s="114"/>
    </row>
    <row r="282" spans="1:12" ht="12.75">
      <c r="A282">
        <f>ROW()</f>
        <v>282</v>
      </c>
      <c r="B282" s="2" t="str">
        <f>+B21</f>
        <v>Prefered Equity</v>
      </c>
      <c r="L282" s="114"/>
    </row>
    <row r="283" spans="1:19" ht="12.75">
      <c r="A283">
        <f>ROW()</f>
        <v>283</v>
      </c>
      <c r="B283" t="s">
        <v>58</v>
      </c>
      <c r="L283" s="114">
        <f>+C21</f>
        <v>100000</v>
      </c>
      <c r="M283" s="38">
        <f aca="true" t="shared" si="144" ref="M283:S283">+L283+M284</f>
        <v>100000</v>
      </c>
      <c r="N283" s="38">
        <f t="shared" si="144"/>
        <v>100000</v>
      </c>
      <c r="O283" s="38">
        <f t="shared" si="144"/>
        <v>100000</v>
      </c>
      <c r="P283" s="38">
        <f t="shared" si="144"/>
        <v>100000</v>
      </c>
      <c r="Q283" s="38">
        <f t="shared" si="144"/>
        <v>100000</v>
      </c>
      <c r="R283" s="38">
        <f t="shared" si="144"/>
        <v>100000</v>
      </c>
      <c r="S283" s="38">
        <f t="shared" si="144"/>
        <v>100000</v>
      </c>
    </row>
    <row r="284" spans="1:19" ht="12.75">
      <c r="A284">
        <f>ROW()</f>
        <v>284</v>
      </c>
      <c r="B284" t="s">
        <v>107</v>
      </c>
      <c r="L284" s="114"/>
      <c r="M284" s="111"/>
      <c r="N284" s="111">
        <v>0</v>
      </c>
      <c r="O284" s="111">
        <v>0</v>
      </c>
      <c r="P284" s="111">
        <v>0</v>
      </c>
      <c r="Q284" s="111">
        <v>0</v>
      </c>
      <c r="R284" s="111"/>
      <c r="S284" s="111"/>
    </row>
    <row r="285" spans="1:19" ht="12.75">
      <c r="A285">
        <f>ROW()</f>
        <v>285</v>
      </c>
      <c r="B285" t="s">
        <v>59</v>
      </c>
      <c r="L285" s="114"/>
      <c r="M285" s="38">
        <f aca="true" t="shared" si="145" ref="M285:S285">+M286*L283</f>
        <v>0</v>
      </c>
      <c r="N285" s="38">
        <f t="shared" si="145"/>
        <v>0</v>
      </c>
      <c r="O285" s="38">
        <f t="shared" si="145"/>
        <v>0</v>
      </c>
      <c r="P285" s="38">
        <f t="shared" si="145"/>
        <v>0</v>
      </c>
      <c r="Q285" s="38">
        <f t="shared" si="145"/>
        <v>0</v>
      </c>
      <c r="R285" s="38">
        <f t="shared" si="145"/>
        <v>0</v>
      </c>
      <c r="S285" s="38">
        <f t="shared" si="145"/>
        <v>0</v>
      </c>
    </row>
    <row r="286" spans="1:19" ht="12.75">
      <c r="A286">
        <f>ROW()</f>
        <v>286</v>
      </c>
      <c r="B286" t="s">
        <v>60</v>
      </c>
      <c r="J286" s="37">
        <v>0</v>
      </c>
      <c r="L286" s="114"/>
      <c r="M286" s="37">
        <f>+J286</f>
        <v>0</v>
      </c>
      <c r="N286" s="37">
        <f aca="true" t="shared" si="146" ref="N286:S286">+M286</f>
        <v>0</v>
      </c>
      <c r="O286" s="37">
        <f t="shared" si="146"/>
        <v>0</v>
      </c>
      <c r="P286" s="37">
        <f t="shared" si="146"/>
        <v>0</v>
      </c>
      <c r="Q286" s="37">
        <f t="shared" si="146"/>
        <v>0</v>
      </c>
      <c r="R286" s="37">
        <f t="shared" si="146"/>
        <v>0</v>
      </c>
      <c r="S286" s="37">
        <f t="shared" si="146"/>
        <v>0</v>
      </c>
    </row>
    <row r="287" spans="1:19" ht="12.75">
      <c r="A287">
        <f>ROW()</f>
        <v>287</v>
      </c>
      <c r="L287" s="114"/>
      <c r="M287" s="26"/>
      <c r="N287" s="26"/>
      <c r="O287" s="26"/>
      <c r="P287" s="26"/>
      <c r="Q287" s="26"/>
      <c r="R287" s="26"/>
      <c r="S287" s="26"/>
    </row>
    <row r="288" spans="1:12" ht="12.75">
      <c r="A288">
        <f>ROW()</f>
        <v>288</v>
      </c>
      <c r="B288" s="2" t="str">
        <f>+B22</f>
        <v>Rollover Equity</v>
      </c>
      <c r="L288" s="114"/>
    </row>
    <row r="289" spans="1:19" ht="12.75">
      <c r="A289">
        <f>ROW()</f>
        <v>289</v>
      </c>
      <c r="B289" t="s">
        <v>58</v>
      </c>
      <c r="J289" s="37"/>
      <c r="L289" s="114">
        <f>+C22</f>
        <v>549000</v>
      </c>
      <c r="M289" s="38">
        <f>+L289-M290</f>
        <v>549000</v>
      </c>
      <c r="N289" s="38">
        <f aca="true" t="shared" si="147" ref="N289:S289">+M289+N290</f>
        <v>549000</v>
      </c>
      <c r="O289" s="38">
        <f t="shared" si="147"/>
        <v>549000</v>
      </c>
      <c r="P289" s="38">
        <f t="shared" si="147"/>
        <v>549000</v>
      </c>
      <c r="Q289" s="38">
        <f t="shared" si="147"/>
        <v>549000</v>
      </c>
      <c r="R289" s="38">
        <f t="shared" si="147"/>
        <v>549000</v>
      </c>
      <c r="S289" s="38">
        <f t="shared" si="147"/>
        <v>549000</v>
      </c>
    </row>
    <row r="290" spans="1:19" ht="12.75">
      <c r="A290">
        <f>ROW()</f>
        <v>290</v>
      </c>
      <c r="B290" t="s">
        <v>107</v>
      </c>
      <c r="L290" s="114"/>
      <c r="M290" s="111">
        <v>0</v>
      </c>
      <c r="N290" s="111">
        <v>0</v>
      </c>
      <c r="O290" s="111">
        <v>0</v>
      </c>
      <c r="P290" s="111">
        <v>0</v>
      </c>
      <c r="Q290" s="111">
        <v>0</v>
      </c>
      <c r="R290" s="111"/>
      <c r="S290" s="111"/>
    </row>
    <row r="291" spans="1:19" ht="12.75">
      <c r="A291">
        <f>ROW()</f>
        <v>291</v>
      </c>
      <c r="B291" t="s">
        <v>59</v>
      </c>
      <c r="L291" s="36"/>
      <c r="M291" s="38">
        <f aca="true" t="shared" si="148" ref="M291:S291">+M292*L289</f>
        <v>0</v>
      </c>
      <c r="N291" s="38">
        <f t="shared" si="148"/>
        <v>0</v>
      </c>
      <c r="O291" s="38">
        <f t="shared" si="148"/>
        <v>0</v>
      </c>
      <c r="P291" s="38">
        <f t="shared" si="148"/>
        <v>0</v>
      </c>
      <c r="Q291" s="38">
        <f t="shared" si="148"/>
        <v>0</v>
      </c>
      <c r="R291" s="38">
        <f t="shared" si="148"/>
        <v>0</v>
      </c>
      <c r="S291" s="38">
        <f t="shared" si="148"/>
        <v>0</v>
      </c>
    </row>
    <row r="292" spans="1:19" ht="12.75">
      <c r="A292">
        <f>ROW()</f>
        <v>292</v>
      </c>
      <c r="B292" t="s">
        <v>60</v>
      </c>
      <c r="J292" s="37">
        <v>0</v>
      </c>
      <c r="L292" s="36"/>
      <c r="M292" s="37">
        <f>+J292</f>
        <v>0</v>
      </c>
      <c r="N292" s="37">
        <f aca="true" t="shared" si="149" ref="N292:S292">+M292</f>
        <v>0</v>
      </c>
      <c r="O292" s="37">
        <f t="shared" si="149"/>
        <v>0</v>
      </c>
      <c r="P292" s="37">
        <f t="shared" si="149"/>
        <v>0</v>
      </c>
      <c r="Q292" s="37">
        <f t="shared" si="149"/>
        <v>0</v>
      </c>
      <c r="R292" s="37">
        <f t="shared" si="149"/>
        <v>0</v>
      </c>
      <c r="S292" s="37">
        <f t="shared" si="149"/>
        <v>0</v>
      </c>
    </row>
    <row r="293" spans="1:19" ht="12.75">
      <c r="A293">
        <f>ROW()</f>
        <v>293</v>
      </c>
      <c r="L293" s="3"/>
      <c r="M293" s="26"/>
      <c r="N293" s="26"/>
      <c r="O293" s="26"/>
      <c r="P293" s="26"/>
      <c r="Q293" s="26"/>
      <c r="R293" s="26"/>
      <c r="S293" s="26"/>
    </row>
    <row r="294" spans="1:19" ht="12.75">
      <c r="A294">
        <f>ROW()</f>
        <v>294</v>
      </c>
      <c r="B294" s="48" t="s">
        <v>154</v>
      </c>
      <c r="L294" s="38"/>
      <c r="M294" s="38">
        <f aca="true" t="shared" si="150" ref="M294:S294">+M291+M285+M279+M273+M267+M261+M254+M247+M240+M233+M227</f>
        <v>125775.057</v>
      </c>
      <c r="N294" s="38">
        <f t="shared" si="150"/>
        <v>127823.057</v>
      </c>
      <c r="O294" s="38">
        <f t="shared" si="150"/>
        <v>125830.951</v>
      </c>
      <c r="P294" s="38">
        <f t="shared" si="150"/>
        <v>122196.543432</v>
      </c>
      <c r="Q294" s="38">
        <f t="shared" si="150"/>
        <v>116230.933695296</v>
      </c>
      <c r="R294" s="38">
        <f t="shared" si="150"/>
        <v>108703.56591229388</v>
      </c>
      <c r="S294" s="38">
        <f t="shared" si="150"/>
        <v>101600.9958030675</v>
      </c>
    </row>
    <row r="295" spans="1:19" ht="12.75">
      <c r="A295">
        <f>ROW()</f>
        <v>295</v>
      </c>
      <c r="B295" s="48" t="s">
        <v>169</v>
      </c>
      <c r="L295" s="38">
        <f aca="true" t="shared" si="151" ref="L295:Q295">+L277+L271+L258+L265+L251+L244+L237+L230</f>
        <v>1450000</v>
      </c>
      <c r="M295" s="38">
        <f t="shared" si="151"/>
        <v>1466000</v>
      </c>
      <c r="N295" s="38">
        <f t="shared" si="151"/>
        <v>1431048</v>
      </c>
      <c r="O295" s="38">
        <f t="shared" si="151"/>
        <v>1374406.1439999999</v>
      </c>
      <c r="P295" s="38">
        <f t="shared" si="151"/>
        <v>1287370.130432</v>
      </c>
      <c r="Q295" s="38">
        <f t="shared" si="151"/>
        <v>1179273.507127296</v>
      </c>
      <c r="R295" s="38">
        <f>+R277+R271+R258+R265+R251+R244+R237+R230</f>
        <v>1074497.51603959</v>
      </c>
      <c r="S295" s="38">
        <f>+S277+S271+S258+S265+S251+S244+S237+S230</f>
        <v>973466.5580926574</v>
      </c>
    </row>
    <row r="296" spans="1:19" ht="12.75">
      <c r="A296">
        <f>ROW()</f>
        <v>296</v>
      </c>
      <c r="B296" s="48" t="s">
        <v>171</v>
      </c>
      <c r="L296" s="38">
        <f aca="true" t="shared" si="152" ref="L296:Q296">+L230+L237+L244+L251+L258+L265</f>
        <v>950000</v>
      </c>
      <c r="M296" s="38">
        <f t="shared" si="152"/>
        <v>950000</v>
      </c>
      <c r="N296" s="38">
        <f t="shared" si="152"/>
        <v>897000</v>
      </c>
      <c r="O296" s="38">
        <f t="shared" si="152"/>
        <v>820000</v>
      </c>
      <c r="P296" s="38">
        <f t="shared" si="152"/>
        <v>710000</v>
      </c>
      <c r="Q296" s="38">
        <f t="shared" si="152"/>
        <v>576000</v>
      </c>
      <c r="R296" s="38">
        <f>+R230+R237+R244+R251+R258+R265</f>
        <v>442005</v>
      </c>
      <c r="S296" s="38">
        <f>+S230+S237+S244+S251+S258+S265</f>
        <v>308015</v>
      </c>
    </row>
    <row r="297" spans="1:19" ht="12.75">
      <c r="A297">
        <f>ROW()</f>
        <v>297</v>
      </c>
      <c r="L297" s="3"/>
      <c r="M297" s="26"/>
      <c r="N297" s="26"/>
      <c r="O297" s="26"/>
      <c r="P297" s="26"/>
      <c r="Q297" s="26"/>
      <c r="R297" s="26"/>
      <c r="S297" s="26"/>
    </row>
    <row r="299" spans="1:5" ht="13.5" thickBot="1">
      <c r="A299">
        <f>ROW()</f>
        <v>299</v>
      </c>
      <c r="B299" s="2" t="s">
        <v>217</v>
      </c>
      <c r="C299" s="2"/>
      <c r="D299" s="2"/>
      <c r="E299" s="2"/>
    </row>
    <row r="300" spans="1:19" ht="13.5" thickBot="1">
      <c r="A300">
        <f>ROW()</f>
        <v>300</v>
      </c>
      <c r="L300" s="213" t="s">
        <v>178</v>
      </c>
      <c r="M300" s="251">
        <f>+M122</f>
        <v>37316</v>
      </c>
      <c r="N300" s="251">
        <f aca="true" t="shared" si="153" ref="N300:S300">+N122</f>
        <v>37681</v>
      </c>
      <c r="O300" s="251">
        <f t="shared" si="153"/>
        <v>38047</v>
      </c>
      <c r="P300" s="251">
        <f t="shared" si="153"/>
        <v>38412</v>
      </c>
      <c r="Q300" s="252">
        <f t="shared" si="153"/>
        <v>38777</v>
      </c>
      <c r="R300" s="254">
        <f t="shared" si="153"/>
        <v>39142</v>
      </c>
      <c r="S300" s="251">
        <f t="shared" si="153"/>
        <v>39507</v>
      </c>
    </row>
    <row r="301" spans="1:19" ht="12.75">
      <c r="A301">
        <f>ROW()</f>
        <v>301</v>
      </c>
      <c r="B301" t="s">
        <v>73</v>
      </c>
      <c r="L301" s="215">
        <f>+L123</f>
        <v>774000</v>
      </c>
      <c r="M301" s="118">
        <f>+M123</f>
        <v>853000.0000000001</v>
      </c>
      <c r="N301" s="118">
        <f aca="true" t="shared" si="154" ref="N301:S301">+N123</f>
        <v>915000.0000000002</v>
      </c>
      <c r="O301" s="118">
        <f t="shared" si="154"/>
        <v>989000.0000000002</v>
      </c>
      <c r="P301" s="118">
        <f t="shared" si="154"/>
        <v>1035000.0000000003</v>
      </c>
      <c r="Q301" s="118">
        <f t="shared" si="154"/>
        <v>1087000.0000000002</v>
      </c>
      <c r="R301" s="215">
        <f t="shared" si="154"/>
        <v>1141612.5603864735</v>
      </c>
      <c r="S301" s="118">
        <f t="shared" si="154"/>
        <v>1198968.9402319775</v>
      </c>
    </row>
    <row r="302" spans="1:19" ht="12.75">
      <c r="A302">
        <f>ROW()</f>
        <v>302</v>
      </c>
      <c r="B302" t="s">
        <v>179</v>
      </c>
      <c r="L302" s="214"/>
      <c r="M302" s="118">
        <f>-M126</f>
        <v>-375000.00000000006</v>
      </c>
      <c r="N302" s="118">
        <f aca="true" t="shared" si="155" ref="N302:S302">-N126</f>
        <v>-403000.0000000001</v>
      </c>
      <c r="O302" s="118">
        <f t="shared" si="155"/>
        <v>-435000.0000000001</v>
      </c>
      <c r="P302" s="118">
        <f t="shared" si="155"/>
        <v>-455000.0000000002</v>
      </c>
      <c r="Q302" s="118">
        <f t="shared" si="155"/>
        <v>-478000.0000000001</v>
      </c>
      <c r="R302" s="215">
        <f t="shared" si="155"/>
        <v>-502015.4589371981</v>
      </c>
      <c r="S302" s="118">
        <f t="shared" si="155"/>
        <v>-527237.4916567481</v>
      </c>
    </row>
    <row r="303" spans="1:19" ht="12.75">
      <c r="A303">
        <f>ROW()</f>
        <v>303</v>
      </c>
      <c r="B303" t="s">
        <v>180</v>
      </c>
      <c r="L303" s="214"/>
      <c r="M303" s="118">
        <f>-M130</f>
        <v>-240000.00000000003</v>
      </c>
      <c r="N303" s="118">
        <f aca="true" t="shared" si="156" ref="N303:S303">-N130</f>
        <v>-258000.00000000006</v>
      </c>
      <c r="O303" s="118">
        <f t="shared" si="156"/>
        <v>-269000.00000000006</v>
      </c>
      <c r="P303" s="118">
        <f t="shared" si="156"/>
        <v>-274000.00000000006</v>
      </c>
      <c r="Q303" s="118">
        <f t="shared" si="156"/>
        <v>-282000.00000000006</v>
      </c>
      <c r="R303" s="215">
        <f t="shared" si="156"/>
        <v>-296168.11594202905</v>
      </c>
      <c r="S303" s="118">
        <f t="shared" si="156"/>
        <v>-311048.059931387</v>
      </c>
    </row>
    <row r="304" spans="1:19" ht="13.5" thickBot="1">
      <c r="A304">
        <f>ROW()</f>
        <v>304</v>
      </c>
      <c r="B304" t="s">
        <v>181</v>
      </c>
      <c r="L304" s="214"/>
      <c r="M304" s="119">
        <f>SUM(M301:M303)</f>
        <v>238000.00000000003</v>
      </c>
      <c r="N304" s="119">
        <f aca="true" t="shared" si="157" ref="N304:S304">SUM(N301:N303)</f>
        <v>254000.00000000006</v>
      </c>
      <c r="O304" s="119">
        <f t="shared" si="157"/>
        <v>285000.00000000006</v>
      </c>
      <c r="P304" s="119">
        <f t="shared" si="157"/>
        <v>306000.0000000002</v>
      </c>
      <c r="Q304" s="119">
        <f t="shared" si="157"/>
        <v>327000.00000000006</v>
      </c>
      <c r="R304" s="216">
        <f t="shared" si="157"/>
        <v>343428.98550724634</v>
      </c>
      <c r="S304" s="119">
        <f t="shared" si="157"/>
        <v>360683.38864384237</v>
      </c>
    </row>
    <row r="305" spans="1:19" ht="13.5" thickTop="1">
      <c r="A305">
        <f>ROW()</f>
        <v>305</v>
      </c>
      <c r="B305" t="s">
        <v>182</v>
      </c>
      <c r="L305" s="214"/>
      <c r="M305" s="118">
        <f>-M161</f>
        <v>-30007.038857142867</v>
      </c>
      <c r="N305" s="118">
        <f aca="true" t="shared" si="158" ref="N305:S305">-N161</f>
        <v>-34548.4384917943</v>
      </c>
      <c r="O305" s="118">
        <f t="shared" si="158"/>
        <v>-45793.77150511782</v>
      </c>
      <c r="P305" s="118">
        <f t="shared" si="158"/>
        <v>-54027.16698612742</v>
      </c>
      <c r="Q305" s="118">
        <f t="shared" si="158"/>
        <v>-60760.10140172224</v>
      </c>
      <c r="R305" s="215">
        <f t="shared" si="158"/>
        <v>-67951.50331923335</v>
      </c>
      <c r="S305" s="118">
        <f t="shared" si="158"/>
        <v>-75572.25221591232</v>
      </c>
    </row>
    <row r="306" spans="2:19" ht="12.75">
      <c r="B306" s="48" t="s">
        <v>221</v>
      </c>
      <c r="L306" s="214"/>
      <c r="M306" s="118">
        <f>+M176</f>
        <v>-51000.00000000001</v>
      </c>
      <c r="N306" s="118">
        <f aca="true" t="shared" si="159" ref="N306:S306">+N176</f>
        <v>-30000.00000000001</v>
      </c>
      <c r="O306" s="118">
        <f t="shared" si="159"/>
        <v>-33000.00000000001</v>
      </c>
      <c r="P306" s="118">
        <f t="shared" si="159"/>
        <v>-23000.000000000007</v>
      </c>
      <c r="Q306" s="118">
        <f t="shared" si="159"/>
        <v>-22000.000000000004</v>
      </c>
      <c r="R306" s="215">
        <f t="shared" si="159"/>
        <v>-23105.314009661837</v>
      </c>
      <c r="S306" s="118">
        <f t="shared" si="159"/>
        <v>-24266.160703867066</v>
      </c>
    </row>
    <row r="307" spans="1:19" ht="12.75">
      <c r="A307">
        <f>ROW()</f>
        <v>307</v>
      </c>
      <c r="B307" s="48" t="s">
        <v>220</v>
      </c>
      <c r="L307" s="214"/>
      <c r="M307" s="118">
        <f>+M186</f>
        <v>-22000.000000000004</v>
      </c>
      <c r="N307" s="118">
        <f aca="true" t="shared" si="160" ref="N307:S307">+N186</f>
        <v>-23000.000000000007</v>
      </c>
      <c r="O307" s="118">
        <f t="shared" si="160"/>
        <v>-28000.000000000007</v>
      </c>
      <c r="P307" s="118">
        <f t="shared" si="160"/>
        <v>-24000.000000000007</v>
      </c>
      <c r="Q307" s="118">
        <f t="shared" si="160"/>
        <v>-25000.000000000004</v>
      </c>
      <c r="R307" s="215">
        <f t="shared" si="160"/>
        <v>-26255.038647342997</v>
      </c>
      <c r="S307" s="118">
        <f t="shared" si="160"/>
        <v>-27573.18261803076</v>
      </c>
    </row>
    <row r="308" spans="1:19" ht="13.5" thickBot="1">
      <c r="A308">
        <f>ROW()</f>
        <v>308</v>
      </c>
      <c r="B308" t="s">
        <v>183</v>
      </c>
      <c r="L308" s="214"/>
      <c r="M308" s="119">
        <f>SUM(M304:M307)</f>
        <v>134992.96114285715</v>
      </c>
      <c r="N308" s="119">
        <f aca="true" t="shared" si="161" ref="N308:S308">SUM(N304:N307)</f>
        <v>166451.56150820575</v>
      </c>
      <c r="O308" s="119">
        <f t="shared" si="161"/>
        <v>178206.22849488223</v>
      </c>
      <c r="P308" s="119">
        <f t="shared" si="161"/>
        <v>204972.83301387276</v>
      </c>
      <c r="Q308" s="119">
        <f t="shared" si="161"/>
        <v>219239.89859827782</v>
      </c>
      <c r="R308" s="217">
        <f t="shared" si="161"/>
        <v>226117.12953100813</v>
      </c>
      <c r="S308" s="119">
        <f t="shared" si="161"/>
        <v>233271.79310603222</v>
      </c>
    </row>
    <row r="309" spans="1:19" ht="13.5" thickTop="1">
      <c r="A309">
        <f>ROW()</f>
        <v>309</v>
      </c>
      <c r="L309" s="214"/>
      <c r="M309" s="166"/>
      <c r="N309" s="166"/>
      <c r="O309" s="166"/>
      <c r="P309" s="166"/>
      <c r="Q309" s="166"/>
      <c r="R309" s="215"/>
      <c r="S309" s="166"/>
    </row>
    <row r="310" spans="1:19" ht="12.75">
      <c r="A310">
        <f>ROW()</f>
        <v>310</v>
      </c>
      <c r="B310" t="s">
        <v>184</v>
      </c>
      <c r="L310" s="214"/>
      <c r="M310" s="166">
        <f>-M157+M201</f>
        <v>-108361.4</v>
      </c>
      <c r="N310" s="166">
        <f aca="true" t="shared" si="162" ref="N310:S310">-N157+N201</f>
        <v>-160698.40101485714</v>
      </c>
      <c r="O310" s="166">
        <f t="shared" si="162"/>
        <v>-181151.22086673626</v>
      </c>
      <c r="P310" s="166">
        <f t="shared" si="162"/>
        <v>-209674.83543193195</v>
      </c>
      <c r="Q310" s="166">
        <f t="shared" si="162"/>
        <v>-227032.8495697613</v>
      </c>
      <c r="R310" s="215">
        <f t="shared" si="162"/>
        <v>-218909.0477751359</v>
      </c>
      <c r="S310" s="166">
        <f t="shared" si="162"/>
        <v>-209930.5268650512</v>
      </c>
    </row>
    <row r="311" spans="1:19" ht="13.5" thickBot="1">
      <c r="A311">
        <f>ROW()</f>
        <v>311</v>
      </c>
      <c r="B311" t="s">
        <v>185</v>
      </c>
      <c r="L311" s="214"/>
      <c r="M311" s="119">
        <f>+M308+M310</f>
        <v>26631.561142857157</v>
      </c>
      <c r="N311" s="119">
        <f aca="true" t="shared" si="163" ref="N311:S311">+N308+N310</f>
        <v>5753.160493348609</v>
      </c>
      <c r="O311" s="119">
        <f t="shared" si="163"/>
        <v>-2944.992371854023</v>
      </c>
      <c r="P311" s="119">
        <f t="shared" si="163"/>
        <v>-4702.002418059186</v>
      </c>
      <c r="Q311" s="119">
        <f t="shared" si="163"/>
        <v>-7792.950971483486</v>
      </c>
      <c r="R311" s="217">
        <f t="shared" si="163"/>
        <v>7208.081755872234</v>
      </c>
      <c r="S311" s="119">
        <f t="shared" si="163"/>
        <v>23341.26624098103</v>
      </c>
    </row>
    <row r="312" spans="1:19" ht="13.5" thickTop="1">
      <c r="A312">
        <f>ROW()</f>
        <v>312</v>
      </c>
      <c r="L312" s="214"/>
      <c r="R312" s="214"/>
      <c r="S312" s="166"/>
    </row>
    <row r="313" spans="1:18" ht="12.75">
      <c r="A313">
        <f>ROW()</f>
        <v>313</v>
      </c>
      <c r="B313" s="205" t="s">
        <v>186</v>
      </c>
      <c r="C313" s="205"/>
      <c r="D313" s="205"/>
      <c r="E313" s="205"/>
      <c r="L313" s="214"/>
      <c r="M313" s="218"/>
      <c r="R313" s="214"/>
    </row>
    <row r="314" spans="1:18" ht="12.75">
      <c r="A314">
        <f>ROW()</f>
        <v>314</v>
      </c>
      <c r="B314" t="s">
        <v>187</v>
      </c>
      <c r="L314" s="219">
        <f>+I185</f>
        <v>0</v>
      </c>
      <c r="M314" s="220" t="s">
        <v>188</v>
      </c>
      <c r="Q314" s="221" t="s">
        <v>189</v>
      </c>
      <c r="R314" s="215">
        <f>+R304*Q10</f>
        <v>2960594.7026486755</v>
      </c>
    </row>
    <row r="315" spans="1:18" ht="12.75">
      <c r="A315">
        <f>ROW()</f>
        <v>315</v>
      </c>
      <c r="B315" t="s">
        <v>190</v>
      </c>
      <c r="L315" s="222">
        <f>+H189</f>
        <v>0</v>
      </c>
      <c r="M315" s="223">
        <f>+$R$124</f>
        <v>0.05024154589371976</v>
      </c>
      <c r="O315" s="224"/>
      <c r="Q315" s="225" t="s">
        <v>191</v>
      </c>
      <c r="R315" s="259">
        <f>+S308/(I25-$M$315)</f>
        <v>7787004.785643989</v>
      </c>
    </row>
    <row r="316" spans="1:18" ht="13.5" thickBot="1">
      <c r="A316">
        <f>ROW()</f>
        <v>316</v>
      </c>
      <c r="B316" t="s">
        <v>192</v>
      </c>
      <c r="L316" s="214"/>
      <c r="R316" s="226">
        <f>+(R314+R315)/2</f>
        <v>5373799.744146332</v>
      </c>
    </row>
    <row r="317" spans="1:18" ht="14.25" thickBot="1" thickTop="1">
      <c r="A317">
        <f>ROW()</f>
        <v>317</v>
      </c>
      <c r="B317" t="s">
        <v>193</v>
      </c>
      <c r="L317" s="217">
        <f>+G238+D182</f>
        <v>0</v>
      </c>
      <c r="R317" s="227">
        <f>+M232+M243</f>
        <v>0</v>
      </c>
    </row>
    <row r="318" spans="1:18" ht="13.5" thickTop="1">
      <c r="A318">
        <f>ROW()</f>
        <v>318</v>
      </c>
      <c r="B318" t="s">
        <v>194</v>
      </c>
      <c r="L318" s="215"/>
      <c r="R318" s="215">
        <f>+R316-R317</f>
        <v>5373799.744146332</v>
      </c>
    </row>
    <row r="319" spans="1:18" ht="12.75">
      <c r="A319">
        <f>ROW()</f>
        <v>319</v>
      </c>
      <c r="L319" s="214"/>
      <c r="R319" s="214"/>
    </row>
    <row r="320" spans="1:18" ht="13.5" thickBot="1">
      <c r="A320">
        <f>ROW()</f>
        <v>320</v>
      </c>
      <c r="B320" t="s">
        <v>185</v>
      </c>
      <c r="L320" s="228">
        <f>-D184</f>
        <v>0</v>
      </c>
      <c r="M320" s="229">
        <f>+M311+M316-M317</f>
        <v>26631.561142857157</v>
      </c>
      <c r="N320" s="229">
        <f>+N311+N316-N317</f>
        <v>5753.160493348609</v>
      </c>
      <c r="O320" s="229">
        <f>+O311+O316-O317</f>
        <v>-2944.992371854023</v>
      </c>
      <c r="P320" s="229">
        <f>+P311+P316-P317</f>
        <v>-4702.002418059186</v>
      </c>
      <c r="Q320" s="229">
        <f>+Q311+Q316-Q317</f>
        <v>-7792.950971483486</v>
      </c>
      <c r="R320" s="255">
        <f>+R318+R311</f>
        <v>5381007.825902204</v>
      </c>
    </row>
    <row r="321" spans="1:18" ht="14.25" thickBot="1" thickTop="1">
      <c r="A321">
        <f>ROW()</f>
        <v>321</v>
      </c>
      <c r="L321" s="166"/>
      <c r="M321" s="230" t="s">
        <v>195</v>
      </c>
      <c r="N321" s="230" t="s">
        <v>195</v>
      </c>
      <c r="O321" s="230" t="s">
        <v>195</v>
      </c>
      <c r="P321" s="230" t="s">
        <v>195</v>
      </c>
      <c r="Q321" s="230" t="s">
        <v>195</v>
      </c>
      <c r="R321" s="253" t="s">
        <v>195</v>
      </c>
    </row>
    <row r="322" spans="1:18" ht="13.5" thickBot="1">
      <c r="A322">
        <f>ROW()</f>
        <v>322</v>
      </c>
      <c r="C322" s="14"/>
      <c r="D322" s="14"/>
      <c r="J322" s="14" t="s">
        <v>196</v>
      </c>
      <c r="L322" s="231">
        <f>+M202</f>
        <v>0</v>
      </c>
      <c r="M322" s="232">
        <f>(1/(1+$L322))^1</f>
        <v>1</v>
      </c>
      <c r="N322" s="232">
        <f>(1/(1+$L322))^2</f>
        <v>1</v>
      </c>
      <c r="O322" s="232">
        <f>(1/(1+$L322))^3</f>
        <v>1</v>
      </c>
      <c r="P322" s="232">
        <f>(1/(1+$L322))^4</f>
        <v>1</v>
      </c>
      <c r="Q322" s="232">
        <f>(1/(1+$L322))^5</f>
        <v>1</v>
      </c>
      <c r="R322" s="232">
        <f>(1/(1+$L322))^6</f>
        <v>1</v>
      </c>
    </row>
    <row r="323" spans="1:18" ht="12.75">
      <c r="A323">
        <f>ROW()</f>
        <v>323</v>
      </c>
      <c r="C323" s="14"/>
      <c r="D323" s="14"/>
      <c r="J323" s="14"/>
      <c r="L323" s="166"/>
      <c r="M323" s="233" t="s">
        <v>197</v>
      </c>
      <c r="N323" s="233" t="s">
        <v>197</v>
      </c>
      <c r="O323" s="233" t="s">
        <v>197</v>
      </c>
      <c r="P323" s="233" t="s">
        <v>197</v>
      </c>
      <c r="Q323" s="233" t="s">
        <v>197</v>
      </c>
      <c r="R323" s="233" t="s">
        <v>197</v>
      </c>
    </row>
    <row r="324" spans="1:10" ht="12.75">
      <c r="A324">
        <f>ROW()</f>
        <v>324</v>
      </c>
      <c r="C324" s="14"/>
      <c r="D324" s="14"/>
      <c r="J324" s="14"/>
    </row>
    <row r="325" spans="1:13" ht="12.75">
      <c r="A325">
        <f>ROW()</f>
        <v>325</v>
      </c>
      <c r="C325" s="14"/>
      <c r="D325" s="14"/>
      <c r="J325" s="14" t="s">
        <v>198</v>
      </c>
      <c r="L325" s="234">
        <f>+M322*M320</f>
        <v>26631.561142857157</v>
      </c>
      <c r="M325" s="235"/>
    </row>
    <row r="326" spans="1:12" ht="12.75">
      <c r="A326">
        <f>ROW()</f>
        <v>326</v>
      </c>
      <c r="C326" s="14"/>
      <c r="D326" s="14"/>
      <c r="J326" s="14" t="s">
        <v>199</v>
      </c>
      <c r="L326" s="234">
        <f>+N322*N320</f>
        <v>5753.160493348609</v>
      </c>
    </row>
    <row r="327" spans="1:12" ht="12.75">
      <c r="A327">
        <f>ROW()</f>
        <v>327</v>
      </c>
      <c r="C327" s="14"/>
      <c r="D327" s="14"/>
      <c r="J327" s="14" t="s">
        <v>200</v>
      </c>
      <c r="L327" s="234">
        <f>+O322*O320</f>
        <v>-2944.992371854023</v>
      </c>
    </row>
    <row r="328" spans="1:12" ht="12.75">
      <c r="A328">
        <f>ROW()</f>
        <v>328</v>
      </c>
      <c r="C328" s="14"/>
      <c r="D328" s="14"/>
      <c r="J328" s="14" t="s">
        <v>201</v>
      </c>
      <c r="L328" s="234">
        <f>+P322*P320</f>
        <v>-4702.002418059186</v>
      </c>
    </row>
    <row r="329" spans="1:12" ht="12.75">
      <c r="A329">
        <f>ROW()</f>
        <v>329</v>
      </c>
      <c r="C329" s="14"/>
      <c r="D329" s="14"/>
      <c r="J329" s="14" t="s">
        <v>202</v>
      </c>
      <c r="L329" s="234">
        <f>+Q322*Q320</f>
        <v>-7792.950971483486</v>
      </c>
    </row>
    <row r="330" spans="1:13" ht="12.75">
      <c r="A330">
        <f>ROW()</f>
        <v>330</v>
      </c>
      <c r="C330" s="14"/>
      <c r="D330" s="14"/>
      <c r="J330" s="14" t="s">
        <v>203</v>
      </c>
      <c r="L330" s="234">
        <f>+R322*R320</f>
        <v>5381007.825902204</v>
      </c>
      <c r="M330" s="236"/>
    </row>
    <row r="331" spans="1:13" ht="13.5" thickBot="1">
      <c r="A331">
        <f>ROW()</f>
        <v>331</v>
      </c>
      <c r="C331" s="14"/>
      <c r="D331" s="14"/>
      <c r="J331" s="14" t="s">
        <v>204</v>
      </c>
      <c r="L331" s="237">
        <f>SUM(L325:L330)</f>
        <v>5397952.601777013</v>
      </c>
      <c r="M331" s="224"/>
    </row>
    <row r="332" spans="1:13" ht="13.5" thickTop="1">
      <c r="A332">
        <f>ROW()</f>
        <v>332</v>
      </c>
      <c r="C332" s="14"/>
      <c r="D332" s="14"/>
      <c r="J332" s="14" t="s">
        <v>205</v>
      </c>
      <c r="L332" s="238">
        <f>+L320</f>
        <v>0</v>
      </c>
      <c r="M332" s="224"/>
    </row>
    <row r="333" spans="1:13" ht="13.5" thickBot="1">
      <c r="A333">
        <f>ROW()</f>
        <v>333</v>
      </c>
      <c r="C333" s="14"/>
      <c r="D333" s="14"/>
      <c r="J333" s="239" t="s">
        <v>206</v>
      </c>
      <c r="L333" s="240">
        <f>+L331+L332</f>
        <v>5397952.601777013</v>
      </c>
      <c r="M333" s="241" t="s">
        <v>207</v>
      </c>
    </row>
    <row r="334" spans="1:13" ht="14.25" thickBot="1" thickTop="1">
      <c r="A334">
        <f>ROW()</f>
        <v>334</v>
      </c>
      <c r="C334" s="14"/>
      <c r="D334" s="14"/>
      <c r="J334" s="14"/>
      <c r="L334" s="242"/>
      <c r="M334" s="224"/>
    </row>
    <row r="335" spans="1:12" ht="13.5" thickBot="1">
      <c r="A335">
        <f>ROW()</f>
        <v>335</v>
      </c>
      <c r="C335" s="14"/>
      <c r="D335" s="14"/>
      <c r="J335" s="14" t="s">
        <v>208</v>
      </c>
      <c r="L335" s="243" t="e">
        <f>IRR(L320:R320)</f>
        <v>#NUM!</v>
      </c>
    </row>
    <row r="336" spans="1:13" ht="12.75">
      <c r="A336">
        <f>ROW()</f>
        <v>336</v>
      </c>
      <c r="C336" s="14"/>
      <c r="D336" s="14"/>
      <c r="J336" s="14" t="s">
        <v>206</v>
      </c>
      <c r="L336" s="244" t="e">
        <f>NPV(L335,L320:R320)</f>
        <v>#NUM!</v>
      </c>
      <c r="M336" t="s">
        <v>209</v>
      </c>
    </row>
    <row r="337" spans="1:13" ht="12.75">
      <c r="A337">
        <f>ROW()</f>
        <v>337</v>
      </c>
      <c r="C337" s="14"/>
      <c r="D337" s="14"/>
      <c r="J337" s="14" t="s">
        <v>206</v>
      </c>
      <c r="L337" s="234">
        <f>NPV(F184,L320:R320)</f>
        <v>5397952.601777013</v>
      </c>
      <c r="M337" t="s">
        <v>210</v>
      </c>
    </row>
    <row r="338" spans="1:12" ht="12.75">
      <c r="A338">
        <f>ROW()</f>
        <v>338</v>
      </c>
      <c r="C338" s="221"/>
      <c r="D338" s="221"/>
      <c r="J338" s="221"/>
      <c r="L338" s="236"/>
    </row>
    <row r="339" spans="1:13" ht="12.75">
      <c r="A339">
        <f>ROW()</f>
        <v>339</v>
      </c>
      <c r="C339" s="245"/>
      <c r="D339" s="245"/>
      <c r="J339" s="245" t="s">
        <v>211</v>
      </c>
      <c r="L339" s="246" t="s">
        <v>212</v>
      </c>
      <c r="M339" s="157"/>
    </row>
    <row r="340" spans="1:12" ht="12.75">
      <c r="A340">
        <f>ROW()</f>
        <v>340</v>
      </c>
      <c r="C340" s="221"/>
      <c r="D340" s="221"/>
      <c r="J340" s="221" t="s">
        <v>213</v>
      </c>
      <c r="L340" s="234">
        <f>+L331</f>
        <v>5397952.601777013</v>
      </c>
    </row>
    <row r="341" spans="1:12" ht="12.75">
      <c r="A341">
        <f>ROW()</f>
        <v>341</v>
      </c>
      <c r="C341" s="225"/>
      <c r="D341" s="225"/>
      <c r="J341" s="225" t="s">
        <v>214</v>
      </c>
      <c r="L341" s="247">
        <f>+D182+D183</f>
        <v>0</v>
      </c>
    </row>
    <row r="342" spans="1:12" ht="13.5" thickBot="1">
      <c r="A342">
        <f>ROW()</f>
        <v>342</v>
      </c>
      <c r="C342" s="225"/>
      <c r="D342" s="225"/>
      <c r="J342" s="225" t="s">
        <v>215</v>
      </c>
      <c r="L342" s="247">
        <v>0</v>
      </c>
    </row>
    <row r="343" spans="1:12" ht="13.5" thickBot="1">
      <c r="A343">
        <f>ROW()</f>
        <v>343</v>
      </c>
      <c r="C343" s="225"/>
      <c r="D343" s="225"/>
      <c r="I343" s="248" t="s">
        <v>216</v>
      </c>
      <c r="J343" s="249"/>
      <c r="L343" s="250">
        <f>+L340+L341+L342</f>
        <v>5397952.601777013</v>
      </c>
    </row>
    <row r="344" spans="1:12" ht="13.5" thickBot="1">
      <c r="A344">
        <f>ROW()</f>
        <v>344</v>
      </c>
      <c r="C344" s="225"/>
      <c r="D344" s="225"/>
      <c r="I344" s="248" t="s">
        <v>216</v>
      </c>
      <c r="J344" s="249"/>
      <c r="L344" s="250">
        <f>+L341+L342+L343</f>
        <v>5397952.601777013</v>
      </c>
    </row>
    <row r="345" spans="3:4" ht="12.75">
      <c r="C345" s="225"/>
      <c r="D345" s="225"/>
    </row>
    <row r="346" spans="3:4" ht="12.75">
      <c r="C346" s="225"/>
      <c r="D346" s="225"/>
    </row>
    <row r="347" spans="3:4" ht="12.75">
      <c r="C347" s="225"/>
      <c r="D347" s="225"/>
    </row>
  </sheetData>
  <sheetProtection/>
  <printOptions/>
  <pageMargins left="0.35" right="0.32" top="0.27" bottom="0.32" header="0.17" footer="0.17"/>
  <pageSetup fitToHeight="0" fitToWidth="1" horizontalDpi="600" verticalDpi="600" orientation="landscape" scale="56" r:id="rId2"/>
  <headerFooter alignWithMargins="0">
    <oddFooter>&amp;L&amp;D&amp;C&amp;P&amp;R&amp;Z&amp;F</oddFooter>
  </headerFooter>
  <rowBreaks count="5" manualBreakCount="5">
    <brk id="74" max="16" man="1"/>
    <brk id="118" max="255" man="1"/>
    <brk id="164" max="255" man="1"/>
    <brk id="215" max="255" man="1"/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52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36.421875" style="0" customWidth="1"/>
    <col min="2" max="2" width="10.421875" style="0" customWidth="1"/>
    <col min="3" max="7" width="10.28125" style="0" customWidth="1"/>
    <col min="9" max="9" width="11.7109375" style="0" customWidth="1"/>
    <col min="10" max="11" width="9.00390625" style="0" customWidth="1"/>
    <col min="12" max="12" width="12.57421875" style="0" customWidth="1"/>
    <col min="13" max="13" width="9.00390625" style="0" customWidth="1"/>
    <col min="14" max="14" width="11.8515625" style="0" customWidth="1"/>
  </cols>
  <sheetData>
    <row r="1" spans="1:15" ht="22.5" customHeight="1" thickBot="1">
      <c r="A1" s="70" t="str">
        <f>+Model!B1</f>
        <v>Yell Group Ltd</v>
      </c>
      <c r="B1" s="46"/>
      <c r="C1" s="47"/>
      <c r="D1" s="47"/>
      <c r="E1" s="47"/>
      <c r="F1" s="47"/>
      <c r="G1" s="47"/>
      <c r="H1" s="47"/>
      <c r="I1" s="94" t="s">
        <v>103</v>
      </c>
      <c r="J1" s="95" t="s">
        <v>104</v>
      </c>
      <c r="K1" s="96"/>
      <c r="L1" s="97" t="s">
        <v>106</v>
      </c>
      <c r="M1" s="98" t="str">
        <f>+Model!B2</f>
        <v>LBO Analysis</v>
      </c>
      <c r="N1" s="99"/>
      <c r="O1" s="48"/>
    </row>
    <row r="2" spans="1:15" ht="18" customHeight="1" thickBot="1">
      <c r="A2" s="71" t="s">
        <v>96</v>
      </c>
      <c r="B2" s="49"/>
      <c r="C2" s="49"/>
      <c r="D2" s="49"/>
      <c r="E2" s="49"/>
      <c r="F2" s="49"/>
      <c r="G2" s="49"/>
      <c r="H2" s="48"/>
      <c r="I2" s="100" t="s">
        <v>105</v>
      </c>
      <c r="J2" s="101"/>
      <c r="K2" s="101"/>
      <c r="L2" s="101"/>
      <c r="M2" s="101"/>
      <c r="N2" s="102"/>
      <c r="O2" s="48"/>
    </row>
    <row r="3" spans="1:15" ht="9.75" customHeight="1" thickBot="1">
      <c r="A3" s="71"/>
      <c r="B3" s="49"/>
      <c r="C3" s="49"/>
      <c r="D3" s="49"/>
      <c r="E3" s="49"/>
      <c r="F3" s="49"/>
      <c r="G3" s="49"/>
      <c r="H3" s="48"/>
      <c r="I3" s="48"/>
      <c r="J3" s="50"/>
      <c r="K3" s="50"/>
      <c r="L3" s="50"/>
      <c r="M3" s="50"/>
      <c r="N3" s="50"/>
      <c r="O3" s="48"/>
    </row>
    <row r="4" spans="1:15" ht="18" customHeight="1" thickBot="1">
      <c r="A4" s="51" t="s">
        <v>83</v>
      </c>
      <c r="B4" s="90" t="e">
        <f>+Model!#REF!</f>
        <v>#REF!</v>
      </c>
      <c r="C4" s="90" t="e">
        <f>+Model!#REF!</f>
        <v>#REF!</v>
      </c>
      <c r="D4" s="90" t="e">
        <f>+Model!#REF!</f>
        <v>#REF!</v>
      </c>
      <c r="E4" s="90" t="e">
        <f>+Model!#REF!</f>
        <v>#REF!</v>
      </c>
      <c r="F4" s="90" t="e">
        <f>+Model!#REF!</f>
        <v>#REF!</v>
      </c>
      <c r="G4" s="90" t="e">
        <f>+Model!#REF!</f>
        <v>#REF!</v>
      </c>
      <c r="H4" s="48"/>
      <c r="I4" s="90" t="e">
        <f aca="true" t="shared" si="0" ref="I4:N4">+B4</f>
        <v>#REF!</v>
      </c>
      <c r="J4" s="90" t="e">
        <f t="shared" si="0"/>
        <v>#REF!</v>
      </c>
      <c r="K4" s="90" t="e">
        <f t="shared" si="0"/>
        <v>#REF!</v>
      </c>
      <c r="L4" s="90" t="e">
        <f t="shared" si="0"/>
        <v>#REF!</v>
      </c>
      <c r="M4" s="90" t="e">
        <f t="shared" si="0"/>
        <v>#REF!</v>
      </c>
      <c r="N4" s="90" t="e">
        <f t="shared" si="0"/>
        <v>#REF!</v>
      </c>
      <c r="O4" s="48"/>
    </row>
    <row r="5" spans="1:15" ht="18" customHeight="1">
      <c r="A5" s="52" t="s">
        <v>84</v>
      </c>
      <c r="B5" s="53"/>
      <c r="C5" s="53"/>
      <c r="D5" s="53"/>
      <c r="E5" s="53"/>
      <c r="F5" s="53"/>
      <c r="G5" s="53"/>
      <c r="H5" s="48"/>
      <c r="I5" s="53"/>
      <c r="J5" s="53"/>
      <c r="K5" s="53"/>
      <c r="L5" s="53"/>
      <c r="M5" s="53"/>
      <c r="N5" s="53"/>
      <c r="O5" s="48"/>
    </row>
    <row r="6" spans="1:15" ht="18" customHeight="1">
      <c r="A6" s="54" t="e">
        <f>+Model!#REF!</f>
        <v>#REF!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48"/>
      <c r="I6" s="55" t="e">
        <f>+Model!#REF!*100</f>
        <v>#REF!</v>
      </c>
      <c r="J6" s="55" t="e">
        <f>+Model!#REF!*100</f>
        <v>#REF!</v>
      </c>
      <c r="K6" s="55" t="e">
        <f>+Model!#REF!*100</f>
        <v>#REF!</v>
      </c>
      <c r="L6" s="55" t="e">
        <f>+Model!#REF!*100</f>
        <v>#REF!</v>
      </c>
      <c r="M6" s="55" t="e">
        <f>+Model!#REF!*100</f>
        <v>#REF!</v>
      </c>
      <c r="N6" s="55" t="e">
        <f>+Model!#REF!*100</f>
        <v>#REF!</v>
      </c>
      <c r="O6" s="48"/>
    </row>
    <row r="7" spans="1:15" ht="18" customHeight="1">
      <c r="A7" s="54" t="e">
        <f>+Model!#REF!</f>
        <v>#REF!</v>
      </c>
      <c r="B7" s="55" t="e">
        <f aca="true" t="shared" si="1" ref="B7:G7">+I7</f>
        <v>#REF!</v>
      </c>
      <c r="C7" s="55" t="e">
        <f t="shared" si="1"/>
        <v>#REF!</v>
      </c>
      <c r="D7" s="55" t="e">
        <f t="shared" si="1"/>
        <v>#REF!</v>
      </c>
      <c r="E7" s="55" t="e">
        <f t="shared" si="1"/>
        <v>#REF!</v>
      </c>
      <c r="F7" s="55" t="e">
        <f t="shared" si="1"/>
        <v>#REF!</v>
      </c>
      <c r="G7" s="55" t="e">
        <f t="shared" si="1"/>
        <v>#REF!</v>
      </c>
      <c r="H7" s="48"/>
      <c r="I7" s="55" t="e">
        <f>+Model!#REF!*100</f>
        <v>#REF!</v>
      </c>
      <c r="J7" s="55" t="e">
        <f>+Model!#REF!*100</f>
        <v>#REF!</v>
      </c>
      <c r="K7" s="55" t="e">
        <f>+Model!#REF!*100</f>
        <v>#REF!</v>
      </c>
      <c r="L7" s="55" t="e">
        <f>+Model!#REF!*100</f>
        <v>#REF!</v>
      </c>
      <c r="M7" s="55" t="e">
        <f>+Model!#REF!*100</f>
        <v>#REF!</v>
      </c>
      <c r="N7" s="55" t="e">
        <f>+Model!#REF!*100</f>
        <v>#REF!</v>
      </c>
      <c r="O7" s="48"/>
    </row>
    <row r="8" spans="1:15" ht="18" customHeight="1">
      <c r="A8" s="56" t="s">
        <v>85</v>
      </c>
      <c r="B8" s="57" t="e">
        <f aca="true" t="shared" si="2" ref="B8:G8">+B6-B7</f>
        <v>#REF!</v>
      </c>
      <c r="C8" s="57" t="e">
        <f t="shared" si="2"/>
        <v>#REF!</v>
      </c>
      <c r="D8" s="57" t="e">
        <f t="shared" si="2"/>
        <v>#REF!</v>
      </c>
      <c r="E8" s="57" t="e">
        <f t="shared" si="2"/>
        <v>#REF!</v>
      </c>
      <c r="F8" s="57" t="e">
        <f t="shared" si="2"/>
        <v>#REF!</v>
      </c>
      <c r="G8" s="57" t="e">
        <f t="shared" si="2"/>
        <v>#REF!</v>
      </c>
      <c r="H8" s="48"/>
      <c r="I8" s="55"/>
      <c r="J8" s="55"/>
      <c r="K8" s="55"/>
      <c r="L8" s="55"/>
      <c r="M8" s="55"/>
      <c r="N8" s="55"/>
      <c r="O8" s="48"/>
    </row>
    <row r="9" spans="1:15" ht="18" customHeight="1">
      <c r="A9" s="58" t="s">
        <v>86</v>
      </c>
      <c r="B9" s="59"/>
      <c r="C9" s="59"/>
      <c r="D9" s="59"/>
      <c r="E9" s="59"/>
      <c r="F9" s="59"/>
      <c r="G9" s="59"/>
      <c r="H9" s="48"/>
      <c r="I9" s="59"/>
      <c r="J9" s="59"/>
      <c r="K9" s="59"/>
      <c r="L9" s="59"/>
      <c r="M9" s="59"/>
      <c r="N9" s="59"/>
      <c r="O9" s="48"/>
    </row>
    <row r="10" spans="1:15" ht="18" customHeight="1">
      <c r="A10" s="53" t="e">
        <f>A$6</f>
        <v>#REF!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48"/>
      <c r="I10" s="60" t="e">
        <f>+Model!#REF!*100</f>
        <v>#REF!</v>
      </c>
      <c r="J10" s="60" t="e">
        <f>+Model!#REF!*100</f>
        <v>#REF!</v>
      </c>
      <c r="K10" s="60" t="e">
        <f>+Model!#REF!*100</f>
        <v>#REF!</v>
      </c>
      <c r="L10" s="60" t="e">
        <f>+Model!#REF!*100</f>
        <v>#REF!</v>
      </c>
      <c r="M10" s="60" t="e">
        <f>+Model!#REF!*100</f>
        <v>#REF!</v>
      </c>
      <c r="N10" s="60" t="e">
        <f>+Model!#REF!*100</f>
        <v>#REF!</v>
      </c>
      <c r="O10" s="48"/>
    </row>
    <row r="11" spans="1:15" ht="18" customHeight="1">
      <c r="A11" s="53" t="e">
        <f>A$7</f>
        <v>#REF!</v>
      </c>
      <c r="B11" s="55" t="e">
        <f aca="true" t="shared" si="3" ref="B11:G11">+I11</f>
        <v>#REF!</v>
      </c>
      <c r="C11" s="55" t="e">
        <f t="shared" si="3"/>
        <v>#REF!</v>
      </c>
      <c r="D11" s="55" t="e">
        <f t="shared" si="3"/>
        <v>#REF!</v>
      </c>
      <c r="E11" s="55" t="e">
        <f t="shared" si="3"/>
        <v>#REF!</v>
      </c>
      <c r="F11" s="55" t="e">
        <f t="shared" si="3"/>
        <v>#REF!</v>
      </c>
      <c r="G11" s="55" t="e">
        <f t="shared" si="3"/>
        <v>#REF!</v>
      </c>
      <c r="H11" s="48"/>
      <c r="I11" s="60" t="e">
        <f>+Model!#REF!*100</f>
        <v>#REF!</v>
      </c>
      <c r="J11" s="60" t="e">
        <f>+Model!#REF!*100</f>
        <v>#REF!</v>
      </c>
      <c r="K11" s="60" t="e">
        <f>+Model!#REF!*100</f>
        <v>#REF!</v>
      </c>
      <c r="L11" s="60" t="e">
        <f>+Model!#REF!*100</f>
        <v>#REF!</v>
      </c>
      <c r="M11" s="60" t="e">
        <f>+Model!#REF!*100</f>
        <v>#REF!</v>
      </c>
      <c r="N11" s="60" t="e">
        <f>+Model!#REF!*100</f>
        <v>#REF!</v>
      </c>
      <c r="O11" s="48"/>
    </row>
    <row r="12" spans="1:15" ht="18" customHeight="1">
      <c r="A12" s="56" t="s">
        <v>85</v>
      </c>
      <c r="B12" s="57" t="e">
        <f aca="true" t="shared" si="4" ref="B12:G12">+B10-B11</f>
        <v>#REF!</v>
      </c>
      <c r="C12" s="57" t="e">
        <f t="shared" si="4"/>
        <v>#REF!</v>
      </c>
      <c r="D12" s="57" t="e">
        <f t="shared" si="4"/>
        <v>#REF!</v>
      </c>
      <c r="E12" s="57" t="e">
        <f t="shared" si="4"/>
        <v>#REF!</v>
      </c>
      <c r="F12" s="57" t="e">
        <f t="shared" si="4"/>
        <v>#REF!</v>
      </c>
      <c r="G12" s="57" t="e">
        <f t="shared" si="4"/>
        <v>#REF!</v>
      </c>
      <c r="H12" s="48"/>
      <c r="I12" s="60"/>
      <c r="J12" s="60"/>
      <c r="K12" s="60"/>
      <c r="L12" s="60"/>
      <c r="M12" s="60"/>
      <c r="N12" s="60"/>
      <c r="O12" s="48"/>
    </row>
    <row r="13" spans="1:15" ht="18" customHeight="1">
      <c r="A13" s="58" t="s">
        <v>87</v>
      </c>
      <c r="B13" s="59"/>
      <c r="C13" s="59"/>
      <c r="D13" s="59"/>
      <c r="E13" s="59"/>
      <c r="F13" s="59"/>
      <c r="G13" s="59"/>
      <c r="H13" s="48"/>
      <c r="I13" s="59"/>
      <c r="J13" s="59"/>
      <c r="K13" s="59"/>
      <c r="L13" s="59"/>
      <c r="M13" s="59"/>
      <c r="N13" s="59"/>
      <c r="O13" s="48"/>
    </row>
    <row r="14" spans="1:15" ht="18" customHeight="1">
      <c r="A14" s="53" t="e">
        <f>A$6</f>
        <v>#REF!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48"/>
      <c r="I14" s="55" t="e">
        <f>+Model!#REF!</f>
        <v>#REF!</v>
      </c>
      <c r="J14" s="55" t="e">
        <f>+Model!#REF!</f>
        <v>#REF!</v>
      </c>
      <c r="K14" s="55" t="e">
        <f>+Model!#REF!</f>
        <v>#REF!</v>
      </c>
      <c r="L14" s="55" t="e">
        <f>+Model!#REF!</f>
        <v>#REF!</v>
      </c>
      <c r="M14" s="55" t="e">
        <f>+Model!#REF!</f>
        <v>#REF!</v>
      </c>
      <c r="N14" s="55" t="e">
        <f>+Model!#REF!</f>
        <v>#REF!</v>
      </c>
      <c r="O14" s="48"/>
    </row>
    <row r="15" spans="1:15" ht="18" customHeight="1">
      <c r="A15" s="53" t="e">
        <f>A$7</f>
        <v>#REF!</v>
      </c>
      <c r="B15" s="55" t="e">
        <f aca="true" t="shared" si="5" ref="B15:G15">+I15</f>
        <v>#REF!</v>
      </c>
      <c r="C15" s="55" t="e">
        <f t="shared" si="5"/>
        <v>#REF!</v>
      </c>
      <c r="D15" s="55" t="e">
        <f t="shared" si="5"/>
        <v>#REF!</v>
      </c>
      <c r="E15" s="55" t="e">
        <f t="shared" si="5"/>
        <v>#REF!</v>
      </c>
      <c r="F15" s="55" t="e">
        <f t="shared" si="5"/>
        <v>#REF!</v>
      </c>
      <c r="G15" s="55" t="e">
        <f t="shared" si="5"/>
        <v>#REF!</v>
      </c>
      <c r="H15" s="48"/>
      <c r="I15" s="55" t="e">
        <f>+Model!#REF!</f>
        <v>#REF!</v>
      </c>
      <c r="J15" s="55" t="e">
        <f>+Model!#REF!</f>
        <v>#REF!</v>
      </c>
      <c r="K15" s="55" t="e">
        <f>+Model!#REF!</f>
        <v>#REF!</v>
      </c>
      <c r="L15" s="55" t="e">
        <f>+Model!#REF!</f>
        <v>#REF!</v>
      </c>
      <c r="M15" s="55" t="e">
        <f>+Model!#REF!</f>
        <v>#REF!</v>
      </c>
      <c r="N15" s="55" t="e">
        <f>+Model!#REF!</f>
        <v>#REF!</v>
      </c>
      <c r="O15" s="48"/>
    </row>
    <row r="16" spans="1:15" ht="18" customHeight="1">
      <c r="A16" s="58" t="s">
        <v>88</v>
      </c>
      <c r="B16" s="59"/>
      <c r="C16" s="59"/>
      <c r="D16" s="59"/>
      <c r="E16" s="59"/>
      <c r="F16" s="59"/>
      <c r="G16" s="59"/>
      <c r="H16" s="48"/>
      <c r="I16" s="59"/>
      <c r="J16" s="59"/>
      <c r="K16" s="59"/>
      <c r="L16" s="59"/>
      <c r="M16" s="59"/>
      <c r="N16" s="59"/>
      <c r="O16" s="48"/>
    </row>
    <row r="17" spans="1:15" ht="18" customHeight="1">
      <c r="A17" s="53" t="e">
        <f>A$6</f>
        <v>#REF!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48"/>
      <c r="I17" s="55" t="e">
        <f>-Model!M181-Model!#REF!</f>
        <v>#REF!</v>
      </c>
      <c r="J17" s="55" t="e">
        <f>-Model!N181-Model!#REF!</f>
        <v>#REF!</v>
      </c>
      <c r="K17" s="55" t="e">
        <f>-Model!O181-Model!#REF!</f>
        <v>#REF!</v>
      </c>
      <c r="L17" s="55" t="e">
        <f>-Model!P181-Model!#REF!</f>
        <v>#REF!</v>
      </c>
      <c r="M17" s="55" t="e">
        <f>-Model!Q181-Model!#REF!</f>
        <v>#REF!</v>
      </c>
      <c r="N17" s="55" t="e">
        <f>-Model!#REF!-Model!#REF!</f>
        <v>#REF!</v>
      </c>
      <c r="O17" s="48"/>
    </row>
    <row r="18" spans="1:15" ht="18" customHeight="1">
      <c r="A18" s="53" t="e">
        <f>A$7</f>
        <v>#REF!</v>
      </c>
      <c r="B18" s="55" t="e">
        <f aca="true" t="shared" si="6" ref="B18:G18">+I18</f>
        <v>#REF!</v>
      </c>
      <c r="C18" s="55" t="e">
        <f t="shared" si="6"/>
        <v>#REF!</v>
      </c>
      <c r="D18" s="55" t="e">
        <f t="shared" si="6"/>
        <v>#REF!</v>
      </c>
      <c r="E18" s="55" t="e">
        <f t="shared" si="6"/>
        <v>#REF!</v>
      </c>
      <c r="F18" s="55" t="e">
        <f t="shared" si="6"/>
        <v>#REF!</v>
      </c>
      <c r="G18" s="55" t="e">
        <f t="shared" si="6"/>
        <v>#REF!</v>
      </c>
      <c r="H18" s="48"/>
      <c r="I18" s="55" t="e">
        <f>-Model!M181-Model!#REF!</f>
        <v>#REF!</v>
      </c>
      <c r="J18" s="55" t="e">
        <f>-Model!N181-Model!#REF!</f>
        <v>#REF!</v>
      </c>
      <c r="K18" s="55" t="e">
        <f>-Model!O181-Model!#REF!</f>
        <v>#REF!</v>
      </c>
      <c r="L18" s="55" t="e">
        <f>-Model!P181-Model!#REF!</f>
        <v>#REF!</v>
      </c>
      <c r="M18" s="55" t="e">
        <f>-Model!Q181-Model!#REF!</f>
        <v>#REF!</v>
      </c>
      <c r="N18" s="55" t="e">
        <f>-Model!#REF!-Model!#REF!</f>
        <v>#REF!</v>
      </c>
      <c r="O18" s="48"/>
    </row>
    <row r="19" spans="1:15" ht="18" customHeight="1" thickBot="1">
      <c r="A19" s="53"/>
      <c r="B19" s="55"/>
      <c r="C19" s="55"/>
      <c r="D19" s="55"/>
      <c r="E19" s="55"/>
      <c r="F19" s="55"/>
      <c r="G19" s="55"/>
      <c r="H19" s="48"/>
      <c r="I19" s="55"/>
      <c r="J19" s="55"/>
      <c r="K19" s="55"/>
      <c r="L19" s="55"/>
      <c r="M19" s="55"/>
      <c r="N19" s="55"/>
      <c r="O19" s="48"/>
    </row>
    <row r="20" spans="1:15" ht="18" customHeight="1" thickBot="1">
      <c r="A20" s="61" t="s">
        <v>89</v>
      </c>
      <c r="B20" s="90" t="e">
        <f>+B4</f>
        <v>#REF!</v>
      </c>
      <c r="C20" s="90" t="e">
        <f aca="true" t="shared" si="7" ref="C20:N20">+C4</f>
        <v>#REF!</v>
      </c>
      <c r="D20" s="90" t="e">
        <f t="shared" si="7"/>
        <v>#REF!</v>
      </c>
      <c r="E20" s="90" t="e">
        <f t="shared" si="7"/>
        <v>#REF!</v>
      </c>
      <c r="F20" s="90" t="e">
        <f t="shared" si="7"/>
        <v>#REF!</v>
      </c>
      <c r="G20" s="90" t="e">
        <f t="shared" si="7"/>
        <v>#REF!</v>
      </c>
      <c r="H20" s="48"/>
      <c r="I20" s="90" t="e">
        <f t="shared" si="7"/>
        <v>#REF!</v>
      </c>
      <c r="J20" s="90" t="e">
        <f t="shared" si="7"/>
        <v>#REF!</v>
      </c>
      <c r="K20" s="90" t="e">
        <f t="shared" si="7"/>
        <v>#REF!</v>
      </c>
      <c r="L20" s="90" t="e">
        <f t="shared" si="7"/>
        <v>#REF!</v>
      </c>
      <c r="M20" s="90" t="e">
        <f t="shared" si="7"/>
        <v>#REF!</v>
      </c>
      <c r="N20" s="90" t="e">
        <f t="shared" si="7"/>
        <v>#REF!</v>
      </c>
      <c r="O20" s="48"/>
    </row>
    <row r="21" spans="1:15" ht="18" customHeight="1">
      <c r="A21" s="58" t="s">
        <v>90</v>
      </c>
      <c r="B21" s="62"/>
      <c r="C21" s="62"/>
      <c r="D21" s="62"/>
      <c r="E21" s="62"/>
      <c r="F21" s="62"/>
      <c r="G21" s="62"/>
      <c r="H21" s="48"/>
      <c r="I21" s="62"/>
      <c r="J21" s="62"/>
      <c r="K21" s="62"/>
      <c r="L21" s="62"/>
      <c r="M21" s="62"/>
      <c r="N21" s="62"/>
      <c r="O21" s="48"/>
    </row>
    <row r="22" spans="1:15" ht="18" customHeight="1">
      <c r="A22" s="53" t="e">
        <f>A$6</f>
        <v>#REF!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48"/>
      <c r="I22" s="63">
        <f>+Model!M123</f>
        <v>853000.0000000001</v>
      </c>
      <c r="J22" s="63">
        <f>+Model!N123</f>
        <v>915000.0000000002</v>
      </c>
      <c r="K22" s="63">
        <f>+Model!O123</f>
        <v>989000.0000000002</v>
      </c>
      <c r="L22" s="63">
        <f>+Model!P123</f>
        <v>1035000.0000000003</v>
      </c>
      <c r="M22" s="63">
        <f>+Model!Q123</f>
        <v>1087000.0000000002</v>
      </c>
      <c r="N22" s="63" t="e">
        <f>+Model!#REF!</f>
        <v>#REF!</v>
      </c>
      <c r="O22" s="48"/>
    </row>
    <row r="23" spans="1:15" ht="18" customHeight="1">
      <c r="A23" s="53" t="e">
        <f>A$7</f>
        <v>#REF!</v>
      </c>
      <c r="B23" s="55">
        <f aca="true" t="shared" si="8" ref="B23:G23">+I23</f>
        <v>853000.0000000001</v>
      </c>
      <c r="C23" s="55">
        <f t="shared" si="8"/>
        <v>915000.0000000002</v>
      </c>
      <c r="D23" s="55">
        <f t="shared" si="8"/>
        <v>989000.0000000002</v>
      </c>
      <c r="E23" s="55">
        <f t="shared" si="8"/>
        <v>1035000.0000000003</v>
      </c>
      <c r="F23" s="55">
        <f t="shared" si="8"/>
        <v>1087000.0000000002</v>
      </c>
      <c r="G23" s="55" t="e">
        <f t="shared" si="8"/>
        <v>#REF!</v>
      </c>
      <c r="H23" s="48"/>
      <c r="I23" s="63">
        <f>+Model!M123</f>
        <v>853000.0000000001</v>
      </c>
      <c r="J23" s="63">
        <f>+Model!N123</f>
        <v>915000.0000000002</v>
      </c>
      <c r="K23" s="63">
        <f>+Model!O123</f>
        <v>989000.0000000002</v>
      </c>
      <c r="L23" s="63">
        <f>+Model!P123</f>
        <v>1035000.0000000003</v>
      </c>
      <c r="M23" s="63">
        <f>+Model!Q123</f>
        <v>1087000.0000000002</v>
      </c>
      <c r="N23" s="63" t="e">
        <f>+Model!#REF!</f>
        <v>#REF!</v>
      </c>
      <c r="O23" s="48"/>
    </row>
    <row r="24" spans="1:15" ht="18" customHeight="1">
      <c r="A24" s="58" t="s">
        <v>91</v>
      </c>
      <c r="B24" s="64"/>
      <c r="C24" s="64"/>
      <c r="D24" s="64"/>
      <c r="E24" s="64"/>
      <c r="F24" s="64"/>
      <c r="G24" s="64"/>
      <c r="H24" s="48"/>
      <c r="I24" s="64"/>
      <c r="J24" s="64"/>
      <c r="K24" s="64"/>
      <c r="L24" s="64"/>
      <c r="M24" s="64"/>
      <c r="N24" s="64"/>
      <c r="O24" s="48"/>
    </row>
    <row r="25" spans="1:15" ht="18" customHeight="1">
      <c r="A25" s="53" t="e">
        <f>A$6</f>
        <v>#REF!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48"/>
      <c r="I25" s="63" t="e">
        <f>+Model!#REF!</f>
        <v>#REF!</v>
      </c>
      <c r="J25" s="63" t="e">
        <f>+Model!#REF!</f>
        <v>#REF!</v>
      </c>
      <c r="K25" s="63" t="e">
        <f>+Model!#REF!</f>
        <v>#REF!</v>
      </c>
      <c r="L25" s="63" t="e">
        <f>+Model!#REF!</f>
        <v>#REF!</v>
      </c>
      <c r="M25" s="63" t="e">
        <f>+Model!#REF!</f>
        <v>#REF!</v>
      </c>
      <c r="N25" s="63" t="e">
        <f>+Model!#REF!</f>
        <v>#REF!</v>
      </c>
      <c r="O25" s="48"/>
    </row>
    <row r="26" spans="1:15" ht="18" customHeight="1">
      <c r="A26" s="53" t="e">
        <f>A$7</f>
        <v>#REF!</v>
      </c>
      <c r="B26" s="55" t="e">
        <f aca="true" t="shared" si="9" ref="B26:G26">+I26</f>
        <v>#REF!</v>
      </c>
      <c r="C26" s="55" t="e">
        <f t="shared" si="9"/>
        <v>#REF!</v>
      </c>
      <c r="D26" s="55" t="e">
        <f t="shared" si="9"/>
        <v>#REF!</v>
      </c>
      <c r="E26" s="55" t="e">
        <f t="shared" si="9"/>
        <v>#REF!</v>
      </c>
      <c r="F26" s="55" t="e">
        <f t="shared" si="9"/>
        <v>#REF!</v>
      </c>
      <c r="G26" s="55" t="e">
        <f t="shared" si="9"/>
        <v>#REF!</v>
      </c>
      <c r="H26" s="48"/>
      <c r="I26" s="63" t="e">
        <f>+Model!#REF!</f>
        <v>#REF!</v>
      </c>
      <c r="J26" s="63" t="e">
        <f>+Model!#REF!</f>
        <v>#REF!</v>
      </c>
      <c r="K26" s="63" t="e">
        <f>+Model!#REF!</f>
        <v>#REF!</v>
      </c>
      <c r="L26" s="63" t="e">
        <f>+Model!#REF!</f>
        <v>#REF!</v>
      </c>
      <c r="M26" s="63" t="e">
        <f>+Model!#REF!</f>
        <v>#REF!</v>
      </c>
      <c r="N26" s="63" t="e">
        <f>+Model!#REF!</f>
        <v>#REF!</v>
      </c>
      <c r="O26" s="48"/>
    </row>
    <row r="27" spans="1:15" ht="18" customHeight="1">
      <c r="A27" s="56" t="s">
        <v>85</v>
      </c>
      <c r="B27" s="57" t="e">
        <f aca="true" t="shared" si="10" ref="B27:G27">+B25-B26</f>
        <v>#REF!</v>
      </c>
      <c r="C27" s="57" t="e">
        <f t="shared" si="10"/>
        <v>#REF!</v>
      </c>
      <c r="D27" s="57" t="e">
        <f t="shared" si="10"/>
        <v>#REF!</v>
      </c>
      <c r="E27" s="57" t="e">
        <f t="shared" si="10"/>
        <v>#REF!</v>
      </c>
      <c r="F27" s="57" t="e">
        <f t="shared" si="10"/>
        <v>#REF!</v>
      </c>
      <c r="G27" s="57" t="e">
        <f t="shared" si="10"/>
        <v>#REF!</v>
      </c>
      <c r="H27" s="48"/>
      <c r="I27" s="63"/>
      <c r="J27" s="63"/>
      <c r="K27" s="63"/>
      <c r="L27" s="63"/>
      <c r="M27" s="63"/>
      <c r="N27" s="63"/>
      <c r="O27" s="48"/>
    </row>
    <row r="28" spans="1:15" ht="18" customHeight="1">
      <c r="A28" s="58" t="s">
        <v>92</v>
      </c>
      <c r="B28" s="64"/>
      <c r="C28" s="64"/>
      <c r="D28" s="64"/>
      <c r="E28" s="64"/>
      <c r="F28" s="64"/>
      <c r="G28" s="64"/>
      <c r="H28" s="48"/>
      <c r="I28" s="63"/>
      <c r="J28" s="63"/>
      <c r="K28" s="63"/>
      <c r="L28" s="63"/>
      <c r="M28" s="63"/>
      <c r="N28" s="63"/>
      <c r="O28" s="48"/>
    </row>
    <row r="29" spans="1:15" ht="18" customHeight="1">
      <c r="A29" s="53" t="e">
        <f>A$6</f>
        <v>#REF!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48"/>
      <c r="I29" s="63" t="e">
        <f>+I25</f>
        <v>#REF!</v>
      </c>
      <c r="J29" s="63" t="e">
        <f>+I29+J25</f>
        <v>#REF!</v>
      </c>
      <c r="K29" s="63" t="e">
        <f aca="true" t="shared" si="11" ref="K29:N30">+J29+K25</f>
        <v>#REF!</v>
      </c>
      <c r="L29" s="63" t="e">
        <f t="shared" si="11"/>
        <v>#REF!</v>
      </c>
      <c r="M29" s="63" t="e">
        <f t="shared" si="11"/>
        <v>#REF!</v>
      </c>
      <c r="N29" s="63" t="e">
        <f t="shared" si="11"/>
        <v>#REF!</v>
      </c>
      <c r="O29" s="48"/>
    </row>
    <row r="30" spans="1:15" ht="18" customHeight="1">
      <c r="A30" s="53" t="e">
        <f>A$7</f>
        <v>#REF!</v>
      </c>
      <c r="B30" s="93" t="e">
        <f>+B26</f>
        <v>#REF!</v>
      </c>
      <c r="C30" s="93" t="e">
        <f>+B30+C26</f>
        <v>#REF!</v>
      </c>
      <c r="D30" s="93" t="e">
        <f>+C30+D26</f>
        <v>#REF!</v>
      </c>
      <c r="E30" s="93" t="e">
        <f>+D30+E26</f>
        <v>#REF!</v>
      </c>
      <c r="F30" s="93" t="e">
        <f>+E30+F26</f>
        <v>#REF!</v>
      </c>
      <c r="G30" s="93" t="e">
        <f>+F30+G26</f>
        <v>#REF!</v>
      </c>
      <c r="H30" s="48"/>
      <c r="I30" s="63" t="e">
        <f>+I26</f>
        <v>#REF!</v>
      </c>
      <c r="J30" s="63" t="e">
        <f>+I30+J26</f>
        <v>#REF!</v>
      </c>
      <c r="K30" s="63" t="e">
        <f t="shared" si="11"/>
        <v>#REF!</v>
      </c>
      <c r="L30" s="63" t="e">
        <f t="shared" si="11"/>
        <v>#REF!</v>
      </c>
      <c r="M30" s="63" t="e">
        <f t="shared" si="11"/>
        <v>#REF!</v>
      </c>
      <c r="N30" s="63" t="e">
        <f t="shared" si="11"/>
        <v>#REF!</v>
      </c>
      <c r="O30" s="48"/>
    </row>
    <row r="31" spans="1:15" ht="18" customHeight="1">
      <c r="A31" s="56" t="s">
        <v>85</v>
      </c>
      <c r="B31" s="57" t="e">
        <f aca="true" t="shared" si="12" ref="B31:G31">+B29-B30</f>
        <v>#REF!</v>
      </c>
      <c r="C31" s="57" t="e">
        <f t="shared" si="12"/>
        <v>#REF!</v>
      </c>
      <c r="D31" s="57" t="e">
        <f t="shared" si="12"/>
        <v>#REF!</v>
      </c>
      <c r="E31" s="57" t="e">
        <f t="shared" si="12"/>
        <v>#REF!</v>
      </c>
      <c r="F31" s="57" t="e">
        <f t="shared" si="12"/>
        <v>#REF!</v>
      </c>
      <c r="G31" s="57" t="e">
        <f t="shared" si="12"/>
        <v>#REF!</v>
      </c>
      <c r="H31" s="48"/>
      <c r="I31" s="63"/>
      <c r="J31" s="63"/>
      <c r="K31" s="63"/>
      <c r="L31" s="63"/>
      <c r="M31" s="63"/>
      <c r="N31" s="63"/>
      <c r="O31" s="48"/>
    </row>
    <row r="32" spans="1:15" ht="18" customHeight="1">
      <c r="A32" s="65" t="s">
        <v>99</v>
      </c>
      <c r="B32" s="66"/>
      <c r="C32" s="66"/>
      <c r="D32" s="66"/>
      <c r="E32" s="66"/>
      <c r="F32" s="66"/>
      <c r="G32" s="66"/>
      <c r="H32" s="48"/>
      <c r="I32" s="63"/>
      <c r="J32" s="63"/>
      <c r="K32" s="63"/>
      <c r="L32" s="63"/>
      <c r="M32" s="63"/>
      <c r="N32" s="63"/>
      <c r="O32" s="48"/>
    </row>
    <row r="33" spans="1:15" ht="18" customHeight="1">
      <c r="A33" s="53" t="e">
        <f>A$6</f>
        <v>#REF!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48"/>
      <c r="I33" s="63" t="e">
        <f>IF(+Model!#REF!-Model!#REF!&gt;=0,Model!#REF!-Model!#REF!,0)</f>
        <v>#REF!</v>
      </c>
      <c r="J33" s="63" t="e">
        <f>IF(+Model!#REF!-Model!#REF!&gt;=0,Model!#REF!-Model!#REF!,0)</f>
        <v>#REF!</v>
      </c>
      <c r="K33" s="63" t="e">
        <f>IF(+Model!#REF!-Model!#REF!&gt;=0,Model!#REF!-Model!#REF!,0)</f>
        <v>#REF!</v>
      </c>
      <c r="L33" s="63" t="e">
        <f>IF(+Model!#REF!-Model!#REF!&gt;=0,Model!#REF!-Model!#REF!,0)</f>
        <v>#REF!</v>
      </c>
      <c r="M33" s="63" t="e">
        <f>IF(+Model!#REF!-Model!#REF!&gt;=0,Model!#REF!-Model!#REF!,0)</f>
        <v>#REF!</v>
      </c>
      <c r="N33" s="63" t="e">
        <f>IF(+Model!#REF!-Model!#REF!&gt;=0,Model!#REF!-Model!#REF!,0)</f>
        <v>#REF!</v>
      </c>
      <c r="O33" s="48"/>
    </row>
    <row r="34" spans="1:15" ht="18" customHeight="1">
      <c r="A34" s="67" t="e">
        <f>A$7</f>
        <v>#REF!</v>
      </c>
      <c r="B34" s="75" t="e">
        <f aca="true" t="shared" si="13" ref="B34:G34">+I34</f>
        <v>#REF!</v>
      </c>
      <c r="C34" s="75" t="e">
        <f t="shared" si="13"/>
        <v>#REF!</v>
      </c>
      <c r="D34" s="75" t="e">
        <f t="shared" si="13"/>
        <v>#REF!</v>
      </c>
      <c r="E34" s="75" t="e">
        <f t="shared" si="13"/>
        <v>#REF!</v>
      </c>
      <c r="F34" s="75" t="e">
        <f t="shared" si="13"/>
        <v>#REF!</v>
      </c>
      <c r="G34" s="75" t="e">
        <f t="shared" si="13"/>
        <v>#REF!</v>
      </c>
      <c r="H34" s="48"/>
      <c r="I34" s="63" t="e">
        <f>IF(+Model!#REF!-Model!#REF!&gt;=0,Model!#REF!-Model!#REF!,0)</f>
        <v>#REF!</v>
      </c>
      <c r="J34" s="63" t="e">
        <f>IF(+Model!#REF!-Model!#REF!&gt;=0,Model!#REF!-Model!#REF!,0)</f>
        <v>#REF!</v>
      </c>
      <c r="K34" s="63" t="e">
        <f>IF(+Model!#REF!-Model!#REF!&gt;=0,Model!#REF!-Model!#REF!,0)</f>
        <v>#REF!</v>
      </c>
      <c r="L34" s="63" t="e">
        <f>IF(+Model!#REF!-Model!#REF!&gt;=0,Model!#REF!-Model!#REF!,0)</f>
        <v>#REF!</v>
      </c>
      <c r="M34" s="63" t="e">
        <f>IF(+Model!#REF!-Model!#REF!&gt;=0,Model!#REF!-Model!#REF!,0)</f>
        <v>#REF!</v>
      </c>
      <c r="N34" s="63" t="e">
        <f>IF(+Model!#REF!-Model!#REF!&gt;=0,Model!#REF!-Model!#REF!,0)</f>
        <v>#REF!</v>
      </c>
      <c r="O34" s="48"/>
    </row>
    <row r="35" spans="1:15" ht="18" customHeight="1">
      <c r="A35" s="52" t="s">
        <v>100</v>
      </c>
      <c r="B35" s="63"/>
      <c r="C35" s="63"/>
      <c r="D35" s="63"/>
      <c r="E35" s="63"/>
      <c r="F35" s="63"/>
      <c r="G35" s="63"/>
      <c r="H35" s="48"/>
      <c r="I35" s="64"/>
      <c r="J35" s="64"/>
      <c r="K35" s="64"/>
      <c r="L35" s="64"/>
      <c r="M35" s="64"/>
      <c r="N35" s="64"/>
      <c r="O35" s="48"/>
    </row>
    <row r="36" spans="1:15" ht="18" customHeight="1">
      <c r="A36" s="53" t="e">
        <f>A$6</f>
        <v>#REF!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48"/>
      <c r="I36" s="63" t="e">
        <f>IF(+Model!#REF!-Model!#REF!&gt;=0,Model!#REF!-Model!#REF!,0)</f>
        <v>#REF!</v>
      </c>
      <c r="J36" s="63" t="e">
        <f>IF(+Model!#REF!-Model!#REF!&gt;=0,Model!#REF!-Model!#REF!,0)</f>
        <v>#REF!</v>
      </c>
      <c r="K36" s="63" t="e">
        <f>IF(+Model!#REF!-Model!#REF!&gt;=0,Model!#REF!-Model!#REF!,0)</f>
        <v>#REF!</v>
      </c>
      <c r="L36" s="63" t="e">
        <f>IF(+Model!#REF!-Model!#REF!&gt;=0,Model!#REF!-Model!#REF!,0)</f>
        <v>#REF!</v>
      </c>
      <c r="M36" s="63" t="e">
        <f>IF(+Model!#REF!-Model!#REF!&gt;=0,Model!#REF!-Model!#REF!,0)</f>
        <v>#REF!</v>
      </c>
      <c r="N36" s="63" t="e">
        <f>IF(+Model!#REF!-Model!#REF!&gt;=0,Model!#REF!-Model!#REF!,0)</f>
        <v>#REF!</v>
      </c>
      <c r="O36" s="48"/>
    </row>
    <row r="37" spans="1:15" ht="18" customHeight="1">
      <c r="A37" s="53" t="e">
        <f>A$7</f>
        <v>#REF!</v>
      </c>
      <c r="B37" s="55" t="e">
        <f aca="true" t="shared" si="14" ref="B37:G37">+I37</f>
        <v>#REF!</v>
      </c>
      <c r="C37" s="55" t="e">
        <f t="shared" si="14"/>
        <v>#REF!</v>
      </c>
      <c r="D37" s="55" t="e">
        <f t="shared" si="14"/>
        <v>#REF!</v>
      </c>
      <c r="E37" s="55" t="e">
        <f t="shared" si="14"/>
        <v>#REF!</v>
      </c>
      <c r="F37" s="55" t="e">
        <f t="shared" si="14"/>
        <v>#REF!</v>
      </c>
      <c r="G37" s="55" t="e">
        <f t="shared" si="14"/>
        <v>#REF!</v>
      </c>
      <c r="H37" s="48"/>
      <c r="I37" s="63" t="e">
        <f>IF(+Model!#REF!-Model!#REF!&gt;=0,Model!#REF!-Model!#REF!,0)</f>
        <v>#REF!</v>
      </c>
      <c r="J37" s="63" t="e">
        <f>IF(+Model!#REF!-Model!#REF!&gt;=0,Model!#REF!-Model!#REF!,0)</f>
        <v>#REF!</v>
      </c>
      <c r="K37" s="63" t="e">
        <f>IF(+Model!#REF!-Model!#REF!&gt;=0,Model!#REF!-Model!#REF!,0)</f>
        <v>#REF!</v>
      </c>
      <c r="L37" s="63" t="e">
        <f>IF(+Model!#REF!-Model!#REF!&gt;=0,Model!#REF!-Model!#REF!,0)</f>
        <v>#REF!</v>
      </c>
      <c r="M37" s="63" t="e">
        <f>IF(+Model!#REF!-Model!#REF!&gt;=0,Model!#REF!-Model!#REF!,0)</f>
        <v>#REF!</v>
      </c>
      <c r="N37" s="63" t="e">
        <f>IF(+Model!#REF!-Model!#REF!&gt;=0,Model!#REF!-Model!#REF!,0)</f>
        <v>#REF!</v>
      </c>
      <c r="O37" s="48"/>
    </row>
    <row r="38" spans="1:15" ht="18" customHeight="1">
      <c r="A38" s="58" t="s">
        <v>93</v>
      </c>
      <c r="B38" s="59"/>
      <c r="C38" s="59"/>
      <c r="D38" s="59"/>
      <c r="E38" s="59"/>
      <c r="F38" s="59"/>
      <c r="G38" s="59"/>
      <c r="H38" s="48"/>
      <c r="I38" s="59"/>
      <c r="J38" s="59"/>
      <c r="K38" s="59"/>
      <c r="L38" s="59"/>
      <c r="M38" s="59"/>
      <c r="N38" s="59"/>
      <c r="O38" s="48"/>
    </row>
    <row r="39" spans="1:15" ht="18" customHeight="1">
      <c r="A39" s="53" t="e">
        <f>A$6</f>
        <v>#REF!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48"/>
      <c r="I39" s="68" t="e">
        <f>+Model!#REF!</f>
        <v>#REF!</v>
      </c>
      <c r="J39" s="68" t="e">
        <f>+Model!#REF!</f>
        <v>#REF!</v>
      </c>
      <c r="K39" s="68" t="e">
        <f>+Model!#REF!</f>
        <v>#REF!</v>
      </c>
      <c r="L39" s="68" t="e">
        <f>+Model!#REF!</f>
        <v>#REF!</v>
      </c>
      <c r="M39" s="68" t="e">
        <f>+Model!#REF!</f>
        <v>#REF!</v>
      </c>
      <c r="N39" s="68" t="e">
        <f>+Model!#REF!</f>
        <v>#REF!</v>
      </c>
      <c r="O39" s="48"/>
    </row>
    <row r="40" spans="1:15" ht="18" customHeight="1">
      <c r="A40" s="53" t="e">
        <f>A$7</f>
        <v>#REF!</v>
      </c>
      <c r="B40" s="68" t="e">
        <f aca="true" t="shared" si="15" ref="B40:G40">+I40</f>
        <v>#REF!</v>
      </c>
      <c r="C40" s="68" t="e">
        <f t="shared" si="15"/>
        <v>#REF!</v>
      </c>
      <c r="D40" s="68" t="e">
        <f t="shared" si="15"/>
        <v>#REF!</v>
      </c>
      <c r="E40" s="68" t="e">
        <f t="shared" si="15"/>
        <v>#REF!</v>
      </c>
      <c r="F40" s="68" t="e">
        <f t="shared" si="15"/>
        <v>#REF!</v>
      </c>
      <c r="G40" s="68" t="e">
        <f t="shared" si="15"/>
        <v>#REF!</v>
      </c>
      <c r="H40" s="48"/>
      <c r="I40" s="68" t="e">
        <f>+Model!#REF!</f>
        <v>#REF!</v>
      </c>
      <c r="J40" s="68" t="e">
        <f>+Model!#REF!</f>
        <v>#REF!</v>
      </c>
      <c r="K40" s="68" t="e">
        <f>+Model!#REF!</f>
        <v>#REF!</v>
      </c>
      <c r="L40" s="68" t="e">
        <f>+Model!#REF!</f>
        <v>#REF!</v>
      </c>
      <c r="M40" s="68" t="e">
        <f>+Model!#REF!</f>
        <v>#REF!</v>
      </c>
      <c r="N40" s="68" t="e">
        <f>+Model!#REF!</f>
        <v>#REF!</v>
      </c>
      <c r="O40" s="48"/>
    </row>
    <row r="41" spans="1:15" ht="18" customHeight="1">
      <c r="A41" s="92" t="s">
        <v>101</v>
      </c>
      <c r="B41" s="68"/>
      <c r="C41" s="68"/>
      <c r="D41" s="68"/>
      <c r="E41" s="68"/>
      <c r="F41" s="68"/>
      <c r="G41" s="68"/>
      <c r="H41" s="48"/>
      <c r="I41" s="55"/>
      <c r="J41" s="55"/>
      <c r="K41" s="55"/>
      <c r="L41" s="55"/>
      <c r="M41" s="55"/>
      <c r="N41" s="55"/>
      <c r="O41" s="48"/>
    </row>
    <row r="42" spans="1:15" ht="18" customHeight="1">
      <c r="A42" s="53" t="e">
        <f>A$6</f>
        <v>#REF!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48"/>
      <c r="I42" s="68" t="e">
        <f>+Model!#REF!</f>
        <v>#REF!</v>
      </c>
      <c r="J42" s="68" t="e">
        <f>+Model!#REF!</f>
        <v>#REF!</v>
      </c>
      <c r="K42" s="68" t="e">
        <f>+Model!#REF!</f>
        <v>#REF!</v>
      </c>
      <c r="L42" s="68" t="e">
        <f>+Model!#REF!</f>
        <v>#REF!</v>
      </c>
      <c r="M42" s="68" t="e">
        <f>+Model!#REF!</f>
        <v>#REF!</v>
      </c>
      <c r="N42" s="68" t="e">
        <f>+Model!#REF!</f>
        <v>#REF!</v>
      </c>
      <c r="O42" s="48"/>
    </row>
    <row r="43" spans="1:15" ht="18" customHeight="1">
      <c r="A43" s="53" t="e">
        <f>A$7</f>
        <v>#REF!</v>
      </c>
      <c r="B43" s="68" t="e">
        <f aca="true" t="shared" si="16" ref="B43:G43">+I43</f>
        <v>#REF!</v>
      </c>
      <c r="C43" s="68" t="e">
        <f t="shared" si="16"/>
        <v>#REF!</v>
      </c>
      <c r="D43" s="68" t="e">
        <f t="shared" si="16"/>
        <v>#REF!</v>
      </c>
      <c r="E43" s="68" t="e">
        <f t="shared" si="16"/>
        <v>#REF!</v>
      </c>
      <c r="F43" s="68" t="e">
        <f t="shared" si="16"/>
        <v>#REF!</v>
      </c>
      <c r="G43" s="68" t="e">
        <f t="shared" si="16"/>
        <v>#REF!</v>
      </c>
      <c r="H43" s="48"/>
      <c r="I43" s="68" t="e">
        <f>+Model!#REF!</f>
        <v>#REF!</v>
      </c>
      <c r="J43" s="68" t="e">
        <f>+Model!#REF!</f>
        <v>#REF!</v>
      </c>
      <c r="K43" s="68" t="e">
        <f>+Model!#REF!</f>
        <v>#REF!</v>
      </c>
      <c r="L43" s="68" t="e">
        <f>+Model!#REF!</f>
        <v>#REF!</v>
      </c>
      <c r="M43" s="68" t="e">
        <f>+Model!#REF!</f>
        <v>#REF!</v>
      </c>
      <c r="N43" s="68" t="e">
        <f>+Model!#REF!</f>
        <v>#REF!</v>
      </c>
      <c r="O43" s="48"/>
    </row>
    <row r="44" spans="1:15" ht="18" customHeight="1">
      <c r="A44" s="58" t="s">
        <v>94</v>
      </c>
      <c r="B44" s="69"/>
      <c r="C44" s="69"/>
      <c r="D44" s="69"/>
      <c r="E44" s="69"/>
      <c r="F44" s="69"/>
      <c r="G44" s="69"/>
      <c r="H44" s="48"/>
      <c r="I44" s="59"/>
      <c r="J44" s="59"/>
      <c r="K44" s="59"/>
      <c r="L44" s="59"/>
      <c r="M44" s="59"/>
      <c r="N44" s="59"/>
      <c r="O44" s="48"/>
    </row>
    <row r="45" spans="1:15" ht="18" customHeight="1">
      <c r="A45" s="53" t="e">
        <f>A$6</f>
        <v>#REF!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48"/>
      <c r="I45" s="68" t="e">
        <f>+Model!#REF!</f>
        <v>#REF!</v>
      </c>
      <c r="J45" s="68" t="e">
        <f>+Model!#REF!</f>
        <v>#REF!</v>
      </c>
      <c r="K45" s="68" t="e">
        <f>+Model!#REF!</f>
        <v>#REF!</v>
      </c>
      <c r="L45" s="68" t="e">
        <f>+Model!#REF!</f>
        <v>#REF!</v>
      </c>
      <c r="M45" s="68" t="e">
        <f>+Model!#REF!</f>
        <v>#REF!</v>
      </c>
      <c r="N45" s="68" t="e">
        <f>+Model!#REF!</f>
        <v>#REF!</v>
      </c>
      <c r="O45" s="48"/>
    </row>
    <row r="46" spans="1:15" ht="18" customHeight="1">
      <c r="A46" s="53" t="e">
        <f>A$7</f>
        <v>#REF!</v>
      </c>
      <c r="B46" s="68" t="e">
        <f aca="true" t="shared" si="17" ref="B46:G46">+I46</f>
        <v>#REF!</v>
      </c>
      <c r="C46" s="68" t="e">
        <f t="shared" si="17"/>
        <v>#REF!</v>
      </c>
      <c r="D46" s="68" t="e">
        <f t="shared" si="17"/>
        <v>#REF!</v>
      </c>
      <c r="E46" s="68" t="e">
        <f t="shared" si="17"/>
        <v>#REF!</v>
      </c>
      <c r="F46" s="68" t="e">
        <f t="shared" si="17"/>
        <v>#REF!</v>
      </c>
      <c r="G46" s="68" t="e">
        <f t="shared" si="17"/>
        <v>#REF!</v>
      </c>
      <c r="H46" s="48"/>
      <c r="I46" s="68" t="e">
        <f>+Model!#REF!</f>
        <v>#REF!</v>
      </c>
      <c r="J46" s="68" t="e">
        <f>+Model!#REF!</f>
        <v>#REF!</v>
      </c>
      <c r="K46" s="68" t="e">
        <f>+Model!#REF!</f>
        <v>#REF!</v>
      </c>
      <c r="L46" s="68" t="e">
        <f>+Model!#REF!</f>
        <v>#REF!</v>
      </c>
      <c r="M46" s="68" t="e">
        <f>+Model!#REF!</f>
        <v>#REF!</v>
      </c>
      <c r="N46" s="68" t="e">
        <f>+Model!#REF!</f>
        <v>#REF!</v>
      </c>
      <c r="O46" s="48"/>
    </row>
    <row r="47" spans="1:15" ht="18" customHeight="1">
      <c r="A47" s="58" t="s">
        <v>102</v>
      </c>
      <c r="B47" s="69"/>
      <c r="C47" s="69"/>
      <c r="D47" s="69"/>
      <c r="E47" s="69"/>
      <c r="F47" s="69"/>
      <c r="G47" s="69"/>
      <c r="H47" s="48"/>
      <c r="I47" s="59"/>
      <c r="J47" s="59"/>
      <c r="K47" s="59"/>
      <c r="L47" s="59"/>
      <c r="M47" s="59"/>
      <c r="N47" s="59"/>
      <c r="O47" s="48"/>
    </row>
    <row r="48" spans="1:15" ht="18" customHeight="1">
      <c r="A48" s="53" t="e">
        <f>A$6</f>
        <v>#REF!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48"/>
      <c r="I48" s="68" t="e">
        <f>+Model!#REF!</f>
        <v>#REF!</v>
      </c>
      <c r="J48" s="68" t="e">
        <f>+Model!#REF!</f>
        <v>#REF!</v>
      </c>
      <c r="K48" s="68" t="e">
        <f>+Model!#REF!</f>
        <v>#REF!</v>
      </c>
      <c r="L48" s="68" t="e">
        <f>+Model!#REF!</f>
        <v>#REF!</v>
      </c>
      <c r="M48" s="68" t="e">
        <f>+Model!#REF!</f>
        <v>#REF!</v>
      </c>
      <c r="N48" s="68" t="e">
        <f>+Model!#REF!</f>
        <v>#REF!</v>
      </c>
      <c r="O48" s="48"/>
    </row>
    <row r="49" spans="1:15" ht="18" customHeight="1">
      <c r="A49" s="53" t="e">
        <f>A$7</f>
        <v>#REF!</v>
      </c>
      <c r="B49" s="68" t="e">
        <f aca="true" t="shared" si="18" ref="B49:G49">+I49</f>
        <v>#REF!</v>
      </c>
      <c r="C49" s="68" t="e">
        <f t="shared" si="18"/>
        <v>#REF!</v>
      </c>
      <c r="D49" s="68" t="e">
        <f t="shared" si="18"/>
        <v>#REF!</v>
      </c>
      <c r="E49" s="68" t="e">
        <f t="shared" si="18"/>
        <v>#REF!</v>
      </c>
      <c r="F49" s="68" t="e">
        <f t="shared" si="18"/>
        <v>#REF!</v>
      </c>
      <c r="G49" s="68" t="e">
        <f t="shared" si="18"/>
        <v>#REF!</v>
      </c>
      <c r="H49" s="48"/>
      <c r="I49" s="68" t="e">
        <f>+Model!#REF!</f>
        <v>#REF!</v>
      </c>
      <c r="J49" s="68" t="e">
        <f>+Model!#REF!</f>
        <v>#REF!</v>
      </c>
      <c r="K49" s="68" t="e">
        <f>+Model!#REF!</f>
        <v>#REF!</v>
      </c>
      <c r="L49" s="68" t="e">
        <f>+Model!#REF!</f>
        <v>#REF!</v>
      </c>
      <c r="M49" s="68" t="e">
        <f>+Model!#REF!</f>
        <v>#REF!</v>
      </c>
      <c r="N49" s="68" t="e">
        <f>+Model!#REF!</f>
        <v>#REF!</v>
      </c>
      <c r="O49" s="48"/>
    </row>
    <row r="50" spans="1:15" ht="18" customHeight="1">
      <c r="A50" s="58" t="s">
        <v>95</v>
      </c>
      <c r="B50" s="69"/>
      <c r="C50" s="69"/>
      <c r="D50" s="69"/>
      <c r="E50" s="69"/>
      <c r="F50" s="69"/>
      <c r="G50" s="69"/>
      <c r="H50" s="48"/>
      <c r="I50" s="59"/>
      <c r="J50" s="59"/>
      <c r="K50" s="59"/>
      <c r="L50" s="59"/>
      <c r="M50" s="59"/>
      <c r="N50" s="59"/>
      <c r="O50" s="48"/>
    </row>
    <row r="51" spans="1:15" ht="18" customHeight="1">
      <c r="A51" s="53" t="e">
        <f>A$6</f>
        <v>#REF!</v>
      </c>
      <c r="B51" s="74">
        <v>0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48"/>
      <c r="I51" s="74" t="e">
        <f>+Model!#REF!</f>
        <v>#REF!</v>
      </c>
      <c r="J51" s="74" t="e">
        <f>+Model!#REF!</f>
        <v>#REF!</v>
      </c>
      <c r="K51" s="74" t="e">
        <f>+Model!#REF!</f>
        <v>#REF!</v>
      </c>
      <c r="L51" s="74" t="e">
        <f>+Model!#REF!</f>
        <v>#REF!</v>
      </c>
      <c r="M51" s="74" t="e">
        <f>+Model!#REF!</f>
        <v>#REF!</v>
      </c>
      <c r="N51" s="74" t="e">
        <f>+Model!#REF!</f>
        <v>#REF!</v>
      </c>
      <c r="O51" s="48"/>
    </row>
    <row r="52" spans="1:15" ht="18" customHeight="1">
      <c r="A52" s="67" t="e">
        <f>A$7</f>
        <v>#REF!</v>
      </c>
      <c r="B52" s="72" t="e">
        <f aca="true" t="shared" si="19" ref="B52:G52">+I52</f>
        <v>#REF!</v>
      </c>
      <c r="C52" s="72" t="e">
        <f t="shared" si="19"/>
        <v>#REF!</v>
      </c>
      <c r="D52" s="73" t="e">
        <f t="shared" si="19"/>
        <v>#REF!</v>
      </c>
      <c r="E52" s="73" t="e">
        <f t="shared" si="19"/>
        <v>#REF!</v>
      </c>
      <c r="F52" s="73" t="e">
        <f t="shared" si="19"/>
        <v>#REF!</v>
      </c>
      <c r="G52" s="73" t="e">
        <f t="shared" si="19"/>
        <v>#REF!</v>
      </c>
      <c r="H52" s="48"/>
      <c r="I52" s="73" t="e">
        <f>+Model!#REF!</f>
        <v>#REF!</v>
      </c>
      <c r="J52" s="73" t="e">
        <f>+Model!#REF!</f>
        <v>#REF!</v>
      </c>
      <c r="K52" s="73" t="e">
        <f>+Model!#REF!</f>
        <v>#REF!</v>
      </c>
      <c r="L52" s="73" t="e">
        <f>+Model!#REF!</f>
        <v>#REF!</v>
      </c>
      <c r="M52" s="73" t="e">
        <f>+Model!#REF!</f>
        <v>#REF!</v>
      </c>
      <c r="N52" s="73" t="e">
        <f>+Model!#REF!</f>
        <v>#REF!</v>
      </c>
      <c r="O52" s="48"/>
    </row>
  </sheetData>
  <sheetProtection/>
  <printOptions/>
  <pageMargins left="0.73" right="0.75" top="0.34" bottom="0.23" header="0.24" footer="0.16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2015-04-30T15:47:50Z</cp:lastPrinted>
  <dcterms:created xsi:type="dcterms:W3CDTF">2009-12-23T14:46:20Z</dcterms:created>
  <dcterms:modified xsi:type="dcterms:W3CDTF">2016-04-27T13:27:46Z</dcterms:modified>
  <cp:category/>
  <cp:version/>
  <cp:contentType/>
  <cp:contentStatus/>
</cp:coreProperties>
</file>