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795" windowHeight="11640" activeTab="6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Input'!$I$50:$N$102</definedName>
    <definedName name="bs?s_HOT_annual" localSheetId="0">'Yahoo Fin Input'!#REF!</definedName>
    <definedName name="bs?s_HOT_annual_1" localSheetId="0">'Yahoo Fin Input'!$B$50:$F$102</definedName>
    <definedName name="cf?s_HOT" localSheetId="0">'Yahoo Fin Input'!$I$105:$N$138</definedName>
    <definedName name="cf?s_HOT_annual" localSheetId="0">'Yahoo Fin Input'!$B$105:$F$138</definedName>
    <definedName name="ExternalData_1" localSheetId="0">'Yahoo Fin Input'!$B$2:$C$3</definedName>
    <definedName name="is?s_HOT" localSheetId="0">'Yahoo Fin Input'!$I$6:$O$47</definedName>
    <definedName name="is?s_HOT_annual" localSheetId="0">'Yahoo Fin Input'!$B$6:$G$47</definedName>
    <definedName name="_xlnm.Print_Area" localSheetId="2">'Historical Analysis'!$A$1:$Q$153</definedName>
    <definedName name="_xlnm.Print_Area" localSheetId="4">'Projected Analysis'!$A$1:$S$55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Analysis'!$B$3:$M$152</definedName>
    <definedName name="_xlnm.Print_Area" localSheetId="0">'Yahoo Fin Input'!$B$5:$N$126</definedName>
    <definedName name="_xlnm.Print_Titles" localSheetId="6">'Valuation Analysis'!$1:$2</definedName>
    <definedName name="_xlnm.Print_Titles" localSheetId="0">'Yahoo Fin Input'!$1:$4</definedName>
  </definedNames>
  <calcPr fullCalcOnLoad="1"/>
</workbook>
</file>

<file path=xl/sharedStrings.xml><?xml version="1.0" encoding="utf-8"?>
<sst xmlns="http://schemas.openxmlformats.org/spreadsheetml/2006/main" count="599" uniqueCount="347">
  <si>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</si>
  <si>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</si>
  <si>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</si>
  <si>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</si>
  <si>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</si>
  <si>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</si>
  <si>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</si>
  <si>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</si>
  <si>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</si>
  <si>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</si>
  <si>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</si>
  <si>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</si>
  <si>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</si>
  <si>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</si>
  <si>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</si>
  <si>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</si>
  <si>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</si>
  <si>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</si>
  <si>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</si>
  <si>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</si>
  <si>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</si>
  <si>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</si>
  <si>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</si>
  <si>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</si>
  <si>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</si>
  <si>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</si>
  <si>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</si>
  <si>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</si>
  <si>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</si>
  <si>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</si>
  <si>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</si>
  <si>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</si>
  <si>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</si>
  <si>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</si>
  <si>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</si>
  <si>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</si>
  <si>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</si>
  <si>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</si>
  <si>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</si>
  <si>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</si>
  <si>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</si>
  <si>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</si>
  <si>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</si>
  <si>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</si>
  <si>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</si>
  <si>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</si>
  <si>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</si>
  <si>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</si>
  <si>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</si>
  <si>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</si>
  <si>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</si>
  <si>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</si>
  <si>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</si>
  <si>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</si>
  <si>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</si>
  <si>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</si>
  <si>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</si>
  <si>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</si>
  <si>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</si>
  <si>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</si>
  <si>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</si>
  <si>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</si>
  <si>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</si>
  <si>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</si>
  <si>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</si>
  <si>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</si>
  <si>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</si>
  <si>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</si>
  <si>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</si>
  <si>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</si>
  <si>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</si>
  <si>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</si>
  <si>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</si>
  <si>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</si>
  <si>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</si>
  <si>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</si>
  <si>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</si>
  <si>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</si>
  <si>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</si>
  <si>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</si>
  <si>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</si>
  <si>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</si>
  <si>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</si>
  <si>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</si>
  <si>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</si>
  <si>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</si>
  <si>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</si>
  <si>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</si>
  <si>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</si>
  <si>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</si>
  <si>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</si>
  <si>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</si>
  <si>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</si>
  <si>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</si>
  <si>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</si>
  <si>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</si>
  <si>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</si>
  <si>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</si>
  <si>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</si>
  <si>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</si>
  <si>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</si>
  <si>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</si>
  <si>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</si>
  <si>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</si>
  <si>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</si>
  <si>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</si>
  <si>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</si>
  <si>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</si>
  <si>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</si>
  <si>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</si>
  <si>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</si>
  <si>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</si>
  <si>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</si>
  <si>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</si>
  <si>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</si>
  <si>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</si>
  <si>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</si>
  <si>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</si>
  <si>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</si>
  <si>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</si>
  <si>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</si>
  <si>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</si>
  <si>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</si>
  <si>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</si>
  <si>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</si>
  <si>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</si>
  <si>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</si>
  <si>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</si>
  <si>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EBT</t>
  </si>
  <si>
    <t>Income Statement Assumptions</t>
  </si>
  <si>
    <t>Operating Exp as % of Revenue</t>
  </si>
  <si>
    <t>Tax as % of EBT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</si>
  <si>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</si>
  <si>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</si>
  <si>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</si>
  <si>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</si>
  <si>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</si>
  <si>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</si>
  <si>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</si>
  <si>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</si>
  <si>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</si>
  <si>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</si>
  <si>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</si>
  <si>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</si>
  <si>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</si>
  <si>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</si>
  <si>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</si>
  <si>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</si>
  <si>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</si>
  <si>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</si>
  <si>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</si>
  <si>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</si>
  <si>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</si>
  <si>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</si>
  <si>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</si>
  <si>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</si>
  <si>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</si>
  <si>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</si>
  <si>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</si>
  <si>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</si>
  <si>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</si>
  <si>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</si>
  <si>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</si>
  <si>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</si>
  <si>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</si>
  <si>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</si>
  <si>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</si>
  <si>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</si>
  <si>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</si>
  <si>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</si>
  <si>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</si>
  <si>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</si>
  <si>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</si>
  <si>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</si>
  <si>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</si>
  <si>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</si>
  <si>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</si>
  <si>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</si>
  <si>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</si>
  <si>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</si>
  <si>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</si>
  <si>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</si>
  <si>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</si>
  <si>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</si>
  <si>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</si>
  <si>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</si>
  <si>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</si>
  <si>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</si>
  <si>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</si>
  <si>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</si>
  <si>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</si>
  <si>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</si>
  <si>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</si>
  <si>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</si>
  <si>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</si>
  <si>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</si>
  <si>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</si>
  <si>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Kingtom Hotels Int'l / 
Gates' Cascade Invstments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</si>
  <si>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</si>
  <si>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</si>
  <si>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</si>
  <si>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</si>
  <si>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</si>
  <si>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</si>
  <si>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</si>
  <si>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</si>
  <si>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</si>
  <si>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</si>
  <si>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</si>
  <si>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</si>
  <si>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</si>
  <si>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</si>
  <si>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</si>
  <si>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</si>
  <si>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</si>
  <si>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</si>
  <si>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</si>
  <si>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</si>
  <si>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</si>
  <si>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</si>
  <si>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</si>
  <si>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</si>
  <si>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</si>
  <si>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</si>
  <si>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</si>
  <si>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</si>
  <si>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</si>
  <si>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</si>
  <si>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</si>
  <si>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</si>
  <si>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</si>
  <si>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</si>
  <si>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</si>
  <si>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</si>
  <si>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</si>
  <si>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</si>
  <si>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</si>
  <si>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</si>
  <si>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</si>
  <si>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</si>
  <si>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</si>
  <si>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</si>
  <si>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</si>
  <si>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</si>
  <si>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</si>
  <si>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</si>
  <si>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</si>
  <si>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</si>
  <si>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</si>
  <si>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Enteprise Value =</t>
  </si>
  <si>
    <t>PV of Equity + PV of Debt</t>
  </si>
  <si>
    <t xml:space="preserve">PV of Equity = 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</si>
  <si>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</si>
  <si>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</si>
  <si>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</si>
  <si>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</si>
  <si>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</si>
  <si>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</si>
  <si>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</si>
  <si>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</si>
  <si>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</si>
  <si>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</si>
  <si>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</si>
  <si>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>PV=</t>
  </si>
  <si>
    <t>Projected</t>
  </si>
  <si>
    <t>C</t>
  </si>
  <si>
    <t>EQ + D - C = EV</t>
  </si>
  <si>
    <t>at Discount Rate using Average of Purchase Multiple and Perpetuity Method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</si>
  <si>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</si>
  <si>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</si>
  <si>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</si>
  <si>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</si>
  <si>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</si>
  <si>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</si>
  <si>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</si>
  <si>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</si>
  <si>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</si>
  <si>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</si>
  <si>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</si>
  <si>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</si>
  <si>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</si>
  <si>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</si>
  <si>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</si>
  <si>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</si>
  <si>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</si>
  <si>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</si>
  <si>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</si>
  <si>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Starwood's EV</t>
  </si>
  <si>
    <t>Period Ending</t>
  </si>
  <si>
    <t xml:space="preserve">Total Revenue </t>
  </si>
  <si>
    <t xml:space="preserve">Gross Profit </t>
  </si>
  <si>
    <t xml:space="preserve">- 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</si>
  <si>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</si>
  <si>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</si>
  <si>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</si>
  <si>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</si>
  <si>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</si>
  <si>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</si>
  <si>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</si>
  <si>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</si>
  <si>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</si>
  <si>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</si>
  <si>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</si>
  <si>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</si>
  <si>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</si>
  <si>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</si>
  <si>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</si>
  <si>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Excl. Outlier</t>
  </si>
  <si>
    <t>Hyatt</t>
  </si>
  <si>
    <t>H</t>
  </si>
  <si>
    <t>WYN</t>
  </si>
  <si>
    <t>Wyndham Worldwide</t>
  </si>
  <si>
    <t>or ( 1 / [ ( 1 + i ) ^ n ]</t>
  </si>
  <si>
    <t xml:space="preserve">  year (n) =</t>
  </si>
  <si>
    <t xml:space="preserve"> (taken out the high and low)</t>
  </si>
  <si>
    <t xml:space="preserve">        (75% of orginal Debt)</t>
  </si>
  <si>
    <t xml:space="preserve">+ PV of Debt = </t>
  </si>
  <si>
    <t xml:space="preserve">- Less Cash  = </t>
  </si>
  <si>
    <t>Sign Up for a Free Trial to EDGAR Online Premium!</t>
  </si>
  <si>
    <t>Get the critical business and financial information you need for more than 15,000 U.S. public companies.</t>
  </si>
  <si>
    <t>Sign Up Now - Learn More</t>
  </si>
  <si>
    <t>End of Period Stock Price Close</t>
  </si>
  <si>
    <t xml:space="preserve">  % Change</t>
  </si>
  <si>
    <t>7-year 
Average</t>
  </si>
  <si>
    <t>Previous Year's Outstanding / this year's interest Expense =</t>
  </si>
  <si>
    <t>Hilton</t>
  </si>
  <si>
    <t>Calculating WACC</t>
  </si>
  <si>
    <t>Market Value of Equity (Trading)</t>
  </si>
  <si>
    <t>Total Debt</t>
  </si>
  <si>
    <t xml:space="preserve">  Total Capital</t>
  </si>
  <si>
    <t>Amount</t>
  </si>
  <si>
    <t xml:space="preserve"> % Cap</t>
  </si>
  <si>
    <t>Return/Inter</t>
  </si>
  <si>
    <t>6-year Treasury Note =</t>
  </si>
  <si>
    <t>Historical Market Premium =</t>
  </si>
  <si>
    <t>(given)</t>
  </si>
  <si>
    <t>After Tax</t>
  </si>
  <si>
    <t>Historical Tax Rate =</t>
  </si>
  <si>
    <t>Company Beta =</t>
  </si>
  <si>
    <t xml:space="preserve"> WACC</t>
  </si>
  <si>
    <t xml:space="preserve">  Avg of other methods</t>
  </si>
  <si>
    <t>EBITDA 
($000)</t>
  </si>
  <si>
    <t>Next Yr Cash Flow / (WACC - Next Yr Rev Growth)</t>
  </si>
  <si>
    <t>(EBITDA x Market EBITDA Multiple)</t>
  </si>
  <si>
    <t>BEL</t>
  </si>
  <si>
    <t>Stock Price 
(as of 2/10/2015)</t>
  </si>
  <si>
    <t>Belmont (A/K Orient Express)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</si>
</sst>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</numFmts>
  <fonts count="7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33" borderId="10" xfId="42" applyNumberFormat="1" applyFont="1" applyFill="1" applyBorder="1" applyAlignment="1">
      <alignment horizontal="right" wrapText="1"/>
    </xf>
    <xf numFmtId="43" fontId="4" fillId="0" borderId="0" xfId="42" applyFont="1" applyAlignment="1">
      <alignment/>
    </xf>
    <xf numFmtId="15" fontId="3" fillId="33" borderId="11" xfId="0" applyNumberFormat="1" applyFont="1" applyFill="1" applyBorder="1" applyAlignment="1">
      <alignment horizontal="right" wrapText="1"/>
    </xf>
    <xf numFmtId="15" fontId="3" fillId="33" borderId="10" xfId="0" applyNumberFormat="1" applyFont="1" applyFill="1" applyBorder="1" applyAlignment="1">
      <alignment horizontal="right" wrapText="1"/>
    </xf>
    <xf numFmtId="15" fontId="3" fillId="33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42" applyNumberFormat="1" applyFont="1" applyAlignment="1">
      <alignment wrapText="1"/>
    </xf>
    <xf numFmtId="172" fontId="3" fillId="0" borderId="13" xfId="42" applyNumberFormat="1" applyFont="1" applyBorder="1" applyAlignment="1">
      <alignment wrapText="1"/>
    </xf>
    <xf numFmtId="172" fontId="3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0" xfId="42" applyNumberFormat="1" applyFont="1" applyAlignment="1">
      <alignment wrapText="1"/>
    </xf>
    <xf numFmtId="172" fontId="4" fillId="0" borderId="14" xfId="42" applyNumberFormat="1" applyFont="1" applyBorder="1" applyAlignment="1">
      <alignment wrapText="1"/>
    </xf>
    <xf numFmtId="172" fontId="4" fillId="0" borderId="15" xfId="42" applyNumberFormat="1" applyFont="1" applyBorder="1" applyAlignment="1">
      <alignment horizontal="right" wrapText="1"/>
    </xf>
    <xf numFmtId="172" fontId="3" fillId="0" borderId="13" xfId="42" applyNumberFormat="1" applyFont="1" applyBorder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13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4" fillId="0" borderId="13" xfId="42" applyNumberFormat="1" applyFont="1" applyBorder="1" applyAlignment="1">
      <alignment wrapText="1"/>
    </xf>
    <xf numFmtId="172" fontId="4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 horizontal="right"/>
    </xf>
    <xf numFmtId="172" fontId="4" fillId="0" borderId="13" xfId="42" applyNumberFormat="1" applyFont="1" applyBorder="1" applyAlignment="1">
      <alignment horizontal="right" wrapText="1"/>
    </xf>
    <xf numFmtId="172" fontId="4" fillId="0" borderId="15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5" fontId="3" fillId="33" borderId="17" xfId="0" applyNumberFormat="1" applyFont="1" applyFill="1" applyBorder="1" applyAlignment="1">
      <alignment horizontal="right"/>
    </xf>
    <xf numFmtId="15" fontId="3" fillId="33" borderId="10" xfId="0" applyNumberFormat="1" applyFont="1" applyFill="1" applyBorder="1" applyAlignment="1">
      <alignment horizontal="right"/>
    </xf>
    <xf numFmtId="15" fontId="3" fillId="33" borderId="12" xfId="0" applyNumberFormat="1" applyFont="1" applyFill="1" applyBorder="1" applyAlignment="1">
      <alignment horizontal="right"/>
    </xf>
    <xf numFmtId="43" fontId="5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5" fillId="0" borderId="0" xfId="42" applyFont="1" applyBorder="1" applyAlignment="1">
      <alignment horizontal="right"/>
    </xf>
    <xf numFmtId="43" fontId="4" fillId="0" borderId="0" xfId="42" applyFont="1" applyAlignment="1">
      <alignment/>
    </xf>
    <xf numFmtId="43" fontId="4" fillId="0" borderId="13" xfId="42" applyFont="1" applyBorder="1" applyAlignment="1">
      <alignment/>
    </xf>
    <xf numFmtId="0" fontId="4" fillId="0" borderId="0" xfId="0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Border="1" applyAlignment="1">
      <alignment horizontal="right"/>
    </xf>
    <xf numFmtId="172" fontId="4" fillId="0" borderId="14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right"/>
    </xf>
    <xf numFmtId="172" fontId="3" fillId="0" borderId="0" xfId="42" applyNumberFormat="1" applyFont="1" applyAlignment="1">
      <alignment horizontal="right"/>
    </xf>
    <xf numFmtId="172" fontId="3" fillId="0" borderId="18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33" borderId="11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0" xfId="42" applyNumberFormat="1" applyFont="1" applyAlignment="1">
      <alignment/>
    </xf>
    <xf numFmtId="174" fontId="4" fillId="0" borderId="13" xfId="59" applyNumberFormat="1" applyFont="1" applyBorder="1" applyAlignment="1">
      <alignment/>
    </xf>
    <xf numFmtId="174" fontId="4" fillId="0" borderId="0" xfId="59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42" applyFont="1" applyBorder="1" applyAlignment="1">
      <alignment/>
    </xf>
    <xf numFmtId="172" fontId="4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59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72" fontId="4" fillId="0" borderId="0" xfId="42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/>
    </xf>
    <xf numFmtId="6" fontId="0" fillId="0" borderId="26" xfId="0" applyNumberFormat="1" applyBorder="1" applyAlignment="1">
      <alignment/>
    </xf>
    <xf numFmtId="0" fontId="11" fillId="0" borderId="0" xfId="0" applyFont="1" applyAlignment="1">
      <alignment/>
    </xf>
    <xf numFmtId="15" fontId="3" fillId="33" borderId="17" xfId="42" applyNumberFormat="1" applyFont="1" applyFill="1" applyBorder="1" applyAlignment="1" quotePrefix="1">
      <alignment horizontal="center" wrapText="1"/>
    </xf>
    <xf numFmtId="15" fontId="3" fillId="33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33" borderId="27" xfId="0" applyNumberFormat="1" applyFont="1" applyFill="1" applyBorder="1" applyAlignment="1">
      <alignment/>
    </xf>
    <xf numFmtId="15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5" fontId="2" fillId="0" borderId="13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15" fontId="17" fillId="0" borderId="29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42" applyNumberFormat="1" applyFont="1" applyAlignment="1">
      <alignment wrapText="1"/>
    </xf>
    <xf numFmtId="172" fontId="17" fillId="0" borderId="0" xfId="42" applyNumberFormat="1" applyFont="1" applyAlignment="1">
      <alignment wrapText="1"/>
    </xf>
    <xf numFmtId="172" fontId="17" fillId="0" borderId="13" xfId="42" applyNumberFormat="1" applyFont="1" applyBorder="1" applyAlignment="1">
      <alignment horizontal="right" wrapText="1"/>
    </xf>
    <xf numFmtId="0" fontId="16" fillId="0" borderId="23" xfId="0" applyFont="1" applyBorder="1" applyAlignment="1">
      <alignment/>
    </xf>
    <xf numFmtId="172" fontId="17" fillId="0" borderId="24" xfId="42" applyNumberFormat="1" applyFont="1" applyBorder="1" applyAlignment="1">
      <alignment horizontal="right" wrapText="1"/>
    </xf>
    <xf numFmtId="172" fontId="2" fillId="0" borderId="0" xfId="42" applyNumberFormat="1" applyFont="1" applyAlignment="1">
      <alignment horizontal="right" wrapText="1"/>
    </xf>
    <xf numFmtId="172" fontId="17" fillId="0" borderId="0" xfId="42" applyNumberFormat="1" applyFont="1" applyAlignment="1">
      <alignment horizontal="right" wrapText="1"/>
    </xf>
    <xf numFmtId="172" fontId="0" fillId="0" borderId="0" xfId="42" applyNumberFormat="1" applyFont="1" applyAlignment="1">
      <alignment wrapText="1"/>
    </xf>
    <xf numFmtId="172" fontId="16" fillId="0" borderId="15" xfId="42" applyNumberFormat="1" applyFont="1" applyBorder="1" applyAlignment="1">
      <alignment wrapText="1"/>
    </xf>
    <xf numFmtId="172" fontId="16" fillId="0" borderId="14" xfId="42" applyNumberFormat="1" applyFont="1" applyBorder="1" applyAlignment="1">
      <alignment horizontal="right" wrapText="1"/>
    </xf>
    <xf numFmtId="172" fontId="16" fillId="0" borderId="24" xfId="42" applyNumberFormat="1" applyFont="1" applyBorder="1" applyAlignment="1">
      <alignment horizontal="right" wrapText="1"/>
    </xf>
    <xf numFmtId="172" fontId="0" fillId="0" borderId="0" xfId="42" applyNumberFormat="1" applyFont="1" applyBorder="1" applyAlignment="1">
      <alignment horizontal="right" wrapText="1"/>
    </xf>
    <xf numFmtId="172" fontId="16" fillId="0" borderId="15" xfId="42" applyNumberFormat="1" applyFont="1" applyBorder="1" applyAlignment="1">
      <alignment horizontal="right" wrapText="1"/>
    </xf>
    <xf numFmtId="172" fontId="16" fillId="0" borderId="0" xfId="42" applyNumberFormat="1" applyFont="1" applyAlignment="1">
      <alignment wrapText="1"/>
    </xf>
    <xf numFmtId="172" fontId="16" fillId="0" borderId="13" xfId="42" applyNumberFormat="1" applyFont="1" applyBorder="1" applyAlignment="1">
      <alignment wrapText="1"/>
    </xf>
    <xf numFmtId="172" fontId="16" fillId="0" borderId="24" xfId="42" applyNumberFormat="1" applyFont="1" applyBorder="1" applyAlignment="1">
      <alignment wrapText="1"/>
    </xf>
    <xf numFmtId="172" fontId="16" fillId="0" borderId="0" xfId="42" applyNumberFormat="1" applyFont="1" applyAlignment="1">
      <alignment horizontal="right" wrapText="1"/>
    </xf>
    <xf numFmtId="172" fontId="16" fillId="0" borderId="1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horizontal="right" wrapText="1"/>
    </xf>
    <xf numFmtId="172" fontId="0" fillId="0" borderId="0" xfId="42" applyNumberFormat="1" applyFont="1" applyAlignment="1">
      <alignment horizontal="right" wrapText="1"/>
    </xf>
    <xf numFmtId="172" fontId="18" fillId="0" borderId="2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wrapText="1"/>
    </xf>
    <xf numFmtId="172" fontId="19" fillId="0" borderId="0" xfId="42" applyNumberFormat="1" applyFont="1" applyAlignment="1">
      <alignment wrapText="1"/>
    </xf>
    <xf numFmtId="172" fontId="20" fillId="0" borderId="0" xfId="42" applyNumberFormat="1" applyFont="1" applyAlignment="1">
      <alignment wrapText="1"/>
    </xf>
    <xf numFmtId="10" fontId="16" fillId="0" borderId="13" xfId="59" applyNumberFormat="1" applyFont="1" applyBorder="1" applyAlignment="1">
      <alignment wrapText="1"/>
    </xf>
    <xf numFmtId="10" fontId="16" fillId="0" borderId="23" xfId="59" applyNumberFormat="1" applyFont="1" applyBorder="1" applyAlignment="1">
      <alignment wrapText="1"/>
    </xf>
    <xf numFmtId="10" fontId="16" fillId="0" borderId="24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16" fillId="0" borderId="0" xfId="59" applyNumberFormat="1" applyFont="1" applyAlignment="1">
      <alignment wrapText="1"/>
    </xf>
    <xf numFmtId="10" fontId="16" fillId="0" borderId="13" xfId="59" applyNumberFormat="1" applyFont="1" applyBorder="1" applyAlignment="1">
      <alignment horizontal="right" wrapText="1"/>
    </xf>
    <xf numFmtId="10" fontId="16" fillId="0" borderId="23" xfId="59" applyNumberFormat="1" applyFont="1" applyBorder="1" applyAlignment="1">
      <alignment horizontal="right" wrapText="1"/>
    </xf>
    <xf numFmtId="10" fontId="18" fillId="0" borderId="24" xfId="59" applyNumberFormat="1" applyFont="1" applyBorder="1" applyAlignment="1">
      <alignment/>
    </xf>
    <xf numFmtId="10" fontId="16" fillId="0" borderId="0" xfId="59" applyNumberFormat="1" applyFont="1" applyAlignment="1">
      <alignment horizontal="right" wrapText="1"/>
    </xf>
    <xf numFmtId="9" fontId="16" fillId="0" borderId="0" xfId="59" applyFont="1" applyAlignment="1">
      <alignment horizontal="right" wrapText="1"/>
    </xf>
    <xf numFmtId="10" fontId="18" fillId="0" borderId="24" xfId="59" applyNumberFormat="1" applyFont="1" applyBorder="1" applyAlignment="1">
      <alignment horizontal="right" wrapText="1"/>
    </xf>
    <xf numFmtId="10" fontId="0" fillId="0" borderId="0" xfId="59" applyNumberFormat="1" applyFont="1" applyAlignment="1">
      <alignment horizontal="right" wrapText="1"/>
    </xf>
    <xf numFmtId="10" fontId="18" fillId="0" borderId="13" xfId="59" applyNumberFormat="1" applyFont="1" applyBorder="1" applyAlignment="1">
      <alignment horizontal="right" wrapText="1"/>
    </xf>
    <xf numFmtId="10" fontId="18" fillId="0" borderId="23" xfId="59" applyNumberFormat="1" applyFont="1" applyBorder="1" applyAlignment="1">
      <alignment horizontal="right" wrapText="1"/>
    </xf>
    <xf numFmtId="10" fontId="16" fillId="0" borderId="24" xfId="59" applyNumberFormat="1" applyFont="1" applyBorder="1" applyAlignment="1">
      <alignment horizontal="right" wrapText="1"/>
    </xf>
    <xf numFmtId="10" fontId="18" fillId="0" borderId="0" xfId="59" applyNumberFormat="1" applyFont="1" applyAlignment="1">
      <alignment horizontal="right" wrapText="1"/>
    </xf>
    <xf numFmtId="172" fontId="21" fillId="0" borderId="0" xfId="42" applyNumberFormat="1" applyFont="1" applyAlignment="1">
      <alignment wrapText="1"/>
    </xf>
    <xf numFmtId="172" fontId="22" fillId="0" borderId="0" xfId="42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42" applyNumberFormat="1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24" xfId="0" applyFont="1" applyBorder="1" applyAlignment="1">
      <alignment/>
    </xf>
    <xf numFmtId="172" fontId="18" fillId="0" borderId="23" xfId="42" applyNumberFormat="1" applyFont="1" applyBorder="1" applyAlignment="1">
      <alignment/>
    </xf>
    <xf numFmtId="179" fontId="16" fillId="0" borderId="23" xfId="59" applyNumberFormat="1" applyFont="1" applyBorder="1" applyAlignment="1">
      <alignment horizontal="right" wrapText="1"/>
    </xf>
    <xf numFmtId="172" fontId="0" fillId="0" borderId="0" xfId="42" applyNumberFormat="1" applyFont="1" applyAlignment="1">
      <alignment/>
    </xf>
    <xf numFmtId="172" fontId="16" fillId="0" borderId="0" xfId="42" applyNumberFormat="1" applyFont="1" applyAlignment="1">
      <alignment/>
    </xf>
    <xf numFmtId="172" fontId="16" fillId="0" borderId="13" xfId="42" applyNumberFormat="1" applyFont="1" applyBorder="1" applyAlignment="1">
      <alignment/>
    </xf>
    <xf numFmtId="172" fontId="16" fillId="0" borderId="23" xfId="42" applyNumberFormat="1" applyFont="1" applyBorder="1" applyAlignment="1">
      <alignment/>
    </xf>
    <xf numFmtId="172" fontId="16" fillId="0" borderId="24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2" fontId="17" fillId="0" borderId="0" xfId="42" applyNumberFormat="1" applyFont="1" applyAlignment="1">
      <alignment/>
    </xf>
    <xf numFmtId="174" fontId="16" fillId="0" borderId="0" xfId="59" applyNumberFormat="1" applyFont="1" applyAlignment="1">
      <alignment wrapText="1"/>
    </xf>
    <xf numFmtId="173" fontId="16" fillId="0" borderId="13" xfId="42" applyNumberFormat="1" applyFont="1" applyBorder="1" applyAlignment="1">
      <alignment horizontal="right" wrapText="1"/>
    </xf>
    <xf numFmtId="173" fontId="16" fillId="0" borderId="23" xfId="42" applyNumberFormat="1" applyFont="1" applyBorder="1" applyAlignment="1">
      <alignment horizontal="right" wrapText="1"/>
    </xf>
    <xf numFmtId="173" fontId="16" fillId="0" borderId="24" xfId="42" applyNumberFormat="1" applyFont="1" applyBorder="1" applyAlignment="1">
      <alignment horizontal="right" wrapText="1"/>
    </xf>
    <xf numFmtId="173" fontId="0" fillId="0" borderId="0" xfId="42" applyNumberFormat="1" applyFont="1" applyAlignment="1">
      <alignment horizontal="right" wrapText="1"/>
    </xf>
    <xf numFmtId="173" fontId="16" fillId="0" borderId="0" xfId="42" applyNumberFormat="1" applyFont="1" applyAlignment="1">
      <alignment horizontal="right" wrapText="1"/>
    </xf>
    <xf numFmtId="172" fontId="16" fillId="0" borderId="19" xfId="42" applyNumberFormat="1" applyFont="1" applyBorder="1" applyAlignment="1">
      <alignment horizontal="right" wrapText="1"/>
    </xf>
    <xf numFmtId="172" fontId="16" fillId="0" borderId="25" xfId="42" applyNumberFormat="1" applyFont="1" applyBorder="1" applyAlignment="1">
      <alignment horizontal="right" wrapText="1"/>
    </xf>
    <xf numFmtId="172" fontId="16" fillId="0" borderId="26" xfId="42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42" applyNumberFormat="1" applyFont="1" applyBorder="1" applyAlignment="1">
      <alignment horizontal="right" wrapText="1"/>
    </xf>
    <xf numFmtId="172" fontId="5" fillId="0" borderId="0" xfId="42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/>
    </xf>
    <xf numFmtId="44" fontId="16" fillId="0" borderId="35" xfId="44" applyFont="1" applyBorder="1" applyAlignment="1">
      <alignment/>
    </xf>
    <xf numFmtId="180" fontId="16" fillId="0" borderId="35" xfId="42" applyNumberFormat="1" applyFont="1" applyBorder="1" applyAlignment="1">
      <alignment/>
    </xf>
    <xf numFmtId="43" fontId="16" fillId="0" borderId="35" xfId="42" applyNumberFormat="1" applyFont="1" applyBorder="1" applyAlignment="1">
      <alignment/>
    </xf>
    <xf numFmtId="43" fontId="16" fillId="0" borderId="36" xfId="42" applyNumberFormat="1" applyFont="1" applyBorder="1" applyAlignment="1">
      <alignment/>
    </xf>
    <xf numFmtId="43" fontId="16" fillId="0" borderId="15" xfId="42" applyNumberFormat="1" applyFont="1" applyBorder="1" applyAlignment="1">
      <alignment/>
    </xf>
    <xf numFmtId="43" fontId="17" fillId="36" borderId="14" xfId="42" applyNumberFormat="1" applyFont="1" applyFill="1" applyBorder="1" applyAlignment="1">
      <alignment/>
    </xf>
    <xf numFmtId="0" fontId="23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/>
    </xf>
    <xf numFmtId="44" fontId="16" fillId="0" borderId="38" xfId="44" applyFont="1" applyBorder="1" applyAlignment="1">
      <alignment/>
    </xf>
    <xf numFmtId="180" fontId="16" fillId="0" borderId="38" xfId="42" applyNumberFormat="1" applyFont="1" applyBorder="1" applyAlignment="1">
      <alignment/>
    </xf>
    <xf numFmtId="43" fontId="16" fillId="0" borderId="39" xfId="42" applyNumberFormat="1" applyFont="1" applyBorder="1" applyAlignment="1">
      <alignment/>
    </xf>
    <xf numFmtId="43" fontId="16" fillId="0" borderId="40" xfId="42" applyNumberFormat="1" applyFont="1" applyBorder="1" applyAlignment="1">
      <alignment/>
    </xf>
    <xf numFmtId="43" fontId="17" fillId="36" borderId="41" xfId="42" applyNumberFormat="1" applyFont="1" applyFill="1" applyBorder="1" applyAlignment="1">
      <alignment/>
    </xf>
    <xf numFmtId="44" fontId="16" fillId="0" borderId="38" xfId="44" applyFont="1" applyFill="1" applyBorder="1" applyAlignment="1">
      <alignment/>
    </xf>
    <xf numFmtId="44" fontId="16" fillId="37" borderId="38" xfId="44" applyFont="1" applyFill="1" applyBorder="1" applyAlignment="1">
      <alignment/>
    </xf>
    <xf numFmtId="172" fontId="16" fillId="37" borderId="38" xfId="42" applyNumberFormat="1" applyFont="1" applyFill="1" applyBorder="1" applyAlignment="1">
      <alignment/>
    </xf>
    <xf numFmtId="172" fontId="16" fillId="0" borderId="35" xfId="42" applyNumberFormat="1" applyFont="1" applyBorder="1" applyAlignment="1">
      <alignment/>
    </xf>
    <xf numFmtId="172" fontId="17" fillId="36" borderId="41" xfId="42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24" fillId="3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6" borderId="17" xfId="0" applyFont="1" applyFill="1" applyBorder="1" applyAlignment="1">
      <alignment wrapText="1"/>
    </xf>
    <xf numFmtId="0" fontId="16" fillId="0" borderId="35" xfId="0" applyFont="1" applyBorder="1" applyAlignment="1">
      <alignment horizontal="center"/>
    </xf>
    <xf numFmtId="44" fontId="16" fillId="37" borderId="35" xfId="44" applyFont="1" applyFill="1" applyBorder="1" applyAlignment="1">
      <alignment/>
    </xf>
    <xf numFmtId="173" fontId="17" fillId="36" borderId="14" xfId="42" applyNumberFormat="1" applyFont="1" applyFill="1" applyBorder="1" applyAlignment="1">
      <alignment/>
    </xf>
    <xf numFmtId="0" fontId="16" fillId="0" borderId="38" xfId="0" applyFont="1" applyBorder="1" applyAlignment="1">
      <alignment horizontal="center"/>
    </xf>
    <xf numFmtId="44" fontId="16" fillId="0" borderId="38" xfId="44" applyFont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35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Fill="1" applyBorder="1" applyAlignment="1">
      <alignment horizontal="left" vertical="center" wrapText="1"/>
    </xf>
    <xf numFmtId="44" fontId="0" fillId="0" borderId="35" xfId="44" applyFont="1" applyFill="1" applyBorder="1" applyAlignment="1">
      <alignment vertical="center"/>
    </xf>
    <xf numFmtId="172" fontId="0" fillId="0" borderId="35" xfId="42" applyNumberFormat="1" applyFont="1" applyFill="1" applyBorder="1" applyAlignment="1">
      <alignment vertical="center"/>
    </xf>
    <xf numFmtId="44" fontId="0" fillId="0" borderId="35" xfId="0" applyNumberFormat="1" applyFont="1" applyFill="1" applyBorder="1" applyAlignment="1">
      <alignment vertical="center"/>
    </xf>
    <xf numFmtId="173" fontId="0" fillId="0" borderId="42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44" fontId="0" fillId="0" borderId="35" xfId="44" applyFont="1" applyBorder="1" applyAlignment="1">
      <alignment/>
    </xf>
    <xf numFmtId="172" fontId="0" fillId="0" borderId="35" xfId="42" applyNumberFormat="1" applyFont="1" applyBorder="1" applyAlignment="1">
      <alignment/>
    </xf>
    <xf numFmtId="44" fontId="0" fillId="0" borderId="35" xfId="0" applyNumberFormat="1" applyBorder="1" applyAlignment="1">
      <alignment/>
    </xf>
    <xf numFmtId="173" fontId="0" fillId="0" borderId="42" xfId="0" applyNumberFormat="1" applyBorder="1" applyAlignment="1">
      <alignment/>
    </xf>
    <xf numFmtId="0" fontId="0" fillId="0" borderId="38" xfId="0" applyBorder="1" applyAlignment="1">
      <alignment/>
    </xf>
    <xf numFmtId="44" fontId="0" fillId="0" borderId="38" xfId="44" applyFont="1" applyBorder="1" applyAlignment="1">
      <alignment/>
    </xf>
    <xf numFmtId="172" fontId="0" fillId="0" borderId="38" xfId="42" applyNumberFormat="1" applyFont="1" applyBorder="1" applyAlignment="1">
      <alignment/>
    </xf>
    <xf numFmtId="44" fontId="0" fillId="0" borderId="38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44" xfId="0" applyBorder="1" applyAlignment="1" quotePrefix="1">
      <alignment/>
    </xf>
    <xf numFmtId="0" fontId="0" fillId="0" borderId="45" xfId="0" applyBorder="1" applyAlignment="1">
      <alignment/>
    </xf>
    <xf numFmtId="44" fontId="0" fillId="0" borderId="45" xfId="44" applyFont="1" applyBorder="1" applyAlignment="1">
      <alignment/>
    </xf>
    <xf numFmtId="172" fontId="0" fillId="0" borderId="45" xfId="42" applyNumberFormat="1" applyFont="1" applyBorder="1" applyAlignment="1">
      <alignment/>
    </xf>
    <xf numFmtId="44" fontId="0" fillId="0" borderId="45" xfId="0" applyNumberFormat="1" applyBorder="1" applyAlignment="1">
      <alignment/>
    </xf>
    <xf numFmtId="173" fontId="0" fillId="0" borderId="46" xfId="0" applyNumberFormat="1" applyBorder="1" applyAlignment="1">
      <alignment/>
    </xf>
    <xf numFmtId="0" fontId="16" fillId="0" borderId="47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35" borderId="48" xfId="0" applyFont="1" applyFill="1" applyBorder="1" applyAlignment="1">
      <alignment horizontal="center"/>
    </xf>
    <xf numFmtId="15" fontId="2" fillId="35" borderId="20" xfId="0" applyNumberFormat="1" applyFont="1" applyFill="1" applyBorder="1" applyAlignment="1">
      <alignment horizontal="right"/>
    </xf>
    <xf numFmtId="15" fontId="2" fillId="35" borderId="19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16" fillId="0" borderId="0" xfId="59" applyNumberFormat="1" applyFont="1" applyBorder="1" applyAlignment="1">
      <alignment/>
    </xf>
    <xf numFmtId="174" fontId="16" fillId="0" borderId="13" xfId="59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82" fontId="2" fillId="0" borderId="0" xfId="42" applyNumberFormat="1" applyFont="1" applyBorder="1" applyAlignment="1">
      <alignment horizontal="center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16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27" fillId="0" borderId="0" xfId="0" applyFont="1" applyAlignment="1">
      <alignment/>
    </xf>
    <xf numFmtId="0" fontId="27" fillId="0" borderId="21" xfId="0" applyFont="1" applyBorder="1" applyAlignment="1">
      <alignment/>
    </xf>
    <xf numFmtId="0" fontId="0" fillId="0" borderId="29" xfId="0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0" borderId="49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50" xfId="0" applyBorder="1" applyAlignment="1">
      <alignment/>
    </xf>
    <xf numFmtId="172" fontId="0" fillId="0" borderId="40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172" fontId="17" fillId="36" borderId="14" xfId="42" applyNumberFormat="1" applyFont="1" applyFill="1" applyBorder="1" applyAlignment="1">
      <alignment/>
    </xf>
    <xf numFmtId="10" fontId="29" fillId="0" borderId="0" xfId="0" applyNumberFormat="1" applyFont="1" applyAlignment="1">
      <alignment/>
    </xf>
    <xf numFmtId="182" fontId="21" fillId="0" borderId="0" xfId="42" applyNumberFormat="1" applyFont="1" applyBorder="1" applyAlignment="1">
      <alignment/>
    </xf>
    <xf numFmtId="182" fontId="21" fillId="0" borderId="19" xfId="42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" fillId="35" borderId="0" xfId="0" applyFont="1" applyFill="1" applyAlignment="1">
      <alignment horizontal="center"/>
    </xf>
    <xf numFmtId="172" fontId="16" fillId="0" borderId="39" xfId="42" applyNumberFormat="1" applyFont="1" applyFill="1" applyBorder="1" applyAlignment="1">
      <alignment/>
    </xf>
    <xf numFmtId="172" fontId="0" fillId="0" borderId="51" xfId="42" applyNumberFormat="1" applyFont="1" applyBorder="1" applyAlignment="1">
      <alignment/>
    </xf>
    <xf numFmtId="172" fontId="0" fillId="0" borderId="14" xfId="0" applyNumberFormat="1" applyBorder="1" applyAlignment="1">
      <alignment/>
    </xf>
    <xf numFmtId="182" fontId="2" fillId="0" borderId="13" xfId="42" applyNumberFormat="1" applyFont="1" applyBorder="1" applyAlignment="1">
      <alignment horizontal="center"/>
    </xf>
    <xf numFmtId="44" fontId="0" fillId="0" borderId="14" xfId="44" applyNumberFormat="1" applyFont="1" applyBorder="1" applyAlignment="1">
      <alignment/>
    </xf>
    <xf numFmtId="172" fontId="0" fillId="0" borderId="13" xfId="0" applyNumberFormat="1" applyBorder="1" applyAlignment="1">
      <alignment/>
    </xf>
    <xf numFmtId="44" fontId="2" fillId="0" borderId="52" xfId="44" applyNumberFormat="1" applyFont="1" applyBorder="1" applyAlignment="1">
      <alignment/>
    </xf>
    <xf numFmtId="44" fontId="16" fillId="37" borderId="38" xfId="44" applyFont="1" applyFill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10" fontId="18" fillId="0" borderId="24" xfId="59" applyNumberFormat="1" applyFont="1" applyBorder="1" applyAlignment="1">
      <alignment horizontal="right"/>
    </xf>
    <xf numFmtId="172" fontId="22" fillId="0" borderId="0" xfId="42" applyNumberFormat="1" applyFont="1" applyBorder="1" applyAlignment="1">
      <alignment wrapText="1"/>
    </xf>
    <xf numFmtId="172" fontId="16" fillId="0" borderId="0" xfId="42" applyNumberFormat="1" applyFont="1" applyBorder="1" applyAlignment="1">
      <alignment/>
    </xf>
    <xf numFmtId="172" fontId="18" fillId="0" borderId="36" xfId="42" applyNumberFormat="1" applyFont="1" applyBorder="1" applyAlignment="1">
      <alignment/>
    </xf>
    <xf numFmtId="172" fontId="18" fillId="0" borderId="39" xfId="42" applyNumberFormat="1" applyFont="1" applyBorder="1" applyAlignment="1">
      <alignment/>
    </xf>
    <xf numFmtId="172" fontId="18" fillId="0" borderId="42" xfId="42" applyNumberFormat="1" applyFont="1" applyBorder="1" applyAlignment="1">
      <alignment/>
    </xf>
    <xf numFmtId="172" fontId="18" fillId="0" borderId="43" xfId="42" applyNumberFormat="1" applyFont="1" applyBorder="1" applyAlignment="1">
      <alignment/>
    </xf>
    <xf numFmtId="172" fontId="18" fillId="0" borderId="35" xfId="42" applyNumberFormat="1" applyFont="1" applyBorder="1" applyAlignment="1">
      <alignment/>
    </xf>
    <xf numFmtId="172" fontId="18" fillId="0" borderId="38" xfId="42" applyNumberFormat="1" applyFont="1" applyBorder="1" applyAlignment="1">
      <alignment/>
    </xf>
    <xf numFmtId="173" fontId="33" fillId="36" borderId="14" xfId="42" applyNumberFormat="1" applyFont="1" applyFill="1" applyBorder="1" applyAlignment="1">
      <alignment/>
    </xf>
    <xf numFmtId="173" fontId="33" fillId="36" borderId="19" xfId="42" applyNumberFormat="1" applyFont="1" applyFill="1" applyBorder="1" applyAlignment="1">
      <alignment/>
    </xf>
    <xf numFmtId="15" fontId="25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172" fontId="3" fillId="0" borderId="18" xfId="42" applyNumberFormat="1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6" fillId="0" borderId="45" xfId="44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49" xfId="42" applyNumberFormat="1" applyFont="1" applyBorder="1" applyAlignment="1">
      <alignment/>
    </xf>
    <xf numFmtId="172" fontId="2" fillId="0" borderId="53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49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3" fillId="0" borderId="30" xfId="0" applyFont="1" applyBorder="1" applyAlignment="1">
      <alignment horizontal="left" vertical="center" wrapText="1"/>
    </xf>
    <xf numFmtId="44" fontId="16" fillId="0" borderId="31" xfId="44" applyFont="1" applyFill="1" applyBorder="1" applyAlignment="1">
      <alignment horizontal="center"/>
    </xf>
    <xf numFmtId="44" fontId="16" fillId="0" borderId="31" xfId="44" applyFont="1" applyFill="1" applyBorder="1" applyAlignment="1">
      <alignment horizontal="right"/>
    </xf>
    <xf numFmtId="172" fontId="16" fillId="0" borderId="31" xfId="42" applyNumberFormat="1" applyFont="1" applyBorder="1" applyAlignment="1">
      <alignment/>
    </xf>
    <xf numFmtId="172" fontId="16" fillId="0" borderId="32" xfId="42" applyNumberFormat="1" applyFont="1" applyBorder="1" applyAlignment="1">
      <alignment/>
    </xf>
    <xf numFmtId="172" fontId="16" fillId="0" borderId="33" xfId="42" applyNumberFormat="1" applyFont="1" applyBorder="1" applyAlignment="1">
      <alignment/>
    </xf>
    <xf numFmtId="172" fontId="17" fillId="36" borderId="17" xfId="42" applyNumberFormat="1" applyFont="1" applyFill="1" applyBorder="1" applyAlignment="1">
      <alignment/>
    </xf>
    <xf numFmtId="173" fontId="17" fillId="36" borderId="17" xfId="42" applyNumberFormat="1" applyFont="1" applyFill="1" applyBorder="1" applyAlignment="1">
      <alignment/>
    </xf>
    <xf numFmtId="173" fontId="33" fillId="36" borderId="17" xfId="42" applyNumberFormat="1" applyFont="1" applyFill="1" applyBorder="1" applyAlignment="1">
      <alignment/>
    </xf>
    <xf numFmtId="0" fontId="23" fillId="0" borderId="44" xfId="0" applyFont="1" applyBorder="1" applyAlignment="1">
      <alignment horizontal="left" vertical="center" wrapText="1"/>
    </xf>
    <xf numFmtId="44" fontId="16" fillId="37" borderId="45" xfId="44" applyFont="1" applyFill="1" applyBorder="1" applyAlignment="1">
      <alignment/>
    </xf>
    <xf numFmtId="172" fontId="18" fillId="0" borderId="45" xfId="42" applyNumberFormat="1" applyFont="1" applyBorder="1" applyAlignment="1">
      <alignment/>
    </xf>
    <xf numFmtId="172" fontId="16" fillId="0" borderId="54" xfId="42" applyNumberFormat="1" applyFont="1" applyBorder="1" applyAlignment="1">
      <alignment/>
    </xf>
    <xf numFmtId="172" fontId="18" fillId="0" borderId="55" xfId="42" applyNumberFormat="1" applyFont="1" applyBorder="1" applyAlignment="1">
      <alignment/>
    </xf>
    <xf numFmtId="172" fontId="18" fillId="0" borderId="46" xfId="42" applyNumberFormat="1" applyFont="1" applyBorder="1" applyAlignment="1">
      <alignment/>
    </xf>
    <xf numFmtId="172" fontId="17" fillId="36" borderId="19" xfId="42" applyNumberFormat="1" applyFont="1" applyFill="1" applyBorder="1" applyAlignment="1">
      <alignment/>
    </xf>
    <xf numFmtId="173" fontId="17" fillId="36" borderId="19" xfId="42" applyNumberFormat="1" applyFont="1" applyFill="1" applyBorder="1" applyAlignment="1">
      <alignment/>
    </xf>
    <xf numFmtId="6" fontId="0" fillId="0" borderId="24" xfId="0" applyNumberFormat="1" applyBorder="1" applyAlignment="1">
      <alignment/>
    </xf>
    <xf numFmtId="172" fontId="4" fillId="0" borderId="0" xfId="42" applyNumberFormat="1" applyFont="1" applyBorder="1" applyAlignment="1">
      <alignment/>
    </xf>
    <xf numFmtId="172" fontId="3" fillId="0" borderId="56" xfId="42" applyNumberFormat="1" applyFont="1" applyBorder="1" applyAlignment="1">
      <alignment horizontal="right"/>
    </xf>
    <xf numFmtId="172" fontId="16" fillId="0" borderId="16" xfId="42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74" fontId="29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34" fillId="0" borderId="15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/>
    </xf>
    <xf numFmtId="15" fontId="17" fillId="33" borderId="17" xfId="0" applyNumberFormat="1" applyFont="1" applyFill="1" applyBorder="1" applyAlignment="1">
      <alignment horizontal="right" wrapText="1"/>
    </xf>
    <xf numFmtId="44" fontId="3" fillId="0" borderId="0" xfId="44" applyFont="1" applyAlignment="1">
      <alignment wrapText="1"/>
    </xf>
    <xf numFmtId="44" fontId="3" fillId="0" borderId="0" xfId="44" applyFont="1" applyBorder="1" applyAlignment="1">
      <alignment horizontal="right" wrapText="1"/>
    </xf>
    <xf numFmtId="44" fontId="4" fillId="0" borderId="0" xfId="44" applyFont="1" applyAlignment="1">
      <alignment/>
    </xf>
    <xf numFmtId="174" fontId="3" fillId="0" borderId="0" xfId="59" applyNumberFormat="1" applyFont="1" applyAlignment="1">
      <alignment/>
    </xf>
    <xf numFmtId="43" fontId="35" fillId="0" borderId="0" xfId="42" applyFont="1" applyAlignment="1">
      <alignment/>
    </xf>
    <xf numFmtId="174" fontId="35" fillId="0" borderId="0" xfId="59" applyNumberFormat="1" applyFont="1" applyAlignment="1">
      <alignment/>
    </xf>
    <xf numFmtId="43" fontId="36" fillId="0" borderId="0" xfId="42" applyFont="1" applyAlignment="1">
      <alignment/>
    </xf>
    <xf numFmtId="172" fontId="36" fillId="0" borderId="0" xfId="42" applyNumberFormat="1" applyFont="1" applyAlignment="1">
      <alignment horizontal="right"/>
    </xf>
    <xf numFmtId="10" fontId="16" fillId="0" borderId="0" xfId="59" applyNumberFormat="1" applyFont="1" applyAlignment="1">
      <alignment/>
    </xf>
    <xf numFmtId="173" fontId="16" fillId="0" borderId="0" xfId="42" applyNumberFormat="1" applyFont="1" applyBorder="1" applyAlignment="1">
      <alignment horizontal="right" wrapText="1"/>
    </xf>
    <xf numFmtId="172" fontId="16" fillId="0" borderId="18" xfId="42" applyNumberFormat="1" applyFont="1" applyBorder="1" applyAlignment="1">
      <alignment horizontal="right" wrapText="1"/>
    </xf>
    <xf numFmtId="15" fontId="17" fillId="33" borderId="11" xfId="0" applyNumberFormat="1" applyFont="1" applyFill="1" applyBorder="1" applyAlignment="1">
      <alignment horizontal="right" wrapText="1"/>
    </xf>
    <xf numFmtId="15" fontId="17" fillId="33" borderId="10" xfId="0" applyNumberFormat="1" applyFont="1" applyFill="1" applyBorder="1" applyAlignment="1">
      <alignment horizontal="right" wrapText="1"/>
    </xf>
    <xf numFmtId="15" fontId="17" fillId="33" borderId="12" xfId="0" applyNumberFormat="1" applyFont="1" applyFill="1" applyBorder="1" applyAlignment="1">
      <alignment horizontal="right" wrapText="1"/>
    </xf>
    <xf numFmtId="15" fontId="2" fillId="33" borderId="11" xfId="0" applyNumberFormat="1" applyFont="1" applyFill="1" applyBorder="1" applyAlignment="1">
      <alignment horizontal="right" wrapText="1"/>
    </xf>
    <xf numFmtId="15" fontId="2" fillId="33" borderId="10" xfId="0" applyNumberFormat="1" applyFont="1" applyFill="1" applyBorder="1" applyAlignment="1">
      <alignment horizontal="right" wrapText="1"/>
    </xf>
    <xf numFmtId="15" fontId="2" fillId="33" borderId="17" xfId="0" applyNumberFormat="1" applyFont="1" applyFill="1" applyBorder="1" applyAlignment="1">
      <alignment horizontal="right" wrapText="1"/>
    </xf>
    <xf numFmtId="15" fontId="28" fillId="33" borderId="11" xfId="0" applyNumberFormat="1" applyFont="1" applyFill="1" applyBorder="1" applyAlignment="1">
      <alignment horizontal="right" wrapText="1"/>
    </xf>
    <xf numFmtId="15" fontId="2" fillId="33" borderId="12" xfId="0" applyNumberFormat="1" applyFont="1" applyFill="1" applyBorder="1" applyAlignment="1">
      <alignment horizontal="right" wrapText="1"/>
    </xf>
    <xf numFmtId="0" fontId="2" fillId="35" borderId="30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172" fontId="16" fillId="0" borderId="0" xfId="42" applyNumberFormat="1" applyFont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/>
    </xf>
    <xf numFmtId="15" fontId="2" fillId="33" borderId="29" xfId="0" applyNumberFormat="1" applyFont="1" applyFill="1" applyBorder="1" applyAlignment="1">
      <alignment/>
    </xf>
    <xf numFmtId="0" fontId="16" fillId="0" borderId="35" xfId="0" applyFont="1" applyBorder="1" applyAlignment="1">
      <alignment horizontal="center"/>
    </xf>
    <xf numFmtId="14" fontId="0" fillId="0" borderId="36" xfId="0" applyNumberFormat="1" applyFont="1" applyFill="1" applyBorder="1" applyAlignment="1">
      <alignment horizontal="left" vertical="center" wrapText="1"/>
    </xf>
    <xf numFmtId="14" fontId="0" fillId="0" borderId="49" xfId="0" applyNumberFormat="1" applyBorder="1" applyAlignment="1" quotePrefix="1">
      <alignment horizontal="left"/>
    </xf>
    <xf numFmtId="14" fontId="0" fillId="0" borderId="49" xfId="0" applyNumberFormat="1" applyBorder="1" applyAlignment="1">
      <alignment horizontal="left"/>
    </xf>
    <xf numFmtId="0" fontId="0" fillId="0" borderId="49" xfId="0" applyBorder="1" applyAlignment="1" quotePrefix="1">
      <alignment/>
    </xf>
    <xf numFmtId="0" fontId="0" fillId="0" borderId="50" xfId="0" applyBorder="1" applyAlignment="1" quotePrefix="1">
      <alignment/>
    </xf>
    <xf numFmtId="0" fontId="2" fillId="35" borderId="5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vertical="center" wrapText="1"/>
    </xf>
    <xf numFmtId="14" fontId="0" fillId="0" borderId="38" xfId="0" applyNumberFormat="1" applyBorder="1" applyAlignment="1">
      <alignment horizontal="left"/>
    </xf>
    <xf numFmtId="173" fontId="0" fillId="0" borderId="0" xfId="42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5" fontId="2" fillId="35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2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174" fontId="2" fillId="0" borderId="16" xfId="59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53" xfId="0" applyFont="1" applyBorder="1" applyAlignment="1">
      <alignment/>
    </xf>
    <xf numFmtId="174" fontId="16" fillId="0" borderId="23" xfId="59" applyNumberFormat="1" applyFont="1" applyBorder="1" applyAlignment="1">
      <alignment/>
    </xf>
    <xf numFmtId="44" fontId="16" fillId="0" borderId="38" xfId="44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3" fillId="0" borderId="0" xfId="42" applyNumberFormat="1" applyFont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72" fontId="4" fillId="0" borderId="0" xfId="42" applyNumberFormat="1" applyFont="1" applyAlignment="1">
      <alignment wrapText="1"/>
    </xf>
    <xf numFmtId="43" fontId="3" fillId="33" borderId="11" xfId="42" applyFont="1" applyFill="1" applyBorder="1" applyAlignment="1">
      <alignment wrapText="1"/>
    </xf>
    <xf numFmtId="43" fontId="3" fillId="33" borderId="10" xfId="42" applyFont="1" applyFill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174" fontId="72" fillId="0" borderId="38" xfId="59" applyNumberFormat="1" applyFont="1" applyBorder="1" applyAlignment="1">
      <alignment/>
    </xf>
    <xf numFmtId="9" fontId="0" fillId="0" borderId="0" xfId="0" applyNumberFormat="1" applyFont="1" applyAlignment="1" quotePrefix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123825</xdr:rowOff>
    </xdr:from>
    <xdr:to>
      <xdr:col>12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468100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123825</xdr:rowOff>
    </xdr:from>
    <xdr:to>
      <xdr:col>13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2058650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119</xdr:row>
      <xdr:rowOff>9525</xdr:rowOff>
    </xdr:from>
    <xdr:to>
      <xdr:col>5</xdr:col>
      <xdr:colOff>400050</xdr:colOff>
      <xdr:row>121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53200" y="21240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119</xdr:row>
      <xdr:rowOff>19050</xdr:rowOff>
    </xdr:from>
    <xdr:to>
      <xdr:col>6</xdr:col>
      <xdr:colOff>352425</xdr:colOff>
      <xdr:row>122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34250" y="21250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119</xdr:row>
      <xdr:rowOff>19050</xdr:rowOff>
    </xdr:from>
    <xdr:to>
      <xdr:col>7</xdr:col>
      <xdr:colOff>400050</xdr:colOff>
      <xdr:row>123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0" y="21250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119</xdr:row>
      <xdr:rowOff>38100</xdr:rowOff>
    </xdr:from>
    <xdr:to>
      <xdr:col>8</xdr:col>
      <xdr:colOff>400050</xdr:colOff>
      <xdr:row>124</xdr:row>
      <xdr:rowOff>95250</xdr:rowOff>
    </xdr:to>
    <xdr:sp>
      <xdr:nvSpPr>
        <xdr:cNvPr id="4" name="Line 4"/>
        <xdr:cNvSpPr>
          <a:spLocks/>
        </xdr:cNvSpPr>
      </xdr:nvSpPr>
      <xdr:spPr>
        <a:xfrm>
          <a:off x="8905875" y="212693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57150</xdr:rowOff>
    </xdr:from>
    <xdr:to>
      <xdr:col>4</xdr:col>
      <xdr:colOff>476250</xdr:colOff>
      <xdr:row>120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5257800" y="21450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95250</xdr:rowOff>
    </xdr:from>
    <xdr:to>
      <xdr:col>5</xdr:col>
      <xdr:colOff>400050</xdr:colOff>
      <xdr:row>121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257800" y="21650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95250</xdr:rowOff>
    </xdr:from>
    <xdr:to>
      <xdr:col>6</xdr:col>
      <xdr:colOff>352425</xdr:colOff>
      <xdr:row>122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5257800" y="21812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66675</xdr:rowOff>
    </xdr:from>
    <xdr:to>
      <xdr:col>7</xdr:col>
      <xdr:colOff>400050</xdr:colOff>
      <xdr:row>123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5257800" y="219456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85725</xdr:rowOff>
    </xdr:from>
    <xdr:to>
      <xdr:col>8</xdr:col>
      <xdr:colOff>409575</xdr:colOff>
      <xdr:row>124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5257800" y="221265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119</xdr:row>
      <xdr:rowOff>0</xdr:rowOff>
    </xdr:from>
    <xdr:to>
      <xdr:col>4</xdr:col>
      <xdr:colOff>466725</xdr:colOff>
      <xdr:row>120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724525" y="21231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019175" y="1333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0</xdr:rowOff>
    </xdr:from>
    <xdr:to>
      <xdr:col>8</xdr:col>
      <xdr:colOff>228600</xdr:colOff>
      <xdr:row>19</xdr:row>
      <xdr:rowOff>190500</xdr:rowOff>
    </xdr:to>
    <xdr:sp>
      <xdr:nvSpPr>
        <xdr:cNvPr id="12" name="Line 15"/>
        <xdr:cNvSpPr>
          <a:spLocks/>
        </xdr:cNvSpPr>
      </xdr:nvSpPr>
      <xdr:spPr>
        <a:xfrm flipV="1">
          <a:off x="4029075" y="2314575"/>
          <a:ext cx="470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50</xdr:row>
      <xdr:rowOff>171450</xdr:rowOff>
    </xdr:from>
    <xdr:to>
      <xdr:col>4</xdr:col>
      <xdr:colOff>0</xdr:colOff>
      <xdr:row>50</xdr:row>
      <xdr:rowOff>171450</xdr:rowOff>
    </xdr:to>
    <xdr:sp>
      <xdr:nvSpPr>
        <xdr:cNvPr id="13" name="Line 16"/>
        <xdr:cNvSpPr>
          <a:spLocks/>
        </xdr:cNvSpPr>
      </xdr:nvSpPr>
      <xdr:spPr>
        <a:xfrm>
          <a:off x="971550" y="82962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104775</xdr:rowOff>
    </xdr:from>
    <xdr:to>
      <xdr:col>9</xdr:col>
      <xdr:colOff>266700</xdr:colOff>
      <xdr:row>109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9439275" y="18830925"/>
          <a:ext cx="257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111</xdr:row>
      <xdr:rowOff>85725</xdr:rowOff>
    </xdr:from>
    <xdr:to>
      <xdr:col>9</xdr:col>
      <xdr:colOff>333375</xdr:colOff>
      <xdr:row>111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9477375" y="19983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117</xdr:row>
      <xdr:rowOff>76200</xdr:rowOff>
    </xdr:from>
    <xdr:to>
      <xdr:col>4</xdr:col>
      <xdr:colOff>47625</xdr:colOff>
      <xdr:row>117</xdr:row>
      <xdr:rowOff>76200</xdr:rowOff>
    </xdr:to>
    <xdr:sp>
      <xdr:nvSpPr>
        <xdr:cNvPr id="16" name="Line 24"/>
        <xdr:cNvSpPr>
          <a:spLocks/>
        </xdr:cNvSpPr>
      </xdr:nvSpPr>
      <xdr:spPr>
        <a:xfrm>
          <a:off x="4362450" y="2094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zoomScalePageLayoutView="0" workbookViewId="0" topLeftCell="A76">
      <selection activeCell="G26" sqref="G26"/>
    </sheetView>
  </sheetViews>
  <sheetFormatPr defaultColWidth="9.140625" defaultRowHeight="12.75"/>
  <cols>
    <col min="1" max="1" width="2.8515625" style="0" customWidth="1"/>
    <col min="2" max="2" width="17.00390625" style="0" customWidth="1"/>
    <col min="3" max="3" width="26.28125" style="0" customWidth="1"/>
    <col min="4" max="4" width="9.57421875" style="0" customWidth="1"/>
    <col min="5" max="6" width="9.7109375" style="0" customWidth="1"/>
    <col min="7" max="7" width="11.421875" style="0" customWidth="1"/>
    <col min="8" max="8" width="3.140625" style="0" customWidth="1"/>
    <col min="9" max="9" width="31.7109375" style="0" customWidth="1"/>
    <col min="10" max="10" width="26.28125" style="0" customWidth="1"/>
    <col min="11" max="11" width="9.7109375" style="0" customWidth="1"/>
    <col min="12" max="12" width="9.421875" style="0" customWidth="1"/>
    <col min="13" max="14" width="9.57421875" style="0" customWidth="1"/>
    <col min="15" max="15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7" t="s">
        <v>119</v>
      </c>
    </row>
    <row r="2" spans="2:17" ht="13.5" thickBot="1">
      <c r="B2" s="309" t="s">
        <v>0</v>
      </c>
      <c r="C2" s="310"/>
      <c r="E2" s="311" t="s">
        <v>269</v>
      </c>
      <c r="F2" s="362">
        <v>77.21</v>
      </c>
      <c r="G2" s="393"/>
      <c r="Q2" s="312">
        <f>MID(N2,11,5)</f>
      </c>
    </row>
    <row r="3" ht="12.75">
      <c r="M3" t="s">
        <v>277</v>
      </c>
    </row>
    <row r="4" spans="6:7" ht="12.75">
      <c r="F4" s="333">
        <v>4824000</v>
      </c>
      <c r="G4" s="333"/>
    </row>
    <row r="5" spans="2:14" ht="13.5" thickBot="1">
      <c r="B5" s="2" t="s">
        <v>117</v>
      </c>
      <c r="I5" s="2" t="s">
        <v>118</v>
      </c>
      <c r="J5" s="2"/>
      <c r="K5" s="2"/>
      <c r="L5" s="2"/>
      <c r="M5" s="2"/>
      <c r="N5" s="2"/>
    </row>
    <row r="6" spans="2:14" ht="12.75">
      <c r="B6" s="76" t="s">
        <v>288</v>
      </c>
      <c r="C6" s="77"/>
      <c r="D6" s="93">
        <v>41639</v>
      </c>
      <c r="E6" s="93">
        <v>41274</v>
      </c>
      <c r="F6" s="93">
        <v>40908</v>
      </c>
      <c r="G6" s="395"/>
      <c r="I6" s="76" t="s">
        <v>288</v>
      </c>
      <c r="J6" s="77"/>
      <c r="K6" s="93">
        <v>41912</v>
      </c>
      <c r="L6" s="93">
        <v>41820</v>
      </c>
      <c r="M6" s="93">
        <v>41729</v>
      </c>
      <c r="N6" s="94">
        <v>41639</v>
      </c>
    </row>
    <row r="7" spans="2:14" ht="12.75">
      <c r="B7" s="78" t="s">
        <v>289</v>
      </c>
      <c r="C7" s="79"/>
      <c r="D7" s="80">
        <v>6115000</v>
      </c>
      <c r="E7" s="80">
        <v>6321000</v>
      </c>
      <c r="F7" s="333">
        <v>5624000</v>
      </c>
      <c r="G7" s="81"/>
      <c r="I7" s="78" t="s">
        <v>289</v>
      </c>
      <c r="J7" s="79"/>
      <c r="K7" s="80">
        <v>1493000</v>
      </c>
      <c r="L7" s="80">
        <v>1539000</v>
      </c>
      <c r="M7" s="80">
        <v>1458000</v>
      </c>
      <c r="N7" s="81">
        <v>1506000</v>
      </c>
    </row>
    <row r="8" spans="2:14" ht="12.75">
      <c r="B8" s="78" t="s">
        <v>6</v>
      </c>
      <c r="C8" s="79"/>
      <c r="D8" s="80">
        <v>1924000</v>
      </c>
      <c r="E8" s="80">
        <v>2352000</v>
      </c>
      <c r="F8" s="333">
        <v>1970000</v>
      </c>
      <c r="G8" s="81"/>
      <c r="I8" s="78" t="s">
        <v>6</v>
      </c>
      <c r="J8" s="79"/>
      <c r="K8" s="80">
        <v>429000</v>
      </c>
      <c r="L8" s="80">
        <v>439000</v>
      </c>
      <c r="M8" s="80">
        <v>429000</v>
      </c>
      <c r="N8" s="81">
        <v>455000</v>
      </c>
    </row>
    <row r="9" spans="2:14" ht="12.75">
      <c r="B9" s="78"/>
      <c r="C9" s="79"/>
      <c r="D9" s="79"/>
      <c r="E9" s="79"/>
      <c r="G9" s="82"/>
      <c r="I9" s="78"/>
      <c r="J9" s="79"/>
      <c r="K9" s="79"/>
      <c r="L9" s="79"/>
      <c r="M9" s="79"/>
      <c r="N9" s="82"/>
    </row>
    <row r="10" spans="2:14" ht="12.75">
      <c r="B10" s="78" t="s">
        <v>290</v>
      </c>
      <c r="C10" s="79"/>
      <c r="D10" s="80">
        <v>4191000</v>
      </c>
      <c r="E10" s="80">
        <v>3969000</v>
      </c>
      <c r="F10" s="333">
        <v>3654000</v>
      </c>
      <c r="G10" s="81"/>
      <c r="I10" s="78" t="s">
        <v>290</v>
      </c>
      <c r="J10" s="79"/>
      <c r="K10" s="80">
        <v>1064000</v>
      </c>
      <c r="L10" s="80">
        <v>1100000</v>
      </c>
      <c r="M10" s="80">
        <v>1029000</v>
      </c>
      <c r="N10" s="81">
        <v>1051000</v>
      </c>
    </row>
    <row r="11" spans="2:14" ht="12.75">
      <c r="B11" s="78"/>
      <c r="C11" s="79"/>
      <c r="D11" s="79"/>
      <c r="E11" s="79"/>
      <c r="G11" s="82"/>
      <c r="I11" s="78"/>
      <c r="J11" s="79"/>
      <c r="K11" s="79"/>
      <c r="L11" s="79"/>
      <c r="M11" s="79"/>
      <c r="N11" s="82"/>
    </row>
    <row r="12" spans="2:14" ht="12.75">
      <c r="B12" s="78"/>
      <c r="C12" s="79" t="s">
        <v>8</v>
      </c>
      <c r="D12" s="79"/>
      <c r="E12" s="79"/>
      <c r="G12" s="82"/>
      <c r="I12" s="78"/>
      <c r="J12" s="79" t="s">
        <v>8</v>
      </c>
      <c r="K12" s="79"/>
      <c r="L12" s="79"/>
      <c r="M12" s="79"/>
      <c r="N12" s="82"/>
    </row>
    <row r="13" spans="2:14" ht="12.75">
      <c r="B13" s="78"/>
      <c r="C13" s="79" t="s">
        <v>9</v>
      </c>
      <c r="D13" s="79"/>
      <c r="E13" s="79"/>
      <c r="G13" s="82"/>
      <c r="I13" s="78"/>
      <c r="J13" s="79" t="s">
        <v>9</v>
      </c>
      <c r="K13" s="79"/>
      <c r="L13" s="79"/>
      <c r="M13" s="79"/>
      <c r="N13" s="82"/>
    </row>
    <row r="14" spans="2:14" ht="12.75">
      <c r="B14" s="78"/>
      <c r="C14" s="79" t="s">
        <v>10</v>
      </c>
      <c r="D14" s="80">
        <v>2998000</v>
      </c>
      <c r="E14" s="80">
        <v>2818000</v>
      </c>
      <c r="F14" s="333">
        <v>2691000</v>
      </c>
      <c r="G14" s="81"/>
      <c r="I14" s="78"/>
      <c r="J14" s="79" t="s">
        <v>10</v>
      </c>
      <c r="K14" s="80">
        <v>782000</v>
      </c>
      <c r="L14" s="80">
        <v>796000</v>
      </c>
      <c r="M14" s="80">
        <v>767000</v>
      </c>
      <c r="N14" s="81">
        <v>755000</v>
      </c>
    </row>
    <row r="15" spans="2:14" ht="12.75">
      <c r="B15" s="78"/>
      <c r="C15" s="79" t="s">
        <v>11</v>
      </c>
      <c r="D15" s="80">
        <v>1000</v>
      </c>
      <c r="E15" s="80">
        <v>-12000</v>
      </c>
      <c r="F15" s="333">
        <v>68000</v>
      </c>
      <c r="G15" s="81"/>
      <c r="I15" s="78"/>
      <c r="J15" s="79" t="s">
        <v>11</v>
      </c>
      <c r="K15" s="80"/>
      <c r="L15" s="80">
        <v>-3000</v>
      </c>
      <c r="M15" s="80" t="s">
        <v>291</v>
      </c>
      <c r="N15" s="81">
        <v>24000</v>
      </c>
    </row>
    <row r="16" spans="2:14" ht="12.75">
      <c r="B16" s="78"/>
      <c r="C16" s="79" t="s">
        <v>12</v>
      </c>
      <c r="D16" s="80">
        <v>267000</v>
      </c>
      <c r="E16" s="80">
        <v>251000</v>
      </c>
      <c r="F16" s="333">
        <v>265000</v>
      </c>
      <c r="G16" s="81"/>
      <c r="I16" s="78"/>
      <c r="J16" s="79" t="s">
        <v>12</v>
      </c>
      <c r="K16" s="80">
        <v>72000</v>
      </c>
      <c r="L16" s="80">
        <v>70000</v>
      </c>
      <c r="M16" s="80">
        <v>68000</v>
      </c>
      <c r="N16" s="81">
        <v>72000</v>
      </c>
    </row>
    <row r="17" spans="2:14" ht="12.75">
      <c r="B17" s="78"/>
      <c r="C17" s="79"/>
      <c r="D17" s="79"/>
      <c r="E17" s="79"/>
      <c r="G17" s="82"/>
      <c r="I17" s="78"/>
      <c r="J17" s="79"/>
      <c r="K17" s="79"/>
      <c r="L17" s="79"/>
      <c r="M17" s="79"/>
      <c r="N17" s="82"/>
    </row>
    <row r="18" spans="2:14" ht="12.75">
      <c r="B18" s="78"/>
      <c r="C18" s="79" t="s">
        <v>13</v>
      </c>
      <c r="D18" s="79"/>
      <c r="E18" s="79"/>
      <c r="G18" s="82"/>
      <c r="I18" s="78"/>
      <c r="J18" s="79" t="s">
        <v>13</v>
      </c>
      <c r="K18" s="79"/>
      <c r="L18" s="79"/>
      <c r="M18" s="79"/>
      <c r="N18" s="82"/>
    </row>
    <row r="19" spans="2:14" ht="12.75">
      <c r="B19" s="78"/>
      <c r="C19" s="79"/>
      <c r="D19" s="79"/>
      <c r="E19" s="79"/>
      <c r="G19" s="82"/>
      <c r="I19" s="78"/>
      <c r="J19" s="79"/>
      <c r="K19" s="79"/>
      <c r="L19" s="79"/>
      <c r="M19" s="79"/>
      <c r="N19" s="82"/>
    </row>
    <row r="20" spans="2:14" ht="12.75">
      <c r="B20" s="78"/>
      <c r="C20" s="79"/>
      <c r="D20" s="79"/>
      <c r="E20" s="79"/>
      <c r="G20" s="82"/>
      <c r="I20" s="78"/>
      <c r="J20" s="79"/>
      <c r="K20" s="79"/>
      <c r="L20" s="79"/>
      <c r="M20" s="79"/>
      <c r="N20" s="82"/>
    </row>
    <row r="21" spans="2:14" ht="12.75">
      <c r="B21" s="78" t="s">
        <v>292</v>
      </c>
      <c r="C21" s="79"/>
      <c r="D21" s="80">
        <v>925000</v>
      </c>
      <c r="E21" s="80">
        <v>912000</v>
      </c>
      <c r="F21" s="333">
        <v>630000</v>
      </c>
      <c r="G21" s="81"/>
      <c r="I21" s="78" t="s">
        <v>292</v>
      </c>
      <c r="J21" s="79"/>
      <c r="K21" s="80">
        <v>210000</v>
      </c>
      <c r="L21" s="80">
        <v>237000</v>
      </c>
      <c r="M21" s="80">
        <v>194000</v>
      </c>
      <c r="N21" s="81">
        <v>200000</v>
      </c>
    </row>
    <row r="22" spans="2:14" ht="12.75">
      <c r="B22" s="78"/>
      <c r="C22" s="79"/>
      <c r="D22" s="79"/>
      <c r="E22" s="79"/>
      <c r="G22" s="82"/>
      <c r="I22" s="78"/>
      <c r="J22" s="79"/>
      <c r="K22" s="79"/>
      <c r="L22" s="79"/>
      <c r="M22" s="79"/>
      <c r="N22" s="82"/>
    </row>
    <row r="23" spans="2:14" ht="12.75">
      <c r="B23" s="78"/>
      <c r="C23" s="79" t="s">
        <v>114</v>
      </c>
      <c r="D23" s="79"/>
      <c r="E23" s="79"/>
      <c r="G23" s="82"/>
      <c r="I23" s="78"/>
      <c r="J23" s="79" t="s">
        <v>114</v>
      </c>
      <c r="K23" s="79"/>
      <c r="L23" s="79"/>
      <c r="M23" s="79"/>
      <c r="N23" s="82"/>
    </row>
    <row r="24" spans="2:14" ht="12.75">
      <c r="B24" s="78"/>
      <c r="C24" s="79" t="s">
        <v>15</v>
      </c>
      <c r="D24" s="80">
        <v>-23000</v>
      </c>
      <c r="E24" s="80">
        <v>-149000</v>
      </c>
      <c r="F24" s="333">
        <v>-16000</v>
      </c>
      <c r="G24" s="81"/>
      <c r="I24" s="78"/>
      <c r="J24" s="79" t="s">
        <v>15</v>
      </c>
      <c r="K24" s="80">
        <v>-23000</v>
      </c>
      <c r="L24" s="80">
        <v>3000</v>
      </c>
      <c r="M24" s="80">
        <v>-36000</v>
      </c>
      <c r="N24" s="81">
        <v>-18000</v>
      </c>
    </row>
    <row r="25" spans="2:14" ht="12.75">
      <c r="B25" s="78"/>
      <c r="C25" s="79" t="s">
        <v>115</v>
      </c>
      <c r="D25" s="80">
        <v>802000</v>
      </c>
      <c r="E25" s="80">
        <v>721000</v>
      </c>
      <c r="F25" s="333">
        <v>430000</v>
      </c>
      <c r="G25" s="81"/>
      <c r="I25" s="78"/>
      <c r="J25" s="79" t="s">
        <v>115</v>
      </c>
      <c r="K25" s="80">
        <v>161000</v>
      </c>
      <c r="L25" s="80">
        <v>217000</v>
      </c>
      <c r="M25" s="80">
        <v>135000</v>
      </c>
      <c r="N25" s="81">
        <v>159000</v>
      </c>
    </row>
    <row r="26" spans="2:14" ht="12.75">
      <c r="B26" s="78"/>
      <c r="C26" s="79" t="s">
        <v>17</v>
      </c>
      <c r="D26" s="80"/>
      <c r="E26" s="80"/>
      <c r="F26" s="333"/>
      <c r="G26" s="81"/>
      <c r="I26" s="78"/>
      <c r="J26" s="79" t="s">
        <v>17</v>
      </c>
      <c r="K26" s="80"/>
      <c r="L26" s="80"/>
      <c r="M26" s="80"/>
      <c r="N26" s="81"/>
    </row>
    <row r="27" spans="2:14" ht="12.75">
      <c r="B27" s="78"/>
      <c r="C27" s="79" t="s">
        <v>18</v>
      </c>
      <c r="D27" s="80">
        <v>802000</v>
      </c>
      <c r="E27" s="80">
        <v>721000</v>
      </c>
      <c r="F27" s="333">
        <v>430000</v>
      </c>
      <c r="G27" s="81"/>
      <c r="I27" s="78"/>
      <c r="J27" s="79" t="s">
        <v>18</v>
      </c>
      <c r="K27" s="80">
        <v>161000</v>
      </c>
      <c r="L27" s="80">
        <v>217000</v>
      </c>
      <c r="M27" s="80">
        <v>135000</v>
      </c>
      <c r="N27" s="81">
        <v>159000</v>
      </c>
    </row>
    <row r="28" spans="2:14" ht="12.75">
      <c r="B28" s="78"/>
      <c r="C28" s="79" t="s">
        <v>19</v>
      </c>
      <c r="D28" s="80">
        <v>263000</v>
      </c>
      <c r="E28" s="80">
        <v>148000</v>
      </c>
      <c r="F28" s="333">
        <v>-75000</v>
      </c>
      <c r="G28" s="81"/>
      <c r="I28" s="78"/>
      <c r="J28" s="79" t="s">
        <v>19</v>
      </c>
      <c r="K28" s="80">
        <v>54000</v>
      </c>
      <c r="L28" s="80">
        <v>73000</v>
      </c>
      <c r="M28" s="80">
        <v>8000</v>
      </c>
      <c r="N28" s="81">
        <v>40000</v>
      </c>
    </row>
    <row r="29" spans="2:14" ht="12.75">
      <c r="B29" s="78"/>
      <c r="C29" s="79" t="s">
        <v>20</v>
      </c>
      <c r="D29" s="80"/>
      <c r="E29" s="80"/>
      <c r="F29" s="333">
        <v>2000</v>
      </c>
      <c r="G29" s="81"/>
      <c r="I29" s="78"/>
      <c r="J29" s="79" t="s">
        <v>20</v>
      </c>
      <c r="K29" s="80"/>
      <c r="L29" s="80"/>
      <c r="M29" s="80"/>
      <c r="N29" s="81"/>
    </row>
    <row r="30" spans="2:14" ht="12.75">
      <c r="B30" s="78"/>
      <c r="C30" s="79"/>
      <c r="D30" s="79"/>
      <c r="E30" s="79"/>
      <c r="G30" s="82"/>
      <c r="I30" s="78"/>
      <c r="J30" s="79"/>
      <c r="K30" s="79"/>
      <c r="L30" s="79"/>
      <c r="M30" s="79"/>
      <c r="N30" s="82"/>
    </row>
    <row r="31" spans="2:14" ht="12.75">
      <c r="B31" s="78"/>
      <c r="C31" s="79" t="s">
        <v>21</v>
      </c>
      <c r="D31" s="80">
        <v>565000</v>
      </c>
      <c r="E31" s="80">
        <v>470000</v>
      </c>
      <c r="F31" s="333">
        <v>500000</v>
      </c>
      <c r="G31" s="81"/>
      <c r="I31" s="78"/>
      <c r="J31" s="79" t="s">
        <v>21</v>
      </c>
      <c r="K31" s="80">
        <v>109000</v>
      </c>
      <c r="L31" s="80">
        <v>153000</v>
      </c>
      <c r="M31" s="80">
        <v>136000</v>
      </c>
      <c r="N31" s="81">
        <v>128000</v>
      </c>
    </row>
    <row r="32" spans="2:14" ht="12.75">
      <c r="B32" s="78"/>
      <c r="C32" s="79"/>
      <c r="D32" s="79"/>
      <c r="E32" s="79"/>
      <c r="G32" s="82"/>
      <c r="I32" s="78"/>
      <c r="J32" s="79"/>
      <c r="K32" s="79"/>
      <c r="L32" s="79"/>
      <c r="M32" s="79"/>
      <c r="N32" s="82"/>
    </row>
    <row r="33" spans="2:14" ht="12.75">
      <c r="B33" s="78"/>
      <c r="C33" s="79" t="s">
        <v>22</v>
      </c>
      <c r="D33" s="79"/>
      <c r="E33" s="79"/>
      <c r="G33" s="82"/>
      <c r="I33" s="78"/>
      <c r="J33" s="79" t="s">
        <v>22</v>
      </c>
      <c r="K33" s="79"/>
      <c r="L33" s="79"/>
      <c r="M33" s="79"/>
      <c r="N33" s="82"/>
    </row>
    <row r="34" spans="2:14" ht="12.75">
      <c r="B34" s="78"/>
      <c r="C34" s="79" t="s">
        <v>23</v>
      </c>
      <c r="D34" s="80">
        <v>70000</v>
      </c>
      <c r="E34" s="80">
        <v>92000</v>
      </c>
      <c r="F34" s="333">
        <v>-13000</v>
      </c>
      <c r="G34" s="81"/>
      <c r="I34" s="78"/>
      <c r="J34" s="79" t="s">
        <v>23</v>
      </c>
      <c r="K34" s="80"/>
      <c r="L34" s="80"/>
      <c r="M34" s="80">
        <v>1000</v>
      </c>
      <c r="N34" s="81"/>
    </row>
    <row r="35" spans="2:14" ht="12.75">
      <c r="B35" s="78"/>
      <c r="C35" s="79" t="s">
        <v>24</v>
      </c>
      <c r="D35" s="79"/>
      <c r="E35" s="79"/>
      <c r="G35" s="82"/>
      <c r="I35" s="78"/>
      <c r="J35" s="79" t="s">
        <v>24</v>
      </c>
      <c r="K35" s="79"/>
      <c r="L35" s="79"/>
      <c r="M35" s="79"/>
      <c r="N35" s="82"/>
    </row>
    <row r="36" spans="2:14" ht="12.75">
      <c r="B36" s="78"/>
      <c r="C36" s="79" t="s">
        <v>25</v>
      </c>
      <c r="D36" s="80"/>
      <c r="E36" s="80"/>
      <c r="F36" s="333"/>
      <c r="G36" s="81"/>
      <c r="I36" s="78"/>
      <c r="J36" s="79" t="s">
        <v>25</v>
      </c>
      <c r="K36" s="79"/>
      <c r="L36" s="79"/>
      <c r="M36" s="80"/>
      <c r="N36" s="81"/>
    </row>
    <row r="37" spans="2:14" ht="12.75">
      <c r="B37" s="78"/>
      <c r="C37" s="79" t="s">
        <v>26</v>
      </c>
      <c r="D37" s="79"/>
      <c r="E37" s="79"/>
      <c r="G37" s="82"/>
      <c r="I37" s="78"/>
      <c r="J37" s="79" t="s">
        <v>26</v>
      </c>
      <c r="K37" s="79"/>
      <c r="L37" s="79"/>
      <c r="M37" s="79"/>
      <c r="N37" s="82"/>
    </row>
    <row r="38" spans="2:14" ht="12.75">
      <c r="B38" s="78"/>
      <c r="C38" s="79"/>
      <c r="D38" s="79"/>
      <c r="E38" s="79"/>
      <c r="G38" s="82"/>
      <c r="I38" s="78"/>
      <c r="J38" s="79"/>
      <c r="K38" s="79"/>
      <c r="L38" s="79"/>
      <c r="M38" s="79"/>
      <c r="N38" s="82"/>
    </row>
    <row r="39" spans="2:14" ht="12.75">
      <c r="B39" s="78"/>
      <c r="C39" s="79"/>
      <c r="D39" s="79"/>
      <c r="E39" s="79"/>
      <c r="G39" s="82"/>
      <c r="I39" s="78"/>
      <c r="J39" s="79"/>
      <c r="K39" s="79"/>
      <c r="L39" s="79"/>
      <c r="M39" s="79"/>
      <c r="N39" s="82"/>
    </row>
    <row r="40" spans="2:14" ht="12.75">
      <c r="B40" s="78" t="s">
        <v>293</v>
      </c>
      <c r="C40" s="79"/>
      <c r="D40" s="80">
        <v>635000</v>
      </c>
      <c r="E40" s="80">
        <v>562000</v>
      </c>
      <c r="F40" s="333">
        <v>489000</v>
      </c>
      <c r="G40" s="81"/>
      <c r="I40" s="78" t="s">
        <v>293</v>
      </c>
      <c r="J40" s="79"/>
      <c r="K40" s="80">
        <v>109000</v>
      </c>
      <c r="L40" s="80">
        <v>153000</v>
      </c>
      <c r="M40" s="80">
        <v>137000</v>
      </c>
      <c r="N40" s="81">
        <v>128000</v>
      </c>
    </row>
    <row r="41" spans="2:14" ht="12.75">
      <c r="B41" s="78" t="s">
        <v>28</v>
      </c>
      <c r="C41" s="79"/>
      <c r="D41" s="79"/>
      <c r="E41" s="79"/>
      <c r="G41" s="82"/>
      <c r="I41" s="78" t="s">
        <v>28</v>
      </c>
      <c r="J41" s="79"/>
      <c r="K41" s="80"/>
      <c r="L41" s="80"/>
      <c r="M41" s="80"/>
      <c r="N41" s="81"/>
    </row>
    <row r="42" spans="2:14" ht="12.75">
      <c r="B42" s="78"/>
      <c r="C42" s="79"/>
      <c r="D42" s="79"/>
      <c r="E42" s="79"/>
      <c r="G42" s="82"/>
      <c r="I42" s="78"/>
      <c r="J42" s="79"/>
      <c r="K42" s="79"/>
      <c r="L42" s="79"/>
      <c r="M42" s="79"/>
      <c r="N42" s="82"/>
    </row>
    <row r="43" spans="2:14" ht="13.5" thickBot="1">
      <c r="B43" s="83" t="s">
        <v>294</v>
      </c>
      <c r="C43" s="84"/>
      <c r="D43" s="85">
        <v>635000</v>
      </c>
      <c r="E43" s="85">
        <v>562000</v>
      </c>
      <c r="F43" s="85">
        <v>489000</v>
      </c>
      <c r="G43" s="356"/>
      <c r="I43" s="83" t="s">
        <v>294</v>
      </c>
      <c r="J43" s="84"/>
      <c r="K43" s="85">
        <v>109000</v>
      </c>
      <c r="L43" s="85">
        <v>153000</v>
      </c>
      <c r="M43" s="85">
        <v>137000</v>
      </c>
      <c r="N43" s="86">
        <v>128000</v>
      </c>
    </row>
    <row r="44" spans="2:14" ht="12.75">
      <c r="B44" s="76"/>
      <c r="C44" s="77"/>
      <c r="D44" s="364"/>
      <c r="E44" s="364"/>
      <c r="F44" s="364"/>
      <c r="G44" s="81"/>
      <c r="I44" s="76"/>
      <c r="J44" s="77"/>
      <c r="K44" s="364"/>
      <c r="L44" s="364"/>
      <c r="M44" s="364"/>
      <c r="N44" s="365"/>
    </row>
    <row r="45" spans="2:14" ht="12.75">
      <c r="B45" s="78" t="s">
        <v>318</v>
      </c>
      <c r="C45" s="79"/>
      <c r="D45" s="80"/>
      <c r="E45" s="80"/>
      <c r="F45" s="333"/>
      <c r="G45" s="81"/>
      <c r="I45" s="78" t="s">
        <v>318</v>
      </c>
      <c r="J45" s="79"/>
      <c r="K45" s="80"/>
      <c r="L45" s="80"/>
      <c r="M45" s="80"/>
      <c r="N45" s="81"/>
    </row>
    <row r="46" spans="2:14" ht="12.75">
      <c r="B46" s="78" t="s">
        <v>319</v>
      </c>
      <c r="C46" s="79"/>
      <c r="D46" s="80"/>
      <c r="E46" s="80"/>
      <c r="F46" s="333"/>
      <c r="G46" s="81"/>
      <c r="I46" s="78" t="s">
        <v>319</v>
      </c>
      <c r="J46" s="79"/>
      <c r="K46" s="80"/>
      <c r="L46" s="80"/>
      <c r="M46" s="80"/>
      <c r="N46" s="81"/>
    </row>
    <row r="47" spans="2:14" ht="13.5" thickBot="1">
      <c r="B47" s="83" t="s">
        <v>320</v>
      </c>
      <c r="C47" s="84"/>
      <c r="D47" s="366"/>
      <c r="E47" s="366"/>
      <c r="F47" s="366"/>
      <c r="G47" s="367"/>
      <c r="I47" s="78" t="s">
        <v>320</v>
      </c>
      <c r="J47" s="79"/>
      <c r="K47" s="80"/>
      <c r="L47" s="80"/>
      <c r="M47" s="80"/>
      <c r="N47" s="81"/>
    </row>
    <row r="49" ht="13.5" thickBot="1">
      <c r="B49" s="2" t="s">
        <v>120</v>
      </c>
    </row>
    <row r="50" spans="2:14" ht="12.75">
      <c r="B50" s="76" t="s">
        <v>288</v>
      </c>
      <c r="C50" s="77"/>
      <c r="D50" s="93">
        <v>41639</v>
      </c>
      <c r="E50" s="93">
        <v>41274</v>
      </c>
      <c r="F50" s="94">
        <v>40908</v>
      </c>
      <c r="G50" s="394"/>
      <c r="I50" s="76" t="s">
        <v>288</v>
      </c>
      <c r="J50" s="77"/>
      <c r="K50" s="93">
        <v>41912</v>
      </c>
      <c r="L50" s="93">
        <v>41820</v>
      </c>
      <c r="M50" s="93">
        <v>41729</v>
      </c>
      <c r="N50" s="94">
        <v>41639</v>
      </c>
    </row>
    <row r="51" spans="2:14" ht="12.75">
      <c r="B51" s="78"/>
      <c r="C51" s="79"/>
      <c r="D51" s="79"/>
      <c r="E51" s="79"/>
      <c r="F51" s="82"/>
      <c r="G51" s="79"/>
      <c r="I51" s="78"/>
      <c r="J51" s="79"/>
      <c r="K51" s="79"/>
      <c r="L51" s="79"/>
      <c r="M51" s="79"/>
      <c r="N51" s="82"/>
    </row>
    <row r="52" spans="2:14" ht="12.75">
      <c r="B52" s="78" t="s">
        <v>31</v>
      </c>
      <c r="C52" s="79"/>
      <c r="D52" s="79"/>
      <c r="E52" s="79"/>
      <c r="F52" s="82"/>
      <c r="G52" s="79"/>
      <c r="I52" s="78" t="s">
        <v>31</v>
      </c>
      <c r="J52" s="79"/>
      <c r="K52" s="79"/>
      <c r="L52" s="79"/>
      <c r="M52" s="79"/>
      <c r="N52" s="82"/>
    </row>
    <row r="53" spans="2:14" ht="12.75">
      <c r="B53" s="78" t="s">
        <v>32</v>
      </c>
      <c r="C53" s="79"/>
      <c r="D53" s="79"/>
      <c r="E53" s="79"/>
      <c r="F53" s="82"/>
      <c r="G53" s="79"/>
      <c r="I53" s="78" t="s">
        <v>32</v>
      </c>
      <c r="J53" s="79"/>
      <c r="K53" s="79"/>
      <c r="L53" s="79"/>
      <c r="M53" s="79"/>
      <c r="N53" s="82"/>
    </row>
    <row r="54" spans="2:14" ht="12.75">
      <c r="B54" s="78"/>
      <c r="C54" s="79" t="s">
        <v>33</v>
      </c>
      <c r="D54" s="80">
        <v>750000</v>
      </c>
      <c r="E54" s="80">
        <v>463000</v>
      </c>
      <c r="F54" s="81">
        <v>686000</v>
      </c>
      <c r="G54" s="80"/>
      <c r="I54" s="78"/>
      <c r="J54" s="79" t="s">
        <v>33</v>
      </c>
      <c r="K54" s="80">
        <v>514000</v>
      </c>
      <c r="L54" s="80">
        <v>650000</v>
      </c>
      <c r="M54" s="80">
        <v>806000</v>
      </c>
      <c r="N54" s="81">
        <v>750000</v>
      </c>
    </row>
    <row r="55" spans="2:14" ht="12.75">
      <c r="B55" s="78"/>
      <c r="C55" s="79" t="s">
        <v>34</v>
      </c>
      <c r="D55" s="79"/>
      <c r="E55" s="79"/>
      <c r="F55" s="82"/>
      <c r="G55" s="79"/>
      <c r="I55" s="78"/>
      <c r="J55" s="79" t="s">
        <v>34</v>
      </c>
      <c r="K55" s="79"/>
      <c r="L55" s="79"/>
      <c r="M55" s="79"/>
      <c r="N55" s="82"/>
    </row>
    <row r="56" spans="2:14" ht="12.75">
      <c r="B56" s="78"/>
      <c r="C56" s="79" t="s">
        <v>35</v>
      </c>
      <c r="D56" s="80">
        <v>908000</v>
      </c>
      <c r="E56" s="80">
        <v>941000</v>
      </c>
      <c r="F56" s="81">
        <v>911000</v>
      </c>
      <c r="G56" s="80"/>
      <c r="I56" s="78"/>
      <c r="J56" s="79" t="s">
        <v>35</v>
      </c>
      <c r="K56" s="80">
        <v>874000</v>
      </c>
      <c r="L56" s="80">
        <v>894000</v>
      </c>
      <c r="M56" s="80">
        <v>882000</v>
      </c>
      <c r="N56" s="81">
        <v>908000</v>
      </c>
    </row>
    <row r="57" spans="2:14" ht="12.75">
      <c r="B57" s="78"/>
      <c r="C57" s="79" t="s">
        <v>36</v>
      </c>
      <c r="D57" s="80">
        <v>217000</v>
      </c>
      <c r="E57" s="80">
        <v>361000</v>
      </c>
      <c r="F57" s="81">
        <v>812000</v>
      </c>
      <c r="G57" s="80"/>
      <c r="I57" s="78"/>
      <c r="J57" s="79" t="s">
        <v>36</v>
      </c>
      <c r="K57" s="80">
        <v>198000</v>
      </c>
      <c r="L57" s="80">
        <v>202000</v>
      </c>
      <c r="M57" s="80">
        <v>209000</v>
      </c>
      <c r="N57" s="81">
        <v>217000</v>
      </c>
    </row>
    <row r="58" spans="2:14" ht="12.75">
      <c r="B58" s="78"/>
      <c r="C58" s="79" t="s">
        <v>37</v>
      </c>
      <c r="D58" s="80">
        <v>121000</v>
      </c>
      <c r="E58" s="80">
        <v>124000</v>
      </c>
      <c r="F58" s="81">
        <v>125000</v>
      </c>
      <c r="G58" s="80"/>
      <c r="I58" s="78"/>
      <c r="J58" s="79" t="s">
        <v>37</v>
      </c>
      <c r="K58" s="80">
        <v>166000</v>
      </c>
      <c r="L58" s="80">
        <v>176000</v>
      </c>
      <c r="M58" s="80">
        <v>166000</v>
      </c>
      <c r="N58" s="81">
        <v>121000</v>
      </c>
    </row>
    <row r="59" spans="2:14" ht="12.75">
      <c r="B59" s="78"/>
      <c r="C59" s="79"/>
      <c r="D59" s="79"/>
      <c r="E59" s="79"/>
      <c r="F59" s="82"/>
      <c r="G59" s="79"/>
      <c r="I59" s="78"/>
      <c r="J59" s="79"/>
      <c r="K59" s="79"/>
      <c r="L59" s="79"/>
      <c r="M59" s="79"/>
      <c r="N59" s="82"/>
    </row>
    <row r="60" spans="2:14" ht="12.75">
      <c r="B60" s="78" t="s">
        <v>295</v>
      </c>
      <c r="C60" s="79"/>
      <c r="D60" s="80">
        <v>1996000</v>
      </c>
      <c r="E60" s="80">
        <v>1889000</v>
      </c>
      <c r="F60" s="81">
        <v>2534000</v>
      </c>
      <c r="G60" s="80"/>
      <c r="I60" s="78" t="s">
        <v>295</v>
      </c>
      <c r="J60" s="79"/>
      <c r="K60" s="80">
        <v>1752000</v>
      </c>
      <c r="L60" s="80">
        <v>1922000</v>
      </c>
      <c r="M60" s="80">
        <v>2063000</v>
      </c>
      <c r="N60" s="81">
        <v>1996000</v>
      </c>
    </row>
    <row r="61" spans="2:14" ht="12.75">
      <c r="B61" s="78" t="s">
        <v>39</v>
      </c>
      <c r="C61" s="79"/>
      <c r="D61" s="80">
        <v>566000</v>
      </c>
      <c r="E61" s="80">
        <v>698000</v>
      </c>
      <c r="F61" s="81">
        <v>705000</v>
      </c>
      <c r="G61" s="80"/>
      <c r="I61" s="78" t="s">
        <v>39</v>
      </c>
      <c r="J61" s="79"/>
      <c r="K61" s="80">
        <v>479000</v>
      </c>
      <c r="L61" s="80">
        <v>512000</v>
      </c>
      <c r="M61" s="80">
        <v>537000</v>
      </c>
      <c r="N61" s="81">
        <v>566000</v>
      </c>
    </row>
    <row r="62" spans="2:14" ht="12.75">
      <c r="B62" s="78" t="s">
        <v>40</v>
      </c>
      <c r="C62" s="79"/>
      <c r="D62" s="80">
        <v>3034000</v>
      </c>
      <c r="E62" s="80">
        <v>3198000</v>
      </c>
      <c r="F62" s="81">
        <v>3274000</v>
      </c>
      <c r="G62" s="80"/>
      <c r="I62" s="78" t="s">
        <v>40</v>
      </c>
      <c r="J62" s="79"/>
      <c r="K62" s="80">
        <v>2942000</v>
      </c>
      <c r="L62" s="80">
        <v>3046000</v>
      </c>
      <c r="M62" s="80">
        <v>2930000</v>
      </c>
      <c r="N62" s="81">
        <v>3034000</v>
      </c>
    </row>
    <row r="63" spans="2:14" ht="12.75">
      <c r="B63" s="78" t="s">
        <v>41</v>
      </c>
      <c r="C63" s="79"/>
      <c r="D63" s="80"/>
      <c r="E63" s="80"/>
      <c r="F63" s="81"/>
      <c r="G63" s="80"/>
      <c r="I63" s="78" t="s">
        <v>41</v>
      </c>
      <c r="J63" s="79"/>
      <c r="K63" s="80"/>
      <c r="L63" s="80"/>
      <c r="M63" s="80"/>
      <c r="N63" s="81"/>
    </row>
    <row r="64" spans="2:14" ht="12.75">
      <c r="B64" s="78" t="s">
        <v>42</v>
      </c>
      <c r="C64" s="79"/>
      <c r="D64" s="80">
        <v>2032000</v>
      </c>
      <c r="E64" s="80">
        <v>2025000</v>
      </c>
      <c r="F64" s="81">
        <v>2053000</v>
      </c>
      <c r="G64" s="80"/>
      <c r="I64" s="78" t="s">
        <v>42</v>
      </c>
      <c r="J64" s="79"/>
      <c r="K64" s="80">
        <v>1998000</v>
      </c>
      <c r="L64" s="80">
        <v>2013000</v>
      </c>
      <c r="M64" s="80">
        <v>2007000</v>
      </c>
      <c r="N64" s="81">
        <v>2032000</v>
      </c>
    </row>
    <row r="65" spans="2:14" ht="12.75">
      <c r="B65" s="78" t="s">
        <v>43</v>
      </c>
      <c r="C65" s="79"/>
      <c r="D65" s="79"/>
      <c r="E65" s="79"/>
      <c r="F65" s="82"/>
      <c r="G65" s="79"/>
      <c r="I65" s="78" t="s">
        <v>43</v>
      </c>
      <c r="J65" s="79"/>
      <c r="K65" s="79"/>
      <c r="L65" s="79"/>
      <c r="M65" s="79"/>
      <c r="N65" s="82"/>
    </row>
    <row r="66" spans="2:14" ht="12.75">
      <c r="B66" s="78" t="s">
        <v>44</v>
      </c>
      <c r="C66" s="79"/>
      <c r="D66" s="80">
        <v>543000</v>
      </c>
      <c r="E66" s="80">
        <v>385000</v>
      </c>
      <c r="F66" s="81">
        <v>355000</v>
      </c>
      <c r="G66" s="80"/>
      <c r="I66" s="78" t="s">
        <v>44</v>
      </c>
      <c r="J66" s="79"/>
      <c r="K66" s="80">
        <v>680000</v>
      </c>
      <c r="L66" s="80">
        <v>636000</v>
      </c>
      <c r="M66" s="80">
        <v>583000</v>
      </c>
      <c r="N66" s="81">
        <v>543000</v>
      </c>
    </row>
    <row r="67" spans="2:14" ht="12.75">
      <c r="B67" s="78" t="s">
        <v>45</v>
      </c>
      <c r="C67" s="79"/>
      <c r="D67" s="80">
        <v>591000</v>
      </c>
      <c r="E67" s="80">
        <v>660000</v>
      </c>
      <c r="F67" s="81">
        <v>639000</v>
      </c>
      <c r="G67" s="80"/>
      <c r="I67" s="78" t="s">
        <v>45</v>
      </c>
      <c r="J67" s="79"/>
      <c r="K67" s="80">
        <v>575000</v>
      </c>
      <c r="L67" s="80">
        <v>617000</v>
      </c>
      <c r="M67" s="80">
        <v>632000</v>
      </c>
      <c r="N67" s="81">
        <v>591000</v>
      </c>
    </row>
    <row r="68" spans="2:14" ht="12.75">
      <c r="B68" s="78"/>
      <c r="C68" s="79"/>
      <c r="D68" s="79"/>
      <c r="E68" s="79"/>
      <c r="F68" s="82"/>
      <c r="G68" s="79"/>
      <c r="I68" s="78"/>
      <c r="J68" s="79"/>
      <c r="K68" s="79"/>
      <c r="L68" s="79"/>
      <c r="M68" s="79"/>
      <c r="N68" s="82"/>
    </row>
    <row r="69" spans="2:14" ht="12.75">
      <c r="B69" s="78" t="s">
        <v>296</v>
      </c>
      <c r="C69" s="79"/>
      <c r="D69" s="80">
        <v>8762000</v>
      </c>
      <c r="E69" s="80">
        <v>8855000</v>
      </c>
      <c r="F69" s="81">
        <v>9560000</v>
      </c>
      <c r="G69" s="80"/>
      <c r="I69" s="78" t="s">
        <v>296</v>
      </c>
      <c r="J69" s="79"/>
      <c r="K69" s="80">
        <v>8426000</v>
      </c>
      <c r="L69" s="80">
        <v>8746000</v>
      </c>
      <c r="M69" s="80">
        <v>8752000</v>
      </c>
      <c r="N69" s="81">
        <v>8762000</v>
      </c>
    </row>
    <row r="70" spans="2:14" ht="12.75">
      <c r="B70" s="78"/>
      <c r="C70" s="79"/>
      <c r="D70" s="79"/>
      <c r="E70" s="79"/>
      <c r="F70" s="82"/>
      <c r="G70" s="79"/>
      <c r="I70" s="78"/>
      <c r="J70" s="79"/>
      <c r="K70" s="79"/>
      <c r="L70" s="79"/>
      <c r="M70" s="79"/>
      <c r="N70" s="82"/>
    </row>
    <row r="71" spans="2:14" ht="12.75">
      <c r="B71" s="78" t="s">
        <v>47</v>
      </c>
      <c r="C71" s="79"/>
      <c r="D71" s="79"/>
      <c r="E71" s="79"/>
      <c r="F71" s="82"/>
      <c r="G71" s="79"/>
      <c r="I71" s="78" t="s">
        <v>47</v>
      </c>
      <c r="J71" s="79"/>
      <c r="K71" s="79"/>
      <c r="L71" s="79"/>
      <c r="M71" s="79"/>
      <c r="N71" s="82"/>
    </row>
    <row r="72" spans="2:14" ht="12.75">
      <c r="B72" s="78" t="s">
        <v>48</v>
      </c>
      <c r="C72" s="79"/>
      <c r="D72" s="79"/>
      <c r="E72" s="79"/>
      <c r="F72" s="82"/>
      <c r="G72" s="79"/>
      <c r="I72" s="78" t="s">
        <v>48</v>
      </c>
      <c r="J72" s="79"/>
      <c r="K72" s="79"/>
      <c r="L72" s="79"/>
      <c r="M72" s="79"/>
      <c r="N72" s="82"/>
    </row>
    <row r="73" spans="2:14" ht="12.75">
      <c r="B73" s="78"/>
      <c r="C73" s="79" t="s">
        <v>49</v>
      </c>
      <c r="D73" s="80">
        <v>1825000</v>
      </c>
      <c r="E73" s="80">
        <v>1864000</v>
      </c>
      <c r="F73" s="81">
        <v>1859000</v>
      </c>
      <c r="G73" s="80"/>
      <c r="I73" s="78"/>
      <c r="J73" s="79" t="s">
        <v>49</v>
      </c>
      <c r="K73" s="80">
        <v>1847000</v>
      </c>
      <c r="L73" s="80">
        <v>1853000</v>
      </c>
      <c r="M73" s="80">
        <v>1798000</v>
      </c>
      <c r="N73" s="81">
        <v>1825000</v>
      </c>
    </row>
    <row r="74" spans="2:14" ht="12.75">
      <c r="B74" s="78"/>
      <c r="C74" s="79" t="s">
        <v>50</v>
      </c>
      <c r="D74" s="80">
        <v>99000</v>
      </c>
      <c r="E74" s="80">
        <v>152000</v>
      </c>
      <c r="F74" s="81">
        <v>133000</v>
      </c>
      <c r="G74" s="80"/>
      <c r="I74" s="78"/>
      <c r="J74" s="79" t="s">
        <v>50</v>
      </c>
      <c r="K74" s="80">
        <v>84000</v>
      </c>
      <c r="L74" s="80">
        <v>89000</v>
      </c>
      <c r="M74" s="80">
        <v>95000</v>
      </c>
      <c r="N74" s="81">
        <v>99000</v>
      </c>
    </row>
    <row r="75" spans="2:14" ht="12.75">
      <c r="B75" s="78"/>
      <c r="C75" s="79" t="s">
        <v>51</v>
      </c>
      <c r="D75" s="79"/>
      <c r="E75" s="79"/>
      <c r="F75" s="82"/>
      <c r="G75" s="79"/>
      <c r="I75" s="78"/>
      <c r="J75" s="79" t="s">
        <v>51</v>
      </c>
      <c r="K75" s="79"/>
      <c r="L75" s="79"/>
      <c r="M75" s="79"/>
      <c r="N75" s="82"/>
    </row>
    <row r="76" spans="2:14" ht="12.75">
      <c r="B76" s="78"/>
      <c r="C76" s="79"/>
      <c r="D76" s="79"/>
      <c r="E76" s="79"/>
      <c r="F76" s="82"/>
      <c r="G76" s="79"/>
      <c r="I76" s="78"/>
      <c r="J76" s="79"/>
      <c r="K76" s="79"/>
      <c r="L76" s="79"/>
      <c r="M76" s="79"/>
      <c r="N76" s="82"/>
    </row>
    <row r="77" spans="2:14" ht="12.75">
      <c r="B77" s="78" t="s">
        <v>297</v>
      </c>
      <c r="C77" s="79"/>
      <c r="D77" s="80">
        <v>1924000</v>
      </c>
      <c r="E77" s="80">
        <v>2016000</v>
      </c>
      <c r="F77" s="81">
        <v>1992000</v>
      </c>
      <c r="G77" s="80"/>
      <c r="I77" s="78" t="s">
        <v>297</v>
      </c>
      <c r="J77" s="79"/>
      <c r="K77" s="80">
        <v>1931000</v>
      </c>
      <c r="L77" s="80">
        <v>1942000</v>
      </c>
      <c r="M77" s="80">
        <v>1893000</v>
      </c>
      <c r="N77" s="81">
        <v>1924000</v>
      </c>
    </row>
    <row r="78" spans="2:14" ht="12.75">
      <c r="B78" s="78" t="s">
        <v>53</v>
      </c>
      <c r="C78" s="79"/>
      <c r="D78" s="80">
        <v>1523000</v>
      </c>
      <c r="E78" s="80">
        <v>1656000</v>
      </c>
      <c r="F78" s="81">
        <v>2596000</v>
      </c>
      <c r="G78" s="80"/>
      <c r="I78" s="78" t="s">
        <v>53</v>
      </c>
      <c r="J78" s="79"/>
      <c r="K78" s="80">
        <v>2354000</v>
      </c>
      <c r="L78" s="80">
        <v>1637000</v>
      </c>
      <c r="M78" s="80">
        <v>1500000</v>
      </c>
      <c r="N78" s="81">
        <v>1523000</v>
      </c>
    </row>
    <row r="79" spans="2:14" ht="12.75">
      <c r="B79" s="78" t="s">
        <v>54</v>
      </c>
      <c r="C79" s="79"/>
      <c r="D79" s="80">
        <v>1904000</v>
      </c>
      <c r="E79" s="80">
        <v>1956000</v>
      </c>
      <c r="F79" s="81">
        <v>1971000</v>
      </c>
      <c r="G79" s="80"/>
      <c r="I79" s="78" t="s">
        <v>54</v>
      </c>
      <c r="J79" s="79"/>
      <c r="K79" s="80">
        <v>1949000</v>
      </c>
      <c r="L79" s="80">
        <v>1976000</v>
      </c>
      <c r="M79" s="80">
        <v>1992000</v>
      </c>
      <c r="N79" s="81">
        <v>1904000</v>
      </c>
    </row>
    <row r="80" spans="2:14" ht="12.75">
      <c r="B80" s="78" t="s">
        <v>55</v>
      </c>
      <c r="C80" s="79"/>
      <c r="D80" s="80">
        <v>48000</v>
      </c>
      <c r="E80" s="80">
        <v>85000</v>
      </c>
      <c r="F80" s="81">
        <v>46000</v>
      </c>
      <c r="G80" s="80"/>
      <c r="I80" s="78" t="s">
        <v>55</v>
      </c>
      <c r="J80" s="79"/>
      <c r="K80" s="80">
        <v>42000</v>
      </c>
      <c r="L80" s="80">
        <v>46000</v>
      </c>
      <c r="M80" s="80">
        <v>47000</v>
      </c>
      <c r="N80" s="81">
        <v>48000</v>
      </c>
    </row>
    <row r="81" spans="2:14" ht="12.75">
      <c r="B81" s="78" t="s">
        <v>20</v>
      </c>
      <c r="C81" s="79"/>
      <c r="D81" s="80">
        <v>3000</v>
      </c>
      <c r="E81" s="80">
        <v>5000</v>
      </c>
      <c r="F81" s="81">
        <v>1000</v>
      </c>
      <c r="G81" s="80"/>
      <c r="I81" s="78" t="s">
        <v>20</v>
      </c>
      <c r="J81" s="79"/>
      <c r="K81" s="80">
        <v>2000</v>
      </c>
      <c r="L81" s="80">
        <v>3000</v>
      </c>
      <c r="M81" s="80">
        <v>3000</v>
      </c>
      <c r="N81" s="81">
        <v>3000</v>
      </c>
    </row>
    <row r="82" spans="2:14" ht="12.75">
      <c r="B82" s="78" t="s">
        <v>56</v>
      </c>
      <c r="C82" s="79"/>
      <c r="D82" s="79"/>
      <c r="E82" s="79"/>
      <c r="F82" s="82"/>
      <c r="G82" s="79"/>
      <c r="I82" s="78" t="s">
        <v>56</v>
      </c>
      <c r="J82" s="79"/>
      <c r="K82" s="79"/>
      <c r="L82" s="79"/>
      <c r="M82" s="79"/>
      <c r="N82" s="82"/>
    </row>
    <row r="83" spans="2:14" ht="12.75">
      <c r="B83" s="78"/>
      <c r="C83" s="79"/>
      <c r="D83" s="79"/>
      <c r="E83" s="79"/>
      <c r="F83" s="82"/>
      <c r="G83" s="79"/>
      <c r="I83" s="78"/>
      <c r="J83" s="79"/>
      <c r="K83" s="79"/>
      <c r="L83" s="79"/>
      <c r="M83" s="79"/>
      <c r="N83" s="82"/>
    </row>
    <row r="84" spans="2:14" ht="12.75">
      <c r="B84" s="78" t="s">
        <v>298</v>
      </c>
      <c r="C84" s="79"/>
      <c r="D84" s="80">
        <v>5402000</v>
      </c>
      <c r="E84" s="80">
        <v>5718000</v>
      </c>
      <c r="F84" s="81">
        <v>6606000</v>
      </c>
      <c r="G84" s="80"/>
      <c r="I84" s="78" t="s">
        <v>298</v>
      </c>
      <c r="J84" s="79"/>
      <c r="K84" s="80">
        <v>6278000</v>
      </c>
      <c r="L84" s="80">
        <v>5604000</v>
      </c>
      <c r="M84" s="80">
        <v>5435000</v>
      </c>
      <c r="N84" s="81">
        <v>5402000</v>
      </c>
    </row>
    <row r="85" spans="2:14" ht="12.75">
      <c r="B85" s="78"/>
      <c r="C85" s="79"/>
      <c r="D85" s="79"/>
      <c r="E85" s="79"/>
      <c r="F85" s="82"/>
      <c r="G85" s="79"/>
      <c r="I85" s="78"/>
      <c r="J85" s="79"/>
      <c r="K85" s="79"/>
      <c r="L85" s="79"/>
      <c r="M85" s="79"/>
      <c r="N85" s="82"/>
    </row>
    <row r="86" spans="2:14" ht="12.75">
      <c r="B86" s="78" t="s">
        <v>299</v>
      </c>
      <c r="C86" s="79"/>
      <c r="D86" s="79"/>
      <c r="E86" s="79"/>
      <c r="F86" s="82"/>
      <c r="G86" s="79"/>
      <c r="I86" s="78" t="s">
        <v>299</v>
      </c>
      <c r="J86" s="79"/>
      <c r="K86" s="79"/>
      <c r="L86" s="79"/>
      <c r="M86" s="79"/>
      <c r="N86" s="82"/>
    </row>
    <row r="87" spans="2:14" ht="12.75">
      <c r="B87" s="78" t="s">
        <v>116</v>
      </c>
      <c r="C87" s="79"/>
      <c r="D87" s="79"/>
      <c r="E87" s="79"/>
      <c r="F87" s="82"/>
      <c r="G87" s="79"/>
      <c r="I87" s="78" t="s">
        <v>116</v>
      </c>
      <c r="J87" s="79"/>
      <c r="K87" s="79"/>
      <c r="L87" s="79"/>
      <c r="M87" s="79"/>
      <c r="N87" s="82"/>
    </row>
    <row r="88" spans="2:14" ht="12.75">
      <c r="B88" s="78" t="s">
        <v>59</v>
      </c>
      <c r="C88" s="79"/>
      <c r="D88" s="79"/>
      <c r="E88" s="79"/>
      <c r="F88" s="82"/>
      <c r="G88" s="79"/>
      <c r="I88" s="78" t="s">
        <v>59</v>
      </c>
      <c r="J88" s="79"/>
      <c r="K88" s="79"/>
      <c r="L88" s="79"/>
      <c r="M88" s="79"/>
      <c r="N88" s="82"/>
    </row>
    <row r="89" spans="2:14" ht="12.75">
      <c r="B89" s="78" t="s">
        <v>60</v>
      </c>
      <c r="C89" s="79"/>
      <c r="D89" s="79"/>
      <c r="E89" s="79"/>
      <c r="F89" s="82"/>
      <c r="G89" s="79"/>
      <c r="I89" s="78" t="s">
        <v>60</v>
      </c>
      <c r="J89" s="79"/>
      <c r="K89" s="79"/>
      <c r="L89" s="79"/>
      <c r="M89" s="79"/>
      <c r="N89" s="82"/>
    </row>
    <row r="90" spans="2:14" ht="12.75">
      <c r="B90" s="78" t="s">
        <v>61</v>
      </c>
      <c r="C90" s="79"/>
      <c r="D90" s="80">
        <v>2000</v>
      </c>
      <c r="E90" s="80">
        <v>2000</v>
      </c>
      <c r="F90" s="81">
        <v>2000</v>
      </c>
      <c r="G90" s="80"/>
      <c r="I90" s="78" t="s">
        <v>61</v>
      </c>
      <c r="J90" s="79"/>
      <c r="K90" s="80">
        <v>2000</v>
      </c>
      <c r="L90" s="80">
        <v>2000</v>
      </c>
      <c r="M90" s="80">
        <v>2000</v>
      </c>
      <c r="N90" s="81">
        <v>2000</v>
      </c>
    </row>
    <row r="91" spans="2:14" ht="12.75">
      <c r="B91" s="78" t="s">
        <v>62</v>
      </c>
      <c r="C91" s="79"/>
      <c r="D91" s="80">
        <v>3032000</v>
      </c>
      <c r="E91" s="80">
        <v>2657000</v>
      </c>
      <c r="F91" s="81">
        <v>2337000</v>
      </c>
      <c r="G91" s="80"/>
      <c r="I91" s="78" t="s">
        <v>62</v>
      </c>
      <c r="J91" s="79"/>
      <c r="K91" s="80">
        <v>2535000</v>
      </c>
      <c r="L91" s="80">
        <v>2937000</v>
      </c>
      <c r="M91" s="80">
        <v>2975000</v>
      </c>
      <c r="N91" s="81">
        <v>3032000</v>
      </c>
    </row>
    <row r="92" spans="2:14" ht="12.75">
      <c r="B92" s="78" t="s">
        <v>63</v>
      </c>
      <c r="C92" s="79"/>
      <c r="D92" s="79"/>
      <c r="E92" s="79"/>
      <c r="F92" s="82"/>
      <c r="G92" s="79"/>
      <c r="I92" s="78" t="s">
        <v>63</v>
      </c>
      <c r="J92" s="79"/>
      <c r="K92" s="79"/>
      <c r="L92" s="79"/>
      <c r="M92" s="79"/>
      <c r="N92" s="82"/>
    </row>
    <row r="93" spans="2:14" ht="12.75">
      <c r="B93" s="78" t="s">
        <v>64</v>
      </c>
      <c r="C93" s="79"/>
      <c r="D93" s="80">
        <v>661000</v>
      </c>
      <c r="E93" s="80">
        <v>816000</v>
      </c>
      <c r="F93" s="81">
        <v>963000</v>
      </c>
      <c r="G93" s="80"/>
      <c r="I93" s="78" t="s">
        <v>64</v>
      </c>
      <c r="J93" s="79"/>
      <c r="K93" s="80">
        <v>28000</v>
      </c>
      <c r="L93" s="80">
        <v>533000</v>
      </c>
      <c r="M93" s="80">
        <v>675000</v>
      </c>
      <c r="N93" s="81">
        <v>661000</v>
      </c>
    </row>
    <row r="94" spans="2:14" ht="12.75">
      <c r="B94" s="78" t="s">
        <v>65</v>
      </c>
      <c r="C94" s="79"/>
      <c r="D94" s="80">
        <v>-335000</v>
      </c>
      <c r="E94" s="80">
        <v>-338000</v>
      </c>
      <c r="F94" s="81">
        <v>-348000</v>
      </c>
      <c r="G94" s="80"/>
      <c r="I94" s="78" t="s">
        <v>65</v>
      </c>
      <c r="J94" s="79"/>
      <c r="K94" s="80">
        <v>-417000</v>
      </c>
      <c r="L94" s="80">
        <v>-330000</v>
      </c>
      <c r="M94" s="80">
        <v>-335000</v>
      </c>
      <c r="N94" s="81">
        <v>-335000</v>
      </c>
    </row>
    <row r="95" spans="2:14" ht="12.75">
      <c r="B95" s="78"/>
      <c r="C95" s="79"/>
      <c r="D95" s="79"/>
      <c r="E95" s="79"/>
      <c r="F95" s="82"/>
      <c r="G95" s="79"/>
      <c r="I95" s="78"/>
      <c r="J95" s="79"/>
      <c r="K95" s="79"/>
      <c r="L95" s="79"/>
      <c r="M95" s="79"/>
      <c r="N95" s="82"/>
    </row>
    <row r="96" spans="2:14" ht="12.75">
      <c r="B96" s="78" t="s">
        <v>300</v>
      </c>
      <c r="C96" s="79"/>
      <c r="D96" s="80">
        <v>3360000</v>
      </c>
      <c r="E96" s="80">
        <v>3137000</v>
      </c>
      <c r="F96" s="81">
        <v>2954000</v>
      </c>
      <c r="G96" s="80"/>
      <c r="I96" s="78" t="s">
        <v>300</v>
      </c>
      <c r="J96" s="79"/>
      <c r="K96" s="80">
        <v>2148000</v>
      </c>
      <c r="L96" s="80">
        <v>3142000</v>
      </c>
      <c r="M96" s="80">
        <v>3317000</v>
      </c>
      <c r="N96" s="81">
        <v>3360000</v>
      </c>
    </row>
    <row r="97" spans="2:14" ht="12.75">
      <c r="B97" s="78"/>
      <c r="C97" s="79"/>
      <c r="D97" s="79"/>
      <c r="E97" s="79"/>
      <c r="F97" s="82"/>
      <c r="G97" s="79"/>
      <c r="I97" s="78"/>
      <c r="J97" s="79"/>
      <c r="K97" s="79"/>
      <c r="L97" s="79"/>
      <c r="M97" s="79"/>
      <c r="N97" s="82"/>
    </row>
    <row r="98" spans="2:14" ht="12.75">
      <c r="B98" s="78" t="s">
        <v>301</v>
      </c>
      <c r="C98" s="79"/>
      <c r="D98" s="363">
        <v>1328000</v>
      </c>
      <c r="E98" s="363">
        <v>1112000</v>
      </c>
      <c r="F98" s="356">
        <v>901000</v>
      </c>
      <c r="G98" s="363"/>
      <c r="I98" s="78" t="s">
        <v>301</v>
      </c>
      <c r="K98" s="75">
        <v>150000</v>
      </c>
      <c r="L98" s="75">
        <v>1129000</v>
      </c>
      <c r="M98" s="75">
        <v>1310000</v>
      </c>
      <c r="N98" s="356">
        <v>1328000</v>
      </c>
    </row>
    <row r="99" spans="2:14" ht="12.75">
      <c r="B99" s="78"/>
      <c r="C99" s="79"/>
      <c r="D99" s="79"/>
      <c r="E99" s="79"/>
      <c r="F99" s="82"/>
      <c r="G99" s="79"/>
      <c r="I99" s="78"/>
      <c r="J99" s="79"/>
      <c r="K99" s="79"/>
      <c r="L99" s="79"/>
      <c r="M99" s="79"/>
      <c r="N99" s="82"/>
    </row>
    <row r="100" spans="2:14" ht="12.75">
      <c r="B100" s="78" t="s">
        <v>318</v>
      </c>
      <c r="C100" s="79"/>
      <c r="D100" s="79"/>
      <c r="E100" s="79"/>
      <c r="F100" s="82"/>
      <c r="G100" s="79"/>
      <c r="I100" s="78" t="s">
        <v>318</v>
      </c>
      <c r="J100" s="79"/>
      <c r="K100" s="79"/>
      <c r="L100" s="79"/>
      <c r="M100" s="79"/>
      <c r="N100" s="82"/>
    </row>
    <row r="101" spans="2:14" ht="12.75">
      <c r="B101" s="78" t="s">
        <v>319</v>
      </c>
      <c r="C101" s="79"/>
      <c r="D101" s="79"/>
      <c r="E101" s="79"/>
      <c r="F101" s="82"/>
      <c r="G101" s="79"/>
      <c r="I101" s="78" t="s">
        <v>319</v>
      </c>
      <c r="J101" s="79"/>
      <c r="K101" s="79"/>
      <c r="L101" s="79"/>
      <c r="M101" s="79"/>
      <c r="N101" s="82"/>
    </row>
    <row r="102" spans="2:14" ht="13.5" thickBot="1">
      <c r="B102" s="83" t="s">
        <v>320</v>
      </c>
      <c r="C102" s="84"/>
      <c r="D102" s="84"/>
      <c r="E102" s="84"/>
      <c r="F102" s="289"/>
      <c r="G102" s="79"/>
      <c r="I102" s="83" t="s">
        <v>320</v>
      </c>
      <c r="J102" s="84"/>
      <c r="K102" s="84"/>
      <c r="L102" s="84"/>
      <c r="M102" s="84"/>
      <c r="N102" s="289"/>
    </row>
    <row r="104" ht="13.5" thickBot="1">
      <c r="B104" s="2" t="s">
        <v>121</v>
      </c>
    </row>
    <row r="105" spans="2:14" ht="12.75">
      <c r="B105" s="76" t="s">
        <v>288</v>
      </c>
      <c r="C105" s="77"/>
      <c r="D105" s="93">
        <v>41639</v>
      </c>
      <c r="E105" s="93">
        <v>41274</v>
      </c>
      <c r="F105" s="94">
        <v>40908</v>
      </c>
      <c r="G105" s="394"/>
      <c r="I105" s="76" t="s">
        <v>288</v>
      </c>
      <c r="J105" s="77"/>
      <c r="K105" s="93">
        <v>41912</v>
      </c>
      <c r="L105" s="93">
        <v>41820</v>
      </c>
      <c r="M105" s="93">
        <v>41729</v>
      </c>
      <c r="N105" s="94">
        <v>41639</v>
      </c>
    </row>
    <row r="106" spans="2:14" ht="12.75">
      <c r="B106" s="78" t="s">
        <v>293</v>
      </c>
      <c r="C106" s="79"/>
      <c r="D106" s="80">
        <v>635000</v>
      </c>
      <c r="E106" s="80">
        <v>562000</v>
      </c>
      <c r="F106" s="81">
        <v>489000</v>
      </c>
      <c r="G106" s="80"/>
      <c r="I106" s="78" t="s">
        <v>293</v>
      </c>
      <c r="J106" s="79"/>
      <c r="K106" s="80">
        <v>109000</v>
      </c>
      <c r="L106" s="80">
        <v>153000</v>
      </c>
      <c r="M106" s="80">
        <v>137000</v>
      </c>
      <c r="N106" s="81">
        <v>128000</v>
      </c>
    </row>
    <row r="107" spans="2:14" ht="12.75">
      <c r="B107" s="78"/>
      <c r="C107" s="79"/>
      <c r="D107" s="79"/>
      <c r="E107" s="79"/>
      <c r="F107" s="82"/>
      <c r="G107" s="79"/>
      <c r="I107" s="78"/>
      <c r="J107" s="79"/>
      <c r="K107" s="79"/>
      <c r="L107" s="79"/>
      <c r="M107" s="79"/>
      <c r="N107" s="82"/>
    </row>
    <row r="108" spans="2:14" ht="12.75">
      <c r="B108" s="78" t="s">
        <v>302</v>
      </c>
      <c r="C108" s="79"/>
      <c r="D108" s="79"/>
      <c r="E108" s="79"/>
      <c r="F108" s="82"/>
      <c r="G108" s="79"/>
      <c r="I108" s="78" t="s">
        <v>302</v>
      </c>
      <c r="J108" s="79"/>
      <c r="K108" s="79"/>
      <c r="L108" s="79"/>
      <c r="M108" s="79"/>
      <c r="N108" s="82"/>
    </row>
    <row r="109" spans="2:14" ht="12.75">
      <c r="B109" s="78" t="s">
        <v>70</v>
      </c>
      <c r="C109" s="79"/>
      <c r="D109" s="80">
        <v>181000</v>
      </c>
      <c r="E109" s="80">
        <v>170000</v>
      </c>
      <c r="F109" s="81">
        <v>189000</v>
      </c>
      <c r="G109" s="80"/>
      <c r="I109" s="78" t="s">
        <v>70</v>
      </c>
      <c r="J109" s="79"/>
      <c r="K109" s="80">
        <v>50000</v>
      </c>
      <c r="L109" s="80">
        <v>48000</v>
      </c>
      <c r="M109" s="80">
        <v>47000</v>
      </c>
      <c r="N109" s="81">
        <v>54000</v>
      </c>
    </row>
    <row r="110" spans="2:14" ht="12.75">
      <c r="B110" s="78" t="s">
        <v>71</v>
      </c>
      <c r="C110" s="79"/>
      <c r="D110" s="80">
        <v>78000</v>
      </c>
      <c r="E110" s="80">
        <v>56000</v>
      </c>
      <c r="F110" s="81">
        <v>191000</v>
      </c>
      <c r="G110" s="80"/>
      <c r="I110" s="78" t="s">
        <v>71</v>
      </c>
      <c r="J110" s="79"/>
      <c r="K110" s="80">
        <v>90000</v>
      </c>
      <c r="L110" s="80">
        <v>24000</v>
      </c>
      <c r="M110" s="80">
        <v>17000</v>
      </c>
      <c r="N110" s="81">
        <v>-8000</v>
      </c>
    </row>
    <row r="111" spans="2:14" ht="12.75">
      <c r="B111" s="78" t="s">
        <v>72</v>
      </c>
      <c r="C111" s="79"/>
      <c r="D111" s="80">
        <v>-55000</v>
      </c>
      <c r="E111" s="80">
        <v>-20000</v>
      </c>
      <c r="F111" s="81">
        <v>-78000</v>
      </c>
      <c r="G111" s="80"/>
      <c r="I111" s="78" t="s">
        <v>72</v>
      </c>
      <c r="J111" s="79"/>
      <c r="K111" s="80">
        <v>-9000</v>
      </c>
      <c r="L111" s="80">
        <v>2000</v>
      </c>
      <c r="M111" s="80">
        <v>1000</v>
      </c>
      <c r="N111" s="81">
        <v>-44000</v>
      </c>
    </row>
    <row r="112" spans="2:14" ht="12.75">
      <c r="B112" s="78" t="s">
        <v>73</v>
      </c>
      <c r="C112" s="79"/>
      <c r="D112" s="80">
        <v>68000</v>
      </c>
      <c r="E112" s="80">
        <v>-39000</v>
      </c>
      <c r="F112" s="81">
        <v>-133000</v>
      </c>
      <c r="G112" s="80"/>
      <c r="I112" s="78" t="s">
        <v>73</v>
      </c>
      <c r="J112" s="79"/>
      <c r="K112" s="80">
        <v>-17000</v>
      </c>
      <c r="L112" s="80">
        <v>8000</v>
      </c>
      <c r="M112" s="80">
        <v>39000</v>
      </c>
      <c r="N112" s="81">
        <v>44000</v>
      </c>
    </row>
    <row r="113" spans="2:14" ht="12.75">
      <c r="B113" s="78" t="s">
        <v>74</v>
      </c>
      <c r="C113" s="79"/>
      <c r="D113" s="80">
        <v>156000</v>
      </c>
      <c r="E113" s="80">
        <v>448000</v>
      </c>
      <c r="F113" s="81">
        <v>-14000</v>
      </c>
      <c r="G113" s="80"/>
      <c r="I113" s="78" t="s">
        <v>74</v>
      </c>
      <c r="J113" s="79"/>
      <c r="K113" s="80"/>
      <c r="L113" s="80"/>
      <c r="M113" s="80"/>
      <c r="N113" s="81">
        <v>156000</v>
      </c>
    </row>
    <row r="114" spans="2:14" ht="12.75">
      <c r="B114" s="78" t="s">
        <v>75</v>
      </c>
      <c r="C114" s="79"/>
      <c r="D114" s="80">
        <v>88000</v>
      </c>
      <c r="E114" s="80">
        <v>7000</v>
      </c>
      <c r="F114" s="81">
        <v>-1000</v>
      </c>
      <c r="G114" s="80"/>
      <c r="I114" s="78" t="s">
        <v>75</v>
      </c>
      <c r="J114" s="79"/>
      <c r="K114" s="80">
        <v>28000</v>
      </c>
      <c r="L114" s="80">
        <v>42000</v>
      </c>
      <c r="M114" s="80">
        <v>-92000</v>
      </c>
      <c r="N114" s="81">
        <v>-34000</v>
      </c>
    </row>
    <row r="115" spans="2:14" ht="12.75">
      <c r="B115" s="78"/>
      <c r="C115" s="79"/>
      <c r="D115" s="79"/>
      <c r="E115" s="79"/>
      <c r="F115" s="82"/>
      <c r="G115" s="79"/>
      <c r="I115" s="78"/>
      <c r="J115" s="79"/>
      <c r="K115" s="79"/>
      <c r="L115" s="79"/>
      <c r="M115" s="79"/>
      <c r="N115" s="82"/>
    </row>
    <row r="116" spans="2:14" ht="12.75">
      <c r="B116" s="78" t="s">
        <v>303</v>
      </c>
      <c r="C116" s="79"/>
      <c r="D116" s="80">
        <v>1151000</v>
      </c>
      <c r="E116" s="80">
        <v>1184000</v>
      </c>
      <c r="F116" s="81">
        <v>641000</v>
      </c>
      <c r="G116" s="80"/>
      <c r="I116" s="78" t="s">
        <v>303</v>
      </c>
      <c r="J116" s="79"/>
      <c r="K116" s="80">
        <v>251000</v>
      </c>
      <c r="L116" s="80">
        <v>277000</v>
      </c>
      <c r="M116" s="80">
        <v>149000</v>
      </c>
      <c r="N116" s="81">
        <v>296000</v>
      </c>
    </row>
    <row r="117" spans="2:14" ht="12.75">
      <c r="B117" s="78"/>
      <c r="C117" s="79"/>
      <c r="D117" s="79"/>
      <c r="E117" s="79"/>
      <c r="F117" s="82"/>
      <c r="G117" s="79"/>
      <c r="I117" s="78"/>
      <c r="J117" s="79"/>
      <c r="K117" s="79"/>
      <c r="L117" s="79"/>
      <c r="M117" s="79"/>
      <c r="N117" s="82"/>
    </row>
    <row r="118" spans="2:14" ht="12.75">
      <c r="B118" s="78" t="s">
        <v>77</v>
      </c>
      <c r="C118" s="79"/>
      <c r="D118" s="79"/>
      <c r="E118" s="79"/>
      <c r="F118" s="82"/>
      <c r="G118" s="79"/>
      <c r="I118" s="78" t="s">
        <v>77</v>
      </c>
      <c r="J118" s="79"/>
      <c r="K118" s="79"/>
      <c r="L118" s="79"/>
      <c r="M118" s="79"/>
      <c r="N118" s="82"/>
    </row>
    <row r="119" spans="2:14" ht="12.75">
      <c r="B119" s="78" t="s">
        <v>78</v>
      </c>
      <c r="C119" s="79"/>
      <c r="D119" s="80">
        <v>-364000</v>
      </c>
      <c r="E119" s="80">
        <v>-362000</v>
      </c>
      <c r="F119" s="81">
        <v>-385000</v>
      </c>
      <c r="G119" s="80"/>
      <c r="I119" s="78" t="s">
        <v>78</v>
      </c>
      <c r="J119" s="79"/>
      <c r="K119" s="80">
        <v>-66000</v>
      </c>
      <c r="L119" s="80">
        <v>-71000</v>
      </c>
      <c r="M119" s="80">
        <v>-84000</v>
      </c>
      <c r="N119" s="81">
        <v>-129000</v>
      </c>
    </row>
    <row r="120" spans="2:14" ht="12.75">
      <c r="B120" s="78" t="s">
        <v>79</v>
      </c>
      <c r="C120" s="79"/>
      <c r="D120" s="80">
        <v>6000</v>
      </c>
      <c r="E120" s="80">
        <v>2000</v>
      </c>
      <c r="F120" s="81">
        <v>-7000</v>
      </c>
      <c r="G120" s="80"/>
      <c r="I120" s="78" t="s">
        <v>79</v>
      </c>
      <c r="J120" s="79"/>
      <c r="K120" s="80">
        <v>1000</v>
      </c>
      <c r="L120" s="80">
        <v>4000</v>
      </c>
      <c r="M120" s="80">
        <v>-1000</v>
      </c>
      <c r="N120" s="81" t="s">
        <v>291</v>
      </c>
    </row>
    <row r="121" spans="2:14" ht="12.75">
      <c r="B121" s="78" t="s">
        <v>304</v>
      </c>
      <c r="C121" s="79"/>
      <c r="D121" s="80">
        <v>200000</v>
      </c>
      <c r="E121" s="80">
        <v>486000</v>
      </c>
      <c r="F121" s="81">
        <v>216000</v>
      </c>
      <c r="G121" s="80"/>
      <c r="I121" s="78" t="s">
        <v>304</v>
      </c>
      <c r="J121" s="79"/>
      <c r="K121" s="80">
        <v>-9000</v>
      </c>
      <c r="L121" s="80">
        <v>10000</v>
      </c>
      <c r="M121" s="80">
        <v>198000</v>
      </c>
      <c r="N121" s="81">
        <v>103000</v>
      </c>
    </row>
    <row r="122" spans="2:14" ht="12.75">
      <c r="B122" s="78"/>
      <c r="C122" s="79"/>
      <c r="D122" s="79"/>
      <c r="E122" s="79"/>
      <c r="F122" s="82"/>
      <c r="G122" s="79"/>
      <c r="I122" s="78"/>
      <c r="J122" s="79"/>
      <c r="K122" s="79"/>
      <c r="L122" s="79"/>
      <c r="M122" s="79"/>
      <c r="N122" s="82"/>
    </row>
    <row r="123" spans="2:14" ht="12.75">
      <c r="B123" s="78" t="s">
        <v>305</v>
      </c>
      <c r="C123" s="79"/>
      <c r="D123" s="80">
        <v>-158000</v>
      </c>
      <c r="E123" s="80">
        <v>126000</v>
      </c>
      <c r="F123" s="81">
        <v>-176000</v>
      </c>
      <c r="G123" s="80"/>
      <c r="I123" s="78" t="s">
        <v>305</v>
      </c>
      <c r="J123" s="79"/>
      <c r="K123" s="80">
        <v>-74000</v>
      </c>
      <c r="L123" s="80">
        <v>-57000</v>
      </c>
      <c r="M123" s="80">
        <v>113000</v>
      </c>
      <c r="N123" s="81">
        <v>-26000</v>
      </c>
    </row>
    <row r="124" spans="2:14" ht="12.75">
      <c r="B124" s="78"/>
      <c r="C124" s="79"/>
      <c r="D124" s="79"/>
      <c r="E124" s="79"/>
      <c r="F124" s="82"/>
      <c r="G124" s="79"/>
      <c r="I124" s="78"/>
      <c r="J124" s="79"/>
      <c r="K124" s="79"/>
      <c r="L124" s="79"/>
      <c r="M124" s="79"/>
      <c r="N124" s="82"/>
    </row>
    <row r="125" spans="2:14" ht="12.75">
      <c r="B125" s="78" t="s">
        <v>82</v>
      </c>
      <c r="C125" s="79"/>
      <c r="D125" s="79"/>
      <c r="E125" s="79"/>
      <c r="F125" s="82"/>
      <c r="G125" s="79"/>
      <c r="I125" s="78" t="s">
        <v>82</v>
      </c>
      <c r="J125" s="79"/>
      <c r="K125" s="79"/>
      <c r="L125" s="79"/>
      <c r="M125" s="79"/>
      <c r="N125" s="82"/>
    </row>
    <row r="126" spans="2:14" ht="12.75">
      <c r="B126" s="78" t="s">
        <v>83</v>
      </c>
      <c r="C126" s="79"/>
      <c r="D126" s="80">
        <v>-256000</v>
      </c>
      <c r="E126" s="80">
        <v>-242000</v>
      </c>
      <c r="F126" s="81">
        <v>-99000</v>
      </c>
      <c r="G126" s="80"/>
      <c r="I126" s="78" t="s">
        <v>83</v>
      </c>
      <c r="J126" s="79"/>
      <c r="K126" s="80">
        <v>-181000</v>
      </c>
      <c r="L126" s="80">
        <v>-191000</v>
      </c>
      <c r="M126" s="80">
        <v>-190000</v>
      </c>
      <c r="N126" s="81">
        <v>-253000</v>
      </c>
    </row>
    <row r="127" spans="2:14" ht="12.75">
      <c r="B127" s="78" t="s">
        <v>84</v>
      </c>
      <c r="C127" s="79"/>
      <c r="D127" s="80">
        <v>-228000</v>
      </c>
      <c r="E127" s="80">
        <v>-246000</v>
      </c>
      <c r="F127" s="81">
        <v>70000</v>
      </c>
      <c r="G127" s="80"/>
      <c r="I127" s="78" t="s">
        <v>84</v>
      </c>
      <c r="J127" s="79"/>
      <c r="K127" s="80">
        <v>-853000</v>
      </c>
      <c r="L127" s="80">
        <v>-160000</v>
      </c>
      <c r="M127" s="80">
        <v>10000</v>
      </c>
      <c r="N127" s="81">
        <v>-55000</v>
      </c>
    </row>
    <row r="128" spans="2:14" ht="12.75">
      <c r="B128" s="78" t="s">
        <v>85</v>
      </c>
      <c r="C128" s="79"/>
      <c r="D128" s="80">
        <v>-198000</v>
      </c>
      <c r="E128" s="80">
        <v>-981000</v>
      </c>
      <c r="F128" s="81">
        <v>-709000</v>
      </c>
      <c r="G128" s="80"/>
      <c r="I128" s="78" t="s">
        <v>85</v>
      </c>
      <c r="J128" s="79"/>
      <c r="K128" s="80">
        <v>728000</v>
      </c>
      <c r="L128" s="80">
        <v>68000</v>
      </c>
      <c r="M128" s="80">
        <v>-26000</v>
      </c>
      <c r="N128" s="81">
        <v>-42000</v>
      </c>
    </row>
    <row r="129" spans="2:14" ht="12.75">
      <c r="B129" s="78" t="s">
        <v>86</v>
      </c>
      <c r="C129" s="79"/>
      <c r="D129" s="80">
        <v>-22000</v>
      </c>
      <c r="E129" s="80">
        <v>-59000</v>
      </c>
      <c r="F129" s="81">
        <v>-39000</v>
      </c>
      <c r="G129" s="80"/>
      <c r="I129" s="78" t="s">
        <v>86</v>
      </c>
      <c r="J129" s="79"/>
      <c r="K129" s="80">
        <v>-7000</v>
      </c>
      <c r="L129" s="80"/>
      <c r="M129" s="80">
        <v>-20000</v>
      </c>
      <c r="N129" s="81">
        <v>2000</v>
      </c>
    </row>
    <row r="130" spans="2:14" ht="12.75">
      <c r="B130" s="78"/>
      <c r="C130" s="79"/>
      <c r="D130" s="79"/>
      <c r="E130" s="79"/>
      <c r="F130" s="82"/>
      <c r="G130" s="79"/>
      <c r="I130" s="78"/>
      <c r="J130" s="79"/>
      <c r="K130" s="79"/>
      <c r="L130" s="79"/>
      <c r="M130" s="79"/>
      <c r="N130" s="82"/>
    </row>
    <row r="131" spans="2:14" ht="12.75">
      <c r="B131" s="78" t="s">
        <v>306</v>
      </c>
      <c r="C131" s="79"/>
      <c r="D131" s="80">
        <v>-678000</v>
      </c>
      <c r="E131" s="80">
        <v>-1456000</v>
      </c>
      <c r="F131" s="81">
        <v>-755000</v>
      </c>
      <c r="G131" s="80"/>
      <c r="I131" s="78" t="s">
        <v>306</v>
      </c>
      <c r="J131" s="79"/>
      <c r="K131" s="80">
        <v>-312000</v>
      </c>
      <c r="L131" s="80">
        <v>-281000</v>
      </c>
      <c r="M131" s="80">
        <v>-220000</v>
      </c>
      <c r="N131" s="81">
        <v>-352000</v>
      </c>
    </row>
    <row r="132" spans="2:14" ht="12.75">
      <c r="B132" s="78" t="s">
        <v>88</v>
      </c>
      <c r="C132" s="79"/>
      <c r="D132" s="80">
        <v>-4000</v>
      </c>
      <c r="E132" s="80">
        <v>-3000</v>
      </c>
      <c r="F132" s="81">
        <v>-9000</v>
      </c>
      <c r="G132" s="80"/>
      <c r="I132" s="78" t="s">
        <v>88</v>
      </c>
      <c r="J132" s="79"/>
      <c r="K132" s="80">
        <v>-8000</v>
      </c>
      <c r="L132" s="80">
        <v>1000</v>
      </c>
      <c r="M132" s="80">
        <v>-1000</v>
      </c>
      <c r="N132" s="81">
        <v>4000</v>
      </c>
    </row>
    <row r="133" spans="2:14" ht="12.75">
      <c r="B133" s="78"/>
      <c r="C133" s="79"/>
      <c r="D133" s="79"/>
      <c r="E133" s="79"/>
      <c r="F133" s="82"/>
      <c r="G133" s="79"/>
      <c r="I133" s="78"/>
      <c r="J133" s="79"/>
      <c r="K133" s="79"/>
      <c r="L133" s="79"/>
      <c r="M133" s="79"/>
      <c r="N133" s="82"/>
    </row>
    <row r="134" spans="2:14" ht="12.75">
      <c r="B134" s="78" t="s">
        <v>89</v>
      </c>
      <c r="C134" s="79"/>
      <c r="D134" s="363">
        <v>311000</v>
      </c>
      <c r="E134" s="363">
        <v>-149000</v>
      </c>
      <c r="F134" s="356">
        <v>-299000</v>
      </c>
      <c r="G134" s="363"/>
      <c r="I134" s="78" t="s">
        <v>89</v>
      </c>
      <c r="K134" s="75">
        <v>-143000</v>
      </c>
      <c r="L134" s="75">
        <v>-60000</v>
      </c>
      <c r="M134" s="75">
        <v>41000</v>
      </c>
      <c r="N134" s="356">
        <v>-78000</v>
      </c>
    </row>
    <row r="135" spans="2:14" ht="12.75">
      <c r="B135" s="78"/>
      <c r="C135" s="79"/>
      <c r="D135" s="79"/>
      <c r="E135" s="79"/>
      <c r="F135" s="82"/>
      <c r="G135" s="79"/>
      <c r="I135" s="78"/>
      <c r="J135" s="79"/>
      <c r="K135" s="79"/>
      <c r="L135" s="79"/>
      <c r="M135" s="79"/>
      <c r="N135" s="82"/>
    </row>
    <row r="136" spans="2:14" ht="12.75">
      <c r="B136" s="78" t="s">
        <v>318</v>
      </c>
      <c r="C136" s="79"/>
      <c r="D136" s="79"/>
      <c r="E136" s="79"/>
      <c r="F136" s="82"/>
      <c r="G136" s="79"/>
      <c r="I136" s="78" t="s">
        <v>318</v>
      </c>
      <c r="J136" s="79"/>
      <c r="K136" s="79"/>
      <c r="L136" s="79"/>
      <c r="M136" s="79"/>
      <c r="N136" s="82"/>
    </row>
    <row r="137" spans="2:14" ht="12.75">
      <c r="B137" s="78" t="s">
        <v>319</v>
      </c>
      <c r="C137" s="79"/>
      <c r="D137" s="79"/>
      <c r="E137" s="79"/>
      <c r="F137" s="82"/>
      <c r="G137" s="79"/>
      <c r="I137" s="78" t="s">
        <v>319</v>
      </c>
      <c r="J137" s="79"/>
      <c r="K137" s="79"/>
      <c r="L137" s="79"/>
      <c r="M137" s="79"/>
      <c r="N137" s="82"/>
    </row>
    <row r="138" spans="2:14" ht="13.5" thickBot="1">
      <c r="B138" s="83" t="s">
        <v>320</v>
      </c>
      <c r="C138" s="84"/>
      <c r="D138" s="84"/>
      <c r="E138" s="84"/>
      <c r="F138" s="289"/>
      <c r="G138" s="79"/>
      <c r="I138" s="83" t="s">
        <v>320</v>
      </c>
      <c r="J138" s="84"/>
      <c r="K138" s="84"/>
      <c r="L138" s="84"/>
      <c r="M138" s="84"/>
      <c r="N138" s="289"/>
    </row>
  </sheetData>
  <sheetProtection/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6" t="s">
        <v>270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</row>
    <row r="19" spans="3:15" ht="12.75" customHeight="1"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</row>
    <row r="20" spans="3:15" ht="38.25" customHeight="1"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</row>
    <row r="27" spans="6:12" ht="15.75">
      <c r="F27" s="428" t="s">
        <v>271</v>
      </c>
      <c r="G27" s="429"/>
      <c r="H27" s="429"/>
      <c r="I27" s="429"/>
      <c r="J27" s="429"/>
      <c r="K27" s="429"/>
      <c r="L27" s="429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0"/>
  <sheetViews>
    <sheetView zoomScalePageLayoutView="0" workbookViewId="0" topLeftCell="A46">
      <selection activeCell="E160" sqref="E160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6" width="11.57421875" style="0" customWidth="1"/>
    <col min="7" max="7" width="12.28125" style="0" customWidth="1"/>
    <col min="8" max="12" width="11.28125" style="0" customWidth="1"/>
    <col min="13" max="13" width="4.421875" style="0" customWidth="1"/>
    <col min="14" max="14" width="10.57421875" style="0" customWidth="1"/>
    <col min="15" max="15" width="13.140625" style="0" bestFit="1" customWidth="1"/>
    <col min="16" max="17" width="11.57421875" style="0" bestFit="1" customWidth="1"/>
    <col min="18" max="19" width="9.28125" style="0" bestFit="1" customWidth="1"/>
    <col min="20" max="20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4" ht="12.75">
      <c r="C2" s="2" t="s">
        <v>1</v>
      </c>
      <c r="N2" s="3"/>
    </row>
    <row r="3" spans="3:14" ht="12.75">
      <c r="C3" s="2"/>
      <c r="N3" s="3"/>
    </row>
    <row r="4" spans="5:17" ht="15" customHeight="1" thickBot="1">
      <c r="E4" s="431" t="s">
        <v>2</v>
      </c>
      <c r="F4" s="431"/>
      <c r="G4" s="432"/>
      <c r="H4" s="432"/>
      <c r="I4" s="330"/>
      <c r="J4" s="330"/>
      <c r="K4" s="330"/>
      <c r="L4" s="330"/>
      <c r="N4" s="431" t="s">
        <v>3</v>
      </c>
      <c r="O4" s="432"/>
      <c r="P4" s="432"/>
      <c r="Q4" s="432"/>
    </row>
    <row r="5" spans="5:17" ht="15" customHeight="1" thickBot="1">
      <c r="E5" s="66" t="s">
        <v>122</v>
      </c>
      <c r="F5" s="66"/>
      <c r="G5" s="67"/>
      <c r="H5" s="67"/>
      <c r="I5" s="331"/>
      <c r="J5" s="331"/>
      <c r="K5" s="331"/>
      <c r="L5" s="331"/>
      <c r="N5" s="66"/>
      <c r="O5" s="67"/>
      <c r="P5" s="67"/>
      <c r="Q5" s="67"/>
    </row>
    <row r="6" spans="3:18" ht="13.5" thickBot="1">
      <c r="C6" s="434" t="s">
        <v>4</v>
      </c>
      <c r="D6" s="435"/>
      <c r="E6" s="88">
        <f>+'Yahoo Fin Input'!K6</f>
        <v>41912</v>
      </c>
      <c r="F6" s="4">
        <f>+'Yahoo Fin Input'!D6</f>
        <v>41639</v>
      </c>
      <c r="G6" s="4">
        <f>+'Yahoo Fin Input'!E6</f>
        <v>41274</v>
      </c>
      <c r="H6" s="4">
        <f>+'Yahoo Fin Input'!F6</f>
        <v>40908</v>
      </c>
      <c r="I6" s="4">
        <v>40543</v>
      </c>
      <c r="J6" s="4">
        <v>40178</v>
      </c>
      <c r="K6" s="4">
        <v>39813</v>
      </c>
      <c r="L6" s="4">
        <v>39447</v>
      </c>
      <c r="M6" s="5"/>
      <c r="N6" s="6">
        <f>+'Yahoo Fin Input'!K6</f>
        <v>41912</v>
      </c>
      <c r="O6" s="7">
        <f>+'Yahoo Fin Input'!L6</f>
        <v>41820</v>
      </c>
      <c r="P6" s="7">
        <f>+'Yahoo Fin Input'!M6</f>
        <v>41729</v>
      </c>
      <c r="Q6" s="8">
        <f>+'Yahoo Fin Input'!N6</f>
        <v>41639</v>
      </c>
      <c r="R6" s="9"/>
    </row>
    <row r="7" spans="1:18" ht="13.5" customHeight="1">
      <c r="A7">
        <f>ROW()</f>
        <v>7</v>
      </c>
      <c r="C7" s="430" t="s">
        <v>5</v>
      </c>
      <c r="D7" s="430"/>
      <c r="E7" s="11">
        <f>SUM(N7:Q7)</f>
        <v>5996000</v>
      </c>
      <c r="F7" s="12">
        <f>+'Yahoo Fin Input'!D7</f>
        <v>6115000</v>
      </c>
      <c r="G7" s="12">
        <f>+'Yahoo Fin Input'!E7</f>
        <v>6321000</v>
      </c>
      <c r="H7" s="12">
        <f>+'Yahoo Fin Input'!F7</f>
        <v>5624000</v>
      </c>
      <c r="I7" s="12">
        <v>5071000</v>
      </c>
      <c r="J7" s="12">
        <v>4696000</v>
      </c>
      <c r="K7" s="12">
        <v>5907000</v>
      </c>
      <c r="L7" s="12">
        <v>6153000</v>
      </c>
      <c r="M7" s="13"/>
      <c r="N7" s="12">
        <f>+'Yahoo Fin Input'!K7</f>
        <v>1493000</v>
      </c>
      <c r="O7" s="12">
        <f>+'Yahoo Fin Input'!L7</f>
        <v>1539000</v>
      </c>
      <c r="P7" s="12">
        <f>+'Yahoo Fin Input'!M7</f>
        <v>1458000</v>
      </c>
      <c r="Q7" s="12">
        <f>+'Yahoo Fin Input'!N7</f>
        <v>1506000</v>
      </c>
      <c r="R7" s="13"/>
    </row>
    <row r="8" spans="1:18" ht="13.5" customHeight="1">
      <c r="A8">
        <f>ROW()</f>
        <v>8</v>
      </c>
      <c r="B8" s="9"/>
      <c r="C8" s="433" t="s">
        <v>6</v>
      </c>
      <c r="D8" s="433"/>
      <c r="E8" s="15">
        <f>SUM(N8:Q8)</f>
        <v>1752000</v>
      </c>
      <c r="F8" s="16">
        <f>+'Yahoo Fin Input'!D8</f>
        <v>1924000</v>
      </c>
      <c r="G8" s="16">
        <f>+'Yahoo Fin Input'!E8</f>
        <v>2352000</v>
      </c>
      <c r="H8" s="16">
        <f>+'Yahoo Fin Input'!F8</f>
        <v>1970000</v>
      </c>
      <c r="I8" s="16">
        <v>1800000</v>
      </c>
      <c r="J8" s="16">
        <v>1737000</v>
      </c>
      <c r="K8" s="16">
        <v>2184935.9028960816</v>
      </c>
      <c r="L8" s="16">
        <v>2235664.099646571</v>
      </c>
      <c r="M8" s="13"/>
      <c r="N8" s="16">
        <f>+'Yahoo Fin Input'!K8</f>
        <v>429000</v>
      </c>
      <c r="O8" s="16">
        <f>+'Yahoo Fin Input'!L8</f>
        <v>439000</v>
      </c>
      <c r="P8" s="16">
        <f>+'Yahoo Fin Input'!M8</f>
        <v>429000</v>
      </c>
      <c r="Q8" s="16">
        <f>+'Yahoo Fin Input'!N8</f>
        <v>455000</v>
      </c>
      <c r="R8" s="13"/>
    </row>
    <row r="9" spans="1:18" ht="13.5" customHeight="1">
      <c r="A9">
        <f>ROW()</f>
        <v>9</v>
      </c>
      <c r="B9" s="9"/>
      <c r="C9" s="430" t="s">
        <v>7</v>
      </c>
      <c r="D9" s="430"/>
      <c r="E9" s="17">
        <f>+E7-E8</f>
        <v>4244000</v>
      </c>
      <c r="F9" s="12">
        <f>+F7-F8</f>
        <v>4191000</v>
      </c>
      <c r="G9" s="12">
        <f>+G7-G8</f>
        <v>3969000</v>
      </c>
      <c r="H9" s="12">
        <f>+H7-H8</f>
        <v>3654000</v>
      </c>
      <c r="I9" s="12">
        <v>3271000</v>
      </c>
      <c r="J9" s="12">
        <v>2959000</v>
      </c>
      <c r="K9" s="12">
        <v>3722064.0971039184</v>
      </c>
      <c r="L9" s="12">
        <v>3917335.900353429</v>
      </c>
      <c r="M9" s="13"/>
      <c r="N9" s="12">
        <f>+N7-N8</f>
        <v>1064000</v>
      </c>
      <c r="O9" s="12">
        <f>+O7-O8</f>
        <v>1100000</v>
      </c>
      <c r="P9" s="12">
        <f>+P7-P8</f>
        <v>1029000</v>
      </c>
      <c r="Q9" s="12">
        <f>+Q7-Q8</f>
        <v>1051000</v>
      </c>
      <c r="R9" s="13"/>
    </row>
    <row r="10" spans="1:18" ht="13.5" customHeight="1">
      <c r="A10">
        <f>ROW()</f>
        <v>10</v>
      </c>
      <c r="B10" s="9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3"/>
      <c r="N10" s="18"/>
      <c r="O10" s="18"/>
      <c r="P10" s="18"/>
      <c r="Q10" s="18"/>
      <c r="R10" s="13"/>
    </row>
    <row r="11" spans="1:18" ht="13.5" customHeight="1">
      <c r="A11">
        <f>ROW()</f>
        <v>11</v>
      </c>
      <c r="B11" s="9"/>
      <c r="C11" s="14"/>
      <c r="D11" s="20" t="s">
        <v>8</v>
      </c>
      <c r="E11" s="21"/>
      <c r="F11" s="20"/>
      <c r="G11" s="20"/>
      <c r="H11" s="20"/>
      <c r="I11" s="20"/>
      <c r="J11" s="20"/>
      <c r="K11" s="20"/>
      <c r="L11" s="20"/>
      <c r="M11" s="13"/>
      <c r="N11" s="18"/>
      <c r="O11" s="18"/>
      <c r="P11" s="18"/>
      <c r="Q11" s="18"/>
      <c r="R11" s="13"/>
    </row>
    <row r="12" spans="1:18" ht="13.5" customHeight="1">
      <c r="A12">
        <f>ROW()</f>
        <v>12</v>
      </c>
      <c r="B12" s="9"/>
      <c r="C12" s="14"/>
      <c r="D12" s="14" t="s">
        <v>9</v>
      </c>
      <c r="E12" s="22"/>
      <c r="F12" s="23">
        <f>+'Yahoo Fin Input'!D13</f>
        <v>0</v>
      </c>
      <c r="G12" s="23">
        <f>+'Yahoo Fin Input'!E13</f>
        <v>0</v>
      </c>
      <c r="H12" s="23">
        <f>+'Yahoo Fin Input'!F13</f>
        <v>0</v>
      </c>
      <c r="I12" s="23">
        <v>0</v>
      </c>
      <c r="J12" s="23">
        <v>0</v>
      </c>
      <c r="K12" s="23">
        <v>0</v>
      </c>
      <c r="L12" s="23">
        <v>0</v>
      </c>
      <c r="M12" s="13"/>
      <c r="N12" s="24">
        <f>+'Yahoo Fin Input'!K13</f>
        <v>0</v>
      </c>
      <c r="O12" s="24">
        <f>+'Yahoo Fin Input'!L13</f>
        <v>0</v>
      </c>
      <c r="P12" s="24">
        <f>+'Yahoo Fin Input'!M13</f>
        <v>0</v>
      </c>
      <c r="Q12" s="24">
        <f>+'Yahoo Fin Input'!N13</f>
        <v>0</v>
      </c>
      <c r="R12" s="13"/>
    </row>
    <row r="13" spans="1:18" ht="13.5" customHeight="1">
      <c r="A13">
        <f>ROW()</f>
        <v>13</v>
      </c>
      <c r="B13" s="9"/>
      <c r="C13" s="14"/>
      <c r="D13" s="14" t="s">
        <v>10</v>
      </c>
      <c r="E13" s="22">
        <f>SUM(N13:Q13)</f>
        <v>3100000</v>
      </c>
      <c r="F13" s="23">
        <f>+'Yahoo Fin Input'!D14</f>
        <v>2998000</v>
      </c>
      <c r="G13" s="23">
        <f>+'Yahoo Fin Input'!E14</f>
        <v>2818000</v>
      </c>
      <c r="H13" s="23">
        <f>+'Yahoo Fin Input'!F14</f>
        <v>2691000</v>
      </c>
      <c r="I13" s="23">
        <v>2461000</v>
      </c>
      <c r="J13" s="23">
        <v>2245000</v>
      </c>
      <c r="K13" s="23">
        <v>2639064.0971039184</v>
      </c>
      <c r="L13" s="23">
        <v>2700335.900353429</v>
      </c>
      <c r="M13" s="13"/>
      <c r="N13" s="24">
        <f>+'Yahoo Fin Input'!K14</f>
        <v>782000</v>
      </c>
      <c r="O13" s="24">
        <f>+'Yahoo Fin Input'!L14</f>
        <v>796000</v>
      </c>
      <c r="P13" s="24">
        <f>+'Yahoo Fin Input'!M14</f>
        <v>767000</v>
      </c>
      <c r="Q13" s="24">
        <f>+'Yahoo Fin Input'!N14</f>
        <v>755000</v>
      </c>
      <c r="R13" s="13"/>
    </row>
    <row r="14" spans="1:18" ht="13.5" customHeight="1">
      <c r="A14">
        <f>ROW()</f>
        <v>14</v>
      </c>
      <c r="B14" s="9"/>
      <c r="C14" s="14"/>
      <c r="D14" s="14" t="s">
        <v>285</v>
      </c>
      <c r="E14" s="22">
        <f>SUM(N14:Q14)</f>
        <v>21000</v>
      </c>
      <c r="F14" s="23">
        <f>+'Yahoo Fin Input'!D15</f>
        <v>1000</v>
      </c>
      <c r="G14" s="23">
        <f>+'Yahoo Fin Input'!E15</f>
        <v>-12000</v>
      </c>
      <c r="H14" s="23">
        <f>+'Yahoo Fin Input'!F15</f>
        <v>68000</v>
      </c>
      <c r="I14" s="23">
        <v>-75000</v>
      </c>
      <c r="J14" s="23">
        <v>379000</v>
      </c>
      <c r="K14" s="23">
        <v>141000</v>
      </c>
      <c r="L14" s="23">
        <v>53000</v>
      </c>
      <c r="M14" s="13"/>
      <c r="N14" s="24">
        <f>+'Yahoo Fin Input'!K15</f>
        <v>0</v>
      </c>
      <c r="O14" s="24">
        <f>+'Yahoo Fin Input'!L15</f>
        <v>-3000</v>
      </c>
      <c r="P14" s="24" t="str">
        <f>+'Yahoo Fin Input'!M15</f>
        <v>-  </v>
      </c>
      <c r="Q14" s="24">
        <f>+'Yahoo Fin Input'!N15</f>
        <v>24000</v>
      </c>
      <c r="R14" s="13"/>
    </row>
    <row r="15" spans="1:18" ht="13.5" customHeight="1">
      <c r="A15">
        <f>ROW()</f>
        <v>15</v>
      </c>
      <c r="B15" s="9"/>
      <c r="C15" s="14"/>
      <c r="D15" s="14" t="s">
        <v>12</v>
      </c>
      <c r="E15" s="15">
        <f>SUM(N15:Q15)</f>
        <v>282000</v>
      </c>
      <c r="F15" s="16">
        <f>+'Yahoo Fin Input'!D16</f>
        <v>267000</v>
      </c>
      <c r="G15" s="16">
        <f>+'Yahoo Fin Input'!E16</f>
        <v>251000</v>
      </c>
      <c r="H15" s="16">
        <f>+'Yahoo Fin Input'!F16</f>
        <v>265000</v>
      </c>
      <c r="I15" s="16">
        <v>285000</v>
      </c>
      <c r="J15" s="16">
        <v>309000</v>
      </c>
      <c r="K15" s="16">
        <v>323000</v>
      </c>
      <c r="L15" s="16">
        <v>306000</v>
      </c>
      <c r="M15" s="13"/>
      <c r="N15" s="26">
        <f>+'Yahoo Fin Input'!K16</f>
        <v>72000</v>
      </c>
      <c r="O15" s="26">
        <f>+'Yahoo Fin Input'!L16</f>
        <v>70000</v>
      </c>
      <c r="P15" s="26">
        <f>+'Yahoo Fin Input'!M16</f>
        <v>68000</v>
      </c>
      <c r="Q15" s="26">
        <f>+'Yahoo Fin Input'!N16</f>
        <v>72000</v>
      </c>
      <c r="R15" s="13"/>
    </row>
    <row r="16" spans="1:18" ht="13.5" customHeight="1">
      <c r="A16">
        <f>ROW()</f>
        <v>16</v>
      </c>
      <c r="B16" s="9"/>
      <c r="C16" s="14"/>
      <c r="D16" s="10" t="s">
        <v>13</v>
      </c>
      <c r="E16" s="25">
        <f>SUM(E12:E15)</f>
        <v>3403000</v>
      </c>
      <c r="F16" s="23">
        <f>SUM(F12:F15)</f>
        <v>3266000</v>
      </c>
      <c r="G16" s="23">
        <f>SUM(G12:G15)</f>
        <v>3057000</v>
      </c>
      <c r="H16" s="23">
        <f>SUM(H12:H15)</f>
        <v>3024000</v>
      </c>
      <c r="I16" s="23">
        <v>2671000</v>
      </c>
      <c r="J16" s="23">
        <v>2933000</v>
      </c>
      <c r="K16" s="23">
        <v>3103064.0971039184</v>
      </c>
      <c r="L16" s="23">
        <v>3059335.900353429</v>
      </c>
      <c r="M16" s="13"/>
      <c r="N16" s="23">
        <f>SUM(N12:N15)</f>
        <v>854000</v>
      </c>
      <c r="O16" s="23">
        <f>SUM(O12:O15)</f>
        <v>863000</v>
      </c>
      <c r="P16" s="23">
        <f>SUM(P12:P15)</f>
        <v>835000</v>
      </c>
      <c r="Q16" s="23">
        <f>SUM(Q12:Q15)</f>
        <v>851000</v>
      </c>
      <c r="R16" s="13"/>
    </row>
    <row r="17" spans="1:18" ht="13.5" customHeight="1">
      <c r="A17">
        <f>ROW()</f>
        <v>17</v>
      </c>
      <c r="B17" s="9"/>
      <c r="C17" s="14"/>
      <c r="D17" s="10"/>
      <c r="E17" s="25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13"/>
    </row>
    <row r="18" spans="1:18" ht="13.5" customHeight="1">
      <c r="A18">
        <f>ROW()</f>
        <v>18</v>
      </c>
      <c r="B18" s="9"/>
      <c r="C18" s="430" t="s">
        <v>14</v>
      </c>
      <c r="D18" s="430"/>
      <c r="E18" s="17">
        <f>+E9-E16</f>
        <v>841000</v>
      </c>
      <c r="F18" s="12">
        <f>+F9-F16</f>
        <v>925000</v>
      </c>
      <c r="G18" s="12">
        <f>+G9-G16</f>
        <v>912000</v>
      </c>
      <c r="H18" s="12">
        <f>+H9-H16</f>
        <v>630000</v>
      </c>
      <c r="I18" s="12">
        <v>600000</v>
      </c>
      <c r="J18" s="12">
        <v>26000</v>
      </c>
      <c r="K18" s="12">
        <v>619000</v>
      </c>
      <c r="L18" s="12">
        <v>858000</v>
      </c>
      <c r="M18" s="13"/>
      <c r="N18" s="12">
        <f>+N9-N16</f>
        <v>210000</v>
      </c>
      <c r="O18" s="12">
        <f>+O9-O16</f>
        <v>237000</v>
      </c>
      <c r="P18" s="12">
        <f>+P9-P16</f>
        <v>194000</v>
      </c>
      <c r="Q18" s="12">
        <f>+Q9-Q16</f>
        <v>200000</v>
      </c>
      <c r="R18" s="13"/>
    </row>
    <row r="19" spans="1:18" ht="13.5" customHeight="1">
      <c r="A19">
        <f>ROW()</f>
        <v>19</v>
      </c>
      <c r="B19" s="9"/>
      <c r="C19" s="14"/>
      <c r="D19" s="14" t="s">
        <v>284</v>
      </c>
      <c r="E19" s="15">
        <f>SUM(N19:Q19)</f>
        <v>0</v>
      </c>
      <c r="F19" s="16"/>
      <c r="G19" s="368">
        <f>-275000+236000+10000</f>
        <v>-29000</v>
      </c>
      <c r="H19" s="368">
        <f>-318000+296000</f>
        <v>-22000</v>
      </c>
      <c r="I19" s="368">
        <v>-22000</v>
      </c>
      <c r="J19" s="368">
        <v>-22000</v>
      </c>
      <c r="K19" s="16">
        <v>-79000</v>
      </c>
      <c r="L19" s="16">
        <v>43000</v>
      </c>
      <c r="M19" s="13"/>
      <c r="N19" s="70"/>
      <c r="O19" s="70"/>
      <c r="P19" s="70"/>
      <c r="Q19" s="70"/>
      <c r="R19" s="18"/>
    </row>
    <row r="20" spans="1:18" ht="13.5" customHeight="1">
      <c r="A20">
        <f>ROW()</f>
        <v>20</v>
      </c>
      <c r="B20" s="9"/>
      <c r="C20" s="430" t="s">
        <v>16</v>
      </c>
      <c r="D20" s="430"/>
      <c r="E20" s="17">
        <f>+E18+E19</f>
        <v>841000</v>
      </c>
      <c r="F20" s="12">
        <f>+F18+F19</f>
        <v>925000</v>
      </c>
      <c r="G20" s="12">
        <f>+G18+G19</f>
        <v>883000</v>
      </c>
      <c r="H20" s="12">
        <v>666000</v>
      </c>
      <c r="I20" s="12">
        <v>666000</v>
      </c>
      <c r="J20" s="12">
        <v>666000</v>
      </c>
      <c r="K20" s="12">
        <v>666000</v>
      </c>
      <c r="L20" s="12">
        <v>666001</v>
      </c>
      <c r="M20" s="13"/>
      <c r="N20" s="12">
        <f>+N18+N19</f>
        <v>210000</v>
      </c>
      <c r="O20" s="12">
        <f>+O18+O19</f>
        <v>237000</v>
      </c>
      <c r="P20" s="12">
        <f>+P18+P19</f>
        <v>194000</v>
      </c>
      <c r="Q20" s="12">
        <f>+Q18+Q19</f>
        <v>200000</v>
      </c>
      <c r="R20" s="18"/>
    </row>
    <row r="21" spans="1:18" ht="13.5" customHeight="1">
      <c r="A21">
        <f>ROW()</f>
        <v>21</v>
      </c>
      <c r="B21" s="9"/>
      <c r="C21" s="14"/>
      <c r="D21" s="14" t="s">
        <v>17</v>
      </c>
      <c r="E21" s="15">
        <f>SUM(N21:Q21)</f>
        <v>185000</v>
      </c>
      <c r="F21" s="368">
        <v>216000</v>
      </c>
      <c r="G21" s="368">
        <v>236000</v>
      </c>
      <c r="H21" s="368">
        <v>296000</v>
      </c>
      <c r="I21" s="368">
        <v>296000</v>
      </c>
      <c r="J21" s="368">
        <v>296000</v>
      </c>
      <c r="K21" s="16">
        <v>210000</v>
      </c>
      <c r="L21" s="16">
        <v>168000</v>
      </c>
      <c r="M21" s="13"/>
      <c r="N21" s="26">
        <v>56000</v>
      </c>
      <c r="O21" s="26">
        <v>79000</v>
      </c>
      <c r="P21" s="26">
        <f>+'Yahoo Fin Input'!M26</f>
        <v>0</v>
      </c>
      <c r="Q21" s="26">
        <v>50000</v>
      </c>
      <c r="R21" s="18"/>
    </row>
    <row r="22" spans="1:18" ht="13.5" customHeight="1">
      <c r="A22">
        <f>ROW()</f>
        <v>22</v>
      </c>
      <c r="B22" s="9"/>
      <c r="C22" s="14"/>
      <c r="D22" s="14" t="s">
        <v>18</v>
      </c>
      <c r="E22" s="17">
        <f>+E20-E21</f>
        <v>656000</v>
      </c>
      <c r="F22" s="12">
        <f>+F20-F21</f>
        <v>709000</v>
      </c>
      <c r="G22" s="12">
        <f>+G20-G21</f>
        <v>647000</v>
      </c>
      <c r="H22" s="12">
        <f>+H20-H21</f>
        <v>370000</v>
      </c>
      <c r="I22" s="12">
        <v>370000</v>
      </c>
      <c r="J22" s="12">
        <v>370000</v>
      </c>
      <c r="K22" s="12">
        <v>456000</v>
      </c>
      <c r="L22" s="12">
        <v>498001</v>
      </c>
      <c r="M22" s="13"/>
      <c r="N22" s="12">
        <f>+N20-N21</f>
        <v>154000</v>
      </c>
      <c r="O22" s="12">
        <f>+O20-O21</f>
        <v>158000</v>
      </c>
      <c r="P22" s="12">
        <f>+P20-P21</f>
        <v>194000</v>
      </c>
      <c r="Q22" s="12">
        <f>+Q20-Q21</f>
        <v>150000</v>
      </c>
      <c r="R22" s="18"/>
    </row>
    <row r="23" spans="1:18" ht="13.5" customHeight="1">
      <c r="A23">
        <f>ROW()</f>
        <v>23</v>
      </c>
      <c r="B23" s="9"/>
      <c r="C23" s="14"/>
      <c r="D23" s="14" t="s">
        <v>19</v>
      </c>
      <c r="E23" s="22">
        <f>SUM(N23:Q23)</f>
        <v>175000</v>
      </c>
      <c r="F23" s="23">
        <f>+'Yahoo Fin Input'!D28</f>
        <v>263000</v>
      </c>
      <c r="G23" s="23">
        <f>+'Yahoo Fin Input'!E28</f>
        <v>148000</v>
      </c>
      <c r="H23" s="23">
        <f>+'Yahoo Fin Input'!F28</f>
        <v>-75000</v>
      </c>
      <c r="I23" s="23">
        <v>27000</v>
      </c>
      <c r="J23" s="23">
        <v>-293000</v>
      </c>
      <c r="K23" s="23">
        <v>76000</v>
      </c>
      <c r="L23" s="23">
        <v>189000</v>
      </c>
      <c r="M23" s="13"/>
      <c r="N23" s="24">
        <f>+'Yahoo Fin Input'!K28</f>
        <v>54000</v>
      </c>
      <c r="O23" s="24">
        <f>+'Yahoo Fin Input'!L28</f>
        <v>73000</v>
      </c>
      <c r="P23" s="24">
        <f>+'Yahoo Fin Input'!M28</f>
        <v>8000</v>
      </c>
      <c r="Q23" s="24">
        <f>+'Yahoo Fin Input'!N28</f>
        <v>40000</v>
      </c>
      <c r="R23" s="18"/>
    </row>
    <row r="24" spans="1:18" ht="13.5" customHeight="1">
      <c r="A24">
        <f>ROW()</f>
        <v>24</v>
      </c>
      <c r="B24" s="9"/>
      <c r="C24" s="14"/>
      <c r="D24" s="14" t="s">
        <v>20</v>
      </c>
      <c r="E24" s="15">
        <f>SUM(N24:Q24)</f>
        <v>0</v>
      </c>
      <c r="F24" s="16">
        <f>+'Yahoo Fin Input'!D29</f>
        <v>0</v>
      </c>
      <c r="G24" s="16">
        <f>+'Yahoo Fin Input'!E29</f>
        <v>0</v>
      </c>
      <c r="H24" s="16">
        <f>+'Yahoo Fin Input'!F29</f>
        <v>2000</v>
      </c>
      <c r="I24" s="16">
        <v>2000</v>
      </c>
      <c r="J24" s="16">
        <v>2000</v>
      </c>
      <c r="K24" s="16">
        <v>0</v>
      </c>
      <c r="L24" s="16">
        <v>-1000</v>
      </c>
      <c r="M24" s="13"/>
      <c r="N24" s="26">
        <f>+'Yahoo Fin Input'!K29</f>
        <v>0</v>
      </c>
      <c r="O24" s="26">
        <f>+'Yahoo Fin Input'!L29</f>
        <v>0</v>
      </c>
      <c r="P24" s="26">
        <f>+'Yahoo Fin Input'!M29</f>
        <v>0</v>
      </c>
      <c r="Q24" s="26">
        <f>+'Yahoo Fin Input'!N29</f>
        <v>0</v>
      </c>
      <c r="R24" s="18"/>
    </row>
    <row r="25" spans="1:18" ht="13.5" customHeight="1">
      <c r="A25">
        <f>ROW()</f>
        <v>25</v>
      </c>
      <c r="B25" s="9"/>
      <c r="C25" s="14"/>
      <c r="D25" s="14" t="s">
        <v>21</v>
      </c>
      <c r="E25" s="17">
        <f>+E22-E23-E24</f>
        <v>481000</v>
      </c>
      <c r="F25" s="12">
        <f>+F22-F23+F24</f>
        <v>446000</v>
      </c>
      <c r="G25" s="12">
        <f>+G22-G23+G24</f>
        <v>499000</v>
      </c>
      <c r="H25" s="12">
        <f>+H22-H23+H24</f>
        <v>447000</v>
      </c>
      <c r="I25" s="12">
        <v>345000</v>
      </c>
      <c r="J25" s="12">
        <v>665000</v>
      </c>
      <c r="K25" s="12">
        <v>380000</v>
      </c>
      <c r="L25" s="12">
        <v>308001</v>
      </c>
      <c r="M25" s="13"/>
      <c r="N25" s="12">
        <f>+N22-N23+N24</f>
        <v>100000</v>
      </c>
      <c r="O25" s="12">
        <f>+O22-O23+O24</f>
        <v>85000</v>
      </c>
      <c r="P25" s="12">
        <f>+P22-P23+P24</f>
        <v>186000</v>
      </c>
      <c r="Q25" s="12">
        <f>+Q22-Q23+Q24</f>
        <v>110000</v>
      </c>
      <c r="R25" s="18"/>
    </row>
    <row r="26" spans="1:18" ht="13.5" customHeight="1">
      <c r="A26">
        <f>ROW()</f>
        <v>26</v>
      </c>
      <c r="B26" s="9"/>
      <c r="C26" s="14"/>
      <c r="D26" s="14"/>
      <c r="E26" s="17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2"/>
      <c r="Q26" s="12"/>
      <c r="R26" s="18"/>
    </row>
    <row r="27" spans="1:18" ht="13.5" customHeight="1">
      <c r="A27">
        <f>ROW()</f>
        <v>27</v>
      </c>
      <c r="B27" s="9"/>
      <c r="C27" s="14"/>
      <c r="D27" s="18" t="s">
        <v>22</v>
      </c>
      <c r="E27" s="19"/>
      <c r="F27" s="18"/>
      <c r="G27" s="18"/>
      <c r="H27" s="18"/>
      <c r="I27" s="18"/>
      <c r="J27" s="18"/>
      <c r="K27" s="18"/>
      <c r="L27" s="18"/>
      <c r="M27" s="13"/>
      <c r="N27" s="24"/>
      <c r="O27" s="24"/>
      <c r="P27" s="24"/>
      <c r="Q27" s="24"/>
      <c r="R27" s="18"/>
    </row>
    <row r="28" spans="1:18" ht="13.5" customHeight="1">
      <c r="A28">
        <f>ROW()</f>
        <v>28</v>
      </c>
      <c r="B28" s="9"/>
      <c r="C28" s="14"/>
      <c r="D28" s="14" t="s">
        <v>23</v>
      </c>
      <c r="E28" s="22">
        <f>SUM(N28:Q28)</f>
        <v>1000</v>
      </c>
      <c r="F28" s="23">
        <f>+'Yahoo Fin Input'!D34</f>
        <v>70000</v>
      </c>
      <c r="G28" s="23">
        <f>+'Yahoo Fin Input'!E34</f>
        <v>92000</v>
      </c>
      <c r="H28" s="23">
        <f>+'Yahoo Fin Input'!F34</f>
        <v>-13000</v>
      </c>
      <c r="I28" s="23">
        <v>167000</v>
      </c>
      <c r="J28" s="23">
        <v>74000</v>
      </c>
      <c r="K28" s="23">
        <v>75000</v>
      </c>
      <c r="L28" s="23">
        <v>-1000</v>
      </c>
      <c r="M28" s="13"/>
      <c r="N28" s="24">
        <f>+'Yahoo Fin Input'!K34</f>
        <v>0</v>
      </c>
      <c r="O28" s="24">
        <f>+'Yahoo Fin Input'!L34</f>
        <v>0</v>
      </c>
      <c r="P28" s="24">
        <f>+'Yahoo Fin Input'!M34</f>
        <v>1000</v>
      </c>
      <c r="Q28" s="24">
        <f>+'Yahoo Fin Input'!N34</f>
        <v>0</v>
      </c>
      <c r="R28" s="18"/>
    </row>
    <row r="29" spans="1:18" ht="13.5" customHeight="1">
      <c r="A29">
        <f>ROW()</f>
        <v>29</v>
      </c>
      <c r="B29" s="9"/>
      <c r="C29" s="14"/>
      <c r="D29" s="14" t="s">
        <v>24</v>
      </c>
      <c r="E29" s="22">
        <f>SUM(N29:Q29)</f>
        <v>0</v>
      </c>
      <c r="F29" s="23">
        <f>+'Yahoo Fin Input'!D35</f>
        <v>0</v>
      </c>
      <c r="G29" s="23">
        <f>+'Yahoo Fin Input'!E35</f>
        <v>0</v>
      </c>
      <c r="H29" s="23">
        <f>+'Yahoo Fin Input'!F35</f>
        <v>0</v>
      </c>
      <c r="I29" s="23">
        <v>0</v>
      </c>
      <c r="J29" s="23">
        <v>0</v>
      </c>
      <c r="K29" s="23">
        <v>0</v>
      </c>
      <c r="L29" s="23">
        <v>0</v>
      </c>
      <c r="M29" s="13"/>
      <c r="N29" s="24">
        <f>+'Yahoo Fin Input'!K35</f>
        <v>0</v>
      </c>
      <c r="O29" s="24">
        <f>+'Yahoo Fin Input'!L35</f>
        <v>0</v>
      </c>
      <c r="P29" s="24">
        <f>+'Yahoo Fin Input'!M35</f>
        <v>0</v>
      </c>
      <c r="Q29" s="24">
        <f>+'Yahoo Fin Input'!N35</f>
        <v>0</v>
      </c>
      <c r="R29" s="18"/>
    </row>
    <row r="30" spans="1:18" ht="13.5" customHeight="1">
      <c r="A30">
        <f>ROW()</f>
        <v>30</v>
      </c>
      <c r="B30" s="9"/>
      <c r="C30" s="14"/>
      <c r="D30" s="14" t="s">
        <v>25</v>
      </c>
      <c r="E30" s="22">
        <f>SUM(N30:Q30)</f>
        <v>0</v>
      </c>
      <c r="F30" s="23">
        <f>+'Yahoo Fin Input'!D36</f>
        <v>0</v>
      </c>
      <c r="G30" s="23">
        <f>+'Yahoo Fin Input'!E36</f>
        <v>0</v>
      </c>
      <c r="H30" s="23">
        <f>+'Yahoo Fin Input'!F36</f>
        <v>0</v>
      </c>
      <c r="I30" s="23">
        <v>0</v>
      </c>
      <c r="J30" s="23">
        <v>0</v>
      </c>
      <c r="K30" s="23">
        <v>0</v>
      </c>
      <c r="L30" s="23">
        <v>0</v>
      </c>
      <c r="M30" s="13"/>
      <c r="N30" s="24">
        <f>+'Yahoo Fin Input'!K36</f>
        <v>0</v>
      </c>
      <c r="O30" s="24">
        <f>+'Yahoo Fin Input'!L36</f>
        <v>0</v>
      </c>
      <c r="P30" s="24">
        <f>+'Yahoo Fin Input'!M36</f>
        <v>0</v>
      </c>
      <c r="Q30" s="24">
        <f>+'Yahoo Fin Input'!N36</f>
        <v>0</v>
      </c>
      <c r="R30" s="18"/>
    </row>
    <row r="31" spans="1:18" ht="13.5" customHeight="1">
      <c r="A31">
        <f>ROW()</f>
        <v>31</v>
      </c>
      <c r="B31" s="9"/>
      <c r="C31" s="14"/>
      <c r="D31" s="14" t="s">
        <v>26</v>
      </c>
      <c r="E31" s="15">
        <f>SUM(N31:Q31)</f>
        <v>0</v>
      </c>
      <c r="F31" s="16">
        <f>+'Yahoo Fin Input'!D37</f>
        <v>0</v>
      </c>
      <c r="G31" s="16">
        <f>+'Yahoo Fin Input'!E37</f>
        <v>0</v>
      </c>
      <c r="H31" s="16">
        <f>+'Yahoo Fin Input'!F37</f>
        <v>0</v>
      </c>
      <c r="I31" s="16">
        <v>0</v>
      </c>
      <c r="J31" s="16">
        <v>0</v>
      </c>
      <c r="K31" s="16">
        <v>0</v>
      </c>
      <c r="L31" s="16">
        <v>0</v>
      </c>
      <c r="M31" s="13"/>
      <c r="N31" s="26">
        <f>+'Yahoo Fin Input'!K37</f>
        <v>0</v>
      </c>
      <c r="O31" s="26">
        <f>+'Yahoo Fin Input'!L37</f>
        <v>0</v>
      </c>
      <c r="P31" s="26">
        <f>+'Yahoo Fin Input'!M37</f>
        <v>0</v>
      </c>
      <c r="Q31" s="26">
        <f>+'Yahoo Fin Input'!N37</f>
        <v>0</v>
      </c>
      <c r="R31" s="18"/>
    </row>
    <row r="32" spans="1:18" ht="13.5" customHeight="1">
      <c r="A32">
        <f>ROW()</f>
        <v>32</v>
      </c>
      <c r="B32" s="9"/>
      <c r="C32" s="430" t="s">
        <v>27</v>
      </c>
      <c r="D32" s="430"/>
      <c r="E32" s="17">
        <f>+E25+SUM(E28:E31)</f>
        <v>482000</v>
      </c>
      <c r="F32" s="12">
        <f>+F25+SUM(F28:F31)</f>
        <v>516000</v>
      </c>
      <c r="G32" s="12">
        <f>+G25+SUM(G28:G31)</f>
        <v>591000</v>
      </c>
      <c r="H32" s="12">
        <f>+H25+SUM(H28:H31)</f>
        <v>434000</v>
      </c>
      <c r="I32" s="12">
        <v>512000</v>
      </c>
      <c r="J32" s="12">
        <v>739000</v>
      </c>
      <c r="K32" s="12">
        <v>455000</v>
      </c>
      <c r="L32" s="12">
        <v>307001</v>
      </c>
      <c r="M32" s="13"/>
      <c r="N32" s="12">
        <f>+N25+SUM(N28:N31)</f>
        <v>100000</v>
      </c>
      <c r="O32" s="12">
        <f>+O25+SUM(O28:O31)</f>
        <v>85000</v>
      </c>
      <c r="P32" s="12">
        <f>+P25+SUM(P28:P31)</f>
        <v>187000</v>
      </c>
      <c r="Q32" s="12">
        <f>+Q25+SUM(Q28:Q31)</f>
        <v>110000</v>
      </c>
      <c r="R32" s="18"/>
    </row>
    <row r="33" spans="1:18" ht="13.5" customHeight="1">
      <c r="A33">
        <f>ROW()</f>
        <v>33</v>
      </c>
      <c r="B33" s="9"/>
      <c r="C33" s="433" t="s">
        <v>28</v>
      </c>
      <c r="D33" s="433"/>
      <c r="E33" s="15">
        <f>SUM(N33:Q33)</f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3"/>
      <c r="N33" s="16">
        <v>0</v>
      </c>
      <c r="O33" s="16">
        <v>0</v>
      </c>
      <c r="P33" s="16">
        <v>0</v>
      </c>
      <c r="Q33" s="16">
        <v>0</v>
      </c>
      <c r="R33" s="18"/>
    </row>
    <row r="34" spans="1:18" ht="13.5" customHeight="1" thickBot="1">
      <c r="A34">
        <f>ROW()</f>
        <v>34</v>
      </c>
      <c r="B34" s="9"/>
      <c r="C34" s="430" t="s">
        <v>29</v>
      </c>
      <c r="D34" s="430"/>
      <c r="E34" s="328">
        <f>+E32-E33</f>
        <v>482000</v>
      </c>
      <c r="F34" s="27">
        <f>+F32-F33</f>
        <v>516000</v>
      </c>
      <c r="G34" s="27">
        <f>+G32-G33</f>
        <v>591000</v>
      </c>
      <c r="H34" s="27">
        <f>+H32-H33</f>
        <v>434000</v>
      </c>
      <c r="I34" s="27">
        <v>512000</v>
      </c>
      <c r="J34" s="27">
        <v>739000</v>
      </c>
      <c r="K34" s="27">
        <v>455000</v>
      </c>
      <c r="L34" s="27">
        <v>307001</v>
      </c>
      <c r="M34" s="13"/>
      <c r="N34" s="27">
        <f>+N32-N33</f>
        <v>100000</v>
      </c>
      <c r="O34" s="27">
        <f>+O32-O33</f>
        <v>85000</v>
      </c>
      <c r="P34" s="27">
        <f>+P32-P33</f>
        <v>187000</v>
      </c>
      <c r="Q34" s="27">
        <f>+Q32-Q33</f>
        <v>110000</v>
      </c>
      <c r="R34" s="18"/>
    </row>
    <row r="35" spans="1:18" ht="13.5" customHeight="1" thickTop="1">
      <c r="A35">
        <f>ROW()</f>
        <v>35</v>
      </c>
      <c r="B35" s="9"/>
      <c r="C35" s="10"/>
      <c r="D35" s="10"/>
      <c r="E35" s="10"/>
      <c r="F35" s="10"/>
      <c r="G35" s="28"/>
      <c r="H35" s="28"/>
      <c r="I35" s="28"/>
      <c r="J35" s="28"/>
      <c r="K35" s="28"/>
      <c r="L35" s="28"/>
      <c r="M35" s="13"/>
      <c r="N35" s="24"/>
      <c r="O35" s="24"/>
      <c r="P35" s="24"/>
      <c r="Q35" s="24"/>
      <c r="R35" s="18"/>
    </row>
    <row r="36" spans="1:18" ht="13.5" customHeight="1">
      <c r="A36">
        <f>ROW()</f>
        <v>36</v>
      </c>
      <c r="B36" s="9"/>
      <c r="C36" s="10"/>
      <c r="D36" s="10" t="s">
        <v>321</v>
      </c>
      <c r="E36" s="371">
        <v>63.19</v>
      </c>
      <c r="F36" s="371">
        <v>78.47</v>
      </c>
      <c r="G36" s="371">
        <v>57.36</v>
      </c>
      <c r="H36" s="372">
        <v>46.86</v>
      </c>
      <c r="I36" s="372">
        <v>58.76</v>
      </c>
      <c r="J36" s="372">
        <v>35.18</v>
      </c>
      <c r="K36" s="372">
        <v>17.13</v>
      </c>
      <c r="L36" s="372">
        <v>39.91</v>
      </c>
      <c r="M36" s="373"/>
      <c r="N36" s="371"/>
      <c r="O36" s="371"/>
      <c r="P36" s="371"/>
      <c r="Q36" s="371"/>
      <c r="R36" s="18"/>
    </row>
    <row r="37" spans="1:18" ht="13.5" customHeight="1">
      <c r="A37">
        <f>ROW()</f>
        <v>37</v>
      </c>
      <c r="B37" s="9"/>
      <c r="C37" s="5"/>
      <c r="D37" s="375" t="s">
        <v>322</v>
      </c>
      <c r="E37" s="376">
        <f aca="true" t="shared" si="0" ref="E37:K37">+E36/F36-1</f>
        <v>-0.19472409838154714</v>
      </c>
      <c r="F37" s="376">
        <f t="shared" si="0"/>
        <v>0.36802649930264986</v>
      </c>
      <c r="G37" s="376">
        <f>+G36/H36-1</f>
        <v>0.22407170294494239</v>
      </c>
      <c r="H37" s="376">
        <f>+H36/I36-1</f>
        <v>-0.20251872021783524</v>
      </c>
      <c r="I37" s="376">
        <v>0.6702671972711767</v>
      </c>
      <c r="J37" s="376">
        <f t="shared" si="0"/>
        <v>1.0537069468768245</v>
      </c>
      <c r="K37" s="376">
        <f t="shared" si="0"/>
        <v>-0.5707842645953395</v>
      </c>
      <c r="L37" s="377"/>
      <c r="M37" s="377"/>
      <c r="N37" s="376"/>
      <c r="O37" s="376"/>
      <c r="P37" s="376"/>
      <c r="Q37" s="378"/>
      <c r="R37" s="18"/>
    </row>
    <row r="38" spans="2:18" ht="13.5" customHeight="1">
      <c r="B38" s="9"/>
      <c r="C38" s="5"/>
      <c r="D38" s="375"/>
      <c r="E38" s="376"/>
      <c r="F38" s="376"/>
      <c r="G38" s="376"/>
      <c r="H38" s="376"/>
      <c r="I38" s="376"/>
      <c r="J38" s="376"/>
      <c r="K38" s="376"/>
      <c r="L38" s="377"/>
      <c r="M38" s="377"/>
      <c r="N38" s="376"/>
      <c r="O38" s="376"/>
      <c r="P38" s="376"/>
      <c r="Q38" s="378"/>
      <c r="R38" s="18"/>
    </row>
    <row r="39" spans="2:18" ht="13.5" customHeight="1">
      <c r="B39" s="9"/>
      <c r="C39" s="5"/>
      <c r="D39" s="375"/>
      <c r="E39" s="376"/>
      <c r="F39" s="376"/>
      <c r="G39" s="376"/>
      <c r="H39" s="376"/>
      <c r="I39" s="376"/>
      <c r="J39" s="376"/>
      <c r="K39" s="376"/>
      <c r="L39" s="377"/>
      <c r="M39" s="377"/>
      <c r="N39" s="376"/>
      <c r="O39" s="376"/>
      <c r="P39" s="376"/>
      <c r="Q39" s="378"/>
      <c r="R39" s="18"/>
    </row>
    <row r="40" spans="2:18" ht="13.5" customHeight="1">
      <c r="B40" s="9"/>
      <c r="C40" s="5"/>
      <c r="D40" s="375"/>
      <c r="E40" s="376"/>
      <c r="F40" s="376"/>
      <c r="G40" s="376"/>
      <c r="H40" s="376"/>
      <c r="I40" s="376"/>
      <c r="J40" s="376"/>
      <c r="K40" s="376"/>
      <c r="L40" s="377"/>
      <c r="M40" s="377"/>
      <c r="N40" s="376"/>
      <c r="O40" s="376"/>
      <c r="P40" s="376"/>
      <c r="Q40" s="378"/>
      <c r="R40" s="18"/>
    </row>
    <row r="41" spans="2:18" ht="13.5" customHeight="1">
      <c r="B41" s="9"/>
      <c r="C41" s="5"/>
      <c r="D41" s="5"/>
      <c r="E41" s="5"/>
      <c r="F41" s="5"/>
      <c r="G41" s="5"/>
      <c r="H41" s="5"/>
      <c r="I41" s="5"/>
      <c r="J41" s="5"/>
      <c r="K41" s="374"/>
      <c r="L41" s="5"/>
      <c r="M41" s="5"/>
      <c r="N41" s="24"/>
      <c r="O41" s="24"/>
      <c r="P41" s="24"/>
      <c r="Q41" s="24"/>
      <c r="R41" s="18"/>
    </row>
    <row r="42" spans="1:18" ht="15.75" customHeight="1">
      <c r="A42">
        <f>ROW()</f>
        <v>42</v>
      </c>
      <c r="B42" s="9"/>
      <c r="C42" s="1" t="str">
        <f>+C1</f>
        <v>Starwood Hotels &amp; Resorts Worldwide Inc. (HOT)</v>
      </c>
      <c r="N42" s="24"/>
      <c r="O42" s="24"/>
      <c r="P42" s="24"/>
      <c r="Q42" s="24"/>
      <c r="R42" s="18"/>
    </row>
    <row r="43" spans="1:18" ht="13.5" customHeight="1">
      <c r="A43">
        <f>ROW()</f>
        <v>43</v>
      </c>
      <c r="B43" s="9"/>
      <c r="C43" s="2" t="s">
        <v>30</v>
      </c>
      <c r="N43" s="24"/>
      <c r="O43" s="24"/>
      <c r="P43" s="24"/>
      <c r="Q43" s="24"/>
      <c r="R43" s="18"/>
    </row>
    <row r="44" spans="1:20" ht="13.5" customHeight="1" thickBot="1">
      <c r="A44">
        <f>ROW()</f>
        <v>44</v>
      </c>
      <c r="B44" s="9"/>
      <c r="N44" s="24"/>
      <c r="O44" s="24"/>
      <c r="P44" s="24"/>
      <c r="Q44" s="24"/>
      <c r="R44" s="18"/>
      <c r="S44" s="29"/>
      <c r="T44" s="29"/>
    </row>
    <row r="45" spans="1:20" ht="13.5" customHeight="1" thickBot="1">
      <c r="A45">
        <f>ROW()</f>
        <v>45</v>
      </c>
      <c r="B45" s="9"/>
      <c r="C45" s="30" t="s">
        <v>4</v>
      </c>
      <c r="D45" s="31"/>
      <c r="E45" s="32">
        <f>+'Yahoo Fin Input'!K50</f>
        <v>41912</v>
      </c>
      <c r="F45" s="33">
        <f>+F6</f>
        <v>41639</v>
      </c>
      <c r="G45" s="33">
        <f>+G6</f>
        <v>41274</v>
      </c>
      <c r="H45" s="33">
        <f>+H6</f>
        <v>40908</v>
      </c>
      <c r="I45" s="33">
        <v>40543</v>
      </c>
      <c r="J45" s="33">
        <v>40178</v>
      </c>
      <c r="K45" s="33">
        <v>39813</v>
      </c>
      <c r="L45" s="33">
        <f>+L6</f>
        <v>39447</v>
      </c>
      <c r="N45" s="24"/>
      <c r="O45" s="35"/>
      <c r="P45" s="35"/>
      <c r="Q45" s="35"/>
      <c r="R45" s="35"/>
      <c r="S45" s="35"/>
      <c r="T45" s="35"/>
    </row>
    <row r="46" spans="1:20" ht="13.5" customHeight="1">
      <c r="A46">
        <f>ROW()</f>
        <v>46</v>
      </c>
      <c r="B46" s="9"/>
      <c r="C46" s="36" t="s">
        <v>31</v>
      </c>
      <c r="D46" s="36"/>
      <c r="E46" s="37"/>
      <c r="F46" s="36"/>
      <c r="G46" s="36"/>
      <c r="H46" s="36"/>
      <c r="I46" s="36"/>
      <c r="J46" s="36"/>
      <c r="K46" s="36"/>
      <c r="L46" s="36"/>
      <c r="N46" s="24"/>
      <c r="O46" s="35"/>
      <c r="P46" s="35"/>
      <c r="Q46" s="38"/>
      <c r="R46" s="38"/>
      <c r="S46" s="38"/>
      <c r="T46" s="38"/>
    </row>
    <row r="47" spans="1:20" ht="13.5" customHeight="1">
      <c r="A47">
        <f>ROW()</f>
        <v>47</v>
      </c>
      <c r="B47" s="9"/>
      <c r="C47" s="39" t="s">
        <v>32</v>
      </c>
      <c r="D47" s="39"/>
      <c r="E47" s="40"/>
      <c r="F47" s="39"/>
      <c r="G47" s="39"/>
      <c r="H47" s="39"/>
      <c r="I47" s="39"/>
      <c r="J47" s="39"/>
      <c r="K47" s="39"/>
      <c r="L47" s="39"/>
      <c r="N47" s="24"/>
      <c r="O47" s="35"/>
      <c r="P47" s="35"/>
      <c r="Q47" s="38"/>
      <c r="R47" s="38"/>
      <c r="S47" s="38"/>
      <c r="T47" s="38"/>
    </row>
    <row r="48" spans="1:20" ht="13.5" customHeight="1">
      <c r="A48">
        <f>ROW()</f>
        <v>48</v>
      </c>
      <c r="B48" s="9"/>
      <c r="C48" s="18"/>
      <c r="D48" s="18" t="s">
        <v>33</v>
      </c>
      <c r="E48" s="19">
        <f>+'Yahoo Fin Input'!K54</f>
        <v>514000</v>
      </c>
      <c r="F48" s="24">
        <f>+'Yahoo Fin Input'!D54</f>
        <v>750000</v>
      </c>
      <c r="G48" s="24">
        <f>+'Yahoo Fin Input'!E54</f>
        <v>463000</v>
      </c>
      <c r="H48" s="24">
        <f>+'Yahoo Fin Input'!F54</f>
        <v>686000</v>
      </c>
      <c r="I48" s="24">
        <v>806000</v>
      </c>
      <c r="J48" s="24">
        <v>134000</v>
      </c>
      <c r="K48" s="24">
        <v>485000</v>
      </c>
      <c r="L48" s="24">
        <v>358000</v>
      </c>
      <c r="N48" s="24"/>
      <c r="O48" s="35"/>
      <c r="P48" s="35"/>
      <c r="Q48" s="38"/>
      <c r="R48" s="38"/>
      <c r="S48" s="38"/>
      <c r="T48" s="38"/>
    </row>
    <row r="49" spans="1:20" ht="13.5" customHeight="1">
      <c r="A49">
        <f>ROW()</f>
        <v>49</v>
      </c>
      <c r="B49" s="9"/>
      <c r="C49" s="18"/>
      <c r="D49" s="18" t="s">
        <v>34</v>
      </c>
      <c r="E49" s="19">
        <f>+'Yahoo Fin Input'!K55</f>
        <v>0</v>
      </c>
      <c r="F49" s="24">
        <f>+'Yahoo Fin Input'!D55</f>
        <v>0</v>
      </c>
      <c r="G49" s="24">
        <f>+'Yahoo Fin Input'!E55</f>
        <v>0</v>
      </c>
      <c r="H49" s="24">
        <f>+'Yahoo Fin Input'!F55</f>
        <v>0</v>
      </c>
      <c r="I49" s="24">
        <v>0</v>
      </c>
      <c r="J49" s="24">
        <v>0</v>
      </c>
      <c r="K49" s="24" t="s">
        <v>291</v>
      </c>
      <c r="L49" s="24">
        <v>0</v>
      </c>
      <c r="N49" s="24"/>
      <c r="O49" s="35"/>
      <c r="P49" s="35"/>
      <c r="Q49" s="38"/>
      <c r="R49" s="38"/>
      <c r="S49" s="38"/>
      <c r="T49" s="38"/>
    </row>
    <row r="50" spans="1:20" ht="13.5" customHeight="1">
      <c r="A50">
        <f>ROW()</f>
        <v>50</v>
      </c>
      <c r="B50" s="9"/>
      <c r="C50" s="18"/>
      <c r="D50" s="18" t="s">
        <v>35</v>
      </c>
      <c r="E50" s="19">
        <f>+'Yahoo Fin Input'!K56</f>
        <v>874000</v>
      </c>
      <c r="F50" s="24">
        <f>+'Yahoo Fin Input'!D56</f>
        <v>908000</v>
      </c>
      <c r="G50" s="24">
        <f>+'Yahoo Fin Input'!E56</f>
        <v>941000</v>
      </c>
      <c r="H50" s="24">
        <f>+'Yahoo Fin Input'!F56</f>
        <v>911000</v>
      </c>
      <c r="I50" s="24">
        <v>887000</v>
      </c>
      <c r="J50" s="24">
        <v>445000</v>
      </c>
      <c r="K50" s="24">
        <v>552000</v>
      </c>
      <c r="L50" s="24">
        <v>616000</v>
      </c>
      <c r="N50" s="41"/>
      <c r="O50" s="35"/>
      <c r="P50" s="35"/>
      <c r="Q50" s="38"/>
      <c r="R50" s="38"/>
      <c r="S50" s="38"/>
      <c r="T50" s="38"/>
    </row>
    <row r="51" spans="1:20" ht="13.5" customHeight="1">
      <c r="A51">
        <f>ROW()</f>
        <v>51</v>
      </c>
      <c r="B51" s="9"/>
      <c r="C51" s="18"/>
      <c r="D51" s="18" t="s">
        <v>36</v>
      </c>
      <c r="E51" s="19">
        <f>+'Yahoo Fin Input'!K57</f>
        <v>198000</v>
      </c>
      <c r="F51" s="24">
        <f>+'Yahoo Fin Input'!D57</f>
        <v>217000</v>
      </c>
      <c r="G51" s="24">
        <f>+'Yahoo Fin Input'!E57</f>
        <v>361000</v>
      </c>
      <c r="H51" s="24">
        <f>+'Yahoo Fin Input'!F57</f>
        <v>812000</v>
      </c>
      <c r="I51" s="24">
        <v>802000</v>
      </c>
      <c r="J51" s="24">
        <v>783000</v>
      </c>
      <c r="K51" s="24">
        <v>986000</v>
      </c>
      <c r="L51" s="24">
        <v>714000</v>
      </c>
      <c r="N51" s="41"/>
      <c r="O51" s="42"/>
      <c r="P51" s="42"/>
      <c r="Q51" s="43"/>
      <c r="R51" s="43"/>
      <c r="S51" s="43"/>
      <c r="T51" s="43"/>
    </row>
    <row r="52" spans="1:20" ht="13.5" customHeight="1">
      <c r="A52">
        <f>ROW()</f>
        <v>52</v>
      </c>
      <c r="B52" s="9"/>
      <c r="C52" s="18"/>
      <c r="D52" s="357" t="s">
        <v>37</v>
      </c>
      <c r="E52" s="44">
        <f>+'Yahoo Fin Input'!K58</f>
        <v>166000</v>
      </c>
      <c r="F52" s="26">
        <f>+'Yahoo Fin Input'!D58</f>
        <v>121000</v>
      </c>
      <c r="G52" s="26">
        <f>+'Yahoo Fin Input'!E58</f>
        <v>124000</v>
      </c>
      <c r="H52" s="26">
        <f>+'Yahoo Fin Input'!F58</f>
        <v>125000</v>
      </c>
      <c r="I52" s="26">
        <v>126000</v>
      </c>
      <c r="J52" s="26">
        <v>127000</v>
      </c>
      <c r="K52" s="26">
        <v>143000</v>
      </c>
      <c r="L52" s="26">
        <v>136000</v>
      </c>
      <c r="N52" s="41"/>
      <c r="O52" s="35"/>
      <c r="P52" s="35"/>
      <c r="Q52" s="38"/>
      <c r="R52" s="38"/>
      <c r="S52" s="38"/>
      <c r="T52" s="38"/>
    </row>
    <row r="53" spans="1:20" ht="13.5" customHeight="1">
      <c r="A53">
        <f>ROW()</f>
        <v>53</v>
      </c>
      <c r="B53" s="9"/>
      <c r="C53" s="20" t="s">
        <v>38</v>
      </c>
      <c r="D53" s="20"/>
      <c r="E53" s="45">
        <f>SUM(E48:E52)</f>
        <v>1752000</v>
      </c>
      <c r="F53" s="46">
        <f>SUM(F48:F52)</f>
        <v>1996000</v>
      </c>
      <c r="G53" s="46">
        <f>SUM(G48:G52)</f>
        <v>1889000</v>
      </c>
      <c r="H53" s="46">
        <f>SUM(H48:H52)</f>
        <v>2534000</v>
      </c>
      <c r="I53" s="46">
        <v>2621000</v>
      </c>
      <c r="J53" s="46">
        <v>1489000</v>
      </c>
      <c r="K53" s="46">
        <v>2166000</v>
      </c>
      <c r="L53" s="46">
        <v>1824000</v>
      </c>
      <c r="N53" s="41"/>
      <c r="O53" s="35"/>
      <c r="P53" s="35"/>
      <c r="Q53" s="38"/>
      <c r="R53" s="38"/>
      <c r="S53" s="38"/>
      <c r="T53" s="38"/>
    </row>
    <row r="54" spans="1:20" ht="13.5" customHeight="1">
      <c r="A54">
        <f>ROW()</f>
        <v>54</v>
      </c>
      <c r="B54" s="9"/>
      <c r="C54" s="20"/>
      <c r="D54" s="20"/>
      <c r="E54" s="45"/>
      <c r="F54" s="46"/>
      <c r="G54" s="46"/>
      <c r="H54" s="46"/>
      <c r="I54" s="46"/>
      <c r="J54" s="46"/>
      <c r="K54" s="46"/>
      <c r="L54" s="46"/>
      <c r="N54" s="41"/>
      <c r="O54" s="35"/>
      <c r="P54" s="35"/>
      <c r="Q54" s="38"/>
      <c r="R54" s="38"/>
      <c r="S54" s="38"/>
      <c r="T54" s="38"/>
    </row>
    <row r="55" spans="1:20" ht="13.5" customHeight="1">
      <c r="A55">
        <f>ROW()</f>
        <v>55</v>
      </c>
      <c r="B55" s="9"/>
      <c r="C55" s="18" t="s">
        <v>39</v>
      </c>
      <c r="D55" s="18"/>
      <c r="E55" s="19">
        <f>+'Yahoo Fin Input'!K61</f>
        <v>479000</v>
      </c>
      <c r="F55" s="24">
        <f>+'Yahoo Fin Input'!D61</f>
        <v>566000</v>
      </c>
      <c r="G55" s="24">
        <f>+'Yahoo Fin Input'!E61</f>
        <v>698000</v>
      </c>
      <c r="H55" s="24">
        <f>+'Yahoo Fin Input'!F61</f>
        <v>705000</v>
      </c>
      <c r="I55" s="24">
        <v>720000</v>
      </c>
      <c r="J55" s="24">
        <v>368000</v>
      </c>
      <c r="K55" s="24">
        <v>848000</v>
      </c>
      <c r="L55" s="24">
        <v>837000</v>
      </c>
      <c r="N55" s="41"/>
      <c r="O55" s="35"/>
      <c r="P55" s="35"/>
      <c r="Q55" s="38"/>
      <c r="R55" s="38"/>
      <c r="S55" s="38"/>
      <c r="T55" s="38"/>
    </row>
    <row r="56" spans="1:20" ht="13.5" customHeight="1">
      <c r="A56">
        <f>ROW()</f>
        <v>56</v>
      </c>
      <c r="B56" s="9"/>
      <c r="C56" s="18" t="s">
        <v>40</v>
      </c>
      <c r="D56" s="18"/>
      <c r="E56" s="19">
        <f>+'Yahoo Fin Input'!K62</f>
        <v>2942000</v>
      </c>
      <c r="F56" s="24">
        <f>+'Yahoo Fin Input'!D62</f>
        <v>3034000</v>
      </c>
      <c r="G56" s="24">
        <f>+'Yahoo Fin Input'!E62</f>
        <v>3198000</v>
      </c>
      <c r="H56" s="24">
        <f>+'Yahoo Fin Input'!F62</f>
        <v>3274000</v>
      </c>
      <c r="I56" s="24">
        <v>3323000</v>
      </c>
      <c r="J56" s="24">
        <v>3421000</v>
      </c>
      <c r="K56" s="24">
        <v>3609000</v>
      </c>
      <c r="L56" s="24">
        <v>3850000</v>
      </c>
      <c r="N56" s="41"/>
      <c r="O56" s="35"/>
      <c r="P56" s="35"/>
      <c r="Q56" s="38"/>
      <c r="R56" s="38"/>
      <c r="S56" s="38"/>
      <c r="T56" s="38"/>
    </row>
    <row r="57" spans="1:20" ht="13.5" customHeight="1">
      <c r="A57">
        <f>ROW()</f>
        <v>57</v>
      </c>
      <c r="B57" s="9"/>
      <c r="C57" s="18" t="s">
        <v>41</v>
      </c>
      <c r="D57" s="18"/>
      <c r="E57" s="19">
        <f>+'Yahoo Fin Input'!K63</f>
        <v>0</v>
      </c>
      <c r="F57" s="24">
        <f>+'Yahoo Fin Input'!D63</f>
        <v>0</v>
      </c>
      <c r="G57" s="24">
        <f>+'Yahoo Fin Input'!E63</f>
        <v>0</v>
      </c>
      <c r="H57" s="24">
        <f>+'Yahoo Fin Input'!F63</f>
        <v>0</v>
      </c>
      <c r="I57" s="24">
        <v>0</v>
      </c>
      <c r="J57" s="24">
        <v>0</v>
      </c>
      <c r="K57" s="24">
        <v>1639000</v>
      </c>
      <c r="L57" s="24">
        <v>2302000</v>
      </c>
      <c r="N57" s="41"/>
      <c r="O57" s="35"/>
      <c r="P57" s="35"/>
      <c r="Q57" s="38"/>
      <c r="R57" s="38"/>
      <c r="S57" s="38"/>
      <c r="T57" s="38"/>
    </row>
    <row r="58" spans="1:20" ht="13.5" customHeight="1">
      <c r="A58">
        <f>ROW()</f>
        <v>58</v>
      </c>
      <c r="B58" s="9"/>
      <c r="C58" s="18" t="s">
        <v>42</v>
      </c>
      <c r="D58" s="18"/>
      <c r="E58" s="19">
        <f>+'Yahoo Fin Input'!K64</f>
        <v>1998000</v>
      </c>
      <c r="F58" s="24">
        <f>+'Yahoo Fin Input'!D64</f>
        <v>2032000</v>
      </c>
      <c r="G58" s="24">
        <f>+'Yahoo Fin Input'!E64</f>
        <v>2025000</v>
      </c>
      <c r="H58" s="24">
        <f>+'Yahoo Fin Input'!F64</f>
        <v>2053000</v>
      </c>
      <c r="I58" s="24">
        <v>2067000</v>
      </c>
      <c r="J58" s="24">
        <v>2063000</v>
      </c>
      <c r="K58" s="24">
        <v>596000</v>
      </c>
      <c r="L58" s="24">
        <v>0</v>
      </c>
      <c r="N58" s="41"/>
      <c r="O58" s="35"/>
      <c r="P58" s="35"/>
      <c r="Q58" s="38"/>
      <c r="R58" s="38"/>
      <c r="S58" s="38"/>
      <c r="T58" s="38"/>
    </row>
    <row r="59" spans="1:20" ht="13.5" customHeight="1">
      <c r="A59">
        <f>ROW()</f>
        <v>59</v>
      </c>
      <c r="B59" s="9"/>
      <c r="C59" s="18" t="s">
        <v>43</v>
      </c>
      <c r="D59" s="18"/>
      <c r="E59" s="19">
        <f>+'Yahoo Fin Input'!K65</f>
        <v>0</v>
      </c>
      <c r="F59" s="24">
        <f>+'Yahoo Fin Input'!D65</f>
        <v>0</v>
      </c>
      <c r="G59" s="24">
        <f>+'Yahoo Fin Input'!E65</f>
        <v>0</v>
      </c>
      <c r="H59" s="24">
        <f>+'Yahoo Fin Input'!F65</f>
        <v>0</v>
      </c>
      <c r="I59" s="24">
        <v>0</v>
      </c>
      <c r="J59" s="24">
        <v>0</v>
      </c>
      <c r="K59" s="24" t="s">
        <v>291</v>
      </c>
      <c r="L59" s="24">
        <v>0</v>
      </c>
      <c r="N59" s="41"/>
      <c r="O59" s="35"/>
      <c r="P59" s="35"/>
      <c r="Q59" s="38"/>
      <c r="R59" s="38"/>
      <c r="S59" s="38"/>
      <c r="T59" s="38"/>
    </row>
    <row r="60" spans="1:20" ht="13.5" customHeight="1">
      <c r="A60">
        <f>ROW()</f>
        <v>60</v>
      </c>
      <c r="B60" s="9"/>
      <c r="C60" s="18" t="s">
        <v>44</v>
      </c>
      <c r="D60" s="18"/>
      <c r="E60" s="19">
        <f>+'Yahoo Fin Input'!K66</f>
        <v>680000</v>
      </c>
      <c r="F60" s="24">
        <f>+'Yahoo Fin Input'!D66</f>
        <v>543000</v>
      </c>
      <c r="G60" s="24">
        <f>+'Yahoo Fin Input'!E66</f>
        <v>385000</v>
      </c>
      <c r="H60" s="24">
        <f>+'Yahoo Fin Input'!F66</f>
        <v>355000</v>
      </c>
      <c r="I60" s="24">
        <v>381000</v>
      </c>
      <c r="J60" s="24">
        <v>438000</v>
      </c>
      <c r="K60" s="24">
        <v>206000</v>
      </c>
      <c r="L60" s="24">
        <v>80000</v>
      </c>
      <c r="N60" s="41"/>
      <c r="O60" s="35"/>
      <c r="P60" s="35"/>
      <c r="Q60" s="38"/>
      <c r="R60" s="38"/>
      <c r="S60" s="38"/>
      <c r="T60" s="38"/>
    </row>
    <row r="61" spans="1:20" ht="13.5" customHeight="1">
      <c r="A61">
        <f>ROW()</f>
        <v>61</v>
      </c>
      <c r="B61" s="9"/>
      <c r="C61" s="18" t="s">
        <v>45</v>
      </c>
      <c r="D61" s="357"/>
      <c r="E61" s="19">
        <f>+'Yahoo Fin Input'!K67</f>
        <v>575000</v>
      </c>
      <c r="F61" s="26">
        <f>+'Yahoo Fin Input'!D67</f>
        <v>591000</v>
      </c>
      <c r="G61" s="24">
        <f>+'Yahoo Fin Input'!E67</f>
        <v>660000</v>
      </c>
      <c r="H61" s="24">
        <f>+'Yahoo Fin Input'!F67</f>
        <v>639000</v>
      </c>
      <c r="I61" s="24">
        <v>664000</v>
      </c>
      <c r="J61" s="24">
        <v>982000</v>
      </c>
      <c r="K61" s="24">
        <v>639000</v>
      </c>
      <c r="L61" s="24">
        <v>729000</v>
      </c>
      <c r="N61" s="41"/>
      <c r="O61" s="42"/>
      <c r="P61" s="42"/>
      <c r="Q61" s="43"/>
      <c r="R61" s="43"/>
      <c r="S61" s="43"/>
      <c r="T61" s="43"/>
    </row>
    <row r="62" spans="1:20" ht="13.5" customHeight="1" thickBot="1">
      <c r="A62">
        <f>ROW()</f>
        <v>62</v>
      </c>
      <c r="B62" s="9"/>
      <c r="C62" s="20" t="s">
        <v>46</v>
      </c>
      <c r="D62" s="20"/>
      <c r="E62" s="47">
        <f>SUM(E53:E61)</f>
        <v>8426000</v>
      </c>
      <c r="F62" s="358">
        <f>SUM(F53:F61)</f>
        <v>8762000</v>
      </c>
      <c r="G62" s="48">
        <f>SUM(G53:G61)</f>
        <v>8855000</v>
      </c>
      <c r="H62" s="48">
        <f>SUM(H53:H61)</f>
        <v>9560000</v>
      </c>
      <c r="I62" s="48">
        <v>9776000</v>
      </c>
      <c r="J62" s="48">
        <v>8761000</v>
      </c>
      <c r="K62" s="48">
        <v>9703000</v>
      </c>
      <c r="L62" s="48">
        <v>9622000</v>
      </c>
      <c r="N62" s="41"/>
      <c r="O62" s="35"/>
      <c r="P62" s="35"/>
      <c r="Q62" s="35"/>
      <c r="R62" s="35"/>
      <c r="S62" s="35"/>
      <c r="T62" s="35"/>
    </row>
    <row r="63" spans="1:20" ht="13.5" customHeight="1" thickTop="1">
      <c r="A63">
        <f>ROW()</f>
        <v>63</v>
      </c>
      <c r="B63" s="9"/>
      <c r="C63" s="18"/>
      <c r="D63" s="18"/>
      <c r="E63" s="19"/>
      <c r="F63" s="18"/>
      <c r="G63" s="18"/>
      <c r="H63" s="18"/>
      <c r="I63" s="18"/>
      <c r="J63" s="18"/>
      <c r="K63" s="18"/>
      <c r="L63" s="18"/>
      <c r="N63" s="41"/>
      <c r="O63" s="42"/>
      <c r="P63" s="42"/>
      <c r="Q63" s="42"/>
      <c r="R63" s="42"/>
      <c r="S63" s="42"/>
      <c r="T63" s="42"/>
    </row>
    <row r="64" spans="1:20" ht="13.5" customHeight="1">
      <c r="A64">
        <f>ROW()</f>
        <v>64</v>
      </c>
      <c r="B64" s="9"/>
      <c r="C64" s="20" t="s">
        <v>47</v>
      </c>
      <c r="D64" s="20"/>
      <c r="E64" s="21"/>
      <c r="F64" s="20"/>
      <c r="G64" s="20"/>
      <c r="H64" s="20"/>
      <c r="I64" s="20"/>
      <c r="J64" s="20"/>
      <c r="K64" s="20"/>
      <c r="L64" s="20"/>
      <c r="N64" s="41"/>
      <c r="O64" s="35"/>
      <c r="P64" s="35"/>
      <c r="Q64" s="35"/>
      <c r="R64" s="35"/>
      <c r="S64" s="35"/>
      <c r="T64" s="35"/>
    </row>
    <row r="65" spans="1:20" ht="13.5" customHeight="1">
      <c r="A65">
        <f>ROW()</f>
        <v>65</v>
      </c>
      <c r="B65" s="9"/>
      <c r="C65" s="18" t="s">
        <v>48</v>
      </c>
      <c r="D65" s="18"/>
      <c r="E65" s="19"/>
      <c r="F65" s="18"/>
      <c r="G65" s="18"/>
      <c r="H65" s="18"/>
      <c r="I65" s="18"/>
      <c r="J65" s="18"/>
      <c r="K65" s="18"/>
      <c r="L65" s="18"/>
      <c r="N65" s="41"/>
      <c r="O65" s="35"/>
      <c r="P65" s="35"/>
      <c r="Q65" s="35"/>
      <c r="R65" s="35"/>
      <c r="S65" s="35"/>
      <c r="T65" s="35"/>
    </row>
    <row r="66" spans="1:20" ht="13.5" customHeight="1">
      <c r="A66">
        <f>ROW()</f>
        <v>66</v>
      </c>
      <c r="B66" s="9"/>
      <c r="C66" s="18"/>
      <c r="D66" s="18" t="s">
        <v>49</v>
      </c>
      <c r="E66" s="19">
        <f>+'Yahoo Fin Input'!K73</f>
        <v>1847000</v>
      </c>
      <c r="F66" s="24">
        <f>+'Yahoo Fin Input'!D73</f>
        <v>1825000</v>
      </c>
      <c r="G66" s="24">
        <f>+'Yahoo Fin Input'!E73</f>
        <v>1864000</v>
      </c>
      <c r="H66" s="24">
        <f>+'Yahoo Fin Input'!F73</f>
        <v>1859000</v>
      </c>
      <c r="I66" s="24">
        <v>2029000</v>
      </c>
      <c r="J66" s="24">
        <v>2022000</v>
      </c>
      <c r="K66" s="24">
        <v>2182000</v>
      </c>
      <c r="L66" s="24">
        <v>2096000</v>
      </c>
      <c r="N66" s="41"/>
      <c r="O66" s="35"/>
      <c r="P66" s="35"/>
      <c r="Q66" s="35"/>
      <c r="R66" s="35"/>
      <c r="S66" s="35"/>
      <c r="T66" s="35"/>
    </row>
    <row r="67" spans="1:20" ht="13.5" customHeight="1">
      <c r="A67">
        <f>ROW()</f>
        <v>67</v>
      </c>
      <c r="B67" s="9"/>
      <c r="C67" s="18"/>
      <c r="D67" s="18" t="s">
        <v>50</v>
      </c>
      <c r="E67" s="19">
        <f>+'Yahoo Fin Input'!K74</f>
        <v>84000</v>
      </c>
      <c r="F67" s="24">
        <f>+'Yahoo Fin Input'!D74</f>
        <v>99000</v>
      </c>
      <c r="G67" s="24">
        <f>+'Yahoo Fin Input'!E74</f>
        <v>152000</v>
      </c>
      <c r="H67" s="24">
        <f>+'Yahoo Fin Input'!F74</f>
        <v>133000</v>
      </c>
      <c r="I67" s="24">
        <v>136000</v>
      </c>
      <c r="J67" s="24">
        <v>5000</v>
      </c>
      <c r="K67" s="24">
        <v>506000</v>
      </c>
      <c r="L67" s="24">
        <v>5000</v>
      </c>
      <c r="N67" s="41"/>
      <c r="O67" s="35"/>
      <c r="P67" s="35"/>
      <c r="Q67" s="35"/>
      <c r="R67" s="35"/>
      <c r="S67" s="35"/>
      <c r="T67" s="35"/>
    </row>
    <row r="68" spans="1:20" ht="13.5" customHeight="1">
      <c r="A68">
        <f>ROW()</f>
        <v>68</v>
      </c>
      <c r="B68" s="9"/>
      <c r="C68" s="18"/>
      <c r="D68" s="357" t="s">
        <v>51</v>
      </c>
      <c r="E68" s="44">
        <f>+'Yahoo Fin Input'!K75</f>
        <v>0</v>
      </c>
      <c r="F68" s="26">
        <f>+'Yahoo Fin Input'!D75</f>
        <v>0</v>
      </c>
      <c r="G68" s="26">
        <f>+'Yahoo Fin Input'!E75</f>
        <v>0</v>
      </c>
      <c r="H68" s="26">
        <f>+'Yahoo Fin Input'!F75</f>
        <v>0</v>
      </c>
      <c r="I68" s="26">
        <v>0</v>
      </c>
      <c r="J68" s="26">
        <v>0</v>
      </c>
      <c r="K68" s="26">
        <v>0</v>
      </c>
      <c r="L68" s="26">
        <v>0</v>
      </c>
      <c r="N68" s="41"/>
      <c r="O68" s="35"/>
      <c r="P68" s="35"/>
      <c r="Q68" s="35"/>
      <c r="R68" s="35"/>
      <c r="S68" s="35"/>
      <c r="T68" s="35"/>
    </row>
    <row r="69" spans="1:20" ht="13.5" customHeight="1">
      <c r="A69">
        <f>ROW()</f>
        <v>69</v>
      </c>
      <c r="B69" s="9"/>
      <c r="C69" s="20" t="s">
        <v>52</v>
      </c>
      <c r="D69" s="20"/>
      <c r="E69" s="45">
        <f>SUM(E66:E68)</f>
        <v>1931000</v>
      </c>
      <c r="F69" s="46">
        <f>SUM(F66:F68)</f>
        <v>1924000</v>
      </c>
      <c r="G69" s="46">
        <f>SUM(G66:G68)</f>
        <v>2016000</v>
      </c>
      <c r="H69" s="46">
        <f>SUM(H66:H68)</f>
        <v>1992000</v>
      </c>
      <c r="I69" s="46">
        <v>2165000</v>
      </c>
      <c r="J69" s="46">
        <v>2027000</v>
      </c>
      <c r="K69" s="46">
        <v>2688000</v>
      </c>
      <c r="L69" s="46">
        <v>2101000</v>
      </c>
      <c r="N69" s="41"/>
      <c r="O69" s="35"/>
      <c r="P69" s="35"/>
      <c r="Q69" s="35"/>
      <c r="R69" s="35"/>
      <c r="S69" s="35"/>
      <c r="T69" s="35"/>
    </row>
    <row r="70" spans="1:20" ht="13.5" customHeight="1">
      <c r="A70">
        <f>ROW()</f>
        <v>70</v>
      </c>
      <c r="B70" s="9"/>
      <c r="C70" s="18" t="s">
        <v>53</v>
      </c>
      <c r="D70" s="18"/>
      <c r="E70" s="19">
        <f>+'Yahoo Fin Input'!K78</f>
        <v>2354000</v>
      </c>
      <c r="F70" s="24">
        <f>+'Yahoo Fin Input'!D78</f>
        <v>1523000</v>
      </c>
      <c r="G70" s="24">
        <f>+'Yahoo Fin Input'!E78</f>
        <v>1656000</v>
      </c>
      <c r="H70" s="24">
        <f>+'Yahoo Fin Input'!F78</f>
        <v>2596000</v>
      </c>
      <c r="I70" s="24">
        <v>3215000</v>
      </c>
      <c r="J70" s="24">
        <v>2955000</v>
      </c>
      <c r="K70" s="24">
        <v>3502000</v>
      </c>
      <c r="L70" s="24">
        <v>3590000</v>
      </c>
      <c r="N70" s="41"/>
      <c r="O70" s="35"/>
      <c r="P70" s="35"/>
      <c r="Q70" s="35"/>
      <c r="R70" s="35"/>
      <c r="S70" s="35"/>
      <c r="T70" s="35"/>
    </row>
    <row r="71" spans="1:20" ht="13.5" customHeight="1">
      <c r="A71">
        <f>ROW()</f>
        <v>71</v>
      </c>
      <c r="B71" s="9"/>
      <c r="C71" s="18" t="s">
        <v>54</v>
      </c>
      <c r="D71" s="18"/>
      <c r="E71" s="19">
        <f>+'Yahoo Fin Input'!K79</f>
        <v>1949000</v>
      </c>
      <c r="F71" s="24">
        <f>+'Yahoo Fin Input'!D79</f>
        <v>1904000</v>
      </c>
      <c r="G71" s="24">
        <f>+'Yahoo Fin Input'!E79</f>
        <v>1956000</v>
      </c>
      <c r="H71" s="24">
        <f>+'Yahoo Fin Input'!F79</f>
        <v>1971000</v>
      </c>
      <c r="I71" s="24">
        <v>1886000</v>
      </c>
      <c r="J71" s="24">
        <v>1903000</v>
      </c>
      <c r="K71" s="24">
        <v>719000</v>
      </c>
      <c r="L71" s="24">
        <v>1801000</v>
      </c>
      <c r="N71" s="41"/>
      <c r="O71" s="35"/>
      <c r="P71" s="35"/>
      <c r="Q71" s="35"/>
      <c r="R71" s="35"/>
      <c r="S71" s="35"/>
      <c r="T71" s="35"/>
    </row>
    <row r="72" spans="1:20" ht="13.5" customHeight="1">
      <c r="A72">
        <f>ROW()</f>
        <v>72</v>
      </c>
      <c r="B72" s="9"/>
      <c r="C72" s="18" t="s">
        <v>55</v>
      </c>
      <c r="D72" s="18"/>
      <c r="E72" s="19">
        <f>+'Yahoo Fin Input'!K80</f>
        <v>42000</v>
      </c>
      <c r="F72" s="24">
        <f>+'Yahoo Fin Input'!D80</f>
        <v>48000</v>
      </c>
      <c r="G72" s="24">
        <f>+'Yahoo Fin Input'!E80</f>
        <v>85000</v>
      </c>
      <c r="H72" s="24">
        <f>+'Yahoo Fin Input'!F80</f>
        <v>46000</v>
      </c>
      <c r="I72" s="24">
        <v>24000</v>
      </c>
      <c r="J72" s="24">
        <v>31000</v>
      </c>
      <c r="K72" s="24">
        <v>1150000</v>
      </c>
      <c r="L72" s="24">
        <v>28000</v>
      </c>
      <c r="N72" s="41"/>
      <c r="O72" s="35"/>
      <c r="P72" s="35"/>
      <c r="Q72" s="35"/>
      <c r="R72" s="35"/>
      <c r="S72" s="35"/>
      <c r="T72" s="35"/>
    </row>
    <row r="73" spans="1:20" ht="13.5" customHeight="1">
      <c r="A73">
        <f>ROW()</f>
        <v>73</v>
      </c>
      <c r="B73" s="9"/>
      <c r="C73" s="18" t="s">
        <v>20</v>
      </c>
      <c r="D73" s="18"/>
      <c r="E73" s="19">
        <f>+'Yahoo Fin Input'!K81</f>
        <v>2000</v>
      </c>
      <c r="F73" s="24">
        <f>+'Yahoo Fin Input'!D81</f>
        <v>3000</v>
      </c>
      <c r="G73" s="24">
        <f>+'Yahoo Fin Input'!E81</f>
        <v>5000</v>
      </c>
      <c r="H73" s="24">
        <f>+'Yahoo Fin Input'!F81</f>
        <v>1000</v>
      </c>
      <c r="I73" s="24">
        <v>15000</v>
      </c>
      <c r="J73" s="24">
        <v>21000</v>
      </c>
      <c r="K73" s="24">
        <v>23000</v>
      </c>
      <c r="L73" s="24">
        <v>26000</v>
      </c>
      <c r="N73" s="41"/>
      <c r="O73" s="35"/>
      <c r="P73" s="35"/>
      <c r="Q73" s="35"/>
      <c r="R73" s="35"/>
      <c r="S73" s="35"/>
      <c r="T73" s="35"/>
    </row>
    <row r="74" spans="1:20" ht="13.5" customHeight="1">
      <c r="A74">
        <f>ROW()</f>
        <v>74</v>
      </c>
      <c r="B74" s="9"/>
      <c r="C74" s="18" t="s">
        <v>56</v>
      </c>
      <c r="D74" s="357"/>
      <c r="E74" s="44">
        <f>+'Yahoo Fin Input'!K82</f>
        <v>0</v>
      </c>
      <c r="F74" s="26">
        <f>+'Yahoo Fin Input'!D82</f>
        <v>0</v>
      </c>
      <c r="G74" s="26">
        <f>+'Yahoo Fin Input'!E82</f>
        <v>0</v>
      </c>
      <c r="H74" s="26">
        <f>+'Yahoo Fin Input'!F82</f>
        <v>0</v>
      </c>
      <c r="I74" s="26">
        <v>0</v>
      </c>
      <c r="J74" s="26">
        <v>0</v>
      </c>
      <c r="K74" s="26">
        <v>0</v>
      </c>
      <c r="L74" s="26">
        <v>0</v>
      </c>
      <c r="N74" s="41"/>
      <c r="O74" s="35"/>
      <c r="P74" s="35"/>
      <c r="Q74" s="35"/>
      <c r="R74" s="35"/>
      <c r="S74" s="35"/>
      <c r="T74" s="35"/>
    </row>
    <row r="75" spans="1:20" ht="13.5" customHeight="1">
      <c r="A75">
        <f>ROW()</f>
        <v>75</v>
      </c>
      <c r="B75" s="9"/>
      <c r="C75" s="20" t="s">
        <v>57</v>
      </c>
      <c r="D75" s="20"/>
      <c r="E75" s="45">
        <f>SUM(E69:E74)</f>
        <v>6278000</v>
      </c>
      <c r="F75" s="46">
        <f>SUM(F69:F74)</f>
        <v>5402000</v>
      </c>
      <c r="G75" s="46">
        <f>SUM(G69:G74)</f>
        <v>5718000</v>
      </c>
      <c r="H75" s="46">
        <f>SUM(H69:H74)</f>
        <v>6606000</v>
      </c>
      <c r="I75" s="46">
        <v>7305000</v>
      </c>
      <c r="J75" s="46">
        <v>6937000</v>
      </c>
      <c r="K75" s="46">
        <v>8082000</v>
      </c>
      <c r="L75" s="46">
        <v>7546000</v>
      </c>
      <c r="N75" s="41"/>
      <c r="O75" s="35"/>
      <c r="P75" s="35"/>
      <c r="Q75" s="35"/>
      <c r="R75" s="35"/>
      <c r="S75" s="35"/>
      <c r="T75" s="35"/>
    </row>
    <row r="76" spans="1:20" ht="13.5" customHeight="1">
      <c r="A76">
        <f>ROW()</f>
        <v>76</v>
      </c>
      <c r="B76" s="9"/>
      <c r="C76" s="18"/>
      <c r="D76" s="18"/>
      <c r="E76" s="19"/>
      <c r="F76" s="18"/>
      <c r="G76" s="18"/>
      <c r="H76" s="18"/>
      <c r="I76" s="18"/>
      <c r="J76" s="18"/>
      <c r="K76" s="18"/>
      <c r="L76" s="18"/>
      <c r="N76" s="41"/>
      <c r="O76" s="35"/>
      <c r="P76" s="35"/>
      <c r="Q76" s="35"/>
      <c r="R76" s="35"/>
      <c r="S76" s="35"/>
      <c r="T76" s="35"/>
    </row>
    <row r="77" spans="1:20" ht="13.5" customHeight="1">
      <c r="A77">
        <f>ROW()</f>
        <v>77</v>
      </c>
      <c r="B77" s="9"/>
      <c r="C77" s="20" t="s">
        <v>58</v>
      </c>
      <c r="D77" s="20"/>
      <c r="E77" s="21"/>
      <c r="F77" s="20"/>
      <c r="G77" s="20"/>
      <c r="H77" s="20"/>
      <c r="I77" s="20"/>
      <c r="J77" s="20"/>
      <c r="K77" s="20"/>
      <c r="L77" s="20"/>
      <c r="N77" s="41"/>
      <c r="O77" s="35"/>
      <c r="P77" s="35"/>
      <c r="Q77" s="35"/>
      <c r="R77" s="35"/>
      <c r="S77" s="35"/>
      <c r="T77" s="35"/>
    </row>
    <row r="78" spans="1:20" ht="13.5" customHeight="1">
      <c r="A78">
        <f>ROW()</f>
        <v>78</v>
      </c>
      <c r="B78" s="9"/>
      <c r="C78" s="18" t="s">
        <v>59</v>
      </c>
      <c r="D78" s="18"/>
      <c r="E78" s="19">
        <f>+'Yahoo Fin Input'!K88</f>
        <v>0</v>
      </c>
      <c r="F78" s="24">
        <f>+'Yahoo Fin Input'!D88</f>
        <v>0</v>
      </c>
      <c r="G78" s="24">
        <f>+'Yahoo Fin Input'!E88</f>
        <v>0</v>
      </c>
      <c r="H78" s="24">
        <f>+'Yahoo Fin Input'!F88</f>
        <v>0</v>
      </c>
      <c r="I78" s="24">
        <v>0</v>
      </c>
      <c r="J78" s="24">
        <v>0</v>
      </c>
      <c r="K78" s="24">
        <v>0</v>
      </c>
      <c r="L78" s="24">
        <v>0</v>
      </c>
      <c r="N78" s="41"/>
      <c r="O78" s="35"/>
      <c r="P78" s="35"/>
      <c r="Q78" s="35"/>
      <c r="R78" s="35"/>
      <c r="S78" s="35"/>
      <c r="T78" s="35"/>
    </row>
    <row r="79" spans="1:20" ht="13.5" customHeight="1">
      <c r="A79">
        <f>ROW()</f>
        <v>79</v>
      </c>
      <c r="B79" s="9"/>
      <c r="C79" s="18" t="s">
        <v>60</v>
      </c>
      <c r="D79" s="18"/>
      <c r="E79" s="19">
        <f>+'Yahoo Fin Input'!K89</f>
        <v>0</v>
      </c>
      <c r="F79" s="24">
        <f>+'Yahoo Fin Input'!D89</f>
        <v>0</v>
      </c>
      <c r="G79" s="24">
        <f>+'Yahoo Fin Input'!E89</f>
        <v>0</v>
      </c>
      <c r="H79" s="24">
        <f>+'Yahoo Fin Input'!F89</f>
        <v>0</v>
      </c>
      <c r="I79" s="24">
        <v>0</v>
      </c>
      <c r="J79" s="24">
        <v>0</v>
      </c>
      <c r="K79" s="24">
        <v>0</v>
      </c>
      <c r="L79" s="24">
        <v>0</v>
      </c>
      <c r="N79" s="29"/>
      <c r="O79" s="35"/>
      <c r="P79" s="35"/>
      <c r="Q79" s="35"/>
      <c r="R79" s="35"/>
      <c r="S79" s="35"/>
      <c r="T79" s="35"/>
    </row>
    <row r="80" spans="1:20" ht="13.5" customHeight="1">
      <c r="A80">
        <f>ROW()</f>
        <v>80</v>
      </c>
      <c r="B80" s="9"/>
      <c r="C80" s="18" t="s">
        <v>61</v>
      </c>
      <c r="D80" s="18"/>
      <c r="E80" s="19">
        <f>+'Yahoo Fin Input'!K90</f>
        <v>2000</v>
      </c>
      <c r="F80" s="24">
        <f>+'Yahoo Fin Input'!D90</f>
        <v>2000</v>
      </c>
      <c r="G80" s="24">
        <f>+'Yahoo Fin Input'!E90</f>
        <v>2000</v>
      </c>
      <c r="H80" s="24">
        <f>+'Yahoo Fin Input'!F90</f>
        <v>2000</v>
      </c>
      <c r="I80" s="24">
        <v>2000</v>
      </c>
      <c r="J80" s="24">
        <v>2000</v>
      </c>
      <c r="K80" s="24">
        <v>2000</v>
      </c>
      <c r="L80" s="24">
        <v>2000</v>
      </c>
      <c r="N80" s="29"/>
      <c r="O80" s="35"/>
      <c r="P80" s="35"/>
      <c r="Q80" s="35"/>
      <c r="R80" s="35"/>
      <c r="S80" s="35"/>
      <c r="T80" s="35"/>
    </row>
    <row r="81" spans="1:20" ht="13.5" customHeight="1">
      <c r="A81">
        <f>ROW()</f>
        <v>81</v>
      </c>
      <c r="B81" s="9"/>
      <c r="C81" s="18" t="s">
        <v>62</v>
      </c>
      <c r="D81" s="18"/>
      <c r="E81" s="19">
        <f>+'Yahoo Fin Input'!K91</f>
        <v>2535000</v>
      </c>
      <c r="F81" s="24">
        <f>+'Yahoo Fin Input'!D91</f>
        <v>3032000</v>
      </c>
      <c r="G81" s="24">
        <f>+'Yahoo Fin Input'!E91</f>
        <v>2657000</v>
      </c>
      <c r="H81" s="24">
        <f>+'Yahoo Fin Input'!F91</f>
        <v>2337000</v>
      </c>
      <c r="I81" s="24">
        <v>1947000</v>
      </c>
      <c r="J81" s="24">
        <v>1553000</v>
      </c>
      <c r="K81" s="24">
        <v>1517000</v>
      </c>
      <c r="L81" s="24">
        <v>1353000</v>
      </c>
      <c r="N81" s="29"/>
      <c r="O81" s="35"/>
      <c r="P81" s="35"/>
      <c r="Q81" s="35"/>
      <c r="R81" s="35"/>
      <c r="S81" s="35"/>
      <c r="T81" s="35"/>
    </row>
    <row r="82" spans="1:20" ht="13.5" customHeight="1">
      <c r="A82">
        <f>ROW()</f>
        <v>82</v>
      </c>
      <c r="B82" s="9"/>
      <c r="C82" s="18" t="s">
        <v>63</v>
      </c>
      <c r="D82" s="18"/>
      <c r="E82" s="19">
        <f>+'Yahoo Fin Input'!K92</f>
        <v>0</v>
      </c>
      <c r="F82" s="24">
        <f>+'Yahoo Fin Input'!D92</f>
        <v>0</v>
      </c>
      <c r="G82" s="24">
        <f>+'Yahoo Fin Input'!E92</f>
        <v>0</v>
      </c>
      <c r="H82" s="24">
        <f>+'Yahoo Fin Input'!F92</f>
        <v>0</v>
      </c>
      <c r="I82" s="24">
        <v>0</v>
      </c>
      <c r="J82" s="24">
        <v>0</v>
      </c>
      <c r="K82" s="24">
        <v>0</v>
      </c>
      <c r="L82" s="24">
        <v>0</v>
      </c>
      <c r="N82" s="29"/>
      <c r="O82" s="35"/>
      <c r="P82" s="35"/>
      <c r="Q82" s="35"/>
      <c r="R82" s="35"/>
      <c r="S82" s="35"/>
      <c r="T82" s="35"/>
    </row>
    <row r="83" spans="1:20" ht="13.5" customHeight="1">
      <c r="A83">
        <f>ROW()</f>
        <v>83</v>
      </c>
      <c r="B83" s="9"/>
      <c r="C83" s="18" t="s">
        <v>64</v>
      </c>
      <c r="D83" s="18"/>
      <c r="E83" s="19">
        <f>+'Yahoo Fin Input'!K93</f>
        <v>28000</v>
      </c>
      <c r="F83" s="24">
        <f>+'Yahoo Fin Input'!D93</f>
        <v>661000</v>
      </c>
      <c r="G83" s="24">
        <f>+'Yahoo Fin Input'!E93</f>
        <v>816000</v>
      </c>
      <c r="H83" s="24">
        <f>+'Yahoo Fin Input'!F93</f>
        <v>963000</v>
      </c>
      <c r="I83" s="24">
        <v>805000</v>
      </c>
      <c r="J83" s="24">
        <v>552000</v>
      </c>
      <c r="K83" s="24">
        <v>493000</v>
      </c>
      <c r="L83" s="24">
        <v>868000</v>
      </c>
      <c r="N83" s="29"/>
      <c r="O83" s="35"/>
      <c r="P83" s="35"/>
      <c r="Q83" s="35"/>
      <c r="R83" s="35"/>
      <c r="S83" s="35"/>
      <c r="T83" s="35"/>
    </row>
    <row r="84" spans="1:20" ht="13.5" customHeight="1">
      <c r="A84">
        <f>ROW()</f>
        <v>84</v>
      </c>
      <c r="B84" s="9"/>
      <c r="C84" s="18" t="s">
        <v>65</v>
      </c>
      <c r="D84" s="357"/>
      <c r="E84" s="44">
        <f>+'Yahoo Fin Input'!K94</f>
        <v>-417000</v>
      </c>
      <c r="F84" s="26">
        <f>+'Yahoo Fin Input'!D94</f>
        <v>-335000</v>
      </c>
      <c r="G84" s="26">
        <f>+'Yahoo Fin Input'!E94</f>
        <v>-338000</v>
      </c>
      <c r="H84" s="26">
        <f>+'Yahoo Fin Input'!F94</f>
        <v>-348000</v>
      </c>
      <c r="I84" s="26">
        <v>-283000</v>
      </c>
      <c r="J84" s="26">
        <v>-283000</v>
      </c>
      <c r="K84" s="26">
        <v>-391000</v>
      </c>
      <c r="L84" s="26">
        <v>-147000</v>
      </c>
      <c r="N84" s="29"/>
      <c r="O84" s="35"/>
      <c r="P84" s="35"/>
      <c r="Q84" s="35"/>
      <c r="R84" s="35"/>
      <c r="S84" s="35"/>
      <c r="T84" s="35"/>
    </row>
    <row r="85" spans="1:20" ht="13.5" customHeight="1">
      <c r="A85">
        <f>ROW()</f>
        <v>85</v>
      </c>
      <c r="B85" s="9"/>
      <c r="C85" s="20" t="s">
        <v>66</v>
      </c>
      <c r="D85" s="20"/>
      <c r="E85" s="45">
        <f>SUM(E78:E84)</f>
        <v>2148000</v>
      </c>
      <c r="F85" s="46">
        <f>SUM(F78:F84)</f>
        <v>3360000</v>
      </c>
      <c r="G85" s="46">
        <f>SUM(G78:G84)</f>
        <v>3137000</v>
      </c>
      <c r="H85" s="46">
        <f>SUM(H78:H84)</f>
        <v>2954000</v>
      </c>
      <c r="I85" s="46">
        <v>2471000</v>
      </c>
      <c r="J85" s="46">
        <v>1824000</v>
      </c>
      <c r="K85" s="46">
        <v>1621000</v>
      </c>
      <c r="L85" s="46">
        <v>2076000</v>
      </c>
      <c r="N85" s="29"/>
      <c r="O85" s="35"/>
      <c r="P85" s="35"/>
      <c r="Q85" s="35"/>
      <c r="R85" s="35"/>
      <c r="S85" s="35"/>
      <c r="T85" s="35"/>
    </row>
    <row r="86" spans="1:20" ht="13.5" customHeight="1" thickBot="1">
      <c r="A86">
        <f>ROW()</f>
        <v>86</v>
      </c>
      <c r="B86" s="9"/>
      <c r="C86" s="20" t="s">
        <v>67</v>
      </c>
      <c r="D86" s="20"/>
      <c r="E86" s="47">
        <f>+E85+E75</f>
        <v>8426000</v>
      </c>
      <c r="F86" s="48">
        <f>+F85+F75</f>
        <v>8762000</v>
      </c>
      <c r="G86" s="48">
        <f>+G85+G75</f>
        <v>8855000</v>
      </c>
      <c r="H86" s="48">
        <f>+H85+H75</f>
        <v>9560000</v>
      </c>
      <c r="I86" s="48">
        <v>9776000</v>
      </c>
      <c r="J86" s="48">
        <v>8761000</v>
      </c>
      <c r="K86" s="48">
        <v>9703000</v>
      </c>
      <c r="L86" s="48">
        <v>9622000</v>
      </c>
      <c r="N86" s="29"/>
      <c r="O86" s="35"/>
      <c r="P86" s="35"/>
      <c r="Q86" s="35"/>
      <c r="R86" s="35"/>
      <c r="S86" s="35"/>
      <c r="T86" s="35"/>
    </row>
    <row r="87" spans="1:20" ht="13.5" customHeight="1" thickBot="1" thickTop="1">
      <c r="A87">
        <f>ROW()</f>
        <v>87</v>
      </c>
      <c r="B87" s="9"/>
      <c r="C87" s="41"/>
      <c r="D87" s="49" t="s">
        <v>68</v>
      </c>
      <c r="E87" s="50">
        <f aca="true" t="shared" si="1" ref="E87:L87">+E62-E86</f>
        <v>0</v>
      </c>
      <c r="F87" s="51">
        <f t="shared" si="1"/>
        <v>0</v>
      </c>
      <c r="G87" s="51">
        <f t="shared" si="1"/>
        <v>0</v>
      </c>
      <c r="H87" s="51">
        <f t="shared" si="1"/>
        <v>0</v>
      </c>
      <c r="I87" s="51">
        <v>0</v>
      </c>
      <c r="J87" s="51">
        <v>0</v>
      </c>
      <c r="K87" s="51">
        <f t="shared" si="1"/>
        <v>0</v>
      </c>
      <c r="L87" s="51">
        <f t="shared" si="1"/>
        <v>0</v>
      </c>
      <c r="N87" s="29"/>
      <c r="O87" s="35"/>
      <c r="P87" s="35"/>
      <c r="Q87" s="35"/>
      <c r="R87" s="35"/>
      <c r="S87" s="35"/>
      <c r="T87" s="35"/>
    </row>
    <row r="88" spans="1:20" ht="13.5" customHeight="1">
      <c r="A88">
        <f>ROW()</f>
        <v>88</v>
      </c>
      <c r="B88" s="9"/>
      <c r="C88" s="41"/>
      <c r="D88" s="41"/>
      <c r="E88" s="41"/>
      <c r="F88" s="41"/>
      <c r="G88" s="41"/>
      <c r="H88" s="41"/>
      <c r="I88" s="41"/>
      <c r="J88" s="41"/>
      <c r="K88" s="41"/>
      <c r="L88" s="41"/>
      <c r="N88" s="29"/>
      <c r="O88" s="35"/>
      <c r="P88" s="35"/>
      <c r="Q88" s="35"/>
      <c r="R88" s="35"/>
      <c r="S88" s="35"/>
      <c r="T88" s="35"/>
    </row>
    <row r="89" spans="1:20" ht="22.5" customHeight="1">
      <c r="A89">
        <f>ROW()</f>
        <v>89</v>
      </c>
      <c r="B89" s="9"/>
      <c r="C89" s="52" t="str">
        <f>+C1</f>
        <v>Starwood Hotels &amp; Resorts Worldwide Inc. (HOT)</v>
      </c>
      <c r="D89" s="41"/>
      <c r="E89" s="41"/>
      <c r="F89" s="41"/>
      <c r="G89" s="41"/>
      <c r="H89" s="41"/>
      <c r="I89" s="41"/>
      <c r="J89" s="41"/>
      <c r="K89" s="41"/>
      <c r="L89" s="41"/>
      <c r="N89" s="29"/>
      <c r="O89" s="35"/>
      <c r="P89" s="35"/>
      <c r="Q89" s="35"/>
      <c r="R89" s="35"/>
      <c r="S89" s="35"/>
      <c r="T89" s="35"/>
    </row>
    <row r="90" spans="1:20" ht="13.5" customHeight="1">
      <c r="A90">
        <f>ROW()</f>
        <v>90</v>
      </c>
      <c r="B90" s="9"/>
      <c r="C90" s="53" t="s">
        <v>69</v>
      </c>
      <c r="D90" s="41"/>
      <c r="E90" s="41"/>
      <c r="F90" s="41"/>
      <c r="G90" s="41"/>
      <c r="H90" s="41"/>
      <c r="I90" s="41"/>
      <c r="J90" s="41"/>
      <c r="K90" s="41"/>
      <c r="L90" s="41"/>
      <c r="N90" s="29"/>
      <c r="O90" s="35"/>
      <c r="P90" s="35"/>
      <c r="Q90" s="35"/>
      <c r="R90" s="35"/>
      <c r="S90" s="35"/>
      <c r="T90" s="35"/>
    </row>
    <row r="91" spans="2:20" ht="13.5" customHeight="1">
      <c r="B91" s="9"/>
      <c r="C91" s="53"/>
      <c r="D91" s="41"/>
      <c r="E91" s="41"/>
      <c r="F91" s="41"/>
      <c r="G91" s="41"/>
      <c r="H91" s="41"/>
      <c r="I91" s="41"/>
      <c r="J91" s="41"/>
      <c r="K91" s="41"/>
      <c r="L91" s="41"/>
      <c r="N91" s="29"/>
      <c r="O91" s="35"/>
      <c r="P91" s="35"/>
      <c r="Q91" s="35"/>
      <c r="R91" s="35"/>
      <c r="S91" s="35"/>
      <c r="T91" s="35"/>
    </row>
    <row r="92" spans="1:20" ht="13.5" customHeight="1" thickBot="1">
      <c r="A92">
        <f>ROW()</f>
        <v>92</v>
      </c>
      <c r="B92" s="9"/>
      <c r="C92" s="29"/>
      <c r="D92" s="29"/>
      <c r="E92" s="431" t="s">
        <v>2</v>
      </c>
      <c r="F92" s="431"/>
      <c r="G92" s="432"/>
      <c r="H92" s="432"/>
      <c r="I92" s="330"/>
      <c r="J92" s="330"/>
      <c r="K92" s="330"/>
      <c r="L92" s="330"/>
      <c r="N92" s="431" t="s">
        <v>3</v>
      </c>
      <c r="O92" s="432"/>
      <c r="P92" s="432"/>
      <c r="Q92" s="432"/>
      <c r="R92" s="35"/>
      <c r="S92" s="35"/>
      <c r="T92" s="35"/>
    </row>
    <row r="93" spans="1:20" ht="13.5" customHeight="1" thickBot="1">
      <c r="A93">
        <f>ROW()</f>
        <v>93</v>
      </c>
      <c r="B93" s="9"/>
      <c r="C93" s="29"/>
      <c r="D93" s="29"/>
      <c r="E93" s="66" t="s">
        <v>123</v>
      </c>
      <c r="F93" s="66"/>
      <c r="G93" s="67"/>
      <c r="H93" s="67"/>
      <c r="I93" s="331"/>
      <c r="J93" s="331"/>
      <c r="K93" s="331"/>
      <c r="L93" s="331"/>
      <c r="N93" s="66"/>
      <c r="O93" s="67"/>
      <c r="P93" s="67"/>
      <c r="Q93" s="67"/>
      <c r="R93" s="35"/>
      <c r="S93" s="35"/>
      <c r="T93" s="35"/>
    </row>
    <row r="94" spans="1:20" ht="13.5" customHeight="1" thickBot="1">
      <c r="A94">
        <f>ROW()</f>
        <v>94</v>
      </c>
      <c r="B94" s="9"/>
      <c r="C94" s="30" t="s">
        <v>4</v>
      </c>
      <c r="D94" s="31"/>
      <c r="E94" s="89">
        <f>+E6</f>
        <v>41912</v>
      </c>
      <c r="F94" s="33">
        <f aca="true" t="shared" si="2" ref="F94:Q94">+F6</f>
        <v>41639</v>
      </c>
      <c r="G94" s="33">
        <f t="shared" si="2"/>
        <v>41274</v>
      </c>
      <c r="H94" s="33">
        <f t="shared" si="2"/>
        <v>40908</v>
      </c>
      <c r="I94" s="33">
        <v>40543</v>
      </c>
      <c r="J94" s="33">
        <f>+J6</f>
        <v>40178</v>
      </c>
      <c r="K94" s="33">
        <v>39813</v>
      </c>
      <c r="L94" s="33">
        <f>+L6</f>
        <v>39447</v>
      </c>
      <c r="N94" s="54">
        <f t="shared" si="2"/>
        <v>41912</v>
      </c>
      <c r="O94" s="33">
        <f t="shared" si="2"/>
        <v>41820</v>
      </c>
      <c r="P94" s="33">
        <f t="shared" si="2"/>
        <v>41729</v>
      </c>
      <c r="Q94" s="34">
        <f t="shared" si="2"/>
        <v>41639</v>
      </c>
      <c r="T94" s="35"/>
    </row>
    <row r="95" spans="1:20" ht="13.5" customHeight="1">
      <c r="A95">
        <f>ROW()</f>
        <v>95</v>
      </c>
      <c r="B95" s="9"/>
      <c r="C95" s="20" t="s">
        <v>27</v>
      </c>
      <c r="D95" s="20"/>
      <c r="E95" s="45">
        <f>SUM(N95:Q95)</f>
        <v>527000</v>
      </c>
      <c r="F95" s="46">
        <f>+'Yahoo Fin Input'!D106</f>
        <v>635000</v>
      </c>
      <c r="G95" s="46">
        <f>+'Yahoo Fin Input'!E106</f>
        <v>562000</v>
      </c>
      <c r="H95" s="46">
        <f>+'Yahoo Fin Input'!F106</f>
        <v>489000</v>
      </c>
      <c r="I95" s="46">
        <v>477000</v>
      </c>
      <c r="J95" s="46">
        <v>73000</v>
      </c>
      <c r="K95" s="46">
        <v>329000</v>
      </c>
      <c r="L95" s="46">
        <v>542000</v>
      </c>
      <c r="N95" s="73">
        <f>+'Yahoo Fin Input'!K106</f>
        <v>109000</v>
      </c>
      <c r="O95" s="73">
        <f>+'Yahoo Fin Input'!L106</f>
        <v>153000</v>
      </c>
      <c r="P95" s="73">
        <f>+'Yahoo Fin Input'!M106</f>
        <v>137000</v>
      </c>
      <c r="Q95" s="73">
        <f>+'Yahoo Fin Input'!N106</f>
        <v>128000</v>
      </c>
      <c r="T95" s="35"/>
    </row>
    <row r="96" spans="1:20" ht="13.5" customHeight="1">
      <c r="A96">
        <f>ROW()</f>
        <v>96</v>
      </c>
      <c r="B96" s="9"/>
      <c r="C96" s="20"/>
      <c r="D96" s="20"/>
      <c r="E96" s="21"/>
      <c r="F96" s="46"/>
      <c r="G96" s="46"/>
      <c r="H96" s="46"/>
      <c r="I96" s="46"/>
      <c r="J96" s="46"/>
      <c r="K96" s="46"/>
      <c r="L96" s="46"/>
      <c r="N96" s="41"/>
      <c r="O96" s="41"/>
      <c r="P96" s="41"/>
      <c r="Q96" s="41"/>
      <c r="T96" s="35"/>
    </row>
    <row r="97" spans="1:20" ht="13.5" customHeight="1">
      <c r="A97">
        <f>ROW()</f>
        <v>97</v>
      </c>
      <c r="B97" s="9"/>
      <c r="C97" s="18" t="s">
        <v>70</v>
      </c>
      <c r="D97" s="18"/>
      <c r="E97" s="19">
        <f aca="true" t="shared" si="3" ref="E97:E102">SUM(N97:Q97)</f>
        <v>199000</v>
      </c>
      <c r="F97" s="24">
        <f>+'Yahoo Fin Input'!D109</f>
        <v>181000</v>
      </c>
      <c r="G97" s="24">
        <f>+'Yahoo Fin Input'!E109</f>
        <v>170000</v>
      </c>
      <c r="H97" s="24">
        <f>+'Yahoo Fin Input'!F109</f>
        <v>189000</v>
      </c>
      <c r="I97" s="24">
        <v>217000</v>
      </c>
      <c r="J97" s="24">
        <v>245000</v>
      </c>
      <c r="K97" s="24">
        <v>245000</v>
      </c>
      <c r="L97" s="24">
        <v>229000</v>
      </c>
      <c r="N97" s="74">
        <f>+'Yahoo Fin Input'!K109</f>
        <v>50000</v>
      </c>
      <c r="O97" s="74">
        <f>+'Yahoo Fin Input'!L109</f>
        <v>48000</v>
      </c>
      <c r="P97" s="74">
        <f>+'Yahoo Fin Input'!M109</f>
        <v>47000</v>
      </c>
      <c r="Q97" s="74">
        <f>+'Yahoo Fin Input'!N109</f>
        <v>54000</v>
      </c>
      <c r="T97" s="35"/>
    </row>
    <row r="98" spans="1:20" ht="13.5" customHeight="1">
      <c r="A98">
        <f>ROW()</f>
        <v>98</v>
      </c>
      <c r="B98" s="9"/>
      <c r="C98" s="18" t="s">
        <v>71</v>
      </c>
      <c r="D98" s="18"/>
      <c r="E98" s="19">
        <f t="shared" si="3"/>
        <v>123000</v>
      </c>
      <c r="F98" s="24">
        <f>+'Yahoo Fin Input'!D110</f>
        <v>78000</v>
      </c>
      <c r="G98" s="24">
        <f>+'Yahoo Fin Input'!E110</f>
        <v>56000</v>
      </c>
      <c r="H98" s="24">
        <f>+'Yahoo Fin Input'!F110</f>
        <v>191000</v>
      </c>
      <c r="I98" s="24">
        <v>-57000</v>
      </c>
      <c r="J98" s="24">
        <v>212000</v>
      </c>
      <c r="K98" s="24">
        <v>249000</v>
      </c>
      <c r="L98" s="24">
        <v>69000</v>
      </c>
      <c r="N98" s="74">
        <f>+'Yahoo Fin Input'!K110</f>
        <v>90000</v>
      </c>
      <c r="O98" s="74">
        <f>+'Yahoo Fin Input'!L110</f>
        <v>24000</v>
      </c>
      <c r="P98" s="74">
        <f>+'Yahoo Fin Input'!M110</f>
        <v>17000</v>
      </c>
      <c r="Q98" s="74">
        <f>+'Yahoo Fin Input'!N110</f>
        <v>-8000</v>
      </c>
      <c r="T98" s="35"/>
    </row>
    <row r="99" spans="1:20" ht="13.5" customHeight="1">
      <c r="A99">
        <f>ROW()</f>
        <v>99</v>
      </c>
      <c r="B99" s="9"/>
      <c r="C99" s="18" t="s">
        <v>72</v>
      </c>
      <c r="D99" s="18"/>
      <c r="E99" s="19">
        <f t="shared" si="3"/>
        <v>-50000</v>
      </c>
      <c r="F99" s="24">
        <f>+'Yahoo Fin Input'!D111</f>
        <v>-55000</v>
      </c>
      <c r="G99" s="24">
        <f>+'Yahoo Fin Input'!E111</f>
        <v>-20000</v>
      </c>
      <c r="H99" s="24">
        <f>+'Yahoo Fin Input'!F111</f>
        <v>-78000</v>
      </c>
      <c r="I99" s="24">
        <v>-50000</v>
      </c>
      <c r="J99" s="24">
        <v>63000</v>
      </c>
      <c r="K99" s="24">
        <v>-116000</v>
      </c>
      <c r="L99" s="24">
        <v>-23000</v>
      </c>
      <c r="N99" s="74">
        <f>+'Yahoo Fin Input'!K111</f>
        <v>-9000</v>
      </c>
      <c r="O99" s="74">
        <f>+'Yahoo Fin Input'!L111</f>
        <v>2000</v>
      </c>
      <c r="P99" s="74">
        <f>+'Yahoo Fin Input'!M111</f>
        <v>1000</v>
      </c>
      <c r="Q99" s="74">
        <f>+'Yahoo Fin Input'!N111</f>
        <v>-44000</v>
      </c>
      <c r="T99" s="55"/>
    </row>
    <row r="100" spans="1:20" ht="13.5" customHeight="1">
      <c r="A100">
        <f>ROW()</f>
        <v>100</v>
      </c>
      <c r="B100" s="9"/>
      <c r="C100" s="18" t="s">
        <v>73</v>
      </c>
      <c r="D100" s="18"/>
      <c r="E100" s="19">
        <f t="shared" si="3"/>
        <v>74000</v>
      </c>
      <c r="F100" s="24">
        <f>+'Yahoo Fin Input'!D112</f>
        <v>68000</v>
      </c>
      <c r="G100" s="24">
        <f>+'Yahoo Fin Input'!E112</f>
        <v>-39000</v>
      </c>
      <c r="H100" s="24">
        <f>+'Yahoo Fin Input'!F112</f>
        <v>-133000</v>
      </c>
      <c r="I100" s="24">
        <v>213000</v>
      </c>
      <c r="J100" s="24">
        <v>-94000</v>
      </c>
      <c r="K100" s="24">
        <v>63000</v>
      </c>
      <c r="L100" s="24">
        <v>387000</v>
      </c>
      <c r="N100" s="74">
        <f>+'Yahoo Fin Input'!K112</f>
        <v>-17000</v>
      </c>
      <c r="O100" s="74">
        <f>+'Yahoo Fin Input'!L112</f>
        <v>8000</v>
      </c>
      <c r="P100" s="74">
        <f>+'Yahoo Fin Input'!M112</f>
        <v>39000</v>
      </c>
      <c r="Q100" s="74">
        <f>+'Yahoo Fin Input'!N112</f>
        <v>44000</v>
      </c>
      <c r="T100" s="55"/>
    </row>
    <row r="101" spans="1:20" ht="13.5" customHeight="1">
      <c r="A101">
        <f>ROW()</f>
        <v>101</v>
      </c>
      <c r="B101" s="9"/>
      <c r="C101" s="18" t="s">
        <v>74</v>
      </c>
      <c r="D101" s="18"/>
      <c r="E101" s="19">
        <f t="shared" si="3"/>
        <v>156000</v>
      </c>
      <c r="F101" s="24">
        <f>+'Yahoo Fin Input'!D113</f>
        <v>156000</v>
      </c>
      <c r="G101" s="24">
        <f>+'Yahoo Fin Input'!E113</f>
        <v>448000</v>
      </c>
      <c r="H101" s="24">
        <f>+'Yahoo Fin Input'!F113</f>
        <v>-14000</v>
      </c>
      <c r="I101" s="24">
        <v>-110000</v>
      </c>
      <c r="J101" s="24">
        <v>-98000</v>
      </c>
      <c r="K101" s="24">
        <v>-280000</v>
      </c>
      <c r="L101" s="24">
        <v>-143000</v>
      </c>
      <c r="N101" s="74">
        <f>+'Yahoo Fin Input'!K113</f>
        <v>0</v>
      </c>
      <c r="O101" s="74">
        <f>+'Yahoo Fin Input'!L113</f>
        <v>0</v>
      </c>
      <c r="P101" s="74">
        <f>+'Yahoo Fin Input'!M113</f>
        <v>0</v>
      </c>
      <c r="Q101" s="74">
        <f>+'Yahoo Fin Input'!N113</f>
        <v>156000</v>
      </c>
      <c r="T101" s="55"/>
    </row>
    <row r="102" spans="1:20" ht="13.5" customHeight="1">
      <c r="A102">
        <f>ROW()</f>
        <v>102</v>
      </c>
      <c r="B102" s="9"/>
      <c r="C102" s="18" t="s">
        <v>75</v>
      </c>
      <c r="D102" s="357"/>
      <c r="E102" s="44">
        <f t="shared" si="3"/>
        <v>-56000</v>
      </c>
      <c r="F102" s="26">
        <f>+'Yahoo Fin Input'!D114</f>
        <v>88000</v>
      </c>
      <c r="G102" s="26">
        <f>+'Yahoo Fin Input'!E114</f>
        <v>7000</v>
      </c>
      <c r="H102" s="26">
        <f>+'Yahoo Fin Input'!F114</f>
        <v>-1000</v>
      </c>
      <c r="I102" s="26">
        <v>76000</v>
      </c>
      <c r="J102" s="26">
        <v>172000</v>
      </c>
      <c r="K102" s="26">
        <v>156000</v>
      </c>
      <c r="L102" s="26">
        <v>-166000</v>
      </c>
      <c r="N102" s="26">
        <f>+'Yahoo Fin Input'!K114</f>
        <v>28000</v>
      </c>
      <c r="O102" s="26">
        <f>+'Yahoo Fin Input'!L114</f>
        <v>42000</v>
      </c>
      <c r="P102" s="26">
        <f>+'Yahoo Fin Input'!M114</f>
        <v>-92000</v>
      </c>
      <c r="Q102" s="26">
        <f>+'Yahoo Fin Input'!N114</f>
        <v>-34000</v>
      </c>
      <c r="T102" s="55"/>
    </row>
    <row r="103" spans="1:20" ht="13.5" customHeight="1">
      <c r="A103">
        <f>ROW()</f>
        <v>103</v>
      </c>
      <c r="B103" s="9"/>
      <c r="C103" s="20" t="s">
        <v>76</v>
      </c>
      <c r="D103" s="20"/>
      <c r="E103" s="45">
        <f>SUM(E95:E102)</f>
        <v>973000</v>
      </c>
      <c r="F103" s="46">
        <f>SUM(F95:F102)</f>
        <v>1151000</v>
      </c>
      <c r="G103" s="46">
        <f>SUM(G95:G102)</f>
        <v>1184000</v>
      </c>
      <c r="H103" s="46">
        <f>SUM(H95:H102)</f>
        <v>643000</v>
      </c>
      <c r="I103" s="46">
        <v>766000</v>
      </c>
      <c r="J103" s="46">
        <v>573000</v>
      </c>
      <c r="K103" s="46">
        <v>646000</v>
      </c>
      <c r="L103" s="46">
        <v>895000</v>
      </c>
      <c r="N103" s="46">
        <f>SUM(N95:N102)</f>
        <v>251000</v>
      </c>
      <c r="O103" s="46">
        <f>SUM(O95:O102)</f>
        <v>277000</v>
      </c>
      <c r="P103" s="46">
        <f>SUM(P95:P102)</f>
        <v>149000</v>
      </c>
      <c r="Q103" s="46">
        <f>SUM(Q95:Q102)</f>
        <v>296000</v>
      </c>
      <c r="T103" s="55"/>
    </row>
    <row r="104" spans="1:20" ht="13.5" customHeight="1">
      <c r="A104">
        <f>ROW()</f>
        <v>104</v>
      </c>
      <c r="B104" s="9"/>
      <c r="C104" s="18"/>
      <c r="D104" s="18"/>
      <c r="E104" s="19"/>
      <c r="F104" s="18"/>
      <c r="G104" s="18"/>
      <c r="H104" s="18"/>
      <c r="I104" s="18"/>
      <c r="J104" s="18"/>
      <c r="K104" s="18"/>
      <c r="L104" s="18"/>
      <c r="N104" s="13"/>
      <c r="O104" s="13"/>
      <c r="P104" s="13"/>
      <c r="Q104" s="13"/>
      <c r="T104" s="55"/>
    </row>
    <row r="105" spans="1:20" ht="13.5" customHeight="1">
      <c r="A105">
        <f>ROW()</f>
        <v>105</v>
      </c>
      <c r="B105" s="9"/>
      <c r="C105" s="20" t="s">
        <v>77</v>
      </c>
      <c r="D105" s="20"/>
      <c r="E105" s="21"/>
      <c r="F105" s="20"/>
      <c r="G105" s="20"/>
      <c r="H105" s="20"/>
      <c r="I105" s="20"/>
      <c r="J105" s="20"/>
      <c r="K105" s="20"/>
      <c r="L105" s="20"/>
      <c r="N105" s="20"/>
      <c r="O105" s="20"/>
      <c r="P105" s="20"/>
      <c r="Q105" s="20"/>
      <c r="T105" s="55"/>
    </row>
    <row r="106" spans="1:20" ht="13.5" customHeight="1">
      <c r="A106">
        <f>ROW()</f>
        <v>106</v>
      </c>
      <c r="B106" s="9"/>
      <c r="C106" s="18" t="s">
        <v>78</v>
      </c>
      <c r="D106" s="18"/>
      <c r="E106" s="19">
        <f>SUM(N106:Q106)</f>
        <v>-350000</v>
      </c>
      <c r="F106" s="24">
        <f>+'Yahoo Fin Input'!D119</f>
        <v>-364000</v>
      </c>
      <c r="G106" s="24">
        <f>+'Yahoo Fin Input'!E119</f>
        <v>-362000</v>
      </c>
      <c r="H106" s="24">
        <f>+'Yahoo Fin Input'!F119</f>
        <v>-385000</v>
      </c>
      <c r="I106" s="24">
        <v>-227000</v>
      </c>
      <c r="J106" s="24">
        <v>-196000</v>
      </c>
      <c r="K106" s="24">
        <v>-476000</v>
      </c>
      <c r="L106" s="24">
        <v>-384000</v>
      </c>
      <c r="N106" s="74">
        <f>+'Yahoo Fin Input'!K119</f>
        <v>-66000</v>
      </c>
      <c r="O106" s="74">
        <f>+'Yahoo Fin Input'!L119</f>
        <v>-71000</v>
      </c>
      <c r="P106" s="74">
        <f>+'Yahoo Fin Input'!M119</f>
        <v>-84000</v>
      </c>
      <c r="Q106" s="74">
        <f>+'Yahoo Fin Input'!N119</f>
        <v>-129000</v>
      </c>
      <c r="T106" s="55"/>
    </row>
    <row r="107" spans="1:20" ht="13.5" customHeight="1">
      <c r="A107">
        <f>ROW()</f>
        <v>107</v>
      </c>
      <c r="B107" s="9"/>
      <c r="C107" s="18" t="s">
        <v>79</v>
      </c>
      <c r="D107" s="18"/>
      <c r="E107" s="19">
        <f>SUM(N107:Q107)</f>
        <v>4000</v>
      </c>
      <c r="F107" s="24">
        <f>+'Yahoo Fin Input'!D120</f>
        <v>6000</v>
      </c>
      <c r="G107" s="24">
        <f>+'Yahoo Fin Input'!E120</f>
        <v>2000</v>
      </c>
      <c r="H107" s="24">
        <f>+'Yahoo Fin Input'!F120</f>
        <v>-7000</v>
      </c>
      <c r="I107" s="24">
        <v>18000</v>
      </c>
      <c r="J107" s="24">
        <v>28000</v>
      </c>
      <c r="K107" s="24">
        <v>5000</v>
      </c>
      <c r="L107" s="24">
        <v>108000</v>
      </c>
      <c r="N107" s="74">
        <f>+'Yahoo Fin Input'!K120</f>
        <v>1000</v>
      </c>
      <c r="O107" s="74">
        <f>+'Yahoo Fin Input'!L120</f>
        <v>4000</v>
      </c>
      <c r="P107" s="74">
        <f>+'Yahoo Fin Input'!M120</f>
        <v>-1000</v>
      </c>
      <c r="Q107" s="74" t="str">
        <f>+'Yahoo Fin Input'!N120</f>
        <v>-  </v>
      </c>
      <c r="T107" s="55"/>
    </row>
    <row r="108" spans="1:20" ht="13.5" customHeight="1">
      <c r="A108">
        <f>ROW()</f>
        <v>108</v>
      </c>
      <c r="B108" s="9"/>
      <c r="C108" s="18" t="s">
        <v>80</v>
      </c>
      <c r="D108" s="357"/>
      <c r="E108" s="44">
        <f>SUM(N108:Q108)</f>
        <v>302000</v>
      </c>
      <c r="F108" s="26">
        <f>+'Yahoo Fin Input'!D121</f>
        <v>200000</v>
      </c>
      <c r="G108" s="26">
        <f>+'Yahoo Fin Input'!E121</f>
        <v>486000</v>
      </c>
      <c r="H108" s="26">
        <f>+'Yahoo Fin Input'!F121</f>
        <v>216000</v>
      </c>
      <c r="I108" s="26">
        <v>138000</v>
      </c>
      <c r="J108" s="26">
        <v>284000</v>
      </c>
      <c r="K108" s="26">
        <v>299000</v>
      </c>
      <c r="L108" s="26">
        <v>61000</v>
      </c>
      <c r="N108" s="26">
        <f>+'Yahoo Fin Input'!K121</f>
        <v>-9000</v>
      </c>
      <c r="O108" s="26">
        <f>+'Yahoo Fin Input'!L121</f>
        <v>10000</v>
      </c>
      <c r="P108" s="26">
        <f>+'Yahoo Fin Input'!M121</f>
        <v>198000</v>
      </c>
      <c r="Q108" s="26">
        <f>+'Yahoo Fin Input'!N121</f>
        <v>103000</v>
      </c>
      <c r="T108" s="55"/>
    </row>
    <row r="109" spans="1:20" ht="13.5" customHeight="1">
      <c r="A109">
        <f>ROW()</f>
        <v>109</v>
      </c>
      <c r="B109" s="9"/>
      <c r="C109" s="20" t="s">
        <v>81</v>
      </c>
      <c r="D109" s="20"/>
      <c r="E109" s="45">
        <f>SUM(E106:E108)</f>
        <v>-44000</v>
      </c>
      <c r="F109" s="46">
        <f>SUM(F106:F108)</f>
        <v>-158000</v>
      </c>
      <c r="G109" s="46">
        <f>SUM(G106:G108)</f>
        <v>126000</v>
      </c>
      <c r="H109" s="46">
        <f>SUM(H106:H108)</f>
        <v>-176000</v>
      </c>
      <c r="I109" s="46">
        <v>-71000</v>
      </c>
      <c r="J109" s="46">
        <v>116000</v>
      </c>
      <c r="K109" s="46">
        <v>-172000</v>
      </c>
      <c r="L109" s="46">
        <v>-215000</v>
      </c>
      <c r="N109" s="46">
        <f>SUM(N106:N108)</f>
        <v>-74000</v>
      </c>
      <c r="O109" s="46">
        <f>SUM(O106:O108)</f>
        <v>-57000</v>
      </c>
      <c r="P109" s="46">
        <f>SUM(P106:P108)</f>
        <v>113000</v>
      </c>
      <c r="Q109" s="46">
        <f>SUM(Q106:Q108)</f>
        <v>-26000</v>
      </c>
      <c r="T109" s="55"/>
    </row>
    <row r="110" spans="1:20" ht="13.5" customHeight="1">
      <c r="A110">
        <f>ROW()</f>
        <v>110</v>
      </c>
      <c r="B110" s="9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N110" s="13"/>
      <c r="O110" s="13"/>
      <c r="P110" s="13"/>
      <c r="Q110" s="13"/>
      <c r="T110" s="55"/>
    </row>
    <row r="111" spans="1:20" ht="13.5" customHeight="1">
      <c r="A111">
        <f>ROW()</f>
        <v>111</v>
      </c>
      <c r="B111" s="9"/>
      <c r="C111" s="20" t="s">
        <v>82</v>
      </c>
      <c r="D111" s="20"/>
      <c r="E111" s="21"/>
      <c r="F111" s="20"/>
      <c r="G111" s="20"/>
      <c r="H111" s="20"/>
      <c r="I111" s="20"/>
      <c r="J111" s="20"/>
      <c r="K111" s="20"/>
      <c r="L111" s="20"/>
      <c r="N111" s="20"/>
      <c r="O111" s="20"/>
      <c r="P111" s="20"/>
      <c r="Q111" s="20"/>
      <c r="T111" s="55"/>
    </row>
    <row r="112" spans="1:20" ht="13.5" customHeight="1">
      <c r="A112">
        <f>ROW()</f>
        <v>112</v>
      </c>
      <c r="B112" s="9"/>
      <c r="C112" s="18" t="s">
        <v>83</v>
      </c>
      <c r="D112" s="18"/>
      <c r="E112" s="19">
        <f aca="true" t="shared" si="4" ref="E112:E117">SUM(N112:Q112)</f>
        <v>-815000</v>
      </c>
      <c r="F112" s="24">
        <f>+'Yahoo Fin Input'!D126</f>
        <v>-256000</v>
      </c>
      <c r="G112" s="24">
        <f>+'Yahoo Fin Input'!E126</f>
        <v>-242000</v>
      </c>
      <c r="H112" s="24">
        <f>+'Yahoo Fin Input'!F126</f>
        <v>-99000</v>
      </c>
      <c r="I112" s="24">
        <v>-93000</v>
      </c>
      <c r="J112" s="24">
        <v>-165000</v>
      </c>
      <c r="K112" s="24">
        <v>-172000</v>
      </c>
      <c r="L112" s="24">
        <v>-90000</v>
      </c>
      <c r="N112" s="74">
        <f>+'Yahoo Fin Input'!K126</f>
        <v>-181000</v>
      </c>
      <c r="O112" s="74">
        <f>+'Yahoo Fin Input'!L126</f>
        <v>-191000</v>
      </c>
      <c r="P112" s="74">
        <f>+'Yahoo Fin Input'!M126</f>
        <v>-190000</v>
      </c>
      <c r="Q112" s="74">
        <f>+'Yahoo Fin Input'!N126</f>
        <v>-253000</v>
      </c>
      <c r="T112" s="55"/>
    </row>
    <row r="113" spans="1:20" ht="13.5" customHeight="1">
      <c r="A113">
        <f>ROW()</f>
        <v>113</v>
      </c>
      <c r="B113" s="9"/>
      <c r="C113" s="18" t="s">
        <v>84</v>
      </c>
      <c r="D113" s="18"/>
      <c r="E113" s="19">
        <f t="shared" si="4"/>
        <v>-1058000</v>
      </c>
      <c r="F113" s="24">
        <f>+'Yahoo Fin Input'!D127</f>
        <v>-228000</v>
      </c>
      <c r="G113" s="24">
        <f>+'Yahoo Fin Input'!E127</f>
        <v>-246000</v>
      </c>
      <c r="H113" s="24">
        <f>+'Yahoo Fin Input'!F127</f>
        <v>70000</v>
      </c>
      <c r="I113" s="24">
        <v>141000</v>
      </c>
      <c r="J113" s="24">
        <v>2000</v>
      </c>
      <c r="K113" s="24">
        <v>-473000</v>
      </c>
      <c r="L113" s="24">
        <v>-1597000</v>
      </c>
      <c r="N113" s="74">
        <f>+'Yahoo Fin Input'!K127</f>
        <v>-853000</v>
      </c>
      <c r="O113" s="74">
        <f>+'Yahoo Fin Input'!L127</f>
        <v>-160000</v>
      </c>
      <c r="P113" s="74">
        <f>+'Yahoo Fin Input'!M127</f>
        <v>10000</v>
      </c>
      <c r="Q113" s="74">
        <f>+'Yahoo Fin Input'!N127</f>
        <v>-55000</v>
      </c>
      <c r="T113" s="55"/>
    </row>
    <row r="114" spans="1:20" ht="13.5" customHeight="1">
      <c r="A114">
        <f>ROW()</f>
        <v>114</v>
      </c>
      <c r="B114" s="9"/>
      <c r="C114" s="18" t="s">
        <v>85</v>
      </c>
      <c r="D114" s="18"/>
      <c r="E114" s="19">
        <f t="shared" si="4"/>
        <v>728000</v>
      </c>
      <c r="F114" s="24">
        <f>+'Yahoo Fin Input'!D128</f>
        <v>-198000</v>
      </c>
      <c r="G114" s="24">
        <f>+'Yahoo Fin Input'!E128</f>
        <v>-981000</v>
      </c>
      <c r="H114" s="24">
        <f>+'Yahoo Fin Input'!F128</f>
        <v>-709000</v>
      </c>
      <c r="I114" s="24">
        <v>-64000</v>
      </c>
      <c r="J114" s="24">
        <v>-1057000</v>
      </c>
      <c r="K114" s="24">
        <v>412000</v>
      </c>
      <c r="L114" s="24">
        <v>942000</v>
      </c>
      <c r="N114" s="74">
        <f>+'Yahoo Fin Input'!K128</f>
        <v>728000</v>
      </c>
      <c r="O114" s="74">
        <f>+'Yahoo Fin Input'!L128</f>
        <v>68000</v>
      </c>
      <c r="P114" s="74">
        <f>+'Yahoo Fin Input'!M128</f>
        <v>-26000</v>
      </c>
      <c r="Q114" s="74">
        <f>+'Yahoo Fin Input'!N128</f>
        <v>-42000</v>
      </c>
      <c r="T114" s="55"/>
    </row>
    <row r="115" spans="1:20" ht="13.5" customHeight="1">
      <c r="A115">
        <f>ROW()</f>
        <v>115</v>
      </c>
      <c r="B115" s="9"/>
      <c r="C115" s="18" t="s">
        <v>86</v>
      </c>
      <c r="D115" s="357"/>
      <c r="E115" s="44">
        <f t="shared" si="4"/>
        <v>-25000</v>
      </c>
      <c r="F115" s="26">
        <f>+'Yahoo Fin Input'!D129</f>
        <v>-22000</v>
      </c>
      <c r="G115" s="26">
        <f>+'Yahoo Fin Input'!E129</f>
        <v>-59000</v>
      </c>
      <c r="H115" s="26">
        <f>+'Yahoo Fin Input'!F129</f>
        <v>-39000</v>
      </c>
      <c r="I115" s="26">
        <v>-38000</v>
      </c>
      <c r="J115" s="26">
        <v>227000</v>
      </c>
      <c r="K115" s="26">
        <v>-10000</v>
      </c>
      <c r="L115" s="26">
        <v>33000</v>
      </c>
      <c r="N115" s="26">
        <f>+'Yahoo Fin Input'!K129</f>
        <v>-7000</v>
      </c>
      <c r="O115" s="26">
        <f>+'Yahoo Fin Input'!L129</f>
        <v>0</v>
      </c>
      <c r="P115" s="26">
        <f>+'Yahoo Fin Input'!M129</f>
        <v>-20000</v>
      </c>
      <c r="Q115" s="26">
        <f>+'Yahoo Fin Input'!N129</f>
        <v>2000</v>
      </c>
      <c r="T115" s="55"/>
    </row>
    <row r="116" spans="1:20" ht="13.5" customHeight="1">
      <c r="A116">
        <f>ROW()</f>
        <v>116</v>
      </c>
      <c r="B116" s="9"/>
      <c r="C116" s="20" t="s">
        <v>87</v>
      </c>
      <c r="D116" s="20"/>
      <c r="E116" s="45">
        <f>SUM(E112:E115)</f>
        <v>-1170000</v>
      </c>
      <c r="F116" s="46">
        <f>SUM(F112:F115)</f>
        <v>-704000</v>
      </c>
      <c r="G116" s="46">
        <f>SUM(G112:G115)</f>
        <v>-1528000</v>
      </c>
      <c r="H116" s="46">
        <f>SUM(H112:H115)</f>
        <v>-777000</v>
      </c>
      <c r="I116" s="46">
        <v>-54000</v>
      </c>
      <c r="J116" s="46">
        <v>-993000</v>
      </c>
      <c r="K116" s="46">
        <v>-243000</v>
      </c>
      <c r="L116" s="46">
        <v>-712000</v>
      </c>
      <c r="N116" s="46">
        <f>SUM(N112:N115)</f>
        <v>-313000</v>
      </c>
      <c r="O116" s="46">
        <f>SUM(O112:O115)</f>
        <v>-283000</v>
      </c>
      <c r="P116" s="46">
        <f>SUM(P112:P115)</f>
        <v>-226000</v>
      </c>
      <c r="Q116" s="46">
        <f>SUM(Q112:Q115)</f>
        <v>-348000</v>
      </c>
      <c r="T116" s="55"/>
    </row>
    <row r="117" spans="1:20" ht="13.5" customHeight="1">
      <c r="A117">
        <f>ROW()</f>
        <v>117</v>
      </c>
      <c r="B117" s="9"/>
      <c r="C117" s="18" t="s">
        <v>88</v>
      </c>
      <c r="D117" s="18"/>
      <c r="E117" s="44">
        <f t="shared" si="4"/>
        <v>-4000</v>
      </c>
      <c r="F117" s="24">
        <f>+'Yahoo Fin Input'!D132</f>
        <v>-4000</v>
      </c>
      <c r="G117" s="24">
        <f>+'Yahoo Fin Input'!E132</f>
        <v>-3000</v>
      </c>
      <c r="H117" s="24">
        <f>+'Yahoo Fin Input'!F132</f>
        <v>-9000</v>
      </c>
      <c r="I117" s="24">
        <v>-1000</v>
      </c>
      <c r="J117" s="24">
        <v>4000</v>
      </c>
      <c r="K117" s="24">
        <v>7000</v>
      </c>
      <c r="L117" s="24">
        <v>11000</v>
      </c>
      <c r="N117" s="24">
        <f>+'Yahoo Fin Input'!K132</f>
        <v>-8000</v>
      </c>
      <c r="O117" s="24">
        <f>+'Yahoo Fin Input'!L132</f>
        <v>1000</v>
      </c>
      <c r="P117" s="24">
        <f>+'Yahoo Fin Input'!M132</f>
        <v>-1000</v>
      </c>
      <c r="Q117" s="24">
        <f>+'Yahoo Fin Input'!N132</f>
        <v>4000</v>
      </c>
      <c r="T117" s="55"/>
    </row>
    <row r="118" spans="1:20" ht="13.5" customHeight="1" thickBot="1">
      <c r="A118">
        <f>ROW()</f>
        <v>118</v>
      </c>
      <c r="B118" s="9"/>
      <c r="C118" s="20" t="s">
        <v>89</v>
      </c>
      <c r="D118" s="20"/>
      <c r="E118" s="47">
        <f>+E117+E116+E109+E103</f>
        <v>-245000</v>
      </c>
      <c r="F118" s="48">
        <f>+F117+F116+F109+F103</f>
        <v>285000</v>
      </c>
      <c r="G118" s="48">
        <f>+G117+G116+G109+G103</f>
        <v>-221000</v>
      </c>
      <c r="H118" s="48">
        <f>+H117+H116+H109+H103</f>
        <v>-319000</v>
      </c>
      <c r="I118" s="48">
        <v>640000</v>
      </c>
      <c r="J118" s="48">
        <v>-300000</v>
      </c>
      <c r="K118" s="48">
        <v>238000</v>
      </c>
      <c r="L118" s="48">
        <v>-21000</v>
      </c>
      <c r="N118" s="48">
        <f>+N117+N116+N109+N103</f>
        <v>-144000</v>
      </c>
      <c r="O118" s="48">
        <f>+O117+O116+O109+O103</f>
        <v>-62000</v>
      </c>
      <c r="P118" s="48">
        <f>+P117+P116+P109+P103</f>
        <v>35000</v>
      </c>
      <c r="Q118" s="48">
        <f>+Q117+Q116+Q109+Q103</f>
        <v>-74000</v>
      </c>
      <c r="T118" s="55"/>
    </row>
    <row r="119" spans="1:20" ht="13.5" customHeight="1" thickTop="1">
      <c r="A119">
        <f>ROW()</f>
        <v>119</v>
      </c>
      <c r="B119" s="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T119" s="55"/>
    </row>
    <row r="120" spans="1:20" ht="13.5" customHeight="1">
      <c r="A120">
        <f>ROW()</f>
        <v>120</v>
      </c>
      <c r="B120" s="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T120" s="55"/>
    </row>
    <row r="121" spans="1:20" ht="22.5" customHeight="1">
      <c r="A121">
        <f>ROW()</f>
        <v>121</v>
      </c>
      <c r="B121" s="9"/>
      <c r="C121" s="52" t="s"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T121" s="55"/>
    </row>
    <row r="122" spans="1:20" ht="13.5" customHeight="1">
      <c r="A122">
        <f>ROW()</f>
        <v>122</v>
      </c>
      <c r="B122" s="9"/>
      <c r="C122" s="56" t="s">
        <v>90</v>
      </c>
      <c r="D122" s="18"/>
      <c r="E122" s="18"/>
      <c r="F122" s="18"/>
      <c r="G122" s="18"/>
      <c r="H122" s="18"/>
      <c r="I122" s="18"/>
      <c r="J122" s="18"/>
      <c r="K122" s="18"/>
      <c r="L122" s="18"/>
      <c r="T122" s="55"/>
    </row>
    <row r="123" spans="1:20" ht="13.5" customHeight="1" thickBot="1">
      <c r="A123">
        <f>ROW()</f>
        <v>123</v>
      </c>
      <c r="B123" s="9"/>
      <c r="C123" s="56"/>
      <c r="D123" s="18"/>
      <c r="E123" s="18"/>
      <c r="F123" s="18"/>
      <c r="G123" s="18"/>
      <c r="H123" s="18"/>
      <c r="I123" s="18"/>
      <c r="J123" s="18"/>
      <c r="K123" s="18"/>
      <c r="L123" s="18"/>
      <c r="T123" s="55"/>
    </row>
    <row r="124" spans="1:20" ht="13.5" customHeight="1" thickBot="1">
      <c r="A124">
        <f>ROW()</f>
        <v>124</v>
      </c>
      <c r="B124" s="9"/>
      <c r="C124" s="30" t="s">
        <v>4</v>
      </c>
      <c r="D124" s="31"/>
      <c r="E124" s="89">
        <f>+E94</f>
        <v>41912</v>
      </c>
      <c r="F124" s="33">
        <f aca="true" t="shared" si="5" ref="F124:Q124">+F94</f>
        <v>41639</v>
      </c>
      <c r="G124" s="33">
        <f t="shared" si="5"/>
        <v>41274</v>
      </c>
      <c r="H124" s="33">
        <f t="shared" si="5"/>
        <v>40908</v>
      </c>
      <c r="I124" s="33">
        <f>+I94</f>
        <v>40543</v>
      </c>
      <c r="J124" s="33">
        <f>+J94</f>
        <v>40178</v>
      </c>
      <c r="K124" s="33">
        <f>+K94</f>
        <v>39813</v>
      </c>
      <c r="L124" s="33">
        <f>+L94</f>
        <v>39447</v>
      </c>
      <c r="N124" s="54">
        <f t="shared" si="5"/>
        <v>41912</v>
      </c>
      <c r="O124" s="33">
        <f t="shared" si="5"/>
        <v>41820</v>
      </c>
      <c r="P124" s="33">
        <f t="shared" si="5"/>
        <v>41729</v>
      </c>
      <c r="Q124" s="34">
        <f t="shared" si="5"/>
        <v>41639</v>
      </c>
      <c r="R124" s="55"/>
      <c r="S124" s="55"/>
      <c r="T124" s="55"/>
    </row>
    <row r="125" spans="1:20" ht="13.5" customHeight="1">
      <c r="A125">
        <f>ROW()</f>
        <v>125</v>
      </c>
      <c r="B125" s="9"/>
      <c r="C125" s="29"/>
      <c r="D125" s="29"/>
      <c r="E125" s="57"/>
      <c r="F125" s="29"/>
      <c r="G125" s="29"/>
      <c r="H125" s="29"/>
      <c r="I125" s="29"/>
      <c r="J125" s="29"/>
      <c r="K125" s="29"/>
      <c r="L125" s="29"/>
      <c r="N125" s="29"/>
      <c r="O125" s="55"/>
      <c r="P125" s="55"/>
      <c r="Q125" s="55"/>
      <c r="R125" s="55"/>
      <c r="S125" s="55"/>
      <c r="T125" s="55"/>
    </row>
    <row r="126" spans="1:20" ht="13.5" customHeight="1">
      <c r="A126">
        <f>ROW()</f>
        <v>126</v>
      </c>
      <c r="B126" s="9"/>
      <c r="C126" s="56" t="s">
        <v>283</v>
      </c>
      <c r="D126" s="18"/>
      <c r="E126" s="21">
        <f>+E18+E97+E14</f>
        <v>1061000</v>
      </c>
      <c r="F126" s="369">
        <f aca="true" t="shared" si="6" ref="E126:L126">+F18+F97</f>
        <v>1106000</v>
      </c>
      <c r="G126" s="369">
        <f t="shared" si="6"/>
        <v>1082000</v>
      </c>
      <c r="H126" s="369">
        <f t="shared" si="6"/>
        <v>819000</v>
      </c>
      <c r="I126" s="369">
        <f>+I18+I97</f>
        <v>817000</v>
      </c>
      <c r="J126" s="369">
        <f>+J18+J97</f>
        <v>271000</v>
      </c>
      <c r="K126" s="369">
        <f t="shared" si="6"/>
        <v>864000</v>
      </c>
      <c r="L126" s="369">
        <f t="shared" si="6"/>
        <v>1087000</v>
      </c>
      <c r="N126" s="20">
        <f>+N18+N97+N14</f>
        <v>260000</v>
      </c>
      <c r="O126" s="20">
        <f>+O18+O97+O14</f>
        <v>282000</v>
      </c>
      <c r="P126" s="20" t="e">
        <f>+P18+P97+P14</f>
        <v>#VALUE!</v>
      </c>
      <c r="Q126" s="20">
        <f>+Q18+Q97+Q14</f>
        <v>278000</v>
      </c>
      <c r="R126" s="55"/>
      <c r="S126" s="55"/>
      <c r="T126" s="55"/>
    </row>
    <row r="127" spans="1:20" ht="13.5" customHeight="1">
      <c r="A127">
        <f>ROW()</f>
        <v>127</v>
      </c>
      <c r="B127" s="9"/>
      <c r="C127" s="56"/>
      <c r="D127" s="18"/>
      <c r="E127" s="19"/>
      <c r="F127" s="18"/>
      <c r="G127" s="18"/>
      <c r="H127" s="18"/>
      <c r="I127" s="18"/>
      <c r="J127" s="18"/>
      <c r="K127" s="18"/>
      <c r="L127" s="18"/>
      <c r="N127" s="18"/>
      <c r="O127" s="18"/>
      <c r="P127" s="18"/>
      <c r="Q127" s="55"/>
      <c r="R127" s="55"/>
      <c r="S127" s="55"/>
      <c r="T127" s="55"/>
    </row>
    <row r="128" spans="1:20" ht="13.5" customHeight="1">
      <c r="A128">
        <f>ROW()</f>
        <v>128</v>
      </c>
      <c r="B128" s="9"/>
      <c r="C128" s="56" t="s">
        <v>92</v>
      </c>
      <c r="D128" s="41"/>
      <c r="E128" s="58"/>
      <c r="F128" s="41"/>
      <c r="G128" s="41"/>
      <c r="H128" s="41"/>
      <c r="I128" s="41"/>
      <c r="J128" s="41"/>
      <c r="K128" s="41"/>
      <c r="L128" s="41"/>
      <c r="N128" s="41"/>
      <c r="O128" s="41"/>
      <c r="P128" s="41"/>
      <c r="Q128" s="55"/>
      <c r="R128" s="55"/>
      <c r="S128" s="55"/>
      <c r="T128" s="55"/>
    </row>
    <row r="129" spans="1:20" ht="13.5" customHeight="1">
      <c r="A129">
        <f>ROW()</f>
        <v>129</v>
      </c>
      <c r="B129" s="9"/>
      <c r="C129" s="41" t="s">
        <v>93</v>
      </c>
      <c r="D129" s="41"/>
      <c r="E129" s="59">
        <f aca="true" t="shared" si="7" ref="E129:L129">+E53/E69</f>
        <v>0.9073019161056447</v>
      </c>
      <c r="F129" s="60">
        <f t="shared" si="7"/>
        <v>1.0374220374220373</v>
      </c>
      <c r="G129" s="60">
        <f t="shared" si="7"/>
        <v>0.9370039682539683</v>
      </c>
      <c r="H129" s="60">
        <f t="shared" si="7"/>
        <v>1.2720883534136547</v>
      </c>
      <c r="I129" s="60">
        <f>+I53/I69</f>
        <v>1.210623556581986</v>
      </c>
      <c r="J129" s="60">
        <f>+J53/J69</f>
        <v>0.734583127775037</v>
      </c>
      <c r="K129" s="60">
        <f t="shared" si="7"/>
        <v>0.8058035714285714</v>
      </c>
      <c r="L129" s="60">
        <f t="shared" si="7"/>
        <v>0.8681580199904807</v>
      </c>
      <c r="N129" s="60"/>
      <c r="O129" s="60"/>
      <c r="P129" s="60"/>
      <c r="Q129" s="55"/>
      <c r="R129" s="55"/>
      <c r="S129" s="55"/>
      <c r="T129" s="55"/>
    </row>
    <row r="130" spans="1:20" ht="13.5" customHeight="1">
      <c r="A130">
        <f>ROW()</f>
        <v>130</v>
      </c>
      <c r="B130" s="9"/>
      <c r="C130" s="41" t="s">
        <v>94</v>
      </c>
      <c r="D130" s="41"/>
      <c r="E130" s="59">
        <f>+E7/AVERAGE(E50:G50)</f>
        <v>6.605949320602277</v>
      </c>
      <c r="F130" s="60">
        <f>+F7/AVERAGE(F50:G50)</f>
        <v>6.614386154678204</v>
      </c>
      <c r="G130" s="60">
        <f>+G7/AVERAGE(G50:H50)</f>
        <v>6.826133909287257</v>
      </c>
      <c r="H130" s="60">
        <f>+H7/AVERAGE(H50:H50)</f>
        <v>6.1734357848518115</v>
      </c>
      <c r="I130" s="60">
        <f>+I7/AVERAGE(I50:I50)</f>
        <v>5.717023675310034</v>
      </c>
      <c r="J130" s="60">
        <f>+J7/AVERAGE(J50:J50)</f>
        <v>10.552808988764045</v>
      </c>
      <c r="K130" s="60">
        <f>+K7/AVERAGE(K50:K50)</f>
        <v>10.701086956521738</v>
      </c>
      <c r="L130" s="60">
        <f>+L7/AVERAGE(L50:L50)</f>
        <v>9.988636363636363</v>
      </c>
      <c r="N130" s="60"/>
      <c r="O130" s="60"/>
      <c r="P130" s="60"/>
      <c r="Q130" s="55"/>
      <c r="R130" s="55"/>
      <c r="S130" s="55"/>
      <c r="T130" s="55"/>
    </row>
    <row r="131" spans="1:20" ht="13.5" customHeight="1">
      <c r="A131">
        <f>ROW()</f>
        <v>131</v>
      </c>
      <c r="B131" s="9"/>
      <c r="C131" s="41"/>
      <c r="D131" s="41"/>
      <c r="E131" s="61"/>
      <c r="F131" s="62"/>
      <c r="G131" s="62"/>
      <c r="H131" s="41"/>
      <c r="I131" s="41"/>
      <c r="J131" s="41"/>
      <c r="K131" s="41"/>
      <c r="L131" s="41"/>
      <c r="N131" s="41"/>
      <c r="O131" s="41"/>
      <c r="P131" s="41"/>
      <c r="Q131" s="55"/>
      <c r="R131" s="55"/>
      <c r="S131" s="55"/>
      <c r="T131" s="55"/>
    </row>
    <row r="132" spans="1:20" ht="13.5" customHeight="1">
      <c r="A132">
        <f>ROW()</f>
        <v>132</v>
      </c>
      <c r="B132" s="9"/>
      <c r="C132" s="56" t="s">
        <v>95</v>
      </c>
      <c r="D132" s="41"/>
      <c r="E132" s="40"/>
      <c r="F132" s="39"/>
      <c r="G132" s="39"/>
      <c r="H132" s="41"/>
      <c r="I132" s="41"/>
      <c r="J132" s="41"/>
      <c r="K132" s="41"/>
      <c r="L132" s="41"/>
      <c r="N132" s="41"/>
      <c r="O132" s="41"/>
      <c r="P132" s="41"/>
      <c r="Q132" s="55"/>
      <c r="R132" s="55"/>
      <c r="S132" s="55"/>
      <c r="T132" s="55"/>
    </row>
    <row r="133" spans="1:20" ht="13.5" customHeight="1">
      <c r="A133">
        <f>ROW()</f>
        <v>133</v>
      </c>
      <c r="B133" s="9"/>
      <c r="C133" s="41" t="s">
        <v>96</v>
      </c>
      <c r="D133" s="41"/>
      <c r="E133" s="61">
        <f aca="true" t="shared" si="8" ref="E133:L133">+(E67+E70)/(E67+E70+E85)</f>
        <v>0.5316179677278674</v>
      </c>
      <c r="F133" s="62">
        <f t="shared" si="8"/>
        <v>0.32557205941389</v>
      </c>
      <c r="G133" s="62">
        <f t="shared" si="8"/>
        <v>0.36562184024266936</v>
      </c>
      <c r="H133" s="62">
        <f t="shared" si="8"/>
        <v>0.48020411754355097</v>
      </c>
      <c r="I133" s="62">
        <f>+(I67+I70)/(I67+I70+I85)</f>
        <v>0.5755754036413604</v>
      </c>
      <c r="J133" s="62">
        <f>+(J67+J70)/(J67+J70+J85)</f>
        <v>0.6187290969899666</v>
      </c>
      <c r="K133" s="62">
        <f t="shared" si="8"/>
        <v>0.7120270030200746</v>
      </c>
      <c r="L133" s="62">
        <f t="shared" si="8"/>
        <v>0.6339269970022924</v>
      </c>
      <c r="N133" s="62"/>
      <c r="O133" s="62"/>
      <c r="P133" s="62"/>
      <c r="Q133" s="62"/>
      <c r="R133" s="55"/>
      <c r="S133" s="55"/>
      <c r="T133" s="55"/>
    </row>
    <row r="134" spans="1:20" ht="13.5" customHeight="1">
      <c r="A134">
        <f>ROW()</f>
        <v>134</v>
      </c>
      <c r="B134" s="9"/>
      <c r="C134" s="41" t="s">
        <v>97</v>
      </c>
      <c r="D134" s="41"/>
      <c r="E134" s="59">
        <f aca="true" t="shared" si="9" ref="E134:L134">+E126/E21</f>
        <v>5.735135135135135</v>
      </c>
      <c r="F134" s="60">
        <f t="shared" si="9"/>
        <v>5.12037037037037</v>
      </c>
      <c r="G134" s="60">
        <f t="shared" si="9"/>
        <v>4.584745762711864</v>
      </c>
      <c r="H134" s="60">
        <f t="shared" si="9"/>
        <v>2.766891891891892</v>
      </c>
      <c r="I134" s="60">
        <f>+I126/I21</f>
        <v>2.760135135135135</v>
      </c>
      <c r="J134" s="60">
        <f t="shared" si="9"/>
        <v>0.9155405405405406</v>
      </c>
      <c r="K134" s="60">
        <f t="shared" si="9"/>
        <v>4.114285714285714</v>
      </c>
      <c r="L134" s="60">
        <f t="shared" si="9"/>
        <v>6.470238095238095</v>
      </c>
      <c r="N134" s="60">
        <f>+N126/N21</f>
        <v>4.642857142857143</v>
      </c>
      <c r="O134" s="60">
        <f>+O126/O21</f>
        <v>3.569620253164557</v>
      </c>
      <c r="P134" s="60" t="e">
        <f>+P126/P21</f>
        <v>#VALUE!</v>
      </c>
      <c r="Q134" s="60">
        <f>+Q126/Q21</f>
        <v>5.56</v>
      </c>
      <c r="R134" s="55"/>
      <c r="S134" s="55"/>
      <c r="T134" s="55"/>
    </row>
    <row r="135" spans="1:20" ht="13.5" customHeight="1">
      <c r="A135">
        <f>ROW()</f>
        <v>135</v>
      </c>
      <c r="B135" s="9"/>
      <c r="C135" s="41" t="s">
        <v>98</v>
      </c>
      <c r="D135" s="41"/>
      <c r="E135" s="59">
        <f aca="true" t="shared" si="10" ref="E135:L135">+(E67+E70)/E126</f>
        <v>2.297832233741753</v>
      </c>
      <c r="F135" s="60">
        <f t="shared" si="10"/>
        <v>1.4665461121157324</v>
      </c>
      <c r="G135" s="60">
        <f t="shared" si="10"/>
        <v>1.6709796672828097</v>
      </c>
      <c r="H135" s="60">
        <f t="shared" si="10"/>
        <v>3.3321123321123323</v>
      </c>
      <c r="I135" s="60">
        <f>+(I67+I70)/I126</f>
        <v>4.101591187270502</v>
      </c>
      <c r="J135" s="60">
        <f>+(J67+J70)/J126</f>
        <v>10.92250922509225</v>
      </c>
      <c r="K135" s="60">
        <f t="shared" si="10"/>
        <v>4.638888888888889</v>
      </c>
      <c r="L135" s="60">
        <f t="shared" si="10"/>
        <v>3.3072677092916285</v>
      </c>
      <c r="N135" s="60"/>
      <c r="O135" s="60"/>
      <c r="P135" s="60"/>
      <c r="Q135" s="60"/>
      <c r="R135" s="55"/>
      <c r="S135" s="55"/>
      <c r="T135" s="55"/>
    </row>
    <row r="136" spans="1:20" ht="13.5" customHeight="1">
      <c r="A136">
        <f>ROW()</f>
        <v>136</v>
      </c>
      <c r="B136" s="9"/>
      <c r="C136" s="41"/>
      <c r="D136" s="41"/>
      <c r="E136" s="40"/>
      <c r="F136" s="39"/>
      <c r="G136" s="39"/>
      <c r="H136" s="41"/>
      <c r="I136" s="41"/>
      <c r="J136" s="41"/>
      <c r="K136" s="41"/>
      <c r="L136" s="41"/>
      <c r="N136" s="41"/>
      <c r="O136" s="41"/>
      <c r="P136" s="41"/>
      <c r="Q136" s="55"/>
      <c r="R136" s="55"/>
      <c r="S136" s="55"/>
      <c r="T136" s="55"/>
    </row>
    <row r="137" spans="1:20" ht="13.5" customHeight="1">
      <c r="A137">
        <f>ROW()</f>
        <v>137</v>
      </c>
      <c r="B137" s="9"/>
      <c r="C137" s="56" t="s">
        <v>99</v>
      </c>
      <c r="D137" s="41"/>
      <c r="E137" s="40"/>
      <c r="F137" s="39"/>
      <c r="G137" s="39"/>
      <c r="H137" s="41"/>
      <c r="I137" s="41"/>
      <c r="J137" s="41"/>
      <c r="K137" s="41"/>
      <c r="L137" s="41"/>
      <c r="N137" s="41"/>
      <c r="O137" s="41"/>
      <c r="P137" s="41"/>
      <c r="Q137" s="55"/>
      <c r="R137" s="55"/>
      <c r="S137" s="63"/>
      <c r="T137" s="63"/>
    </row>
    <row r="138" spans="1:20" ht="13.5" customHeight="1">
      <c r="A138">
        <f>ROW()</f>
        <v>138</v>
      </c>
      <c r="B138" s="9"/>
      <c r="C138" s="41" t="s">
        <v>100</v>
      </c>
      <c r="D138" s="41"/>
      <c r="E138" s="40"/>
      <c r="F138" s="39"/>
      <c r="G138" s="39"/>
      <c r="H138" s="41"/>
      <c r="I138" s="41"/>
      <c r="J138" s="41"/>
      <c r="K138" s="41"/>
      <c r="L138" s="41"/>
      <c r="N138" s="41"/>
      <c r="O138" s="41"/>
      <c r="P138" s="41"/>
      <c r="Q138" s="55"/>
      <c r="R138" s="55"/>
      <c r="S138" s="63"/>
      <c r="T138" s="63"/>
    </row>
    <row r="139" spans="1:20" ht="13.5" customHeight="1">
      <c r="A139">
        <f>ROW()</f>
        <v>139</v>
      </c>
      <c r="B139" s="9"/>
      <c r="C139" s="41" t="s">
        <v>101</v>
      </c>
      <c r="D139" s="41"/>
      <c r="E139" s="40"/>
      <c r="F139" s="39"/>
      <c r="G139" s="39"/>
      <c r="H139" s="41"/>
      <c r="I139" s="41"/>
      <c r="J139" s="41"/>
      <c r="K139" s="41"/>
      <c r="L139" s="41"/>
      <c r="N139" s="41"/>
      <c r="O139" s="41"/>
      <c r="P139" s="41"/>
      <c r="Q139" s="55"/>
      <c r="R139" s="55"/>
      <c r="S139" s="63"/>
      <c r="T139" s="63"/>
    </row>
    <row r="140" spans="1:20" ht="13.5" customHeight="1">
      <c r="A140">
        <f>ROW()</f>
        <v>140</v>
      </c>
      <c r="B140" s="9"/>
      <c r="C140" s="41" t="s">
        <v>102</v>
      </c>
      <c r="D140" s="41"/>
      <c r="E140" s="40"/>
      <c r="F140" s="39"/>
      <c r="G140" s="39"/>
      <c r="H140" s="41"/>
      <c r="I140" s="41"/>
      <c r="J140" s="41"/>
      <c r="K140" s="41"/>
      <c r="L140" s="41"/>
      <c r="N140" s="41"/>
      <c r="O140" s="41"/>
      <c r="P140" s="41"/>
      <c r="Q140" s="55"/>
      <c r="R140" s="55"/>
      <c r="S140" s="63"/>
      <c r="T140" s="63"/>
    </row>
    <row r="141" spans="1:20" ht="13.5" customHeight="1">
      <c r="A141">
        <f>ROW()</f>
        <v>141</v>
      </c>
      <c r="B141" s="9"/>
      <c r="C141" s="41" t="s">
        <v>103</v>
      </c>
      <c r="D141" s="41"/>
      <c r="E141" s="40"/>
      <c r="F141" s="39"/>
      <c r="G141" s="39"/>
      <c r="H141" s="41"/>
      <c r="I141" s="41"/>
      <c r="J141" s="41"/>
      <c r="K141" s="41"/>
      <c r="L141" s="41"/>
      <c r="N141" s="41"/>
      <c r="O141" s="41"/>
      <c r="P141" s="41"/>
      <c r="Q141" s="55"/>
      <c r="R141" s="55"/>
      <c r="S141" s="63"/>
      <c r="T141" s="63"/>
    </row>
    <row r="142" spans="1:20" ht="13.5" customHeight="1">
      <c r="A142">
        <f>ROW()</f>
        <v>142</v>
      </c>
      <c r="B142" s="9"/>
      <c r="C142" s="41"/>
      <c r="D142" s="41"/>
      <c r="E142" s="40"/>
      <c r="F142" s="39"/>
      <c r="G142" s="39"/>
      <c r="H142" s="41"/>
      <c r="I142" s="41"/>
      <c r="J142" s="41"/>
      <c r="K142" s="41"/>
      <c r="L142" s="41"/>
      <c r="N142" s="41"/>
      <c r="O142" s="41"/>
      <c r="P142" s="41"/>
      <c r="Q142" s="55"/>
      <c r="R142" s="55"/>
      <c r="S142" s="63"/>
      <c r="T142" s="63"/>
    </row>
    <row r="143" spans="1:20" ht="13.5" customHeight="1">
      <c r="A143">
        <f>ROW()</f>
        <v>143</v>
      </c>
      <c r="B143" s="9"/>
      <c r="C143" s="56" t="s">
        <v>104</v>
      </c>
      <c r="D143" s="41"/>
      <c r="E143" s="40"/>
      <c r="F143" s="39"/>
      <c r="G143" s="39"/>
      <c r="H143" s="41"/>
      <c r="I143" s="41"/>
      <c r="J143" s="41"/>
      <c r="K143" s="41"/>
      <c r="L143" s="41"/>
      <c r="N143" s="41"/>
      <c r="O143" s="41"/>
      <c r="P143" s="41"/>
      <c r="Q143" s="55"/>
      <c r="R143" s="55"/>
      <c r="S143" s="63"/>
      <c r="T143" s="63"/>
    </row>
    <row r="144" spans="1:20" ht="13.5" customHeight="1">
      <c r="A144">
        <f>ROW()</f>
        <v>144</v>
      </c>
      <c r="B144" s="9"/>
      <c r="C144" s="41" t="s">
        <v>105</v>
      </c>
      <c r="D144" s="41"/>
      <c r="E144" s="61">
        <f aca="true" t="shared" si="11" ref="E144:L144">+E9/E7</f>
        <v>0.7078052034689793</v>
      </c>
      <c r="F144" s="62">
        <f t="shared" si="11"/>
        <v>0.685363859362224</v>
      </c>
      <c r="G144" s="62">
        <f t="shared" si="11"/>
        <v>0.627906976744186</v>
      </c>
      <c r="H144" s="62">
        <f t="shared" si="11"/>
        <v>0.6497155049786629</v>
      </c>
      <c r="I144" s="62">
        <f>+I9/I7</f>
        <v>0.6450404259514888</v>
      </c>
      <c r="J144" s="62">
        <f>+J9/J7</f>
        <v>0.6301107325383305</v>
      </c>
      <c r="K144" s="62">
        <f t="shared" si="11"/>
        <v>0.6301107325383305</v>
      </c>
      <c r="L144" s="62">
        <f t="shared" si="11"/>
        <v>0.6366546238182073</v>
      </c>
      <c r="N144" s="62">
        <f>+N9/N7</f>
        <v>0.7126590756865372</v>
      </c>
      <c r="O144" s="62">
        <f>+O9/O7</f>
        <v>0.7147498375568551</v>
      </c>
      <c r="P144" s="62">
        <f>+P9/P7</f>
        <v>0.7057613168724279</v>
      </c>
      <c r="Q144" s="62">
        <f>+Q9/Q7</f>
        <v>0.6978751660026561</v>
      </c>
      <c r="R144" s="55"/>
      <c r="S144" s="63"/>
      <c r="T144" s="63"/>
    </row>
    <row r="145" spans="1:20" ht="13.5" customHeight="1">
      <c r="A145">
        <f>ROW()</f>
        <v>145</v>
      </c>
      <c r="B145" s="9"/>
      <c r="C145" s="41" t="s">
        <v>106</v>
      </c>
      <c r="D145" s="41"/>
      <c r="E145" s="61">
        <f aca="true" t="shared" si="12" ref="E145:L145">+E126/E7</f>
        <v>0.17695130086724484</v>
      </c>
      <c r="F145" s="62">
        <f t="shared" si="12"/>
        <v>0.18086672117743255</v>
      </c>
      <c r="G145" s="62">
        <f t="shared" si="12"/>
        <v>0.17117544692295522</v>
      </c>
      <c r="H145" s="62">
        <f t="shared" si="12"/>
        <v>0.14562588904694168</v>
      </c>
      <c r="I145" s="62">
        <f>+I126/I7</f>
        <v>0.161112206665352</v>
      </c>
      <c r="J145" s="62">
        <f>+J126/J7</f>
        <v>0.057708688245315165</v>
      </c>
      <c r="K145" s="62">
        <f t="shared" si="12"/>
        <v>0.1462671406805485</v>
      </c>
      <c r="L145" s="62">
        <f t="shared" si="12"/>
        <v>0.17666179099626197</v>
      </c>
      <c r="N145" s="62">
        <f>+N126/N7</f>
        <v>0.174146014735432</v>
      </c>
      <c r="O145" s="62">
        <f>+O126/O7</f>
        <v>0.18323586744639375</v>
      </c>
      <c r="P145" s="62" t="e">
        <f>+P126/P7</f>
        <v>#VALUE!</v>
      </c>
      <c r="Q145" s="62">
        <f>+Q126/Q7</f>
        <v>0.1845949535192563</v>
      </c>
      <c r="R145" s="55"/>
      <c r="S145" s="63"/>
      <c r="T145" s="63"/>
    </row>
    <row r="146" spans="1:20" ht="13.5" customHeight="1">
      <c r="A146">
        <f>ROW()</f>
        <v>146</v>
      </c>
      <c r="B146" s="9"/>
      <c r="C146" s="41" t="s">
        <v>107</v>
      </c>
      <c r="D146" s="41"/>
      <c r="E146" s="61">
        <f aca="true" t="shared" si="13" ref="E146:L146">+E20/E7</f>
        <v>0.14026017344896596</v>
      </c>
      <c r="F146" s="62">
        <f t="shared" si="13"/>
        <v>0.15126737530662307</v>
      </c>
      <c r="G146" s="62">
        <f t="shared" si="13"/>
        <v>0.13969308653694035</v>
      </c>
      <c r="H146" s="62">
        <f t="shared" si="13"/>
        <v>0.11842105263157894</v>
      </c>
      <c r="I146" s="62">
        <f>+I20/I7</f>
        <v>0.13133504239794913</v>
      </c>
      <c r="J146" s="62">
        <f>+J20/J7</f>
        <v>0.1418228279386712</v>
      </c>
      <c r="K146" s="62">
        <f t="shared" si="13"/>
        <v>0.1127475876079228</v>
      </c>
      <c r="L146" s="62">
        <f t="shared" si="13"/>
        <v>0.10824004550625711</v>
      </c>
      <c r="N146" s="62">
        <f>+N20/N7</f>
        <v>0.1406563965170797</v>
      </c>
      <c r="O146" s="62">
        <f>+O20/O7</f>
        <v>0.1539961013645224</v>
      </c>
      <c r="P146" s="62">
        <f>+P20/P7</f>
        <v>0.13305898491083676</v>
      </c>
      <c r="Q146" s="62">
        <f>+Q20/Q7</f>
        <v>0.13280212483399734</v>
      </c>
      <c r="R146" s="55"/>
      <c r="S146" s="63"/>
      <c r="T146" s="63"/>
    </row>
    <row r="147" spans="1:20" ht="13.5" customHeight="1">
      <c r="A147">
        <f>ROW()</f>
        <v>147</v>
      </c>
      <c r="B147" s="9"/>
      <c r="C147" s="41" t="s">
        <v>108</v>
      </c>
      <c r="D147" s="41"/>
      <c r="E147" s="61">
        <f>+E34/AVERAGE(E62:G62)</f>
        <v>0.05552355719387168</v>
      </c>
      <c r="F147" s="62">
        <f>+F34/AVERAGE(F62:G62)</f>
        <v>0.05857978089345518</v>
      </c>
      <c r="G147" s="62">
        <f>+G34/AVERAGE(G62:H62)</f>
        <v>0.06418680423567744</v>
      </c>
      <c r="H147" s="62">
        <f>+H34/AVERAGE(H62:J62)</f>
        <v>0.046339466846994345</v>
      </c>
      <c r="I147" s="62">
        <f>+I34/AVERAGE(I62:K62)</f>
        <v>0.054390934844192634</v>
      </c>
      <c r="J147" s="62">
        <f>+J34/AVERAGE(J62:K62)</f>
        <v>0.08004766031195841</v>
      </c>
      <c r="K147" s="62">
        <f>+K34/AVERAGE(K62:L62)</f>
        <v>0.04708926261319534</v>
      </c>
      <c r="L147" s="62"/>
      <c r="N147" s="62"/>
      <c r="O147" s="62"/>
      <c r="P147" s="62"/>
      <c r="Q147" s="55"/>
      <c r="R147" s="55"/>
      <c r="S147" s="63"/>
      <c r="T147" s="63"/>
    </row>
    <row r="148" spans="1:20" ht="13.5" customHeight="1">
      <c r="A148">
        <f>ROW()</f>
        <v>148</v>
      </c>
      <c r="B148" s="9"/>
      <c r="C148" s="41" t="s">
        <v>109</v>
      </c>
      <c r="D148" s="41"/>
      <c r="E148" s="61">
        <f>+E20/((E62+G62)/2)</f>
        <v>0.0973323303049592</v>
      </c>
      <c r="F148" s="62">
        <f>+F20/((F62+G62)/2)</f>
        <v>0.10501220412101947</v>
      </c>
      <c r="G148" s="62">
        <f>+G20/((G62+H62)/2)</f>
        <v>0.09590008145533532</v>
      </c>
      <c r="H148" s="62">
        <f>+H20/((H62+J62)/2)</f>
        <v>0.07270345505158016</v>
      </c>
      <c r="I148" s="62">
        <f>+I20/((I62+K62)/2)</f>
        <v>0.06838133374403203</v>
      </c>
      <c r="J148" s="62">
        <f>+J20/((J62+K62)/2)</f>
        <v>0.07214038128249567</v>
      </c>
      <c r="K148" s="62">
        <f>+K20/((K62+L62)/2)</f>
        <v>0.06892626131953428</v>
      </c>
      <c r="L148" s="62"/>
      <c r="N148" s="62"/>
      <c r="O148" s="62"/>
      <c r="P148" s="62"/>
      <c r="Q148" s="55"/>
      <c r="R148" s="55"/>
      <c r="S148" s="63"/>
      <c r="T148" s="63"/>
    </row>
    <row r="149" spans="1:20" ht="13.5" customHeight="1">
      <c r="A149">
        <f>ROW()</f>
        <v>149</v>
      </c>
      <c r="B149" s="9"/>
      <c r="C149" s="41" t="s">
        <v>110</v>
      </c>
      <c r="D149" s="41"/>
      <c r="E149" s="61">
        <f>+E34/AVERAGE(E85:G85)</f>
        <v>0.1672643146327357</v>
      </c>
      <c r="F149" s="62">
        <f>+F34/AVERAGE(F85:G85)</f>
        <v>0.15884254271202095</v>
      </c>
      <c r="G149" s="62">
        <f>+G34/AVERAGE(G85:H85)</f>
        <v>0.1940568051223116</v>
      </c>
      <c r="H149" s="62">
        <f>+H34/AVERAGE(H85:J85)</f>
        <v>0.17961098082494137</v>
      </c>
      <c r="I149" s="62">
        <f>+I34/AVERAGE(I85:K85)</f>
        <v>0.25963488843813387</v>
      </c>
      <c r="J149" s="62">
        <f>+J34/AVERAGE(J85:K85)</f>
        <v>0.4290275761973875</v>
      </c>
      <c r="K149" s="62">
        <f>+K34/AVERAGE(K85:L85)</f>
        <v>0.24614552339734921</v>
      </c>
      <c r="L149" s="62"/>
      <c r="N149" s="62"/>
      <c r="O149" s="62"/>
      <c r="P149" s="62"/>
      <c r="Q149" s="55"/>
      <c r="R149" s="55"/>
      <c r="S149" s="63"/>
      <c r="T149" s="63"/>
    </row>
    <row r="150" spans="1:20" ht="13.5" customHeight="1">
      <c r="A150">
        <f>ROW()</f>
        <v>150</v>
      </c>
      <c r="B150" s="9"/>
      <c r="C150" s="41"/>
      <c r="D150" s="41"/>
      <c r="E150" s="58"/>
      <c r="F150" s="71"/>
      <c r="G150" s="41"/>
      <c r="H150" s="41"/>
      <c r="I150" s="41"/>
      <c r="J150" s="41"/>
      <c r="K150" s="41"/>
      <c r="L150" s="41"/>
      <c r="N150" s="41"/>
      <c r="O150" s="41"/>
      <c r="P150" s="41"/>
      <c r="Q150" s="55"/>
      <c r="R150" s="55"/>
      <c r="S150" s="63"/>
      <c r="T150" s="63"/>
    </row>
    <row r="151" spans="1:20" ht="13.5" customHeight="1">
      <c r="A151">
        <f>ROW()</f>
        <v>151</v>
      </c>
      <c r="B151" s="9"/>
      <c r="C151" s="56" t="s">
        <v>111</v>
      </c>
      <c r="D151" s="41"/>
      <c r="E151" s="40"/>
      <c r="F151" s="69"/>
      <c r="G151" s="39"/>
      <c r="H151" s="64"/>
      <c r="I151" s="64"/>
      <c r="J151" s="64"/>
      <c r="K151" s="64"/>
      <c r="L151" s="64"/>
      <c r="N151" s="64"/>
      <c r="O151" s="64"/>
      <c r="P151" s="64"/>
      <c r="Q151" s="55"/>
      <c r="R151" s="55"/>
      <c r="S151" s="63"/>
      <c r="T151" s="63"/>
    </row>
    <row r="152" spans="1:20" ht="13.5" customHeight="1">
      <c r="A152">
        <f>ROW()</f>
        <v>152</v>
      </c>
      <c r="B152" s="9"/>
      <c r="C152" s="41" t="s">
        <v>112</v>
      </c>
      <c r="D152" s="41"/>
      <c r="E152" s="61">
        <f>+E7/F7-1</f>
        <v>-0.019460343417824988</v>
      </c>
      <c r="F152" s="72">
        <f>+F7/G7-1</f>
        <v>-0.032589780098085774</v>
      </c>
      <c r="G152" s="72">
        <f>+G7/H7-1</f>
        <v>0.12393314366998576</v>
      </c>
      <c r="H152" s="72">
        <f>+H7/K7-1</f>
        <v>-0.04790926019976305</v>
      </c>
      <c r="I152" s="72">
        <f>+I7/L7-1</f>
        <v>-0.1758491792621485</v>
      </c>
      <c r="J152" s="72">
        <f>+J7/L7-1</f>
        <v>-0.2367950593206566</v>
      </c>
      <c r="K152" s="72">
        <f>+K7/L7-1</f>
        <v>-0.03998049731838127</v>
      </c>
      <c r="L152" s="62"/>
      <c r="N152" s="62">
        <f>+N7/O7-1</f>
        <v>-0.029889538661468484</v>
      </c>
      <c r="O152" s="62">
        <f>+O7/P7-1</f>
        <v>0.05555555555555558</v>
      </c>
      <c r="P152" s="62">
        <f>+P7/Q7-1</f>
        <v>-0.031872509960159334</v>
      </c>
      <c r="Q152" s="55"/>
      <c r="R152" s="55"/>
      <c r="S152" s="63"/>
      <c r="T152" s="63"/>
    </row>
    <row r="153" spans="1:20" ht="13.5" customHeight="1" thickBot="1">
      <c r="A153">
        <f>ROW()</f>
        <v>153</v>
      </c>
      <c r="B153" s="9"/>
      <c r="C153" s="41" t="s">
        <v>113</v>
      </c>
      <c r="D153" s="41"/>
      <c r="E153" s="65"/>
      <c r="F153" s="71"/>
      <c r="G153" s="39"/>
      <c r="H153" s="64"/>
      <c r="I153" s="64"/>
      <c r="J153" s="64"/>
      <c r="K153" s="64"/>
      <c r="L153" s="64"/>
      <c r="N153" s="29"/>
      <c r="O153" s="55"/>
      <c r="P153" s="55"/>
      <c r="Q153" s="55"/>
      <c r="R153" s="55"/>
      <c r="S153" s="63"/>
      <c r="T153" s="63"/>
    </row>
    <row r="154" spans="3:20" ht="13.5" customHeight="1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N154" s="29"/>
      <c r="O154" s="55"/>
      <c r="P154" s="55"/>
      <c r="Q154" s="55"/>
      <c r="R154" s="55"/>
      <c r="S154" s="63"/>
      <c r="T154" s="63"/>
    </row>
    <row r="155" spans="3:20" ht="13.5" customHeight="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N155" s="29"/>
      <c r="O155" s="55"/>
      <c r="P155" s="55"/>
      <c r="Q155" s="55"/>
      <c r="R155" s="55"/>
      <c r="S155" s="63"/>
      <c r="T155" s="63"/>
    </row>
    <row r="156" spans="3:20" ht="13.5" customHeight="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N156" s="29"/>
      <c r="O156" s="55"/>
      <c r="P156" s="55"/>
      <c r="Q156" s="55"/>
      <c r="R156" s="55"/>
      <c r="S156" s="63"/>
      <c r="T156" s="63"/>
    </row>
    <row r="157" spans="3:20" ht="13.5" customHeight="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N157" s="29"/>
      <c r="O157" s="55"/>
      <c r="P157" s="55"/>
      <c r="Q157" s="55"/>
      <c r="R157" s="55"/>
      <c r="S157" s="63"/>
      <c r="T157" s="63"/>
    </row>
    <row r="158" spans="3:20" ht="13.5" customHeight="1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N158" s="29"/>
      <c r="O158" s="55"/>
      <c r="P158" s="55"/>
      <c r="Q158" s="55"/>
      <c r="R158" s="55"/>
      <c r="S158" s="63"/>
      <c r="T158" s="63"/>
    </row>
    <row r="159" spans="3:20" ht="13.5" customHeight="1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N159" s="29"/>
      <c r="O159" s="55"/>
      <c r="P159" s="55"/>
      <c r="Q159" s="55"/>
      <c r="R159" s="55"/>
      <c r="S159" s="63"/>
      <c r="T159" s="63"/>
    </row>
    <row r="160" spans="3:20" ht="13.5" customHeight="1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N160" s="29"/>
      <c r="O160" s="55"/>
      <c r="P160" s="55"/>
      <c r="Q160" s="55"/>
      <c r="R160" s="55"/>
      <c r="S160" s="63"/>
      <c r="T160" s="63"/>
    </row>
    <row r="161" spans="3:20" ht="13.5" customHeight="1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N161" s="29"/>
      <c r="O161" s="55"/>
      <c r="P161" s="55"/>
      <c r="Q161" s="55"/>
      <c r="R161" s="55"/>
      <c r="S161" s="63"/>
      <c r="T161" s="63"/>
    </row>
    <row r="162" spans="3:20" ht="13.5" customHeight="1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N162" s="29"/>
      <c r="O162" s="55"/>
      <c r="P162" s="55"/>
      <c r="Q162" s="55"/>
      <c r="R162" s="55"/>
      <c r="S162" s="63"/>
      <c r="T162" s="63"/>
    </row>
    <row r="163" spans="3:20" ht="13.5" customHeight="1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N163" s="29"/>
      <c r="O163" s="55"/>
      <c r="P163" s="55"/>
      <c r="Q163" s="55"/>
      <c r="R163" s="55"/>
      <c r="S163" s="63"/>
      <c r="T163" s="63"/>
    </row>
    <row r="164" spans="3:20" ht="13.5" customHeight="1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N164" s="29"/>
      <c r="O164" s="55"/>
      <c r="P164" s="55"/>
      <c r="Q164" s="55"/>
      <c r="R164" s="55"/>
      <c r="S164" s="63"/>
      <c r="T164" s="63"/>
    </row>
    <row r="165" spans="3:20" ht="13.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O165" s="63"/>
      <c r="P165" s="63"/>
      <c r="Q165" s="63"/>
      <c r="R165" s="63"/>
      <c r="S165" s="63"/>
      <c r="T165" s="63"/>
    </row>
    <row r="166" spans="3:20" ht="13.5" customHeigh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O166" s="63"/>
      <c r="P166" s="63"/>
      <c r="Q166" s="63"/>
      <c r="R166" s="63"/>
      <c r="S166" s="63"/>
      <c r="T166" s="63"/>
    </row>
    <row r="167" spans="3:20" ht="13.5" customHeight="1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O167" s="63"/>
      <c r="P167" s="63"/>
      <c r="Q167" s="63"/>
      <c r="R167" s="63"/>
      <c r="S167" s="63"/>
      <c r="T167" s="63"/>
    </row>
    <row r="168" spans="3:20" ht="13.5" customHeight="1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O168" s="63"/>
      <c r="P168" s="63"/>
      <c r="Q168" s="63"/>
      <c r="R168" s="63"/>
      <c r="S168" s="63"/>
      <c r="T168" s="63"/>
    </row>
    <row r="169" spans="3:20" ht="13.5" customHeight="1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O169" s="63"/>
      <c r="P169" s="63"/>
      <c r="Q169" s="63"/>
      <c r="R169" s="63"/>
      <c r="S169" s="63"/>
      <c r="T169" s="63"/>
    </row>
    <row r="170" spans="3:20" ht="13.5" customHeight="1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O170" s="63"/>
      <c r="P170" s="63"/>
      <c r="Q170" s="63"/>
      <c r="R170" s="63"/>
      <c r="S170" s="63"/>
      <c r="T170" s="63"/>
    </row>
    <row r="171" spans="3:20" ht="13.5" customHeight="1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O171" s="63"/>
      <c r="P171" s="63"/>
      <c r="Q171" s="63"/>
      <c r="R171" s="63"/>
      <c r="S171" s="63"/>
      <c r="T171" s="63"/>
    </row>
    <row r="172" spans="3:20" ht="13.5" customHeight="1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O172" s="63"/>
      <c r="P172" s="63"/>
      <c r="Q172" s="63"/>
      <c r="R172" s="63"/>
      <c r="S172" s="63"/>
      <c r="T172" s="63"/>
    </row>
    <row r="173" spans="3:20" ht="13.5" customHeight="1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O173" s="63"/>
      <c r="P173" s="63"/>
      <c r="Q173" s="63"/>
      <c r="R173" s="63"/>
      <c r="S173" s="63"/>
      <c r="T173" s="63"/>
    </row>
    <row r="174" spans="3:20" ht="13.5" customHeight="1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O174" s="63"/>
      <c r="P174" s="63"/>
      <c r="Q174" s="63"/>
      <c r="R174" s="63"/>
      <c r="S174" s="63"/>
      <c r="T174" s="63"/>
    </row>
    <row r="175" spans="3:20" ht="13.5" customHeight="1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O175" s="63"/>
      <c r="P175" s="63"/>
      <c r="Q175" s="63"/>
      <c r="R175" s="63"/>
      <c r="S175" s="63"/>
      <c r="T175" s="63"/>
    </row>
    <row r="176" spans="3:20" ht="13.5" customHeight="1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O176" s="63"/>
      <c r="P176" s="63"/>
      <c r="Q176" s="63"/>
      <c r="R176" s="63"/>
      <c r="S176" s="63"/>
      <c r="T176" s="63"/>
    </row>
    <row r="177" spans="3:20" ht="13.5" customHeight="1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O177" s="63"/>
      <c r="P177" s="63"/>
      <c r="Q177" s="63"/>
      <c r="R177" s="63"/>
      <c r="S177" s="63"/>
      <c r="T177" s="63"/>
    </row>
    <row r="178" spans="3:20" ht="13.5" customHeight="1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O178" s="63"/>
      <c r="P178" s="63"/>
      <c r="Q178" s="63"/>
      <c r="R178" s="63"/>
      <c r="S178" s="63"/>
      <c r="T178" s="63"/>
    </row>
    <row r="179" spans="3:20" ht="13.5" customHeight="1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O179" s="63"/>
      <c r="P179" s="63"/>
      <c r="Q179" s="63"/>
      <c r="R179" s="63"/>
      <c r="S179" s="63"/>
      <c r="T179" s="63"/>
    </row>
    <row r="180" spans="3:20" ht="13.5" customHeight="1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O180" s="63"/>
      <c r="P180" s="63"/>
      <c r="Q180" s="63"/>
      <c r="R180" s="63"/>
      <c r="S180" s="63"/>
      <c r="T180" s="63"/>
    </row>
    <row r="181" spans="3:20" ht="13.5" customHeight="1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O181" s="63"/>
      <c r="P181" s="63"/>
      <c r="Q181" s="63"/>
      <c r="R181" s="63"/>
      <c r="S181" s="63"/>
      <c r="T181" s="63"/>
    </row>
    <row r="182" spans="3:20" ht="13.5" customHeight="1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O182" s="63"/>
      <c r="P182" s="63"/>
      <c r="Q182" s="63"/>
      <c r="R182" s="63"/>
      <c r="S182" s="63"/>
      <c r="T182" s="63"/>
    </row>
    <row r="183" spans="3:20" ht="13.5" customHeight="1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O183" s="63"/>
      <c r="P183" s="63"/>
      <c r="Q183" s="63"/>
      <c r="R183" s="63"/>
      <c r="S183" s="63"/>
      <c r="T183" s="63"/>
    </row>
    <row r="184" spans="3:20" ht="13.5" customHeight="1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O184" s="63"/>
      <c r="P184" s="63"/>
      <c r="Q184" s="63"/>
      <c r="R184" s="63"/>
      <c r="S184" s="63"/>
      <c r="T184" s="63"/>
    </row>
    <row r="185" spans="3:20" ht="13.5" customHeight="1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O185" s="63"/>
      <c r="P185" s="63"/>
      <c r="Q185" s="63"/>
      <c r="R185" s="63"/>
      <c r="S185" s="63"/>
      <c r="T185" s="63"/>
    </row>
    <row r="186" spans="3:20" ht="13.5" customHeight="1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O186" s="63"/>
      <c r="P186" s="63"/>
      <c r="Q186" s="63"/>
      <c r="R186" s="63"/>
      <c r="S186" s="63"/>
      <c r="T186" s="63"/>
    </row>
    <row r="187" spans="3:20" ht="13.5" customHeight="1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O187" s="63"/>
      <c r="P187" s="63"/>
      <c r="Q187" s="63"/>
      <c r="R187" s="63"/>
      <c r="S187" s="63"/>
      <c r="T187" s="63"/>
    </row>
    <row r="188" spans="3:20" ht="13.5" customHeight="1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O188" s="63"/>
      <c r="P188" s="63"/>
      <c r="Q188" s="63"/>
      <c r="R188" s="63"/>
      <c r="S188" s="63"/>
      <c r="T188" s="63"/>
    </row>
    <row r="189" spans="3:20" ht="13.5" customHeight="1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O189" s="63"/>
      <c r="P189" s="63"/>
      <c r="Q189" s="63"/>
      <c r="R189" s="63"/>
      <c r="S189" s="63"/>
      <c r="T189" s="63"/>
    </row>
    <row r="190" spans="3:20" ht="13.5" customHeight="1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O190" s="63"/>
      <c r="P190" s="63"/>
      <c r="Q190" s="63"/>
      <c r="R190" s="63"/>
      <c r="S190" s="63"/>
      <c r="T190" s="63"/>
    </row>
    <row r="191" spans="3:20" ht="13.5" customHeight="1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O191" s="63"/>
      <c r="P191" s="63"/>
      <c r="Q191" s="63"/>
      <c r="R191" s="63"/>
      <c r="S191" s="63"/>
      <c r="T191" s="63"/>
    </row>
    <row r="192" spans="3:20" ht="13.5" customHeight="1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O192" s="63"/>
      <c r="P192" s="63"/>
      <c r="Q192" s="63"/>
      <c r="R192" s="63"/>
      <c r="S192" s="63"/>
      <c r="T192" s="63"/>
    </row>
    <row r="193" spans="3:20" ht="13.5" customHeight="1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O193" s="63"/>
      <c r="P193" s="63"/>
      <c r="Q193" s="63"/>
      <c r="R193" s="63"/>
      <c r="S193" s="63"/>
      <c r="T193" s="63"/>
    </row>
    <row r="194" spans="3:20" ht="13.5" customHeight="1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O194" s="63"/>
      <c r="P194" s="63"/>
      <c r="Q194" s="63"/>
      <c r="R194" s="63"/>
      <c r="S194" s="63"/>
      <c r="T194" s="63"/>
    </row>
    <row r="195" spans="3:20" ht="13.5" customHeight="1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O195" s="63"/>
      <c r="P195" s="63"/>
      <c r="Q195" s="63"/>
      <c r="R195" s="63"/>
      <c r="S195" s="63"/>
      <c r="T195" s="63"/>
    </row>
    <row r="196" spans="3:20" ht="13.5" customHeight="1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O196" s="63"/>
      <c r="P196" s="63"/>
      <c r="Q196" s="63"/>
      <c r="R196" s="63"/>
      <c r="S196" s="63"/>
      <c r="T196" s="63"/>
    </row>
    <row r="197" spans="3:20" ht="13.5" customHeight="1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O197" s="63"/>
      <c r="P197" s="63"/>
      <c r="Q197" s="63"/>
      <c r="R197" s="63"/>
      <c r="S197" s="63"/>
      <c r="T197" s="63"/>
    </row>
    <row r="198" spans="3:20" ht="13.5" customHeight="1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O198" s="63"/>
      <c r="P198" s="63"/>
      <c r="Q198" s="63"/>
      <c r="R198" s="63"/>
      <c r="S198" s="63"/>
      <c r="T198" s="63"/>
    </row>
    <row r="199" spans="3:20" ht="13.5" customHeight="1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O199" s="63"/>
      <c r="P199" s="63"/>
      <c r="Q199" s="63"/>
      <c r="R199" s="63"/>
      <c r="S199" s="63"/>
      <c r="T199" s="63"/>
    </row>
    <row r="200" spans="3:20" ht="13.5" customHeight="1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O200" s="63"/>
      <c r="P200" s="63"/>
      <c r="Q200" s="63"/>
      <c r="R200" s="63"/>
      <c r="S200" s="63"/>
      <c r="T200" s="63"/>
    </row>
    <row r="201" spans="3:20" ht="13.5" customHeight="1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O201" s="63"/>
      <c r="P201" s="63"/>
      <c r="Q201" s="63"/>
      <c r="R201" s="63"/>
      <c r="S201" s="63"/>
      <c r="T201" s="63"/>
    </row>
    <row r="202" spans="3:20" ht="13.5" customHeight="1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O202" s="63"/>
      <c r="P202" s="63"/>
      <c r="Q202" s="63"/>
      <c r="R202" s="63"/>
      <c r="S202" s="63"/>
      <c r="T202" s="63"/>
    </row>
    <row r="203" spans="3:20" ht="13.5" customHeight="1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O203" s="63"/>
      <c r="P203" s="63"/>
      <c r="Q203" s="63"/>
      <c r="R203" s="63"/>
      <c r="S203" s="63"/>
      <c r="T203" s="63"/>
    </row>
    <row r="204" spans="3:20" ht="13.5" customHeight="1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O204" s="63"/>
      <c r="P204" s="63"/>
      <c r="Q204" s="63"/>
      <c r="R204" s="63"/>
      <c r="S204" s="63"/>
      <c r="T204" s="63"/>
    </row>
    <row r="205" spans="3:20" ht="13.5" customHeight="1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O205" s="63"/>
      <c r="P205" s="63"/>
      <c r="Q205" s="63"/>
      <c r="R205" s="63"/>
      <c r="S205" s="63"/>
      <c r="T205" s="63"/>
    </row>
    <row r="206" spans="3:20" ht="13.5" customHeight="1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O206" s="63"/>
      <c r="P206" s="63"/>
      <c r="Q206" s="63"/>
      <c r="R206" s="63"/>
      <c r="S206" s="63"/>
      <c r="T206" s="63"/>
    </row>
    <row r="207" spans="3:20" ht="13.5" customHeight="1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O207" s="63"/>
      <c r="P207" s="63"/>
      <c r="Q207" s="63"/>
      <c r="R207" s="63"/>
      <c r="S207" s="63"/>
      <c r="T207" s="63"/>
    </row>
    <row r="208" spans="3:20" ht="13.5" customHeight="1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O208" s="63"/>
      <c r="P208" s="63"/>
      <c r="Q208" s="63"/>
      <c r="R208" s="63"/>
      <c r="S208" s="63"/>
      <c r="T208" s="63"/>
    </row>
    <row r="209" spans="3:20" ht="13.5" customHeight="1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O209" s="63"/>
      <c r="P209" s="63"/>
      <c r="Q209" s="63"/>
      <c r="R209" s="63"/>
      <c r="S209" s="63"/>
      <c r="T209" s="63"/>
    </row>
    <row r="210" spans="3:20" ht="13.5" customHeight="1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O210" s="63"/>
      <c r="P210" s="63"/>
      <c r="Q210" s="63"/>
      <c r="R210" s="63"/>
      <c r="S210" s="63"/>
      <c r="T210" s="63"/>
    </row>
    <row r="211" spans="3:12" ht="13.5" customHeight="1"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3:12" ht="13.5" customHeight="1"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3:12" ht="13.5" customHeight="1"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3:12" ht="13.5" customHeight="1"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3:12" ht="13.5" customHeight="1"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3:12" ht="13.5" customHeight="1"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3:12" ht="13.5" customHeight="1"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3:12" ht="13.5" customHeight="1"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3:12" ht="13.5" customHeight="1"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3:12" ht="13.5" customHeight="1"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3:12" ht="13.5" customHeight="1"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3:12" ht="13.5" customHeight="1"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3:12" ht="13.5" customHeight="1"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3:12" ht="13.5" customHeight="1"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3:12" ht="13.5" customHeight="1"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3:12" ht="13.5" customHeight="1"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3:12" ht="13.5" customHeight="1"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3:12" ht="13.5" customHeight="1"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3:12" ht="13.5" customHeight="1"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3:12" ht="13.5" customHeight="1"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3:12" ht="13.5" customHeight="1"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3:12" ht="13.5" customHeight="1"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3:12" ht="13.5" customHeight="1"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3:12" ht="13.5" customHeight="1"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3:12" ht="13.5" customHeight="1"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3:12" ht="13.5" customHeight="1"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3:12" ht="13.5" customHeight="1"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3:12" ht="13.5" customHeight="1"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3:12" ht="13.5" customHeight="1"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3:12" ht="13.5" customHeight="1"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3:12" ht="13.5" customHeight="1"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3:12" ht="13.5" customHeight="1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3:12" ht="13.5" customHeight="1"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3:12" ht="13.5" customHeight="1"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3:12" ht="12.75"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3:12" ht="12.75"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3:12" ht="12.75"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3:12" ht="12.75"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3:12" ht="12.75"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3:12" ht="12.75"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3:12" ht="12.75"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3:12" ht="12.75"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3:12" ht="12.75"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3:12" ht="12.75"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3:12" ht="12.75"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3:12" ht="12.75"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3:12" ht="12.75"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3:12" ht="12.75"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3:12" ht="12.75"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3:12" ht="12.75"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3:12" ht="12.75"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3:12" ht="12.75"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3:12" ht="12.75"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3:12" ht="12.75"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3:12" ht="12.75"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3:12" ht="12.75"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3:12" ht="12.75"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3:12" ht="12.75"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3:12" ht="12.75"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3:12" ht="12.75"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3:12" ht="12.75"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3:12" ht="12.75"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3:12" ht="12.75"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3:12" ht="12.75"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3:12" ht="12.75"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3:12" ht="12.75"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3:12" ht="12.75"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3:12" ht="12.75"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3:12" ht="12.75"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3:12" ht="12.75"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3:12" ht="12.75"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3:12" ht="12.75"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3:12" ht="12.75"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3:12" ht="12.75"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3:12" ht="12.75"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3:12" ht="12.75"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3:12" ht="12.75"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3:12" ht="12.75"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3:12" ht="12.75"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3:12" ht="12.75"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3:12" ht="12.75"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3:12" ht="12.75"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3:12" ht="12.75"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3:12" ht="12.75"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3:12" ht="12.75"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3:12" ht="12.75"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3:12" ht="12.75"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3:12" ht="12.75"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3:12" ht="12.75"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3:12" ht="12.75"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3:12" ht="12.75"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3:12" ht="12.75"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3:12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3:12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3:12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3:12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3:12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3:12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3:12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3:12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3:12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3:12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3:12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3:12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3:12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3:12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3:12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3:12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3:12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3:12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3:12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3:12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3:12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3:12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3:12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3:12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3:12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3:12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3:12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3:12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3:12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3:12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3:12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3:12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3:12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3:12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3:12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3:12" ht="12.75"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3:12" ht="12.75"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3:12" ht="12.75"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3:12" ht="12.75"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3:12" ht="12.75"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3:12" ht="12.75"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3:12" ht="12.75"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3:12" ht="12.75"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3:12" ht="12.75"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3:12" ht="12.75"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3:12" ht="12.75"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3:12" ht="12.75"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3:12" ht="12.75"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3:12" ht="12.75"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3:12" ht="12.75"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3:12" ht="12.75"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3:12" ht="12.75"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3:12" ht="12.75"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3:12" ht="12.75"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3:12" ht="12.75"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3:12" ht="12.75"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3:12" ht="12.75"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3:12" ht="12.75"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3:12" ht="12.75"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3:12" ht="12.75"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3:12" ht="12.75"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3:12" ht="12.75"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3:12" ht="12.75"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3:12" ht="12.75"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3:12" ht="12.75"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3:12" ht="12.75"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3:12" ht="12.75"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3:12" ht="12.75"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3:12" ht="12.75"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3:12" ht="12.75"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3:12" ht="12.75"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3:12" ht="12.75"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3:12" ht="12.75"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3:12" ht="12.75"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3:12" ht="12.75"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3:12" ht="12.75"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3:12" ht="12.75"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3:12" ht="12.75"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3:12" ht="12.75"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3:12" ht="12.75"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3:12" ht="12.75"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3:12" ht="12.75"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3:12" ht="12.75"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3:12" ht="12.75"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3:12" ht="12.75"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3:12" ht="12.75"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3:12" ht="12.75"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3:12" ht="12.75"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3:12" ht="12.75"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3:12" ht="12.75"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3:12" ht="12.75"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3:12" ht="12.75"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3:12" ht="12.75"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3:12" ht="12.75"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3:12" ht="12.75"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3:12" ht="12.75"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3:12" ht="12.75"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3:12" ht="12.75"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</sheetData>
  <sheetProtection/>
  <mergeCells count="13">
    <mergeCell ref="E4:H4"/>
    <mergeCell ref="N4:Q4"/>
    <mergeCell ref="C6:D6"/>
    <mergeCell ref="C7:D7"/>
    <mergeCell ref="C8:D8"/>
    <mergeCell ref="C9:D9"/>
    <mergeCell ref="C18:D18"/>
    <mergeCell ref="C20:D20"/>
    <mergeCell ref="N92:Q92"/>
    <mergeCell ref="C32:D32"/>
    <mergeCell ref="C33:D33"/>
    <mergeCell ref="C34:D34"/>
    <mergeCell ref="E92:H92"/>
  </mergeCells>
  <printOptions/>
  <pageMargins left="0.36" right="0.38" top="0.42" bottom="0.52" header="0.23" footer="0.28"/>
  <pageSetup fitToHeight="0" fitToWidth="1" horizontalDpi="600" verticalDpi="600" orientation="landscape" scale="66" r:id="rId1"/>
  <rowBreaks count="3" manualBreakCount="3">
    <brk id="41" max="255" man="1"/>
    <brk id="88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6" t="str">
        <f>+'Historical Analysis'!C1</f>
        <v>Starwood Hotels &amp; Resorts Worldwide Inc. (HOT)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</row>
    <row r="19" spans="3:15" ht="12.75" customHeight="1"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</row>
    <row r="20" spans="3:15" ht="38.25" customHeight="1"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</row>
    <row r="27" spans="6:12" ht="15.75">
      <c r="F27" s="428" t="s">
        <v>272</v>
      </c>
      <c r="G27" s="429"/>
      <c r="H27" s="429"/>
      <c r="I27" s="429"/>
      <c r="J27" s="429"/>
      <c r="K27" s="429"/>
      <c r="L27" s="429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6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36.140625" style="0" customWidth="1"/>
    <col min="2" max="2" width="14.28125" style="0" customWidth="1"/>
    <col min="3" max="5" width="12.421875" style="0" customWidth="1"/>
    <col min="6" max="8" width="12.57421875" style="0" customWidth="1"/>
    <col min="9" max="9" width="11.00390625" style="0" customWidth="1"/>
    <col min="10" max="10" width="4.140625" style="0" customWidth="1"/>
    <col min="11" max="11" width="8.7109375" style="0" customWidth="1"/>
    <col min="12" max="12" width="11.28125" style="0" customWidth="1"/>
    <col min="13" max="13" width="3.7109375" style="0" customWidth="1"/>
    <col min="14" max="18" width="12.7109375" style="0" customWidth="1"/>
    <col min="19" max="19" width="13.421875" style="0" customWidth="1"/>
    <col min="20" max="20" width="12.8515625" style="0" bestFit="1" customWidth="1"/>
  </cols>
  <sheetData>
    <row r="1" spans="1:8" ht="20.25">
      <c r="A1" s="90" t="str">
        <f>+'Historical Analysis'!C1</f>
        <v>Starwood Hotels &amp; Resorts Worldwide Inc. (HOT)</v>
      </c>
      <c r="B1" s="90"/>
      <c r="C1" s="90"/>
      <c r="D1" s="90"/>
      <c r="E1" s="90"/>
      <c r="F1" s="90"/>
      <c r="G1" s="90"/>
      <c r="H1" s="90"/>
    </row>
    <row r="2" ht="15" customHeight="1"/>
    <row r="3" spans="1:19" ht="16.5" thickBot="1">
      <c r="A3" s="2" t="s">
        <v>1</v>
      </c>
      <c r="B3" s="360"/>
      <c r="C3" s="360"/>
      <c r="D3" s="360"/>
      <c r="E3" s="360"/>
      <c r="F3" s="436"/>
      <c r="G3" s="436"/>
      <c r="H3" s="436"/>
      <c r="I3" s="436"/>
      <c r="J3" s="91"/>
      <c r="N3" s="436" t="s">
        <v>124</v>
      </c>
      <c r="O3" s="436"/>
      <c r="P3" s="436"/>
      <c r="Q3" s="436"/>
      <c r="R3" s="436"/>
      <c r="S3" s="437"/>
    </row>
    <row r="4" spans="1:10" ht="15" customHeight="1" thickBot="1">
      <c r="A4" s="2"/>
      <c r="B4" s="2"/>
      <c r="C4" s="2"/>
      <c r="D4" s="2"/>
      <c r="E4" s="2"/>
      <c r="F4" s="2"/>
      <c r="G4" s="2"/>
      <c r="H4" s="2"/>
      <c r="I4" s="171" t="s">
        <v>123</v>
      </c>
      <c r="J4" s="91"/>
    </row>
    <row r="5" spans="1:20" ht="47.25" customHeight="1" thickBot="1">
      <c r="A5" s="92" t="s">
        <v>4</v>
      </c>
      <c r="B5" s="385">
        <f>+'Historical Analysis'!L6</f>
        <v>39447</v>
      </c>
      <c r="C5" s="386">
        <f>+'Historical Analysis'!K6</f>
        <v>39813</v>
      </c>
      <c r="D5" s="386">
        <f>+'Historical Analysis'!J6</f>
        <v>40178</v>
      </c>
      <c r="E5" s="386">
        <f>+'Historical Analysis'!I6</f>
        <v>40543</v>
      </c>
      <c r="F5" s="386">
        <f>+'Historical Analysis'!H6</f>
        <v>40908</v>
      </c>
      <c r="G5" s="386">
        <f>+'Historical Analysis'!G6</f>
        <v>41274</v>
      </c>
      <c r="H5" s="386">
        <f>+'Historical Analysis'!F6</f>
        <v>41639</v>
      </c>
      <c r="I5" s="387">
        <f>+'Historical Analysis'!E6</f>
        <v>41912</v>
      </c>
      <c r="J5" s="95"/>
      <c r="K5" s="329" t="s">
        <v>323</v>
      </c>
      <c r="L5" s="96" t="s">
        <v>126</v>
      </c>
      <c r="M5" s="95"/>
      <c r="N5" s="388">
        <f>+H5+365</f>
        <v>42004</v>
      </c>
      <c r="O5" s="386">
        <f>+N5+365</f>
        <v>42369</v>
      </c>
      <c r="P5" s="386">
        <f>+O5+365</f>
        <v>42734</v>
      </c>
      <c r="Q5" s="386">
        <f>+P5+365</f>
        <v>43099</v>
      </c>
      <c r="R5" s="386">
        <f>+Q5+366</f>
        <v>43465</v>
      </c>
      <c r="S5" s="389">
        <f>+R5+365</f>
        <v>43830</v>
      </c>
      <c r="T5" s="68"/>
    </row>
    <row r="6" spans="1:19" ht="12.75" customHeight="1">
      <c r="A6" s="92"/>
      <c r="B6" s="92"/>
      <c r="C6" s="92"/>
      <c r="D6" s="92"/>
      <c r="E6" s="92"/>
      <c r="F6" s="92"/>
      <c r="G6" s="92"/>
      <c r="H6" s="92"/>
      <c r="I6" s="97"/>
      <c r="J6" s="91"/>
      <c r="K6" s="98"/>
      <c r="L6" s="99"/>
      <c r="M6" s="100"/>
      <c r="N6" s="101"/>
      <c r="O6" s="101"/>
      <c r="P6" s="101"/>
      <c r="Q6" s="101"/>
      <c r="R6" s="101"/>
      <c r="S6" s="101"/>
    </row>
    <row r="7" spans="1:19" ht="12.75" customHeight="1">
      <c r="A7" s="102" t="s">
        <v>5</v>
      </c>
      <c r="B7" s="103">
        <f>+'Historical Analysis'!L7</f>
        <v>6153000</v>
      </c>
      <c r="C7" s="103">
        <f>+'Historical Analysis'!K7</f>
        <v>5907000</v>
      </c>
      <c r="D7" s="103">
        <f>+'Historical Analysis'!J7</f>
        <v>4696000</v>
      </c>
      <c r="E7" s="103">
        <f>+'Historical Analysis'!I7</f>
        <v>5071000</v>
      </c>
      <c r="F7" s="103">
        <f>+'Historical Analysis'!H7</f>
        <v>5624000</v>
      </c>
      <c r="G7" s="103">
        <f>+'Historical Analysis'!G7</f>
        <v>6321000</v>
      </c>
      <c r="H7" s="103">
        <f>+'Historical Analysis'!F7</f>
        <v>6115000</v>
      </c>
      <c r="I7" s="104">
        <f>+'Historical Analysis'!E7</f>
        <v>5996000</v>
      </c>
      <c r="J7" s="91"/>
      <c r="K7" s="105"/>
      <c r="L7" s="106"/>
      <c r="M7" s="107"/>
      <c r="N7" s="108">
        <f>+H7*(1+N19)</f>
        <v>6298450</v>
      </c>
      <c r="O7" s="108">
        <f>+N7*(1+O19)</f>
        <v>6802326</v>
      </c>
      <c r="P7" s="108">
        <f>+O7*(1+P19)</f>
        <v>7278488.82</v>
      </c>
      <c r="Q7" s="108">
        <f>+P7*(1+Q19)</f>
        <v>7642413.261000001</v>
      </c>
      <c r="R7" s="108">
        <f>+Q7*(1+R19)</f>
        <v>8024533.924050001</v>
      </c>
      <c r="S7" s="108">
        <f>+R7*(1+S19)</f>
        <v>8425760.620252501</v>
      </c>
    </row>
    <row r="8" spans="1:19" ht="12.75" customHeight="1">
      <c r="A8" s="109" t="s">
        <v>6</v>
      </c>
      <c r="B8" s="110">
        <f>+'Historical Analysis'!L8</f>
        <v>2235664.099646571</v>
      </c>
      <c r="C8" s="110">
        <f>+'Historical Analysis'!K8</f>
        <v>2184935.9028960816</v>
      </c>
      <c r="D8" s="110">
        <f>+'Historical Analysis'!J8</f>
        <v>1737000</v>
      </c>
      <c r="E8" s="110">
        <f>+'Historical Analysis'!I8</f>
        <v>1800000</v>
      </c>
      <c r="F8" s="110">
        <f>+'Historical Analysis'!H8</f>
        <v>1970000</v>
      </c>
      <c r="G8" s="110">
        <f>+'Historical Analysis'!G8</f>
        <v>2352000</v>
      </c>
      <c r="H8" s="110">
        <f>+'Historical Analysis'!F8</f>
        <v>1924000</v>
      </c>
      <c r="I8" s="111">
        <f>+'Historical Analysis'!E8</f>
        <v>1752000</v>
      </c>
      <c r="J8" s="91"/>
      <c r="K8" s="105"/>
      <c r="L8" s="112"/>
      <c r="M8" s="113"/>
      <c r="N8" s="114">
        <f aca="true" t="shared" si="0" ref="N8:S8">+N7-N9</f>
        <v>1889535</v>
      </c>
      <c r="O8" s="114">
        <f t="shared" si="0"/>
        <v>2040697.8000000007</v>
      </c>
      <c r="P8" s="114">
        <f t="shared" si="0"/>
        <v>2183546.6460000006</v>
      </c>
      <c r="Q8" s="114">
        <f t="shared" si="0"/>
        <v>2292723.9783000005</v>
      </c>
      <c r="R8" s="114">
        <f t="shared" si="0"/>
        <v>2407360.1772150006</v>
      </c>
      <c r="S8" s="114">
        <f t="shared" si="0"/>
        <v>2527728.1860757507</v>
      </c>
    </row>
    <row r="9" spans="1:19" ht="12.75" customHeight="1">
      <c r="A9" s="102" t="s">
        <v>7</v>
      </c>
      <c r="B9" s="108">
        <f aca="true" t="shared" si="1" ref="B9:I9">+B7-B8</f>
        <v>3917335.900353429</v>
      </c>
      <c r="C9" s="108">
        <f t="shared" si="1"/>
        <v>3722064.0971039184</v>
      </c>
      <c r="D9" s="108">
        <f t="shared" si="1"/>
        <v>2959000</v>
      </c>
      <c r="E9" s="108">
        <f>+E7-E8</f>
        <v>3271000</v>
      </c>
      <c r="F9" s="108">
        <f t="shared" si="1"/>
        <v>3654000</v>
      </c>
      <c r="G9" s="108">
        <f t="shared" si="1"/>
        <v>3969000</v>
      </c>
      <c r="H9" s="108">
        <f t="shared" si="1"/>
        <v>4191000</v>
      </c>
      <c r="I9" s="104">
        <f t="shared" si="1"/>
        <v>4244000</v>
      </c>
      <c r="J9" s="91"/>
      <c r="K9" s="105"/>
      <c r="L9" s="106"/>
      <c r="M9" s="107"/>
      <c r="N9" s="108">
        <f aca="true" t="shared" si="2" ref="N9:S9">+N7*N20</f>
        <v>4408915</v>
      </c>
      <c r="O9" s="108">
        <f t="shared" si="2"/>
        <v>4761628.199999999</v>
      </c>
      <c r="P9" s="108">
        <f t="shared" si="2"/>
        <v>5094942.174</v>
      </c>
      <c r="Q9" s="108">
        <f t="shared" si="2"/>
        <v>5349689.2827</v>
      </c>
      <c r="R9" s="108">
        <f t="shared" si="2"/>
        <v>5617173.746835001</v>
      </c>
      <c r="S9" s="108">
        <f t="shared" si="2"/>
        <v>5898032.4341767505</v>
      </c>
    </row>
    <row r="10" spans="1:19" ht="12.75" customHeight="1">
      <c r="A10" s="109" t="s">
        <v>13</v>
      </c>
      <c r="B10" s="110">
        <f>+'Historical Analysis'!L16</f>
        <v>3059335.900353429</v>
      </c>
      <c r="C10" s="110">
        <f>+'Historical Analysis'!K16</f>
        <v>3103064.0971039184</v>
      </c>
      <c r="D10" s="110">
        <f>+'Historical Analysis'!J16</f>
        <v>2933000</v>
      </c>
      <c r="E10" s="110">
        <f>+'Historical Analysis'!I16</f>
        <v>2671000</v>
      </c>
      <c r="F10" s="110">
        <f>+'Historical Analysis'!H16</f>
        <v>3024000</v>
      </c>
      <c r="G10" s="110">
        <f>+'Historical Analysis'!G16</f>
        <v>3057000</v>
      </c>
      <c r="H10" s="110">
        <f>+'Historical Analysis'!F16</f>
        <v>3266000</v>
      </c>
      <c r="I10" s="111">
        <f>+'Historical Analysis'!E16</f>
        <v>3403000</v>
      </c>
      <c r="J10" s="91"/>
      <c r="K10" s="105"/>
      <c r="L10" s="112"/>
      <c r="M10" s="113"/>
      <c r="N10" s="114">
        <f aca="true" t="shared" si="3" ref="N10:S10">+N21*N7</f>
        <v>3275194</v>
      </c>
      <c r="O10" s="114">
        <f t="shared" si="3"/>
        <v>3537209.52</v>
      </c>
      <c r="P10" s="114">
        <f t="shared" si="3"/>
        <v>3784814.1864000005</v>
      </c>
      <c r="Q10" s="114">
        <f t="shared" si="3"/>
        <v>3974054.8957200004</v>
      </c>
      <c r="R10" s="114">
        <f t="shared" si="3"/>
        <v>4172757.6405060007</v>
      </c>
      <c r="S10" s="114">
        <f t="shared" si="3"/>
        <v>4381395.522531301</v>
      </c>
    </row>
    <row r="11" spans="1:19" ht="12.75" customHeight="1">
      <c r="A11" s="109"/>
      <c r="B11" s="115"/>
      <c r="C11" s="115"/>
      <c r="D11" s="115"/>
      <c r="E11" s="115"/>
      <c r="F11" s="115"/>
      <c r="G11" s="115"/>
      <c r="H11" s="115"/>
      <c r="I11" s="116"/>
      <c r="J11" s="91"/>
      <c r="K11" s="105"/>
      <c r="L11" s="117"/>
      <c r="M11" s="109"/>
      <c r="N11" s="115"/>
      <c r="O11" s="115"/>
      <c r="P11" s="115"/>
      <c r="Q11" s="115"/>
      <c r="R11" s="115"/>
      <c r="S11" s="115"/>
    </row>
    <row r="12" spans="1:19" ht="12.75" customHeight="1">
      <c r="A12" s="109" t="s">
        <v>127</v>
      </c>
      <c r="B12" s="118">
        <f aca="true" t="shared" si="4" ref="B12:I12">+B9-B10</f>
        <v>858000</v>
      </c>
      <c r="C12" s="118">
        <f t="shared" si="4"/>
        <v>619000</v>
      </c>
      <c r="D12" s="118">
        <f>+D9-D10</f>
        <v>26000</v>
      </c>
      <c r="E12" s="118">
        <f>+E9-E10</f>
        <v>600000</v>
      </c>
      <c r="F12" s="118">
        <f t="shared" si="4"/>
        <v>630000</v>
      </c>
      <c r="G12" s="118">
        <f t="shared" si="4"/>
        <v>912000</v>
      </c>
      <c r="H12" s="118">
        <f t="shared" si="4"/>
        <v>925000</v>
      </c>
      <c r="I12" s="119">
        <f t="shared" si="4"/>
        <v>841000</v>
      </c>
      <c r="J12" s="91"/>
      <c r="K12" s="120"/>
      <c r="L12" s="112"/>
      <c r="M12" s="121"/>
      <c r="N12" s="118">
        <f aca="true" t="shared" si="5" ref="N12:S12">+N9-N10</f>
        <v>1133721</v>
      </c>
      <c r="O12" s="118">
        <f t="shared" si="5"/>
        <v>1224418.6799999992</v>
      </c>
      <c r="P12" s="118">
        <f t="shared" si="5"/>
        <v>1310127.9875999992</v>
      </c>
      <c r="Q12" s="118">
        <f t="shared" si="5"/>
        <v>1375634.38698</v>
      </c>
      <c r="R12" s="118">
        <f t="shared" si="5"/>
        <v>1444416.106329</v>
      </c>
      <c r="S12" s="118">
        <f t="shared" si="5"/>
        <v>1516636.9116454497</v>
      </c>
    </row>
    <row r="13" spans="1:19" ht="14.25" customHeight="1">
      <c r="A13" s="109" t="s">
        <v>17</v>
      </c>
      <c r="B13" s="110">
        <f>+'Historical Analysis'!L21</f>
        <v>168000</v>
      </c>
      <c r="C13" s="110">
        <f>+'Historical Analysis'!K21</f>
        <v>210000</v>
      </c>
      <c r="D13" s="110">
        <f>+'Historical Analysis'!J21</f>
        <v>296000</v>
      </c>
      <c r="E13" s="110">
        <f>+'Historical Analysis'!I21</f>
        <v>296000</v>
      </c>
      <c r="F13" s="110">
        <f>+'Historical Analysis'!H21</f>
        <v>296000</v>
      </c>
      <c r="G13" s="110">
        <f>+'Historical Analysis'!G21</f>
        <v>236000</v>
      </c>
      <c r="H13" s="110">
        <f>+'Historical Analysis'!F21</f>
        <v>216000</v>
      </c>
      <c r="I13" s="111">
        <f>+'Historical Analysis'!E21</f>
        <v>185000</v>
      </c>
      <c r="J13" s="91"/>
      <c r="K13" s="122"/>
      <c r="L13" s="112"/>
      <c r="M13" s="113"/>
      <c r="N13" s="114">
        <f aca="true" t="shared" si="6" ref="N13:S13">+N36</f>
        <v>278070.2836004932</v>
      </c>
      <c r="O13" s="114">
        <f t="shared" si="6"/>
        <v>175750</v>
      </c>
      <c r="P13" s="114">
        <f t="shared" si="6"/>
        <v>166500</v>
      </c>
      <c r="Q13" s="114">
        <f t="shared" si="6"/>
        <v>157250</v>
      </c>
      <c r="R13" s="114">
        <f t="shared" si="6"/>
        <v>148000</v>
      </c>
      <c r="S13" s="114">
        <f t="shared" si="6"/>
        <v>138750</v>
      </c>
    </row>
    <row r="14" spans="1:19" ht="14.25" customHeight="1">
      <c r="A14" s="109" t="s">
        <v>128</v>
      </c>
      <c r="B14" s="115">
        <f aca="true" t="shared" si="7" ref="B14:I14">+B12-B13</f>
        <v>690000</v>
      </c>
      <c r="C14" s="115">
        <f t="shared" si="7"/>
        <v>409000</v>
      </c>
      <c r="D14" s="115">
        <f t="shared" si="7"/>
        <v>-270000</v>
      </c>
      <c r="E14" s="115">
        <f>+E12-E13</f>
        <v>304000</v>
      </c>
      <c r="F14" s="115">
        <f t="shared" si="7"/>
        <v>334000</v>
      </c>
      <c r="G14" s="115">
        <f t="shared" si="7"/>
        <v>676000</v>
      </c>
      <c r="H14" s="115">
        <f t="shared" si="7"/>
        <v>709000</v>
      </c>
      <c r="I14" s="119">
        <f t="shared" si="7"/>
        <v>656000</v>
      </c>
      <c r="J14" s="91"/>
      <c r="K14" s="120"/>
      <c r="L14" s="112"/>
      <c r="M14" s="121"/>
      <c r="N14" s="118">
        <f aca="true" t="shared" si="8" ref="N14:S14">+N12-N13</f>
        <v>855650.7163995068</v>
      </c>
      <c r="O14" s="118">
        <f t="shared" si="8"/>
        <v>1048668.6799999992</v>
      </c>
      <c r="P14" s="118">
        <f t="shared" si="8"/>
        <v>1143627.9875999992</v>
      </c>
      <c r="Q14" s="118">
        <f t="shared" si="8"/>
        <v>1218384.38698</v>
      </c>
      <c r="R14" s="118">
        <f t="shared" si="8"/>
        <v>1296416.106329</v>
      </c>
      <c r="S14" s="118">
        <f t="shared" si="8"/>
        <v>1377886.9116454497</v>
      </c>
    </row>
    <row r="15" spans="1:19" ht="12.75" customHeight="1">
      <c r="A15" s="109" t="s">
        <v>19</v>
      </c>
      <c r="B15" s="110">
        <f>+'Historical Analysis'!L23</f>
        <v>189000</v>
      </c>
      <c r="C15" s="110">
        <f>+'Historical Analysis'!K23</f>
        <v>76000</v>
      </c>
      <c r="D15" s="110">
        <f>+'Historical Analysis'!J23</f>
        <v>-293000</v>
      </c>
      <c r="E15" s="110">
        <f>+'Historical Analysis'!I23</f>
        <v>27000</v>
      </c>
      <c r="F15" s="110">
        <f>+'Historical Analysis'!H23</f>
        <v>-75000</v>
      </c>
      <c r="G15" s="110">
        <f>+'Historical Analysis'!G23</f>
        <v>148000</v>
      </c>
      <c r="H15" s="110">
        <f>+'Historical Analysis'!F23</f>
        <v>263000</v>
      </c>
      <c r="I15" s="111">
        <f>+'Historical Analysis'!E23</f>
        <v>175000</v>
      </c>
      <c r="J15" s="91"/>
      <c r="K15" s="122"/>
      <c r="L15" s="112"/>
      <c r="M15" s="121"/>
      <c r="N15" s="114">
        <f aca="true" t="shared" si="9" ref="N15:S15">+N14*N22</f>
        <v>256695.21491985203</v>
      </c>
      <c r="O15" s="114">
        <f t="shared" si="9"/>
        <v>314600.60399999976</v>
      </c>
      <c r="P15" s="114">
        <f t="shared" si="9"/>
        <v>343088.39627999975</v>
      </c>
      <c r="Q15" s="114">
        <f t="shared" si="9"/>
        <v>365515.31609399995</v>
      </c>
      <c r="R15" s="114">
        <f t="shared" si="9"/>
        <v>388924.83189870004</v>
      </c>
      <c r="S15" s="114">
        <f t="shared" si="9"/>
        <v>413366.0734936349</v>
      </c>
    </row>
    <row r="16" spans="1:19" ht="14.25" customHeight="1">
      <c r="A16" s="102" t="s">
        <v>27</v>
      </c>
      <c r="B16" s="103">
        <f aca="true" t="shared" si="10" ref="B16:I16">+B14-B15</f>
        <v>501000</v>
      </c>
      <c r="C16" s="103">
        <f t="shared" si="10"/>
        <v>333000</v>
      </c>
      <c r="D16" s="103">
        <f t="shared" si="10"/>
        <v>23000</v>
      </c>
      <c r="E16" s="103">
        <f>+E14-E15</f>
        <v>277000</v>
      </c>
      <c r="F16" s="103">
        <f t="shared" si="10"/>
        <v>409000</v>
      </c>
      <c r="G16" s="103">
        <f t="shared" si="10"/>
        <v>528000</v>
      </c>
      <c r="H16" s="103">
        <f t="shared" si="10"/>
        <v>446000</v>
      </c>
      <c r="I16" s="104">
        <f t="shared" si="10"/>
        <v>481000</v>
      </c>
      <c r="J16" s="91"/>
      <c r="K16" s="120"/>
      <c r="L16" s="112"/>
      <c r="M16" s="121"/>
      <c r="N16" s="118">
        <f aca="true" t="shared" si="11" ref="N16:S16">+N14-N15</f>
        <v>598955.5014796548</v>
      </c>
      <c r="O16" s="118">
        <f t="shared" si="11"/>
        <v>734068.0759999994</v>
      </c>
      <c r="P16" s="118">
        <f t="shared" si="11"/>
        <v>800539.5913199994</v>
      </c>
      <c r="Q16" s="118">
        <f t="shared" si="11"/>
        <v>852869.0708860001</v>
      </c>
      <c r="R16" s="118">
        <f t="shared" si="11"/>
        <v>907491.2744303001</v>
      </c>
      <c r="S16" s="118">
        <f t="shared" si="11"/>
        <v>964520.8381518149</v>
      </c>
    </row>
    <row r="17" spans="1:19" ht="12.75" customHeight="1">
      <c r="A17" s="109"/>
      <c r="B17" s="115"/>
      <c r="C17" s="115"/>
      <c r="D17" s="115"/>
      <c r="E17" s="115"/>
      <c r="F17" s="115"/>
      <c r="G17" s="115"/>
      <c r="H17" s="115"/>
      <c r="I17" s="116"/>
      <c r="J17" s="91"/>
      <c r="K17" s="123"/>
      <c r="L17" s="117"/>
      <c r="M17" s="109"/>
      <c r="N17" s="115"/>
      <c r="O17" s="115"/>
      <c r="P17" s="115"/>
      <c r="Q17" s="115"/>
      <c r="R17" s="115"/>
      <c r="S17" s="115"/>
    </row>
    <row r="18" spans="1:19" ht="12.75" customHeight="1">
      <c r="A18" s="124" t="s">
        <v>129</v>
      </c>
      <c r="B18" s="125"/>
      <c r="C18" s="125"/>
      <c r="D18" s="125"/>
      <c r="E18" s="125"/>
      <c r="F18" s="125"/>
      <c r="G18" s="125"/>
      <c r="H18" s="125"/>
      <c r="I18" s="126"/>
      <c r="J18" s="91"/>
      <c r="K18" s="127"/>
      <c r="L18" s="128"/>
      <c r="M18" s="129"/>
      <c r="N18" s="130"/>
      <c r="O18" s="130"/>
      <c r="P18" s="130"/>
      <c r="Q18" s="130"/>
      <c r="R18" s="130"/>
      <c r="S18" s="130"/>
    </row>
    <row r="19" spans="1:19" ht="12.75" customHeight="1">
      <c r="A19" s="109" t="s">
        <v>112</v>
      </c>
      <c r="B19" s="130"/>
      <c r="C19" s="130">
        <f aca="true" t="shared" si="12" ref="C19:I19">+C7/B7-1</f>
        <v>-0.03998049731838127</v>
      </c>
      <c r="D19" s="130">
        <f>+D7/C7-1</f>
        <v>-0.20501100389368543</v>
      </c>
      <c r="E19" s="130">
        <f>+E7/B7-1</f>
        <v>-0.1758491792621485</v>
      </c>
      <c r="F19" s="130">
        <f>+F7/D7-1</f>
        <v>0.19761499148211237</v>
      </c>
      <c r="G19" s="130">
        <f t="shared" si="12"/>
        <v>0.12393314366998576</v>
      </c>
      <c r="H19" s="130">
        <f t="shared" si="12"/>
        <v>-0.032589780098085774</v>
      </c>
      <c r="I19" s="131">
        <f t="shared" si="12"/>
        <v>-0.019460343417824988</v>
      </c>
      <c r="J19" s="91"/>
      <c r="K19" s="132">
        <f>AVERAGE(B19:H19)</f>
        <v>-0.021980387570033805</v>
      </c>
      <c r="L19" s="314"/>
      <c r="M19" s="129"/>
      <c r="N19" s="141">
        <v>0.03</v>
      </c>
      <c r="O19" s="141">
        <v>0.08</v>
      </c>
      <c r="P19" s="141">
        <v>0.07</v>
      </c>
      <c r="Q19" s="141">
        <v>0.05</v>
      </c>
      <c r="R19" s="141">
        <v>0.05</v>
      </c>
      <c r="S19" s="141">
        <v>0.05</v>
      </c>
    </row>
    <row r="20" spans="1:19" ht="12.75" customHeight="1">
      <c r="A20" s="109" t="s">
        <v>105</v>
      </c>
      <c r="B20" s="134">
        <f aca="true" t="shared" si="13" ref="B20:I20">+B9/B7</f>
        <v>0.6366546238182073</v>
      </c>
      <c r="C20" s="134">
        <f t="shared" si="13"/>
        <v>0.6301107325383305</v>
      </c>
      <c r="D20" s="134">
        <f>+D9/D7</f>
        <v>0.6301107325383305</v>
      </c>
      <c r="E20" s="134">
        <f>+E9/E7</f>
        <v>0.6450404259514888</v>
      </c>
      <c r="F20" s="134">
        <f t="shared" si="13"/>
        <v>0.6497155049786629</v>
      </c>
      <c r="G20" s="134">
        <f t="shared" si="13"/>
        <v>0.627906976744186</v>
      </c>
      <c r="H20" s="134">
        <f t="shared" si="13"/>
        <v>0.685363859362224</v>
      </c>
      <c r="I20" s="131">
        <f t="shared" si="13"/>
        <v>0.7078052034689793</v>
      </c>
      <c r="J20" s="91"/>
      <c r="K20" s="132">
        <f>AVERAGE(B20:H20)</f>
        <v>0.6435575508473471</v>
      </c>
      <c r="L20" s="133">
        <v>0.7</v>
      </c>
      <c r="M20" s="129"/>
      <c r="N20" s="134">
        <f>+L20</f>
        <v>0.7</v>
      </c>
      <c r="O20" s="134">
        <f>+N20</f>
        <v>0.7</v>
      </c>
      <c r="P20" s="134">
        <f aca="true" t="shared" si="14" ref="P20:R21">+O20</f>
        <v>0.7</v>
      </c>
      <c r="Q20" s="134">
        <f t="shared" si="14"/>
        <v>0.7</v>
      </c>
      <c r="R20" s="134">
        <f t="shared" si="14"/>
        <v>0.7</v>
      </c>
      <c r="S20" s="134">
        <f>+R20</f>
        <v>0.7</v>
      </c>
    </row>
    <row r="21" spans="1:19" ht="12.75" customHeight="1">
      <c r="A21" s="109" t="s">
        <v>130</v>
      </c>
      <c r="B21" s="134">
        <f aca="true" t="shared" si="15" ref="B21:I21">+B10/B7</f>
        <v>0.4972104502443408</v>
      </c>
      <c r="C21" s="134">
        <f t="shared" si="15"/>
        <v>0.5253198065183542</v>
      </c>
      <c r="D21" s="134">
        <f>+D10/D7</f>
        <v>0.6245741056218058</v>
      </c>
      <c r="E21" s="134">
        <f>+E10/E7</f>
        <v>0.5267205679353185</v>
      </c>
      <c r="F21" s="134">
        <f t="shared" si="15"/>
        <v>0.5376955903271693</v>
      </c>
      <c r="G21" s="134">
        <f t="shared" si="15"/>
        <v>0.48362600854295207</v>
      </c>
      <c r="H21" s="134">
        <f t="shared" si="15"/>
        <v>0.534096484055601</v>
      </c>
      <c r="I21" s="131">
        <f t="shared" si="15"/>
        <v>0.5675450300200133</v>
      </c>
      <c r="J21" s="91"/>
      <c r="K21" s="132">
        <f>AVERAGE(B21:H21)</f>
        <v>0.5327490018922202</v>
      </c>
      <c r="L21" s="133">
        <v>0.52</v>
      </c>
      <c r="M21" s="129"/>
      <c r="N21" s="134">
        <f>+L21</f>
        <v>0.52</v>
      </c>
      <c r="O21" s="134">
        <f>+N21</f>
        <v>0.52</v>
      </c>
      <c r="P21" s="134">
        <f t="shared" si="14"/>
        <v>0.52</v>
      </c>
      <c r="Q21" s="134">
        <f t="shared" si="14"/>
        <v>0.52</v>
      </c>
      <c r="R21" s="134">
        <f t="shared" si="14"/>
        <v>0.52</v>
      </c>
      <c r="S21" s="134">
        <f>+R21</f>
        <v>0.52</v>
      </c>
    </row>
    <row r="22" spans="1:19" ht="12.75" customHeight="1">
      <c r="A22" s="109" t="s">
        <v>131</v>
      </c>
      <c r="B22" s="135">
        <f aca="true" t="shared" si="16" ref="B22:I22">+B15/B14</f>
        <v>0.27391304347826084</v>
      </c>
      <c r="C22" s="135">
        <f t="shared" si="16"/>
        <v>0.18581907090464547</v>
      </c>
      <c r="D22" s="135">
        <f>+D15/D14</f>
        <v>1.0851851851851853</v>
      </c>
      <c r="E22" s="135">
        <f>+E15/E14</f>
        <v>0.08881578947368421</v>
      </c>
      <c r="F22" s="135">
        <f t="shared" si="16"/>
        <v>-0.2245508982035928</v>
      </c>
      <c r="G22" s="135">
        <f t="shared" si="16"/>
        <v>0.21893491124260356</v>
      </c>
      <c r="H22" s="135">
        <f t="shared" si="16"/>
        <v>0.3709449929478138</v>
      </c>
      <c r="I22" s="131">
        <f t="shared" si="16"/>
        <v>0.26676829268292684</v>
      </c>
      <c r="J22" s="91"/>
      <c r="K22" s="132">
        <f>AVERAGE(B22:H22)</f>
        <v>0.28558029928980005</v>
      </c>
      <c r="L22" s="136">
        <v>0.3</v>
      </c>
      <c r="M22" s="137"/>
      <c r="N22" s="134">
        <f>+L22</f>
        <v>0.3</v>
      </c>
      <c r="O22" s="134">
        <f>+N22</f>
        <v>0.3</v>
      </c>
      <c r="P22" s="134">
        <f>+O22</f>
        <v>0.3</v>
      </c>
      <c r="Q22" s="134">
        <f>+P22</f>
        <v>0.3</v>
      </c>
      <c r="R22" s="134">
        <f>+Q22</f>
        <v>0.3</v>
      </c>
      <c r="S22" s="134">
        <f>+R22</f>
        <v>0.3</v>
      </c>
    </row>
    <row r="23" spans="1:19" ht="12.75" customHeight="1">
      <c r="A23" s="109"/>
      <c r="B23" s="115"/>
      <c r="C23" s="115"/>
      <c r="D23" s="115"/>
      <c r="E23" s="115"/>
      <c r="F23" s="115"/>
      <c r="G23" s="115"/>
      <c r="H23" s="115"/>
      <c r="I23" s="138"/>
      <c r="J23" s="91"/>
      <c r="K23" s="139"/>
      <c r="L23" s="140"/>
      <c r="M23" s="137"/>
      <c r="N23" s="141"/>
      <c r="O23" s="141"/>
      <c r="P23" s="141"/>
      <c r="Q23" s="141"/>
      <c r="R23" s="141"/>
      <c r="S23" s="141"/>
    </row>
    <row r="24" spans="1:19" ht="12.75" customHeight="1">
      <c r="A24" s="142" t="s">
        <v>132</v>
      </c>
      <c r="B24" s="143"/>
      <c r="C24" s="143"/>
      <c r="D24" s="143"/>
      <c r="E24" s="143"/>
      <c r="F24" s="143"/>
      <c r="G24" s="143"/>
      <c r="H24" s="143"/>
      <c r="I24" s="119"/>
      <c r="J24" s="91"/>
      <c r="K24" s="120"/>
      <c r="L24" s="112"/>
      <c r="M24" s="121"/>
      <c r="N24" s="144"/>
      <c r="O24" s="144"/>
      <c r="P24" s="144"/>
      <c r="Q24" s="144"/>
      <c r="R24" s="144"/>
      <c r="S24" s="144"/>
    </row>
    <row r="25" spans="1:19" ht="12.75" customHeight="1">
      <c r="A25" s="109" t="s">
        <v>70</v>
      </c>
      <c r="B25" s="145">
        <f>+'Historical Analysis'!L97</f>
        <v>229000</v>
      </c>
      <c r="C25" s="145">
        <f>+'Historical Analysis'!K97</f>
        <v>245000</v>
      </c>
      <c r="D25" s="145">
        <f>+'Historical Analysis'!J97</f>
        <v>245000</v>
      </c>
      <c r="E25" s="145">
        <f>+'Historical Analysis'!I97</f>
        <v>217000</v>
      </c>
      <c r="F25" s="145">
        <f>+'Historical Analysis'!H97</f>
        <v>189000</v>
      </c>
      <c r="G25" s="145">
        <f>+'Historical Analysis'!G97</f>
        <v>170000</v>
      </c>
      <c r="H25" s="145">
        <f>+'Historical Analysis'!F97</f>
        <v>181000</v>
      </c>
      <c r="I25" s="119">
        <f>+'Historical Analysis'!E97</f>
        <v>199000</v>
      </c>
      <c r="J25" s="91"/>
      <c r="K25" s="120"/>
      <c r="L25" s="112"/>
      <c r="M25" s="121"/>
      <c r="N25" s="115">
        <f aca="true" t="shared" si="17" ref="N25:S25">+N28*N$7</f>
        <v>251938</v>
      </c>
      <c r="O25" s="115">
        <f t="shared" si="17"/>
        <v>272093.04</v>
      </c>
      <c r="P25" s="115">
        <f t="shared" si="17"/>
        <v>291139.5528</v>
      </c>
      <c r="Q25" s="115">
        <f t="shared" si="17"/>
        <v>305696.53044000006</v>
      </c>
      <c r="R25" s="115">
        <f t="shared" si="17"/>
        <v>320981.3569620001</v>
      </c>
      <c r="S25" s="115">
        <f t="shared" si="17"/>
        <v>337030.42481010006</v>
      </c>
    </row>
    <row r="26" spans="1:19" ht="12.75" customHeight="1">
      <c r="A26" s="109" t="s">
        <v>133</v>
      </c>
      <c r="B26" s="145">
        <f>-'Historical Analysis'!L106</f>
        <v>384000</v>
      </c>
      <c r="C26" s="145">
        <f>-'Historical Analysis'!K106</f>
        <v>476000</v>
      </c>
      <c r="D26" s="145">
        <f>-'Historical Analysis'!J106</f>
        <v>196000</v>
      </c>
      <c r="E26" s="145">
        <f>-'Historical Analysis'!I106</f>
        <v>227000</v>
      </c>
      <c r="F26" s="145">
        <f>-'Historical Analysis'!H106</f>
        <v>385000</v>
      </c>
      <c r="G26" s="145">
        <f>-'Historical Analysis'!G106</f>
        <v>362000</v>
      </c>
      <c r="H26" s="145">
        <f>-'Historical Analysis'!F106</f>
        <v>364000</v>
      </c>
      <c r="I26" s="119">
        <f>-'Historical Analysis'!E106</f>
        <v>350000</v>
      </c>
      <c r="J26" s="91"/>
      <c r="K26" s="120"/>
      <c r="L26" s="112"/>
      <c r="M26" s="121"/>
      <c r="N26" s="115">
        <f aca="true" t="shared" si="18" ref="N26:S26">+N29*N7</f>
        <v>377907</v>
      </c>
      <c r="O26" s="115">
        <f t="shared" si="18"/>
        <v>408139.56</v>
      </c>
      <c r="P26" s="115">
        <f t="shared" si="18"/>
        <v>436709.3292</v>
      </c>
      <c r="Q26" s="115">
        <f t="shared" si="18"/>
        <v>458544.79566000006</v>
      </c>
      <c r="R26" s="115">
        <f t="shared" si="18"/>
        <v>481472.0354430001</v>
      </c>
      <c r="S26" s="115">
        <f t="shared" si="18"/>
        <v>505545.63721515005</v>
      </c>
    </row>
    <row r="27" spans="2:19" ht="15.75">
      <c r="B27" s="144"/>
      <c r="C27" s="144"/>
      <c r="D27" s="144"/>
      <c r="E27" s="144"/>
      <c r="F27" s="144"/>
      <c r="G27" s="144"/>
      <c r="H27" s="144"/>
      <c r="I27" s="146"/>
      <c r="J27" s="91"/>
      <c r="K27" s="105"/>
      <c r="L27" s="147"/>
      <c r="N27" s="144"/>
      <c r="O27" s="144"/>
      <c r="P27" s="144"/>
      <c r="Q27" s="144"/>
      <c r="R27" s="144"/>
      <c r="S27" s="144"/>
    </row>
    <row r="28" spans="1:19" ht="12.75" customHeight="1">
      <c r="A28" s="109" t="s">
        <v>70</v>
      </c>
      <c r="B28" s="134">
        <f aca="true" t="shared" si="19" ref="B28:I28">+B25/B7</f>
        <v>0.03721761742239558</v>
      </c>
      <c r="C28" s="134">
        <f t="shared" si="19"/>
        <v>0.041476214660572205</v>
      </c>
      <c r="D28" s="134">
        <f t="shared" si="19"/>
        <v>0.05217206132879046</v>
      </c>
      <c r="E28" s="134">
        <f>+E25/E7</f>
        <v>0.04279234864918162</v>
      </c>
      <c r="F28" s="134">
        <f t="shared" si="19"/>
        <v>0.03360597439544808</v>
      </c>
      <c r="G28" s="134">
        <f t="shared" si="19"/>
        <v>0.026894478721721248</v>
      </c>
      <c r="H28" s="134">
        <f t="shared" si="19"/>
        <v>0.029599345870809486</v>
      </c>
      <c r="I28" s="131">
        <f t="shared" si="19"/>
        <v>0.03318879252835223</v>
      </c>
      <c r="J28" s="91"/>
      <c r="K28" s="132">
        <f>AVERAGE(B28:H28)</f>
        <v>0.03767972014984553</v>
      </c>
      <c r="L28" s="136">
        <v>0.04</v>
      </c>
      <c r="M28" s="121"/>
      <c r="N28" s="134">
        <f>+L28</f>
        <v>0.04</v>
      </c>
      <c r="O28" s="134">
        <f aca="true" t="shared" si="20" ref="O28:S29">+N28</f>
        <v>0.04</v>
      </c>
      <c r="P28" s="134">
        <f t="shared" si="20"/>
        <v>0.04</v>
      </c>
      <c r="Q28" s="134">
        <f t="shared" si="20"/>
        <v>0.04</v>
      </c>
      <c r="R28" s="134">
        <f t="shared" si="20"/>
        <v>0.04</v>
      </c>
      <c r="S28" s="134">
        <f t="shared" si="20"/>
        <v>0.04</v>
      </c>
    </row>
    <row r="29" spans="1:19" ht="12.75" customHeight="1">
      <c r="A29" s="109" t="s">
        <v>78</v>
      </c>
      <c r="B29" s="134">
        <f aca="true" t="shared" si="21" ref="B29:I29">+B26/B7</f>
        <v>0.062408581179912236</v>
      </c>
      <c r="C29" s="134">
        <f t="shared" si="21"/>
        <v>0.08058235991196885</v>
      </c>
      <c r="D29" s="134">
        <f>+D26/D7</f>
        <v>0.041737649063032366</v>
      </c>
      <c r="E29" s="134">
        <f>+E26/E7</f>
        <v>0.04476434628278446</v>
      </c>
      <c r="F29" s="134">
        <f t="shared" si="21"/>
        <v>0.06845661450924609</v>
      </c>
      <c r="G29" s="134">
        <f t="shared" si="21"/>
        <v>0.057269419395665246</v>
      </c>
      <c r="H29" s="134">
        <f t="shared" si="21"/>
        <v>0.05952575633687653</v>
      </c>
      <c r="I29" s="131">
        <f t="shared" si="21"/>
        <v>0.058372248165443626</v>
      </c>
      <c r="J29" s="91"/>
      <c r="K29" s="132">
        <f>AVERAGE(B29:H29)</f>
        <v>0.059249246668497964</v>
      </c>
      <c r="L29" s="136">
        <v>0.06</v>
      </c>
      <c r="M29" s="121"/>
      <c r="N29" s="134">
        <f>+L29</f>
        <v>0.06</v>
      </c>
      <c r="O29" s="134">
        <f t="shared" si="20"/>
        <v>0.06</v>
      </c>
      <c r="P29" s="134">
        <f t="shared" si="20"/>
        <v>0.06</v>
      </c>
      <c r="Q29" s="134">
        <f t="shared" si="20"/>
        <v>0.06</v>
      </c>
      <c r="R29" s="134">
        <f t="shared" si="20"/>
        <v>0.06</v>
      </c>
      <c r="S29" s="134">
        <f t="shared" si="20"/>
        <v>0.06</v>
      </c>
    </row>
    <row r="30" spans="1:19" ht="12.75" customHeight="1">
      <c r="A30" s="101"/>
      <c r="B30" s="144"/>
      <c r="C30" s="144"/>
      <c r="D30" s="144"/>
      <c r="E30" s="144"/>
      <c r="F30" s="144"/>
      <c r="G30" s="144"/>
      <c r="H30" s="144"/>
      <c r="I30" s="119"/>
      <c r="J30" s="91"/>
      <c r="K30" s="120"/>
      <c r="L30" s="112"/>
      <c r="M30" s="121"/>
      <c r="N30" s="144"/>
      <c r="O30" s="144"/>
      <c r="P30" s="144"/>
      <c r="Q30" s="144"/>
      <c r="R30" s="144"/>
      <c r="S30" s="144"/>
    </row>
    <row r="31" spans="1:19" ht="12.75" customHeight="1">
      <c r="A31" s="142" t="s">
        <v>134</v>
      </c>
      <c r="B31" s="143"/>
      <c r="C31" s="143"/>
      <c r="D31" s="143"/>
      <c r="E31" s="143"/>
      <c r="F31" s="143"/>
      <c r="G31" s="315"/>
      <c r="H31" s="315"/>
      <c r="I31" s="146"/>
      <c r="J31" s="91"/>
      <c r="K31" s="105"/>
      <c r="L31" s="147"/>
      <c r="M31" s="101"/>
      <c r="N31" s="144"/>
      <c r="O31" s="144"/>
      <c r="P31" s="144"/>
      <c r="Q31" s="144"/>
      <c r="R31" s="144"/>
      <c r="S31" s="144"/>
    </row>
    <row r="32" spans="1:19" ht="12.75" customHeight="1">
      <c r="A32" s="109" t="s">
        <v>135</v>
      </c>
      <c r="B32" s="115">
        <f>+'Historical Analysis'!L67</f>
        <v>5000</v>
      </c>
      <c r="C32" s="115">
        <f>+'Historical Analysis'!K67</f>
        <v>506000</v>
      </c>
      <c r="D32" s="115">
        <f>+'Historical Analysis'!J67</f>
        <v>5000</v>
      </c>
      <c r="E32" s="115">
        <f>+'Historical Analysis'!I67</f>
        <v>136000</v>
      </c>
      <c r="F32" s="115">
        <f>+'Historical Analysis'!H67</f>
        <v>133000</v>
      </c>
      <c r="G32" s="115">
        <f>+'Historical Analysis'!G67</f>
        <v>152000</v>
      </c>
      <c r="H32" s="115">
        <f>+'Historical Analysis'!F67</f>
        <v>99000</v>
      </c>
      <c r="I32" s="119">
        <f>+'Historical Analysis'!E67</f>
        <v>84000</v>
      </c>
      <c r="J32" s="91"/>
      <c r="K32" s="148"/>
      <c r="L32" s="147"/>
      <c r="M32" s="101"/>
      <c r="N32" s="144"/>
      <c r="O32" s="144"/>
      <c r="P32" s="144"/>
      <c r="Q32" s="144"/>
      <c r="R32" s="144"/>
      <c r="S32" s="144"/>
    </row>
    <row r="33" spans="1:19" ht="12.75" customHeight="1">
      <c r="A33" s="109" t="s">
        <v>53</v>
      </c>
      <c r="B33" s="115">
        <f>+'Historical Analysis'!L70</f>
        <v>3590000</v>
      </c>
      <c r="C33" s="115">
        <f>+'Historical Analysis'!K70</f>
        <v>3502000</v>
      </c>
      <c r="D33" s="115">
        <f>+'Historical Analysis'!J70</f>
        <v>2955000</v>
      </c>
      <c r="E33" s="115">
        <f>+'Historical Analysis'!I70</f>
        <v>3215000</v>
      </c>
      <c r="F33" s="115">
        <f>+'Historical Analysis'!H70</f>
        <v>2596000</v>
      </c>
      <c r="G33" s="115">
        <f>+'Historical Analysis'!G70</f>
        <v>1656000</v>
      </c>
      <c r="H33" s="115">
        <f>+'Historical Analysis'!F70</f>
        <v>1523000</v>
      </c>
      <c r="I33" s="119">
        <f>+'Historical Analysis'!E70</f>
        <v>2354000</v>
      </c>
      <c r="J33" s="91"/>
      <c r="K33" s="148"/>
      <c r="L33" s="147"/>
      <c r="M33" s="101"/>
      <c r="N33" s="144"/>
      <c r="O33" s="144"/>
      <c r="P33" s="144"/>
      <c r="Q33" s="144"/>
      <c r="R33" s="144"/>
      <c r="S33" s="144"/>
    </row>
    <row r="34" spans="1:19" ht="18" customHeight="1" thickBot="1">
      <c r="A34" s="109" t="s">
        <v>136</v>
      </c>
      <c r="B34" s="359">
        <f aca="true" t="shared" si="22" ref="B34:I34">+B33+B32</f>
        <v>3595000</v>
      </c>
      <c r="C34" s="359">
        <f t="shared" si="22"/>
        <v>4008000</v>
      </c>
      <c r="D34" s="359">
        <f t="shared" si="22"/>
        <v>2960000</v>
      </c>
      <c r="E34" s="359">
        <f>+E33+E32</f>
        <v>3351000</v>
      </c>
      <c r="F34" s="359">
        <f t="shared" si="22"/>
        <v>2729000</v>
      </c>
      <c r="G34" s="359">
        <f t="shared" si="22"/>
        <v>1808000</v>
      </c>
      <c r="H34" s="359">
        <f t="shared" si="22"/>
        <v>1622000</v>
      </c>
      <c r="I34" s="381">
        <f t="shared" si="22"/>
        <v>2438000</v>
      </c>
      <c r="J34" s="91"/>
      <c r="K34" s="120"/>
      <c r="L34" s="112"/>
      <c r="M34" s="121"/>
      <c r="N34" s="118">
        <f>+H34+N35</f>
        <v>1540900</v>
      </c>
      <c r="O34" s="118">
        <f>+N34+O35</f>
        <v>1459800</v>
      </c>
      <c r="P34" s="118">
        <f>+O34+P35</f>
        <v>1378700</v>
      </c>
      <c r="Q34" s="118">
        <f>+P34+Q35</f>
        <v>1297600</v>
      </c>
      <c r="R34" s="118">
        <f>+Q34+R35</f>
        <v>1216500</v>
      </c>
      <c r="S34" s="118">
        <f>+R34+S35</f>
        <v>1135400</v>
      </c>
    </row>
    <row r="35" spans="1:19" ht="12.75" customHeight="1" thickTop="1">
      <c r="A35" s="109" t="s">
        <v>137</v>
      </c>
      <c r="B35" s="115"/>
      <c r="C35" s="115"/>
      <c r="D35" s="115"/>
      <c r="E35" s="115"/>
      <c r="F35" s="115"/>
      <c r="G35" s="145"/>
      <c r="H35" s="167"/>
      <c r="I35" s="119"/>
      <c r="J35" s="91"/>
      <c r="K35" s="120"/>
      <c r="L35" s="136">
        <v>0.05</v>
      </c>
      <c r="M35" s="121"/>
      <c r="N35" s="118">
        <f>-L35*H34</f>
        <v>-81100</v>
      </c>
      <c r="O35" s="118">
        <f>+N35</f>
        <v>-81100</v>
      </c>
      <c r="P35" s="118">
        <f>+O35</f>
        <v>-81100</v>
      </c>
      <c r="Q35" s="118">
        <f>+P35</f>
        <v>-81100</v>
      </c>
      <c r="R35" s="118">
        <f>+Q35</f>
        <v>-81100</v>
      </c>
      <c r="S35" s="118">
        <f>+R35</f>
        <v>-81100</v>
      </c>
    </row>
    <row r="36" spans="1:19" ht="12.75" customHeight="1">
      <c r="A36" s="109" t="s">
        <v>138</v>
      </c>
      <c r="B36" s="115"/>
      <c r="F36" s="115"/>
      <c r="G36" s="392" t="s">
        <v>324</v>
      </c>
      <c r="H36" s="379">
        <f>+I13/H34</f>
        <v>0.11405672009864365</v>
      </c>
      <c r="I36" s="131"/>
      <c r="J36" s="91"/>
      <c r="K36" s="149"/>
      <c r="L36" s="136">
        <f>+H36</f>
        <v>0.11405672009864365</v>
      </c>
      <c r="M36" s="121"/>
      <c r="N36" s="118">
        <f>+$L$36*I34</f>
        <v>278070.2836004932</v>
      </c>
      <c r="O36" s="118">
        <f>+N34*$L$36</f>
        <v>175750</v>
      </c>
      <c r="P36" s="118">
        <f>+O34*$L$36</f>
        <v>166500</v>
      </c>
      <c r="Q36" s="118">
        <f>+P34*$L$36</f>
        <v>157250</v>
      </c>
      <c r="R36" s="118">
        <f>+Q34*$L$36</f>
        <v>148000</v>
      </c>
      <c r="S36" s="118">
        <f>+R34*$L$36</f>
        <v>138750</v>
      </c>
    </row>
    <row r="37" spans="1:19" ht="12.75" customHeight="1">
      <c r="A37" s="150"/>
      <c r="B37" s="151"/>
      <c r="C37" s="151"/>
      <c r="D37" s="151"/>
      <c r="E37" s="151"/>
      <c r="F37" s="151"/>
      <c r="G37" s="316"/>
      <c r="H37" s="316"/>
      <c r="I37" s="152"/>
      <c r="J37" s="91"/>
      <c r="K37" s="153"/>
      <c r="L37" s="154"/>
      <c r="M37" s="150"/>
      <c r="N37" s="151"/>
      <c r="O37" s="144"/>
      <c r="P37" s="144"/>
      <c r="Q37" s="144"/>
      <c r="R37" s="144"/>
      <c r="S37" s="144"/>
    </row>
    <row r="38" spans="1:19" ht="13.5" customHeight="1" thickBot="1">
      <c r="A38" s="155" t="s">
        <v>139</v>
      </c>
      <c r="B38" s="156"/>
      <c r="C38" s="156"/>
      <c r="D38" s="156"/>
      <c r="E38" s="156"/>
      <c r="F38" s="156"/>
      <c r="G38" s="156"/>
      <c r="H38" s="156"/>
      <c r="I38" s="152"/>
      <c r="J38" s="91"/>
      <c r="K38" s="153"/>
      <c r="L38" s="154"/>
      <c r="M38" s="150"/>
      <c r="N38" s="151"/>
      <c r="O38" s="144"/>
      <c r="P38" s="144"/>
      <c r="Q38" s="144"/>
      <c r="R38" s="144"/>
      <c r="S38" s="144"/>
    </row>
    <row r="39" spans="1:19" ht="18" customHeight="1" thickBot="1">
      <c r="A39" s="101"/>
      <c r="B39" s="382">
        <f aca="true" t="shared" si="23" ref="B39:H39">+B5</f>
        <v>39447</v>
      </c>
      <c r="C39" s="383">
        <f t="shared" si="23"/>
        <v>39813</v>
      </c>
      <c r="D39" s="383">
        <f t="shared" si="23"/>
        <v>40178</v>
      </c>
      <c r="E39" s="383">
        <f>+E5</f>
        <v>40543</v>
      </c>
      <c r="F39" s="383">
        <f t="shared" si="23"/>
        <v>40908</v>
      </c>
      <c r="G39" s="383">
        <f t="shared" si="23"/>
        <v>41274</v>
      </c>
      <c r="H39" s="383">
        <f t="shared" si="23"/>
        <v>41639</v>
      </c>
      <c r="I39" s="370">
        <f>+'Historical Analysis'!E45</f>
        <v>41912</v>
      </c>
      <c r="J39" s="91"/>
      <c r="K39" s="153"/>
      <c r="L39" s="154"/>
      <c r="M39" s="100"/>
      <c r="N39" s="382">
        <f>+N5</f>
        <v>42004</v>
      </c>
      <c r="O39" s="383">
        <f>+N39+365</f>
        <v>42369</v>
      </c>
      <c r="P39" s="383">
        <f>+O39+365</f>
        <v>42734</v>
      </c>
      <c r="Q39" s="383">
        <f>+P39+365</f>
        <v>43099</v>
      </c>
      <c r="R39" s="383">
        <f>+Q39+365</f>
        <v>43464</v>
      </c>
      <c r="S39" s="384">
        <f>+R39+365</f>
        <v>43829</v>
      </c>
    </row>
    <row r="40" spans="1:19" ht="16.5" customHeight="1">
      <c r="A40" s="102" t="s">
        <v>91</v>
      </c>
      <c r="B40" s="118">
        <f aca="true" t="shared" si="24" ref="B40:I40">+B25+B12</f>
        <v>1087000</v>
      </c>
      <c r="C40" s="118">
        <f t="shared" si="24"/>
        <v>864000</v>
      </c>
      <c r="D40" s="118">
        <f t="shared" si="24"/>
        <v>271000</v>
      </c>
      <c r="E40" s="118">
        <f>+E25+E12</f>
        <v>817000</v>
      </c>
      <c r="F40" s="118">
        <f t="shared" si="24"/>
        <v>819000</v>
      </c>
      <c r="G40" s="118">
        <f t="shared" si="24"/>
        <v>1082000</v>
      </c>
      <c r="H40" s="118">
        <f t="shared" si="24"/>
        <v>1106000</v>
      </c>
      <c r="I40" s="119">
        <f t="shared" si="24"/>
        <v>1040000</v>
      </c>
      <c r="J40" s="91"/>
      <c r="K40" s="153"/>
      <c r="L40" s="154"/>
      <c r="M40" s="121"/>
      <c r="N40" s="118">
        <f aca="true" t="shared" si="25" ref="N40:S40">+N25+N12</f>
        <v>1385659</v>
      </c>
      <c r="O40" s="118">
        <f t="shared" si="25"/>
        <v>1496511.7199999993</v>
      </c>
      <c r="P40" s="118">
        <f t="shared" si="25"/>
        <v>1601267.5403999991</v>
      </c>
      <c r="Q40" s="118">
        <f t="shared" si="25"/>
        <v>1681330.91742</v>
      </c>
      <c r="R40" s="118">
        <f t="shared" si="25"/>
        <v>1765397.463291</v>
      </c>
      <c r="S40" s="118">
        <f t="shared" si="25"/>
        <v>1853667.3364555498</v>
      </c>
    </row>
    <row r="41" spans="1:19" ht="12.75" customHeight="1">
      <c r="A41" s="109"/>
      <c r="B41" s="115"/>
      <c r="C41" s="115"/>
      <c r="D41" s="115"/>
      <c r="E41" s="115"/>
      <c r="F41" s="115"/>
      <c r="G41" s="115"/>
      <c r="H41" s="115"/>
      <c r="I41" s="119"/>
      <c r="J41" s="91"/>
      <c r="K41" s="153"/>
      <c r="L41" s="154"/>
      <c r="M41" s="121"/>
      <c r="N41" s="151"/>
      <c r="O41" s="151"/>
      <c r="P41" s="151"/>
      <c r="Q41" s="151"/>
      <c r="R41" s="151"/>
      <c r="S41" s="202"/>
    </row>
    <row r="42" spans="1:19" ht="12.75" customHeight="1">
      <c r="A42" s="142" t="s">
        <v>140</v>
      </c>
      <c r="B42" s="143"/>
      <c r="C42" s="143"/>
      <c r="D42" s="143"/>
      <c r="E42" s="143"/>
      <c r="F42" s="143"/>
      <c r="G42" s="143"/>
      <c r="H42" s="143"/>
      <c r="I42" s="119"/>
      <c r="J42" s="91"/>
      <c r="K42" s="120"/>
      <c r="L42" s="112"/>
      <c r="M42" s="121"/>
      <c r="N42" s="144"/>
      <c r="O42" s="144"/>
      <c r="P42" s="144"/>
      <c r="Q42" s="144"/>
      <c r="R42" s="144"/>
      <c r="S42" s="144"/>
    </row>
    <row r="43" spans="1:19" ht="12.75" customHeight="1">
      <c r="A43" s="109" t="s">
        <v>112</v>
      </c>
      <c r="B43" s="157"/>
      <c r="C43" s="130">
        <f>+C7/B7-1</f>
        <v>-0.03998049731838127</v>
      </c>
      <c r="D43" s="130">
        <f>+D7/C7-1</f>
        <v>-0.20501100389368543</v>
      </c>
      <c r="E43" s="130">
        <f>+E7/B7-1</f>
        <v>-0.1758491792621485</v>
      </c>
      <c r="F43" s="130">
        <f>+F7/C7-1</f>
        <v>-0.04790926019976305</v>
      </c>
      <c r="G43" s="130">
        <f>+G7/F7-1</f>
        <v>0.12393314366998576</v>
      </c>
      <c r="H43" s="130">
        <f>+H7/G7-1</f>
        <v>-0.032589780098085774</v>
      </c>
      <c r="I43" s="131">
        <f>+I7/H7-1</f>
        <v>-0.019460343417824988</v>
      </c>
      <c r="J43" s="91"/>
      <c r="K43" s="132"/>
      <c r="L43" s="140"/>
      <c r="M43" s="137"/>
      <c r="N43" s="130">
        <f>+N7/H7-1</f>
        <v>0.030000000000000027</v>
      </c>
      <c r="O43" s="130">
        <f>+O7/N7-1</f>
        <v>0.08000000000000007</v>
      </c>
      <c r="P43" s="130">
        <f>+P7/O7-1</f>
        <v>0.07000000000000006</v>
      </c>
      <c r="Q43" s="130">
        <f>+Q7/P7-1</f>
        <v>0.050000000000000044</v>
      </c>
      <c r="R43" s="130">
        <f>+R7/Q7-1</f>
        <v>0.050000000000000044</v>
      </c>
      <c r="S43" s="130">
        <f>+S7/R7-1</f>
        <v>0.050000000000000044</v>
      </c>
    </row>
    <row r="44" spans="1:19" ht="13.5" customHeight="1">
      <c r="A44" s="109"/>
      <c r="B44" s="115"/>
      <c r="C44" s="115"/>
      <c r="D44" s="115"/>
      <c r="E44" s="115"/>
      <c r="F44" s="115"/>
      <c r="G44" s="115"/>
      <c r="H44" s="115"/>
      <c r="I44" s="131"/>
      <c r="J44" s="91"/>
      <c r="K44" s="132"/>
      <c r="L44" s="140"/>
      <c r="M44" s="137"/>
      <c r="N44" s="115"/>
      <c r="O44" s="144"/>
      <c r="P44" s="144"/>
      <c r="Q44" s="144"/>
      <c r="R44" s="144"/>
      <c r="S44" s="144"/>
    </row>
    <row r="45" spans="1:19" ht="12.75" customHeight="1">
      <c r="A45" s="142" t="s">
        <v>141</v>
      </c>
      <c r="B45" s="143"/>
      <c r="C45" s="143"/>
      <c r="D45" s="143"/>
      <c r="E45" s="143"/>
      <c r="F45" s="143"/>
      <c r="G45" s="143"/>
      <c r="H45" s="143"/>
      <c r="I45" s="119"/>
      <c r="J45" s="91"/>
      <c r="K45" s="120"/>
      <c r="L45" s="112"/>
      <c r="M45" s="121"/>
      <c r="N45" s="115"/>
      <c r="O45" s="144"/>
      <c r="P45" s="144"/>
      <c r="Q45" s="144"/>
      <c r="R45" s="144"/>
      <c r="S45" s="144"/>
    </row>
    <row r="46" spans="1:19" ht="12.75" customHeight="1">
      <c r="A46" s="109" t="s">
        <v>142</v>
      </c>
      <c r="B46" s="380">
        <f aca="true" t="shared" si="26" ref="B46:I46">+B34/B40</f>
        <v>3.3072677092916285</v>
      </c>
      <c r="C46" s="380">
        <f t="shared" si="26"/>
        <v>4.638888888888889</v>
      </c>
      <c r="D46" s="380">
        <f t="shared" si="26"/>
        <v>10.92250922509225</v>
      </c>
      <c r="E46" s="380">
        <f>+E34/E40</f>
        <v>4.101591187270502</v>
      </c>
      <c r="F46" s="380">
        <f t="shared" si="26"/>
        <v>3.3321123321123323</v>
      </c>
      <c r="G46" s="380">
        <f t="shared" si="26"/>
        <v>1.6709796672828097</v>
      </c>
      <c r="H46" s="380">
        <f t="shared" si="26"/>
        <v>1.4665461121157324</v>
      </c>
      <c r="I46" s="158">
        <f t="shared" si="26"/>
        <v>2.3442307692307693</v>
      </c>
      <c r="J46" s="91"/>
      <c r="K46" s="159"/>
      <c r="L46" s="160"/>
      <c r="M46" s="161"/>
      <c r="N46" s="162">
        <f aca="true" t="shared" si="27" ref="N46:S46">+N34/N40</f>
        <v>1.1120340574412608</v>
      </c>
      <c r="O46" s="162">
        <f t="shared" si="27"/>
        <v>0.9754684714397029</v>
      </c>
      <c r="P46" s="162">
        <f t="shared" si="27"/>
        <v>0.8610054005438708</v>
      </c>
      <c r="Q46" s="162">
        <f t="shared" si="27"/>
        <v>0.7717695467059902</v>
      </c>
      <c r="R46" s="162">
        <f t="shared" si="27"/>
        <v>0.6890799524160626</v>
      </c>
      <c r="S46" s="162">
        <f t="shared" si="27"/>
        <v>0.6125155132587224</v>
      </c>
    </row>
    <row r="47" spans="1:19" ht="12.75" customHeight="1">
      <c r="A47" s="109" t="s">
        <v>143</v>
      </c>
      <c r="B47" s="380">
        <f aca="true" t="shared" si="28" ref="B47:I47">+B40/B13</f>
        <v>6.470238095238095</v>
      </c>
      <c r="C47" s="380">
        <f t="shared" si="28"/>
        <v>4.114285714285714</v>
      </c>
      <c r="D47" s="380">
        <f t="shared" si="28"/>
        <v>0.9155405405405406</v>
      </c>
      <c r="E47" s="380">
        <f>+E40/E13</f>
        <v>2.760135135135135</v>
      </c>
      <c r="F47" s="380">
        <f t="shared" si="28"/>
        <v>2.766891891891892</v>
      </c>
      <c r="G47" s="380">
        <f t="shared" si="28"/>
        <v>4.584745762711864</v>
      </c>
      <c r="H47" s="380">
        <f t="shared" si="28"/>
        <v>5.12037037037037</v>
      </c>
      <c r="I47" s="158">
        <f t="shared" si="28"/>
        <v>5.621621621621622</v>
      </c>
      <c r="J47" s="91"/>
      <c r="K47" s="159"/>
      <c r="L47" s="160"/>
      <c r="M47" s="161"/>
      <c r="N47" s="380">
        <f aca="true" t="shared" si="29" ref="N47:S47">+N40/N13</f>
        <v>4.983125064851562</v>
      </c>
      <c r="O47" s="380">
        <f t="shared" si="29"/>
        <v>8.515002674253196</v>
      </c>
      <c r="P47" s="380">
        <f t="shared" si="29"/>
        <v>9.61722246486486</v>
      </c>
      <c r="Q47" s="380">
        <f t="shared" si="29"/>
        <v>10.692088505055644</v>
      </c>
      <c r="R47" s="380">
        <f t="shared" si="29"/>
        <v>11.928361238452704</v>
      </c>
      <c r="S47" s="380">
        <f t="shared" si="29"/>
        <v>13.359764587067026</v>
      </c>
    </row>
    <row r="48" spans="1:19" ht="12.75" customHeight="1">
      <c r="A48" s="109" t="s">
        <v>144</v>
      </c>
      <c r="B48" s="380">
        <f aca="true" t="shared" si="30" ref="B48:I48">+B12/B13</f>
        <v>5.107142857142857</v>
      </c>
      <c r="C48" s="380">
        <f t="shared" si="30"/>
        <v>2.947619047619048</v>
      </c>
      <c r="D48" s="380">
        <f t="shared" si="30"/>
        <v>0.08783783783783784</v>
      </c>
      <c r="E48" s="380">
        <f>+E12/E13</f>
        <v>2.027027027027027</v>
      </c>
      <c r="F48" s="380">
        <f t="shared" si="30"/>
        <v>2.1283783783783785</v>
      </c>
      <c r="G48" s="380">
        <f t="shared" si="30"/>
        <v>3.864406779661017</v>
      </c>
      <c r="H48" s="380">
        <f t="shared" si="30"/>
        <v>4.282407407407407</v>
      </c>
      <c r="I48" s="158">
        <f t="shared" si="30"/>
        <v>4.545945945945946</v>
      </c>
      <c r="J48" s="91"/>
      <c r="K48" s="159"/>
      <c r="L48" s="160"/>
      <c r="M48" s="161"/>
      <c r="N48" s="380">
        <f aca="true" t="shared" si="31" ref="N48:S48">+N12/N13</f>
        <v>4.077102325787641</v>
      </c>
      <c r="O48" s="380">
        <f t="shared" si="31"/>
        <v>6.966820369843523</v>
      </c>
      <c r="P48" s="380">
        <f t="shared" si="31"/>
        <v>7.868636562162157</v>
      </c>
      <c r="Q48" s="380">
        <f t="shared" si="31"/>
        <v>8.748072413227344</v>
      </c>
      <c r="R48" s="380">
        <f t="shared" si="31"/>
        <v>9.759568286006758</v>
      </c>
      <c r="S48" s="380">
        <f t="shared" si="31"/>
        <v>10.930716480327565</v>
      </c>
    </row>
    <row r="49" spans="1:19" ht="12.75" customHeight="1">
      <c r="A49" s="109"/>
      <c r="B49" s="115"/>
      <c r="C49" s="115"/>
      <c r="D49" s="115"/>
      <c r="E49" s="115"/>
      <c r="F49" s="115"/>
      <c r="G49" s="115"/>
      <c r="H49" s="115"/>
      <c r="I49" s="119"/>
      <c r="J49" s="91"/>
      <c r="K49" s="120"/>
      <c r="L49" s="112"/>
      <c r="M49" s="121"/>
      <c r="N49" s="115"/>
      <c r="O49" s="144"/>
      <c r="P49" s="144"/>
      <c r="Q49" s="144"/>
      <c r="R49" s="144"/>
      <c r="S49" s="144"/>
    </row>
    <row r="50" spans="1:19" ht="12.75" customHeight="1">
      <c r="A50" s="142" t="s">
        <v>104</v>
      </c>
      <c r="B50" s="143"/>
      <c r="C50" s="143"/>
      <c r="D50" s="143"/>
      <c r="E50" s="143"/>
      <c r="F50" s="143"/>
      <c r="G50" s="143"/>
      <c r="H50" s="143"/>
      <c r="I50" s="119"/>
      <c r="J50" s="91"/>
      <c r="K50" s="120"/>
      <c r="L50" s="112"/>
      <c r="M50" s="121"/>
      <c r="N50" s="115"/>
      <c r="O50" s="144"/>
      <c r="P50" s="144"/>
      <c r="Q50" s="144"/>
      <c r="R50" s="144"/>
      <c r="S50" s="144"/>
    </row>
    <row r="51" spans="1:19" ht="12.75" customHeight="1">
      <c r="A51" s="109" t="s">
        <v>145</v>
      </c>
      <c r="B51" s="134">
        <f aca="true" t="shared" si="32" ref="B51:I51">+B9/B7</f>
        <v>0.6366546238182073</v>
      </c>
      <c r="C51" s="134">
        <f t="shared" si="32"/>
        <v>0.6301107325383305</v>
      </c>
      <c r="D51" s="134">
        <f>+D9/D7</f>
        <v>0.6301107325383305</v>
      </c>
      <c r="E51" s="134">
        <f>+E9/E7</f>
        <v>0.6450404259514888</v>
      </c>
      <c r="F51" s="134">
        <f t="shared" si="32"/>
        <v>0.6497155049786629</v>
      </c>
      <c r="G51" s="134">
        <f t="shared" si="32"/>
        <v>0.627906976744186</v>
      </c>
      <c r="H51" s="134">
        <f t="shared" si="32"/>
        <v>0.685363859362224</v>
      </c>
      <c r="I51" s="131">
        <f t="shared" si="32"/>
        <v>0.7078052034689793</v>
      </c>
      <c r="J51" s="91"/>
      <c r="K51" s="132"/>
      <c r="L51" s="140"/>
      <c r="M51" s="137"/>
      <c r="N51" s="134">
        <f aca="true" t="shared" si="33" ref="N51:S51">+N9/N7</f>
        <v>0.7</v>
      </c>
      <c r="O51" s="134">
        <f t="shared" si="33"/>
        <v>0.6999999999999998</v>
      </c>
      <c r="P51" s="134">
        <f t="shared" si="33"/>
        <v>0.7</v>
      </c>
      <c r="Q51" s="134">
        <f t="shared" si="33"/>
        <v>0.7</v>
      </c>
      <c r="R51" s="134">
        <f t="shared" si="33"/>
        <v>0.7</v>
      </c>
      <c r="S51" s="134">
        <f t="shared" si="33"/>
        <v>0.7</v>
      </c>
    </row>
    <row r="52" spans="1:19" ht="12.75" customHeight="1">
      <c r="A52" s="109" t="s">
        <v>146</v>
      </c>
      <c r="B52" s="134">
        <f aca="true" t="shared" si="34" ref="B52:I52">+B40/B7</f>
        <v>0.17666179099626197</v>
      </c>
      <c r="C52" s="134">
        <f t="shared" si="34"/>
        <v>0.1462671406805485</v>
      </c>
      <c r="D52" s="134">
        <f>+D40/D7</f>
        <v>0.057708688245315165</v>
      </c>
      <c r="E52" s="134">
        <f>+E40/E7</f>
        <v>0.161112206665352</v>
      </c>
      <c r="F52" s="134">
        <f t="shared" si="34"/>
        <v>0.14562588904694168</v>
      </c>
      <c r="G52" s="134">
        <f t="shared" si="34"/>
        <v>0.17117544692295522</v>
      </c>
      <c r="H52" s="134">
        <f t="shared" si="34"/>
        <v>0.18086672117743255</v>
      </c>
      <c r="I52" s="131">
        <f t="shared" si="34"/>
        <v>0.1734489659773182</v>
      </c>
      <c r="J52" s="91"/>
      <c r="K52" s="132"/>
      <c r="L52" s="140"/>
      <c r="M52" s="137"/>
      <c r="N52" s="134">
        <f aca="true" t="shared" si="35" ref="N52:S52">+N40/N7</f>
        <v>0.22</v>
      </c>
      <c r="O52" s="134">
        <f t="shared" si="35"/>
        <v>0.2199999999999999</v>
      </c>
      <c r="P52" s="134">
        <f t="shared" si="35"/>
        <v>0.21999999999999986</v>
      </c>
      <c r="Q52" s="134">
        <f t="shared" si="35"/>
        <v>0.21999999999999997</v>
      </c>
      <c r="R52" s="134">
        <f t="shared" si="35"/>
        <v>0.21999999999999997</v>
      </c>
      <c r="S52" s="134">
        <f t="shared" si="35"/>
        <v>0.21999999999999995</v>
      </c>
    </row>
    <row r="53" spans="1:19" ht="12.75" customHeight="1">
      <c r="A53" s="109" t="s">
        <v>147</v>
      </c>
      <c r="B53" s="134">
        <f aca="true" t="shared" si="36" ref="B53:I53">+B12/B7</f>
        <v>0.1394441735738664</v>
      </c>
      <c r="C53" s="134">
        <f t="shared" si="36"/>
        <v>0.1047909260199763</v>
      </c>
      <c r="D53" s="134">
        <f>+D12/D7</f>
        <v>0.005536626916524702</v>
      </c>
      <c r="E53" s="134">
        <f>+E12/E7</f>
        <v>0.11831985801617038</v>
      </c>
      <c r="F53" s="134">
        <f t="shared" si="36"/>
        <v>0.1120199146514936</v>
      </c>
      <c r="G53" s="134">
        <f t="shared" si="36"/>
        <v>0.14428096820123398</v>
      </c>
      <c r="H53" s="134">
        <f t="shared" si="36"/>
        <v>0.15126737530662307</v>
      </c>
      <c r="I53" s="131">
        <f t="shared" si="36"/>
        <v>0.14026017344896596</v>
      </c>
      <c r="J53" s="91"/>
      <c r="K53" s="132"/>
      <c r="L53" s="140"/>
      <c r="M53" s="137"/>
      <c r="N53" s="134">
        <f aca="true" t="shared" si="37" ref="N53:S53">+N12/N7</f>
        <v>0.18</v>
      </c>
      <c r="O53" s="134">
        <f t="shared" si="37"/>
        <v>0.17999999999999988</v>
      </c>
      <c r="P53" s="134">
        <f t="shared" si="37"/>
        <v>0.17999999999999988</v>
      </c>
      <c r="Q53" s="134">
        <f t="shared" si="37"/>
        <v>0.17999999999999997</v>
      </c>
      <c r="R53" s="134">
        <f t="shared" si="37"/>
        <v>0.17999999999999997</v>
      </c>
      <c r="S53" s="134">
        <f t="shared" si="37"/>
        <v>0.17999999999999994</v>
      </c>
    </row>
    <row r="54" spans="1:19" ht="12.75" customHeight="1" thickBot="1">
      <c r="A54" s="109"/>
      <c r="B54" s="109"/>
      <c r="C54" s="109"/>
      <c r="D54" s="109"/>
      <c r="E54" s="109"/>
      <c r="F54" s="115"/>
      <c r="G54" s="115"/>
      <c r="H54" s="115"/>
      <c r="I54" s="163"/>
      <c r="J54" s="91"/>
      <c r="K54" s="164"/>
      <c r="L54" s="165"/>
      <c r="M54" s="121"/>
      <c r="N54" s="144"/>
      <c r="O54" s="144"/>
      <c r="P54" s="144"/>
      <c r="Q54" s="144"/>
      <c r="R54" s="144"/>
      <c r="S54" s="144"/>
    </row>
    <row r="55" spans="1:19" ht="12.75" customHeight="1">
      <c r="A55" s="166"/>
      <c r="B55" s="166"/>
      <c r="C55" s="166"/>
      <c r="D55" s="166"/>
      <c r="E55" s="166"/>
      <c r="F55" s="166"/>
      <c r="G55" s="166"/>
      <c r="H55" s="166"/>
      <c r="I55" s="121"/>
      <c r="J55" s="91"/>
      <c r="K55" s="167"/>
      <c r="L55" s="121"/>
      <c r="M55" s="121"/>
      <c r="N55" s="144"/>
      <c r="O55" s="144"/>
      <c r="P55" s="144"/>
      <c r="Q55" s="144"/>
      <c r="R55" s="144"/>
      <c r="S55" s="144"/>
    </row>
    <row r="56" spans="9:19" ht="12.75" customHeight="1">
      <c r="I56" s="168"/>
      <c r="J56" s="91"/>
      <c r="K56" s="167"/>
      <c r="L56" s="168"/>
      <c r="M56" s="168"/>
      <c r="N56" s="118"/>
      <c r="O56" s="118"/>
      <c r="P56" s="118"/>
      <c r="Q56" s="118"/>
      <c r="R56" s="118"/>
      <c r="S56" s="118"/>
    </row>
    <row r="57" spans="9:19" ht="12.75" customHeight="1">
      <c r="I57" s="168"/>
      <c r="J57" s="91"/>
      <c r="K57" s="167"/>
      <c r="L57" s="168"/>
      <c r="M57" s="168"/>
      <c r="N57" s="168"/>
      <c r="O57" s="168"/>
      <c r="P57" s="168"/>
      <c r="Q57" s="168"/>
      <c r="R57" s="168"/>
      <c r="S57" s="168"/>
    </row>
    <row r="58" spans="9:19" ht="12.75" customHeight="1">
      <c r="I58" s="168"/>
      <c r="J58" s="91"/>
      <c r="K58" s="167"/>
      <c r="L58" s="168"/>
      <c r="M58" s="168"/>
      <c r="N58" s="168"/>
      <c r="O58" s="168"/>
      <c r="P58" s="168"/>
      <c r="Q58" s="168"/>
      <c r="R58" s="168"/>
      <c r="S58" s="168"/>
    </row>
    <row r="59" spans="9:19" ht="12.75" customHeight="1">
      <c r="I59" s="168"/>
      <c r="J59" s="91"/>
      <c r="K59" s="167"/>
      <c r="L59" s="168"/>
      <c r="M59" s="168"/>
      <c r="N59" s="168"/>
      <c r="O59" s="168"/>
      <c r="P59" s="168"/>
      <c r="Q59" s="168"/>
      <c r="R59" s="168"/>
      <c r="S59" s="168"/>
    </row>
    <row r="60" spans="9:19" ht="12.75" customHeight="1">
      <c r="I60" s="168"/>
      <c r="J60" s="91"/>
      <c r="K60" s="167"/>
      <c r="L60" s="168"/>
      <c r="M60" s="168"/>
      <c r="N60" s="168"/>
      <c r="O60" s="168"/>
      <c r="P60" s="168"/>
      <c r="Q60" s="168"/>
      <c r="R60" s="168"/>
      <c r="S60" s="168"/>
    </row>
    <row r="61" spans="9:19" ht="12.75" customHeight="1">
      <c r="I61" s="168"/>
      <c r="J61" s="91"/>
      <c r="K61" s="167"/>
      <c r="L61" s="168"/>
      <c r="M61" s="168"/>
      <c r="N61" s="168"/>
      <c r="O61" s="168"/>
      <c r="P61" s="168"/>
      <c r="Q61" s="168"/>
      <c r="R61" s="168"/>
      <c r="S61" s="168"/>
    </row>
    <row r="62" spans="9:13" ht="12.75" customHeight="1">
      <c r="I62" s="168"/>
      <c r="J62" s="91"/>
      <c r="K62" s="167"/>
      <c r="L62" s="168"/>
      <c r="M62" s="168"/>
    </row>
    <row r="63" spans="9:13" ht="12.75" customHeight="1">
      <c r="I63" s="168"/>
      <c r="J63" s="91"/>
      <c r="K63" s="167"/>
      <c r="L63" s="168"/>
      <c r="M63" s="168"/>
    </row>
    <row r="64" spans="9:13" ht="12.75" customHeight="1">
      <c r="I64" s="168"/>
      <c r="J64" s="91"/>
      <c r="K64" s="167"/>
      <c r="L64" s="168"/>
      <c r="M64" s="168"/>
    </row>
    <row r="65" spans="9:13" ht="12.75" customHeight="1">
      <c r="I65" s="168"/>
      <c r="J65" s="91"/>
      <c r="K65" s="167"/>
      <c r="L65" s="168"/>
      <c r="M65" s="168"/>
    </row>
    <row r="66" spans="9:13" ht="12.75" customHeight="1">
      <c r="I66" s="168"/>
      <c r="J66" s="91"/>
      <c r="K66" s="167"/>
      <c r="L66" s="168"/>
      <c r="M66" s="168"/>
    </row>
    <row r="67" spans="9:13" ht="12.75" customHeight="1">
      <c r="I67" s="168"/>
      <c r="J67" s="91"/>
      <c r="K67" s="167"/>
      <c r="L67" s="168"/>
      <c r="M67" s="168"/>
    </row>
    <row r="68" spans="9:13" ht="12.75" customHeight="1">
      <c r="I68" s="168"/>
      <c r="J68" s="91"/>
      <c r="K68" s="167"/>
      <c r="L68" s="168"/>
      <c r="M68" s="168"/>
    </row>
    <row r="69" spans="9:13" ht="12.75" customHeight="1">
      <c r="I69" s="168"/>
      <c r="J69" s="91"/>
      <c r="K69" s="167"/>
      <c r="L69" s="168"/>
      <c r="M69" s="168"/>
    </row>
    <row r="70" spans="9:13" ht="12.75" customHeight="1">
      <c r="I70" s="168"/>
      <c r="J70" s="91"/>
      <c r="K70" s="167"/>
      <c r="L70" s="168"/>
      <c r="M70" s="168"/>
    </row>
    <row r="71" spans="9:13" ht="12.75" customHeight="1">
      <c r="I71" s="168"/>
      <c r="J71" s="91"/>
      <c r="K71" s="167"/>
      <c r="L71" s="168"/>
      <c r="M71" s="168"/>
    </row>
    <row r="72" spans="9:13" ht="12.75" customHeight="1">
      <c r="I72" s="168"/>
      <c r="J72" s="91"/>
      <c r="K72" s="167"/>
      <c r="L72" s="168"/>
      <c r="M72" s="168"/>
    </row>
    <row r="73" spans="9:13" ht="12.75" customHeight="1">
      <c r="I73" s="168"/>
      <c r="J73" s="91"/>
      <c r="K73" s="167"/>
      <c r="L73" s="168"/>
      <c r="M73" s="168"/>
    </row>
    <row r="74" spans="9:13" ht="12.75" customHeight="1">
      <c r="I74" s="168"/>
      <c r="J74" s="91"/>
      <c r="K74" s="167"/>
      <c r="L74" s="168"/>
      <c r="M74" s="168"/>
    </row>
    <row r="75" spans="9:13" ht="12.75" customHeight="1">
      <c r="I75" s="168"/>
      <c r="J75" s="91"/>
      <c r="K75" s="167"/>
      <c r="L75" s="168"/>
      <c r="M75" s="168"/>
    </row>
    <row r="76" spans="9:13" ht="12.75" customHeight="1">
      <c r="I76" s="168"/>
      <c r="J76" s="91"/>
      <c r="K76" s="167"/>
      <c r="L76" s="168"/>
      <c r="M76" s="168"/>
    </row>
    <row r="77" spans="9:13" ht="12.75" customHeight="1">
      <c r="I77" s="168"/>
      <c r="J77" s="91"/>
      <c r="K77" s="168"/>
      <c r="L77" s="168"/>
      <c r="M77" s="168"/>
    </row>
    <row r="78" spans="9:13" ht="12.75" customHeight="1">
      <c r="I78" s="168"/>
      <c r="J78" s="91"/>
      <c r="K78" s="168"/>
      <c r="L78" s="168"/>
      <c r="M78" s="168"/>
    </row>
    <row r="79" spans="9:13" ht="12.75" customHeight="1">
      <c r="I79" s="168"/>
      <c r="J79" s="91"/>
      <c r="K79" s="168"/>
      <c r="L79" s="168"/>
      <c r="M79" s="168"/>
    </row>
    <row r="80" spans="9:13" ht="12.75" customHeight="1">
      <c r="I80" s="168"/>
      <c r="J80" s="91"/>
      <c r="K80" s="168"/>
      <c r="L80" s="168"/>
      <c r="M80" s="168"/>
    </row>
    <row r="81" spans="9:13" ht="12.75" customHeight="1">
      <c r="I81" s="168"/>
      <c r="J81" s="91"/>
      <c r="K81" s="168"/>
      <c r="L81" s="168"/>
      <c r="M81" s="168"/>
    </row>
    <row r="82" spans="9:13" ht="12.75" customHeight="1">
      <c r="I82" s="168"/>
      <c r="J82" s="91"/>
      <c r="K82" s="168"/>
      <c r="L82" s="168"/>
      <c r="M82" s="168"/>
    </row>
    <row r="83" spans="9:13" ht="12.75" customHeight="1">
      <c r="I83" s="168"/>
      <c r="J83" s="91"/>
      <c r="K83" s="168"/>
      <c r="L83" s="168"/>
      <c r="M83" s="168"/>
    </row>
    <row r="84" spans="9:13" ht="12.75" customHeight="1">
      <c r="I84" s="168"/>
      <c r="J84" s="91"/>
      <c r="K84" s="168"/>
      <c r="L84" s="168"/>
      <c r="M84" s="168"/>
    </row>
    <row r="85" spans="9:13" ht="12.75" customHeight="1">
      <c r="I85" s="168"/>
      <c r="J85" s="91"/>
      <c r="K85" s="168"/>
      <c r="L85" s="168"/>
      <c r="M85" s="168"/>
    </row>
    <row r="86" spans="9:13" ht="12.75" customHeight="1">
      <c r="I86" s="168"/>
      <c r="J86" s="91"/>
      <c r="K86" s="168"/>
      <c r="L86" s="168"/>
      <c r="M86" s="168"/>
    </row>
    <row r="87" spans="9:13" ht="12.75" customHeight="1">
      <c r="I87" s="168"/>
      <c r="J87" s="91"/>
      <c r="K87" s="168"/>
      <c r="L87" s="168"/>
      <c r="M87" s="168"/>
    </row>
    <row r="88" spans="9:13" ht="12.75" customHeight="1">
      <c r="I88" s="168"/>
      <c r="J88" s="91"/>
      <c r="K88" s="168"/>
      <c r="L88" s="168"/>
      <c r="M88" s="168"/>
    </row>
    <row r="89" spans="9:13" ht="12.75" customHeight="1">
      <c r="I89" s="168"/>
      <c r="J89" s="91"/>
      <c r="K89" s="168"/>
      <c r="L89" s="168"/>
      <c r="M89" s="168"/>
    </row>
    <row r="90" spans="9:13" ht="12.75" customHeight="1">
      <c r="I90" s="168"/>
      <c r="J90" s="91"/>
      <c r="K90" s="168"/>
      <c r="L90" s="168"/>
      <c r="M90" s="168"/>
    </row>
    <row r="91" spans="9:13" ht="12.75" customHeight="1">
      <c r="I91" s="168"/>
      <c r="J91" s="91"/>
      <c r="K91" s="168"/>
      <c r="L91" s="168"/>
      <c r="M91" s="168"/>
    </row>
    <row r="92" spans="9:13" ht="12.75" customHeight="1">
      <c r="I92" s="168"/>
      <c r="J92" s="91"/>
      <c r="K92" s="168"/>
      <c r="L92" s="168"/>
      <c r="M92" s="168"/>
    </row>
    <row r="93" spans="9:13" ht="12.75" customHeight="1">
      <c r="I93" s="168"/>
      <c r="J93" s="91"/>
      <c r="K93" s="168"/>
      <c r="L93" s="168"/>
      <c r="M93" s="168"/>
    </row>
    <row r="94" spans="9:13" ht="12.75" customHeight="1">
      <c r="I94" s="168"/>
      <c r="J94" s="91"/>
      <c r="K94" s="168"/>
      <c r="L94" s="168"/>
      <c r="M94" s="168"/>
    </row>
    <row r="95" spans="9:13" ht="12.75" customHeight="1">
      <c r="I95" s="168"/>
      <c r="J95" s="91"/>
      <c r="K95" s="168"/>
      <c r="L95" s="168"/>
      <c r="M95" s="168"/>
    </row>
    <row r="96" spans="9:13" ht="12.75" customHeight="1">
      <c r="I96" s="168"/>
      <c r="J96" s="91"/>
      <c r="K96" s="168"/>
      <c r="L96" s="168"/>
      <c r="M96" s="168"/>
    </row>
    <row r="97" spans="9:13" ht="12.75" customHeight="1">
      <c r="I97" s="168"/>
      <c r="J97" s="91"/>
      <c r="K97" s="168"/>
      <c r="L97" s="168"/>
      <c r="M97" s="168"/>
    </row>
    <row r="98" spans="9:13" ht="12.75" customHeight="1">
      <c r="I98" s="168"/>
      <c r="J98" s="91"/>
      <c r="K98" s="168"/>
      <c r="L98" s="168"/>
      <c r="M98" s="168"/>
    </row>
    <row r="99" spans="9:13" ht="12.75" customHeight="1">
      <c r="I99" s="168"/>
      <c r="J99" s="91"/>
      <c r="K99" s="168"/>
      <c r="L99" s="168"/>
      <c r="M99" s="168"/>
    </row>
    <row r="100" spans="9:13" ht="12.75" customHeight="1">
      <c r="I100" s="168"/>
      <c r="J100" s="91"/>
      <c r="K100" s="168"/>
      <c r="L100" s="168"/>
      <c r="M100" s="168"/>
    </row>
    <row r="101" spans="9:13" ht="12.75" customHeight="1">
      <c r="I101" s="168"/>
      <c r="J101" s="91"/>
      <c r="K101" s="168"/>
      <c r="L101" s="168"/>
      <c r="M101" s="168"/>
    </row>
    <row r="102" spans="9:13" ht="12.75" customHeight="1">
      <c r="I102" s="168"/>
      <c r="J102" s="91"/>
      <c r="K102" s="168"/>
      <c r="L102" s="168"/>
      <c r="M102" s="168"/>
    </row>
    <row r="103" spans="9:13" ht="12.75" customHeight="1">
      <c r="I103" s="168"/>
      <c r="J103" s="91"/>
      <c r="K103" s="168"/>
      <c r="L103" s="168"/>
      <c r="M103" s="168"/>
    </row>
    <row r="104" spans="9:13" ht="12.75" customHeight="1">
      <c r="I104" s="168"/>
      <c r="J104" s="91"/>
      <c r="K104" s="168"/>
      <c r="L104" s="168"/>
      <c r="M104" s="168"/>
    </row>
    <row r="105" spans="9:13" ht="12.75" customHeight="1">
      <c r="I105" s="168"/>
      <c r="J105" s="91"/>
      <c r="K105" s="168"/>
      <c r="L105" s="168"/>
      <c r="M105" s="168"/>
    </row>
    <row r="106" spans="9:13" ht="12.75" customHeight="1">
      <c r="I106" s="168"/>
      <c r="J106" s="91"/>
      <c r="K106" s="168"/>
      <c r="L106" s="168"/>
      <c r="M106" s="168"/>
    </row>
    <row r="107" spans="9:13" ht="12.75" customHeight="1">
      <c r="I107" s="168"/>
      <c r="J107" s="91"/>
      <c r="K107" s="168"/>
      <c r="L107" s="168"/>
      <c r="M107" s="168"/>
    </row>
    <row r="108" spans="9:13" ht="12.75" customHeight="1">
      <c r="I108" s="168"/>
      <c r="J108" s="91"/>
      <c r="K108" s="168"/>
      <c r="L108" s="168"/>
      <c r="M108" s="168"/>
    </row>
    <row r="109" spans="9:13" ht="12.75" customHeight="1">
      <c r="I109" s="168"/>
      <c r="J109" s="91"/>
      <c r="K109" s="168"/>
      <c r="L109" s="168"/>
      <c r="M109" s="168"/>
    </row>
    <row r="110" spans="9:13" ht="12.75" customHeight="1">
      <c r="I110" s="168"/>
      <c r="J110" s="91"/>
      <c r="K110" s="168"/>
      <c r="L110" s="168"/>
      <c r="M110" s="168"/>
    </row>
    <row r="111" spans="9:13" ht="12.75" customHeight="1">
      <c r="I111" s="168"/>
      <c r="J111" s="168"/>
      <c r="K111" s="168"/>
      <c r="L111" s="168"/>
      <c r="M111" s="168"/>
    </row>
    <row r="112" spans="9:13" ht="12.75" customHeight="1">
      <c r="I112" s="168"/>
      <c r="J112" s="168"/>
      <c r="K112" s="168"/>
      <c r="L112" s="168"/>
      <c r="M112" s="168"/>
    </row>
    <row r="113" spans="9:13" ht="12.75" customHeight="1">
      <c r="I113" s="168"/>
      <c r="J113" s="168"/>
      <c r="K113" s="168"/>
      <c r="L113" s="168"/>
      <c r="M113" s="168"/>
    </row>
    <row r="114" spans="9:13" ht="12.75" customHeight="1">
      <c r="I114" s="168"/>
      <c r="J114" s="168"/>
      <c r="K114" s="168"/>
      <c r="L114" s="168"/>
      <c r="M114" s="168"/>
    </row>
    <row r="115" spans="9:13" ht="12.75" customHeight="1">
      <c r="I115" s="168"/>
      <c r="J115" s="168"/>
      <c r="K115" s="168"/>
      <c r="L115" s="168"/>
      <c r="M115" s="168"/>
    </row>
    <row r="116" spans="9:13" ht="12.75" customHeight="1">
      <c r="I116" s="168"/>
      <c r="J116" s="168"/>
      <c r="K116" s="168"/>
      <c r="L116" s="168"/>
      <c r="M116" s="168"/>
    </row>
    <row r="117" spans="9:13" ht="12.75" customHeight="1">
      <c r="I117" s="168"/>
      <c r="J117" s="168"/>
      <c r="K117" s="168"/>
      <c r="L117" s="168"/>
      <c r="M117" s="168"/>
    </row>
    <row r="118" spans="9:13" ht="12.75" customHeight="1">
      <c r="I118" s="168"/>
      <c r="J118" s="168"/>
      <c r="K118" s="168"/>
      <c r="L118" s="168"/>
      <c r="M118" s="168"/>
    </row>
    <row r="119" spans="9:13" ht="12.75" customHeight="1">
      <c r="I119" s="168"/>
      <c r="J119" s="168"/>
      <c r="K119" s="168"/>
      <c r="L119" s="168"/>
      <c r="M119" s="168"/>
    </row>
    <row r="120" spans="9:13" ht="12.75" customHeight="1">
      <c r="I120" s="168"/>
      <c r="J120" s="168"/>
      <c r="K120" s="168"/>
      <c r="L120" s="168"/>
      <c r="M120" s="168"/>
    </row>
    <row r="121" spans="9:13" ht="12.75" customHeight="1">
      <c r="I121" s="168"/>
      <c r="J121" s="168"/>
      <c r="K121" s="168"/>
      <c r="L121" s="168"/>
      <c r="M121" s="168"/>
    </row>
    <row r="122" spans="9:13" ht="12.75" customHeight="1">
      <c r="I122" s="168"/>
      <c r="J122" s="168"/>
      <c r="K122" s="168"/>
      <c r="L122" s="168"/>
      <c r="M122" s="168"/>
    </row>
    <row r="123" spans="9:13" ht="12.75" customHeight="1">
      <c r="I123" s="168"/>
      <c r="J123" s="168"/>
      <c r="K123" s="168"/>
      <c r="L123" s="168"/>
      <c r="M123" s="168"/>
    </row>
    <row r="124" spans="9:13" ht="12.75" customHeight="1">
      <c r="I124" s="168"/>
      <c r="J124" s="168"/>
      <c r="K124" s="168"/>
      <c r="L124" s="168"/>
      <c r="M124" s="168"/>
    </row>
    <row r="125" spans="9:13" ht="12.75" customHeight="1">
      <c r="I125" s="168"/>
      <c r="J125" s="168"/>
      <c r="K125" s="168"/>
      <c r="L125" s="168"/>
      <c r="M125" s="168"/>
    </row>
    <row r="126" spans="9:13" ht="12.75" customHeight="1">
      <c r="I126" s="168"/>
      <c r="J126" s="168"/>
      <c r="K126" s="168"/>
      <c r="L126" s="168"/>
      <c r="M126" s="168"/>
    </row>
    <row r="127" spans="9:13" ht="12.75" customHeight="1">
      <c r="I127" s="168"/>
      <c r="J127" s="168"/>
      <c r="K127" s="168"/>
      <c r="L127" s="168"/>
      <c r="M127" s="168"/>
    </row>
    <row r="128" spans="9:13" ht="12.75" customHeight="1">
      <c r="I128" s="168"/>
      <c r="J128" s="168"/>
      <c r="K128" s="168"/>
      <c r="L128" s="168"/>
      <c r="M128" s="168"/>
    </row>
    <row r="129" spans="9:13" ht="12.75" customHeight="1">
      <c r="I129" s="168"/>
      <c r="J129" s="168"/>
      <c r="K129" s="168"/>
      <c r="L129" s="168"/>
      <c r="M129" s="168"/>
    </row>
    <row r="130" spans="9:13" ht="12.75" customHeight="1">
      <c r="I130" s="168"/>
      <c r="J130" s="168"/>
      <c r="K130" s="168"/>
      <c r="L130" s="168"/>
      <c r="M130" s="168"/>
    </row>
    <row r="131" spans="9:13" ht="12.75" customHeight="1">
      <c r="I131" s="168"/>
      <c r="J131" s="168"/>
      <c r="K131" s="168"/>
      <c r="L131" s="168"/>
      <c r="M131" s="168"/>
    </row>
    <row r="132" spans="9:13" ht="12.75" customHeight="1">
      <c r="I132" s="168"/>
      <c r="J132" s="168"/>
      <c r="K132" s="168"/>
      <c r="L132" s="168"/>
      <c r="M132" s="168"/>
    </row>
    <row r="133" spans="9:13" ht="12.75" customHeight="1">
      <c r="I133" s="168"/>
      <c r="J133" s="168"/>
      <c r="K133" s="168"/>
      <c r="L133" s="168"/>
      <c r="M133" s="168"/>
    </row>
    <row r="134" spans="9:13" ht="12.75" customHeight="1">
      <c r="I134" s="168"/>
      <c r="J134" s="168"/>
      <c r="K134" s="168"/>
      <c r="L134" s="168"/>
      <c r="M134" s="168"/>
    </row>
    <row r="135" spans="9:13" ht="12.75" customHeight="1">
      <c r="I135" s="168"/>
      <c r="J135" s="168"/>
      <c r="K135" s="168"/>
      <c r="L135" s="168"/>
      <c r="M135" s="168"/>
    </row>
    <row r="136" spans="9:13" ht="12.75" customHeight="1">
      <c r="I136" s="168"/>
      <c r="J136" s="168"/>
      <c r="K136" s="168"/>
      <c r="L136" s="168"/>
      <c r="M136" s="168"/>
    </row>
    <row r="137" spans="9:13" ht="12.75" customHeight="1">
      <c r="I137" s="168"/>
      <c r="J137" s="168"/>
      <c r="K137" s="168"/>
      <c r="L137" s="168"/>
      <c r="M137" s="168"/>
    </row>
    <row r="138" spans="9:13" ht="12.75" customHeight="1">
      <c r="I138" s="168"/>
      <c r="J138" s="168"/>
      <c r="K138" s="168"/>
      <c r="L138" s="168"/>
      <c r="M138" s="168"/>
    </row>
    <row r="139" spans="9:13" ht="12.75" customHeight="1">
      <c r="I139" s="168"/>
      <c r="J139" s="168"/>
      <c r="K139" s="168"/>
      <c r="L139" s="168"/>
      <c r="M139" s="168"/>
    </row>
    <row r="140" spans="9:13" ht="12.75" customHeight="1">
      <c r="I140" s="168"/>
      <c r="J140" s="168"/>
      <c r="K140" s="168"/>
      <c r="L140" s="168"/>
      <c r="M140" s="168"/>
    </row>
    <row r="141" spans="9:13" ht="12.75" customHeight="1">
      <c r="I141" s="168"/>
      <c r="J141" s="168"/>
      <c r="K141" s="168"/>
      <c r="L141" s="168"/>
      <c r="M141" s="168"/>
    </row>
    <row r="142" spans="9:13" ht="12.75" customHeight="1">
      <c r="I142" s="168"/>
      <c r="J142" s="168"/>
      <c r="K142" s="168"/>
      <c r="L142" s="168"/>
      <c r="M142" s="168"/>
    </row>
    <row r="143" spans="9:13" ht="12.75" customHeight="1">
      <c r="I143" s="168"/>
      <c r="J143" s="168"/>
      <c r="K143" s="168"/>
      <c r="L143" s="168"/>
      <c r="M143" s="168"/>
    </row>
    <row r="144" spans="9:13" ht="12.75" customHeight="1">
      <c r="I144" s="168"/>
      <c r="J144" s="168"/>
      <c r="K144" s="168"/>
      <c r="L144" s="168"/>
      <c r="M144" s="168"/>
    </row>
    <row r="145" spans="9:13" ht="12.75" customHeight="1">
      <c r="I145" s="168"/>
      <c r="J145" s="168"/>
      <c r="K145" s="168"/>
      <c r="L145" s="168"/>
      <c r="M145" s="168"/>
    </row>
    <row r="146" spans="9:13" ht="12.75" customHeight="1">
      <c r="I146" s="168"/>
      <c r="J146" s="168"/>
      <c r="K146" s="168"/>
      <c r="L146" s="168"/>
      <c r="M146" s="168"/>
    </row>
    <row r="147" spans="9:13" ht="12.75" customHeight="1">
      <c r="I147" s="168"/>
      <c r="J147" s="168"/>
      <c r="K147" s="168"/>
      <c r="L147" s="168"/>
      <c r="M147" s="168"/>
    </row>
    <row r="148" spans="9:13" ht="12.75" customHeight="1">
      <c r="I148" s="168"/>
      <c r="J148" s="168"/>
      <c r="K148" s="168"/>
      <c r="L148" s="168"/>
      <c r="M148" s="168"/>
    </row>
    <row r="149" spans="9:13" ht="12.75" customHeight="1">
      <c r="I149" s="168"/>
      <c r="J149" s="168"/>
      <c r="K149" s="168"/>
      <c r="L149" s="168"/>
      <c r="M149" s="168"/>
    </row>
    <row r="150" spans="9:13" ht="12.75" customHeight="1">
      <c r="I150" s="168"/>
      <c r="J150" s="168"/>
      <c r="K150" s="168"/>
      <c r="L150" s="168"/>
      <c r="M150" s="168"/>
    </row>
    <row r="151" spans="9:13" ht="12.75" customHeight="1">
      <c r="I151" s="168"/>
      <c r="J151" s="168"/>
      <c r="K151" s="168"/>
      <c r="L151" s="168"/>
      <c r="M151" s="168"/>
    </row>
    <row r="152" spans="9:13" ht="12.75" customHeight="1">
      <c r="I152" s="168"/>
      <c r="J152" s="168"/>
      <c r="K152" s="168"/>
      <c r="L152" s="168"/>
      <c r="M152" s="168"/>
    </row>
    <row r="153" spans="9:13" ht="12.75" customHeight="1">
      <c r="I153" s="168"/>
      <c r="J153" s="168"/>
      <c r="K153" s="168"/>
      <c r="L153" s="168"/>
      <c r="M153" s="168"/>
    </row>
    <row r="154" spans="9:13" ht="12.75" customHeight="1">
      <c r="I154" s="168"/>
      <c r="J154" s="168"/>
      <c r="K154" s="168"/>
      <c r="L154" s="168"/>
      <c r="M154" s="168"/>
    </row>
    <row r="155" spans="9:13" ht="12.75" customHeight="1">
      <c r="I155" s="168"/>
      <c r="J155" s="168"/>
      <c r="K155" s="168"/>
      <c r="L155" s="168"/>
      <c r="M155" s="168"/>
    </row>
    <row r="156" spans="9:13" ht="12.75" customHeight="1">
      <c r="I156" s="168"/>
      <c r="J156" s="168"/>
      <c r="K156" s="168"/>
      <c r="L156" s="168"/>
      <c r="M156" s="168"/>
    </row>
    <row r="157" spans="9:13" ht="12.75" customHeight="1">
      <c r="I157" s="168"/>
      <c r="J157" s="168"/>
      <c r="K157" s="168"/>
      <c r="L157" s="168"/>
      <c r="M157" s="168"/>
    </row>
    <row r="158" spans="9:13" ht="12.75" customHeight="1">
      <c r="I158" s="168"/>
      <c r="J158" s="168"/>
      <c r="K158" s="168"/>
      <c r="L158" s="168"/>
      <c r="M158" s="168"/>
    </row>
    <row r="159" spans="9:13" ht="12.75" customHeight="1">
      <c r="I159" s="168"/>
      <c r="J159" s="168"/>
      <c r="K159" s="168"/>
      <c r="L159" s="168"/>
      <c r="M159" s="168"/>
    </row>
    <row r="160" spans="9:13" ht="12.75" customHeight="1">
      <c r="I160" s="168"/>
      <c r="J160" s="168"/>
      <c r="K160" s="168"/>
      <c r="L160" s="168"/>
      <c r="M160" s="168"/>
    </row>
    <row r="161" spans="9:13" ht="12.75" customHeight="1">
      <c r="I161" s="168"/>
      <c r="J161" s="168"/>
      <c r="K161" s="168"/>
      <c r="L161" s="168"/>
      <c r="M161" s="168"/>
    </row>
    <row r="162" spans="9:13" ht="12.75" customHeight="1">
      <c r="I162" s="168"/>
      <c r="J162" s="168"/>
      <c r="K162" s="168"/>
      <c r="L162" s="168"/>
      <c r="M162" s="168"/>
    </row>
    <row r="163" spans="9:13" ht="12.75" customHeight="1">
      <c r="I163" s="168"/>
      <c r="J163" s="168"/>
      <c r="K163" s="168"/>
      <c r="L163" s="168"/>
      <c r="M163" s="168"/>
    </row>
    <row r="164" spans="9:13" ht="12.75" customHeight="1">
      <c r="I164" s="168"/>
      <c r="J164" s="168"/>
      <c r="K164" s="168"/>
      <c r="L164" s="168"/>
      <c r="M164" s="168"/>
    </row>
    <row r="165" spans="9:13" ht="12.75" customHeight="1">
      <c r="I165" s="168"/>
      <c r="J165" s="168"/>
      <c r="K165" s="168"/>
      <c r="L165" s="168"/>
      <c r="M165" s="168"/>
    </row>
    <row r="166" spans="9:13" ht="12.75" customHeight="1">
      <c r="I166" s="168"/>
      <c r="J166" s="168"/>
      <c r="K166" s="168"/>
      <c r="L166" s="168"/>
      <c r="M166" s="168"/>
    </row>
    <row r="167" spans="9:13" ht="12.75" customHeight="1">
      <c r="I167" s="168"/>
      <c r="J167" s="168"/>
      <c r="K167" s="168"/>
      <c r="L167" s="168"/>
      <c r="M167" s="168"/>
    </row>
    <row r="168" spans="9:13" ht="12.75" customHeight="1">
      <c r="I168" s="168"/>
      <c r="J168" s="168"/>
      <c r="K168" s="168"/>
      <c r="L168" s="168"/>
      <c r="M168" s="168"/>
    </row>
    <row r="169" spans="9:13" ht="12.75" customHeight="1">
      <c r="I169" s="168"/>
      <c r="J169" s="168"/>
      <c r="K169" s="168"/>
      <c r="L169" s="168"/>
      <c r="M169" s="168"/>
    </row>
    <row r="170" spans="9:13" ht="12.75" customHeight="1">
      <c r="I170" s="168"/>
      <c r="J170" s="168"/>
      <c r="K170" s="168"/>
      <c r="L170" s="168"/>
      <c r="M170" s="168"/>
    </row>
    <row r="171" spans="9:13" ht="12.75" customHeight="1">
      <c r="I171" s="168"/>
      <c r="J171" s="168"/>
      <c r="K171" s="168"/>
      <c r="L171" s="168"/>
      <c r="M171" s="168"/>
    </row>
    <row r="172" spans="9:13" ht="12.75" customHeight="1">
      <c r="I172" s="168"/>
      <c r="J172" s="168"/>
      <c r="K172" s="168"/>
      <c r="L172" s="168"/>
      <c r="M172" s="168"/>
    </row>
    <row r="173" spans="9:13" ht="12.75" customHeight="1">
      <c r="I173" s="168"/>
      <c r="J173" s="168"/>
      <c r="K173" s="168"/>
      <c r="L173" s="168"/>
      <c r="M173" s="168"/>
    </row>
    <row r="174" spans="9:13" ht="12.75" customHeight="1">
      <c r="I174" s="168"/>
      <c r="J174" s="168"/>
      <c r="K174" s="168"/>
      <c r="L174" s="168"/>
      <c r="M174" s="168"/>
    </row>
    <row r="175" spans="9:13" ht="12.75" customHeight="1">
      <c r="I175" s="168"/>
      <c r="J175" s="168"/>
      <c r="K175" s="168"/>
      <c r="L175" s="168"/>
      <c r="M175" s="168"/>
    </row>
    <row r="176" spans="9:13" ht="12.75" customHeight="1">
      <c r="I176" s="168"/>
      <c r="J176" s="168"/>
      <c r="K176" s="168"/>
      <c r="L176" s="168"/>
      <c r="M176" s="168"/>
    </row>
    <row r="177" spans="9:13" ht="12.75" customHeight="1">
      <c r="I177" s="168"/>
      <c r="J177" s="168"/>
      <c r="K177" s="168"/>
      <c r="L177" s="168"/>
      <c r="M177" s="168"/>
    </row>
    <row r="178" spans="9:13" ht="12.75" customHeight="1">
      <c r="I178" s="168"/>
      <c r="J178" s="168"/>
      <c r="K178" s="168"/>
      <c r="L178" s="168"/>
      <c r="M178" s="168"/>
    </row>
    <row r="179" spans="9:13" ht="12.75" customHeight="1">
      <c r="I179" s="168"/>
      <c r="J179" s="168"/>
      <c r="K179" s="168"/>
      <c r="L179" s="168"/>
      <c r="M179" s="168"/>
    </row>
    <row r="180" spans="9:13" ht="12.75" customHeight="1">
      <c r="I180" s="168"/>
      <c r="J180" s="168"/>
      <c r="K180" s="168"/>
      <c r="L180" s="168"/>
      <c r="M180" s="168"/>
    </row>
    <row r="181" spans="9:13" ht="12.75" customHeight="1">
      <c r="I181" s="168"/>
      <c r="J181" s="168"/>
      <c r="K181" s="168"/>
      <c r="L181" s="168"/>
      <c r="M181" s="168"/>
    </row>
    <row r="182" spans="9:13" ht="12.75" customHeight="1">
      <c r="I182" s="168"/>
      <c r="J182" s="168"/>
      <c r="K182" s="168"/>
      <c r="L182" s="168"/>
      <c r="M182" s="168"/>
    </row>
    <row r="183" spans="9:13" ht="12.75" customHeight="1">
      <c r="I183" s="168"/>
      <c r="J183" s="168"/>
      <c r="K183" s="168"/>
      <c r="L183" s="168"/>
      <c r="M183" s="168"/>
    </row>
    <row r="184" spans="9:13" ht="12.75" customHeight="1">
      <c r="I184" s="168"/>
      <c r="J184" s="168"/>
      <c r="K184" s="168"/>
      <c r="L184" s="168"/>
      <c r="M184" s="168"/>
    </row>
    <row r="185" spans="9:13" ht="12.75" customHeight="1">
      <c r="I185" s="168"/>
      <c r="J185" s="168"/>
      <c r="K185" s="168"/>
      <c r="L185" s="168"/>
      <c r="M185" s="168"/>
    </row>
    <row r="186" spans="9:13" ht="12.75" customHeight="1">
      <c r="I186" s="168"/>
      <c r="J186" s="168"/>
      <c r="K186" s="168"/>
      <c r="L186" s="168"/>
      <c r="M186" s="168"/>
    </row>
    <row r="187" spans="9:13" ht="12.75" customHeight="1">
      <c r="I187" s="168"/>
      <c r="J187" s="168"/>
      <c r="K187" s="168"/>
      <c r="L187" s="168"/>
      <c r="M187" s="168"/>
    </row>
    <row r="188" spans="9:13" ht="12.75" customHeight="1">
      <c r="I188" s="168"/>
      <c r="J188" s="168"/>
      <c r="K188" s="168"/>
      <c r="L188" s="168"/>
      <c r="M188" s="168"/>
    </row>
    <row r="189" spans="9:13" ht="12.75" customHeight="1">
      <c r="I189" s="168"/>
      <c r="J189" s="168"/>
      <c r="K189" s="168"/>
      <c r="L189" s="168"/>
      <c r="M189" s="168"/>
    </row>
    <row r="190" spans="9:13" ht="12.75" customHeight="1">
      <c r="I190" s="168"/>
      <c r="J190" s="168"/>
      <c r="K190" s="168"/>
      <c r="L190" s="168"/>
      <c r="M190" s="168"/>
    </row>
    <row r="191" spans="9:13" ht="12.75" customHeight="1">
      <c r="I191" s="168"/>
      <c r="J191" s="168"/>
      <c r="K191" s="168"/>
      <c r="L191" s="168"/>
      <c r="M191" s="168"/>
    </row>
    <row r="192" spans="9:13" ht="12.75" customHeight="1">
      <c r="I192" s="168"/>
      <c r="J192" s="168"/>
      <c r="K192" s="168"/>
      <c r="L192" s="168"/>
      <c r="M192" s="168"/>
    </row>
    <row r="193" spans="9:13" ht="12.75" customHeight="1">
      <c r="I193" s="168"/>
      <c r="J193" s="168"/>
      <c r="K193" s="168"/>
      <c r="L193" s="168"/>
      <c r="M193" s="168"/>
    </row>
    <row r="194" spans="9:13" ht="12.75" customHeight="1">
      <c r="I194" s="168"/>
      <c r="J194" s="168"/>
      <c r="K194" s="168"/>
      <c r="L194" s="168"/>
      <c r="M194" s="168"/>
    </row>
    <row r="195" spans="9:13" ht="12.75" customHeight="1">
      <c r="I195" s="168"/>
      <c r="J195" s="168"/>
      <c r="K195" s="168"/>
      <c r="L195" s="168"/>
      <c r="M195" s="168"/>
    </row>
    <row r="196" spans="9:13" ht="12.75" customHeight="1">
      <c r="I196" s="168"/>
      <c r="J196" s="168"/>
      <c r="K196" s="168"/>
      <c r="L196" s="168"/>
      <c r="M196" s="168"/>
    </row>
    <row r="197" spans="9:13" ht="12.75" customHeight="1">
      <c r="I197" s="168"/>
      <c r="J197" s="168"/>
      <c r="K197" s="168"/>
      <c r="L197" s="168"/>
      <c r="M197" s="168"/>
    </row>
    <row r="198" spans="9:13" ht="12.75" customHeight="1">
      <c r="I198" s="168"/>
      <c r="J198" s="168"/>
      <c r="K198" s="168"/>
      <c r="L198" s="168"/>
      <c r="M198" s="168"/>
    </row>
    <row r="199" spans="9:13" ht="12.75" customHeight="1">
      <c r="I199" s="168"/>
      <c r="J199" s="168"/>
      <c r="K199" s="168"/>
      <c r="L199" s="168"/>
      <c r="M199" s="168"/>
    </row>
    <row r="200" spans="9:13" ht="12.75" customHeight="1">
      <c r="I200" s="168"/>
      <c r="J200" s="168"/>
      <c r="K200" s="168"/>
      <c r="L200" s="168"/>
      <c r="M200" s="168"/>
    </row>
    <row r="201" spans="9:13" ht="12.75" customHeight="1">
      <c r="I201" s="168"/>
      <c r="J201" s="168"/>
      <c r="K201" s="168"/>
      <c r="L201" s="168"/>
      <c r="M201" s="168"/>
    </row>
    <row r="202" spans="9:13" ht="12.75" customHeight="1">
      <c r="I202" s="168"/>
      <c r="J202" s="168"/>
      <c r="K202" s="168"/>
      <c r="L202" s="168"/>
      <c r="M202" s="168"/>
    </row>
    <row r="203" spans="9:13" ht="12.75" customHeight="1">
      <c r="I203" s="168"/>
      <c r="J203" s="168"/>
      <c r="K203" s="168"/>
      <c r="L203" s="168"/>
      <c r="M203" s="168"/>
    </row>
    <row r="204" spans="9:13" ht="12.75" customHeight="1">
      <c r="I204" s="168"/>
      <c r="J204" s="168"/>
      <c r="K204" s="168"/>
      <c r="L204" s="168"/>
      <c r="M204" s="168"/>
    </row>
    <row r="205" spans="9:13" ht="12.75" customHeight="1">
      <c r="I205" s="168"/>
      <c r="J205" s="168"/>
      <c r="K205" s="168"/>
      <c r="L205" s="168"/>
      <c r="M205" s="168"/>
    </row>
    <row r="206" spans="9:13" ht="12.75" customHeight="1">
      <c r="I206" s="168"/>
      <c r="J206" s="168"/>
      <c r="K206" s="168"/>
      <c r="L206" s="168"/>
      <c r="M206" s="168"/>
    </row>
    <row r="207" spans="9:13" ht="12.75" customHeight="1">
      <c r="I207" s="168"/>
      <c r="J207" s="168"/>
      <c r="K207" s="168"/>
      <c r="L207" s="168"/>
      <c r="M207" s="168"/>
    </row>
    <row r="208" spans="9:13" ht="12.75" customHeight="1">
      <c r="I208" s="168"/>
      <c r="J208" s="168"/>
      <c r="K208" s="168"/>
      <c r="L208" s="168"/>
      <c r="M208" s="168"/>
    </row>
    <row r="209" spans="9:13" ht="12.75" customHeight="1">
      <c r="I209" s="168"/>
      <c r="J209" s="168"/>
      <c r="K209" s="168"/>
      <c r="L209" s="168"/>
      <c r="M209" s="168"/>
    </row>
    <row r="210" spans="9:13" ht="12.75" customHeight="1">
      <c r="I210" s="168"/>
      <c r="J210" s="168"/>
      <c r="K210" s="168"/>
      <c r="L210" s="168"/>
      <c r="M210" s="168"/>
    </row>
    <row r="211" spans="9:13" ht="12.75" customHeight="1">
      <c r="I211" s="168"/>
      <c r="J211" s="168"/>
      <c r="K211" s="168"/>
      <c r="L211" s="168"/>
      <c r="M211" s="168"/>
    </row>
    <row r="212" spans="9:13" ht="12.75" customHeight="1">
      <c r="I212" s="168"/>
      <c r="J212" s="168"/>
      <c r="K212" s="168"/>
      <c r="L212" s="168"/>
      <c r="M212" s="168"/>
    </row>
    <row r="213" spans="9:13" ht="12.75" customHeight="1">
      <c r="I213" s="168"/>
      <c r="J213" s="168"/>
      <c r="K213" s="168"/>
      <c r="L213" s="168"/>
      <c r="M213" s="168"/>
    </row>
    <row r="214" spans="9:13" ht="12.75" customHeight="1">
      <c r="I214" s="168"/>
      <c r="J214" s="168"/>
      <c r="K214" s="168"/>
      <c r="L214" s="168"/>
      <c r="M214" s="168"/>
    </row>
    <row r="215" spans="9:13" ht="12.75" customHeight="1">
      <c r="I215" s="168"/>
      <c r="J215" s="168"/>
      <c r="K215" s="168"/>
      <c r="L215" s="168"/>
      <c r="M215" s="168"/>
    </row>
    <row r="216" spans="9:13" ht="12.75" customHeight="1">
      <c r="I216" s="168"/>
      <c r="J216" s="168"/>
      <c r="K216" s="168"/>
      <c r="L216" s="168"/>
      <c r="M216" s="168"/>
    </row>
    <row r="217" spans="9:13" ht="12.75" customHeight="1">
      <c r="I217" s="168"/>
      <c r="J217" s="168"/>
      <c r="K217" s="168"/>
      <c r="L217" s="168"/>
      <c r="M217" s="168"/>
    </row>
    <row r="218" spans="9:13" ht="12.75" customHeight="1">
      <c r="I218" s="168"/>
      <c r="J218" s="168"/>
      <c r="K218" s="168"/>
      <c r="L218" s="168"/>
      <c r="M218" s="168"/>
    </row>
    <row r="219" spans="9:13" ht="12.75" customHeight="1">
      <c r="I219" s="168"/>
      <c r="J219" s="168"/>
      <c r="K219" s="168"/>
      <c r="L219" s="168"/>
      <c r="M219" s="168"/>
    </row>
    <row r="220" spans="9:13" ht="12.75" customHeight="1">
      <c r="I220" s="168"/>
      <c r="J220" s="168"/>
      <c r="K220" s="168"/>
      <c r="L220" s="168"/>
      <c r="M220" s="168"/>
    </row>
    <row r="221" spans="9:13" ht="12.75" customHeight="1">
      <c r="I221" s="168"/>
      <c r="J221" s="168"/>
      <c r="K221" s="168"/>
      <c r="L221" s="168"/>
      <c r="M221" s="168"/>
    </row>
    <row r="222" spans="9:13" ht="12.75" customHeight="1">
      <c r="I222" s="168"/>
      <c r="J222" s="168"/>
      <c r="K222" s="168"/>
      <c r="L222" s="168"/>
      <c r="M222" s="168"/>
    </row>
    <row r="223" spans="9:13" ht="12.75" customHeight="1">
      <c r="I223" s="168"/>
      <c r="J223" s="168"/>
      <c r="K223" s="168"/>
      <c r="L223" s="168"/>
      <c r="M223" s="168"/>
    </row>
    <row r="224" spans="9:13" ht="12.75" customHeight="1">
      <c r="I224" s="168"/>
      <c r="J224" s="168"/>
      <c r="K224" s="168"/>
      <c r="L224" s="168"/>
      <c r="M224" s="168"/>
    </row>
    <row r="225" spans="9:13" ht="12.75" customHeight="1">
      <c r="I225" s="168"/>
      <c r="J225" s="168"/>
      <c r="K225" s="168"/>
      <c r="L225" s="168"/>
      <c r="M225" s="168"/>
    </row>
    <row r="226" spans="9:13" ht="12.75" customHeight="1">
      <c r="I226" s="168"/>
      <c r="J226" s="168"/>
      <c r="K226" s="168"/>
      <c r="L226" s="168"/>
      <c r="M226" s="168"/>
    </row>
    <row r="227" spans="9:13" ht="12.75" customHeight="1">
      <c r="I227" s="168"/>
      <c r="J227" s="168"/>
      <c r="K227" s="168"/>
      <c r="L227" s="168"/>
      <c r="M227" s="168"/>
    </row>
    <row r="228" spans="9:13" ht="12.75" customHeight="1">
      <c r="I228" s="168"/>
      <c r="J228" s="168"/>
      <c r="K228" s="168"/>
      <c r="L228" s="168"/>
      <c r="M228" s="168"/>
    </row>
    <row r="229" spans="9:13" ht="12.75" customHeight="1">
      <c r="I229" s="168"/>
      <c r="J229" s="168"/>
      <c r="K229" s="168"/>
      <c r="L229" s="168"/>
      <c r="M229" s="168"/>
    </row>
    <row r="230" spans="9:13" ht="12.75" customHeight="1">
      <c r="I230" s="168"/>
      <c r="J230" s="168"/>
      <c r="K230" s="168"/>
      <c r="L230" s="168"/>
      <c r="M230" s="168"/>
    </row>
    <row r="231" spans="9:13" ht="12.75" customHeight="1">
      <c r="I231" s="168"/>
      <c r="J231" s="168"/>
      <c r="K231" s="168"/>
      <c r="L231" s="168"/>
      <c r="M231" s="168"/>
    </row>
    <row r="232" spans="9:13" ht="12.75" customHeight="1">
      <c r="I232" s="168"/>
      <c r="J232" s="168"/>
      <c r="K232" s="168"/>
      <c r="L232" s="168"/>
      <c r="M232" s="168"/>
    </row>
    <row r="233" spans="9:13" ht="12.75" customHeight="1">
      <c r="I233" s="168"/>
      <c r="J233" s="168"/>
      <c r="K233" s="168"/>
      <c r="L233" s="168"/>
      <c r="M233" s="168"/>
    </row>
    <row r="234" spans="9:13" ht="12.75" customHeight="1">
      <c r="I234" s="168"/>
      <c r="J234" s="168"/>
      <c r="K234" s="168"/>
      <c r="L234" s="168"/>
      <c r="M234" s="168"/>
    </row>
    <row r="235" spans="9:13" ht="12.75" customHeight="1">
      <c r="I235" s="168"/>
      <c r="J235" s="168"/>
      <c r="K235" s="168"/>
      <c r="L235" s="168"/>
      <c r="M235" s="168"/>
    </row>
    <row r="236" spans="9:13" ht="12.75" customHeight="1">
      <c r="I236" s="168"/>
      <c r="J236" s="168"/>
      <c r="K236" s="168"/>
      <c r="L236" s="168"/>
      <c r="M236" s="168"/>
    </row>
    <row r="237" spans="9:13" ht="12.75" customHeight="1">
      <c r="I237" s="168"/>
      <c r="J237" s="168"/>
      <c r="K237" s="168"/>
      <c r="L237" s="168"/>
      <c r="M237" s="168"/>
    </row>
    <row r="238" spans="9:13" ht="12.75" customHeight="1">
      <c r="I238" s="168"/>
      <c r="J238" s="168"/>
      <c r="K238" s="168"/>
      <c r="L238" s="168"/>
      <c r="M238" s="168"/>
    </row>
    <row r="239" spans="9:13" ht="12.75" customHeight="1">
      <c r="I239" s="168"/>
      <c r="J239" s="168"/>
      <c r="K239" s="168"/>
      <c r="L239" s="168"/>
      <c r="M239" s="168"/>
    </row>
    <row r="240" spans="9:13" ht="12.75" customHeight="1">
      <c r="I240" s="168"/>
      <c r="J240" s="168"/>
      <c r="K240" s="168"/>
      <c r="L240" s="168"/>
      <c r="M240" s="168"/>
    </row>
    <row r="241" spans="9:13" ht="12.75" customHeight="1">
      <c r="I241" s="168"/>
      <c r="J241" s="168"/>
      <c r="K241" s="168"/>
      <c r="L241" s="168"/>
      <c r="M241" s="168"/>
    </row>
    <row r="242" spans="9:13" ht="12.75" customHeight="1">
      <c r="I242" s="168"/>
      <c r="J242" s="168"/>
      <c r="K242" s="168"/>
      <c r="L242" s="168"/>
      <c r="M242" s="168"/>
    </row>
    <row r="243" spans="9:13" ht="12.75" customHeight="1">
      <c r="I243" s="168"/>
      <c r="J243" s="168"/>
      <c r="K243" s="168"/>
      <c r="L243" s="168"/>
      <c r="M243" s="168"/>
    </row>
    <row r="244" spans="9:13" ht="12.75" customHeight="1">
      <c r="I244" s="168"/>
      <c r="J244" s="168"/>
      <c r="K244" s="168"/>
      <c r="L244" s="168"/>
      <c r="M244" s="168"/>
    </row>
    <row r="245" spans="9:13" ht="12.75" customHeight="1">
      <c r="I245" s="168"/>
      <c r="J245" s="168"/>
      <c r="K245" s="168"/>
      <c r="L245" s="168"/>
      <c r="M245" s="168"/>
    </row>
    <row r="246" spans="9:13" ht="12.75" customHeight="1">
      <c r="I246" s="168"/>
      <c r="J246" s="168"/>
      <c r="K246" s="168"/>
      <c r="L246" s="168"/>
      <c r="M246" s="168"/>
    </row>
    <row r="247" spans="9:13" ht="12.75" customHeight="1">
      <c r="I247" s="168"/>
      <c r="J247" s="168"/>
      <c r="K247" s="168"/>
      <c r="L247" s="168"/>
      <c r="M247" s="168"/>
    </row>
    <row r="248" spans="9:13" ht="12.75" customHeight="1">
      <c r="I248" s="168"/>
      <c r="J248" s="168"/>
      <c r="K248" s="168"/>
      <c r="L248" s="168"/>
      <c r="M248" s="168"/>
    </row>
    <row r="249" spans="9:13" ht="12.75" customHeight="1">
      <c r="I249" s="168"/>
      <c r="J249" s="168"/>
      <c r="K249" s="168"/>
      <c r="L249" s="168"/>
      <c r="M249" s="168"/>
    </row>
    <row r="250" spans="9:13" ht="12.75" customHeight="1">
      <c r="I250" s="168"/>
      <c r="J250" s="168"/>
      <c r="K250" s="168"/>
      <c r="L250" s="168"/>
      <c r="M250" s="168"/>
    </row>
    <row r="251" spans="9:13" ht="12.75" customHeight="1">
      <c r="I251" s="168"/>
      <c r="J251" s="168"/>
      <c r="K251" s="168"/>
      <c r="L251" s="168"/>
      <c r="M251" s="168"/>
    </row>
    <row r="252" spans="9:13" ht="12.75" customHeight="1">
      <c r="I252" s="168"/>
      <c r="J252" s="168"/>
      <c r="K252" s="168"/>
      <c r="L252" s="168"/>
      <c r="M252" s="168"/>
    </row>
    <row r="253" spans="9:13" ht="12.75" customHeight="1">
      <c r="I253" s="168"/>
      <c r="J253" s="168"/>
      <c r="K253" s="168"/>
      <c r="L253" s="168"/>
      <c r="M253" s="168"/>
    </row>
    <row r="254" spans="9:13" ht="12.75" customHeight="1">
      <c r="I254" s="168"/>
      <c r="J254" s="168"/>
      <c r="K254" s="168"/>
      <c r="L254" s="168"/>
      <c r="M254" s="168"/>
    </row>
    <row r="255" spans="9:13" ht="12.75" customHeight="1">
      <c r="I255" s="168"/>
      <c r="J255" s="168"/>
      <c r="K255" s="168"/>
      <c r="L255" s="168"/>
      <c r="M255" s="168"/>
    </row>
    <row r="256" spans="9:13" ht="12.75" customHeight="1">
      <c r="I256" s="168"/>
      <c r="J256" s="168"/>
      <c r="K256" s="168"/>
      <c r="L256" s="168"/>
      <c r="M256" s="168"/>
    </row>
    <row r="257" spans="9:13" ht="12.75" customHeight="1">
      <c r="I257" s="168"/>
      <c r="J257" s="168"/>
      <c r="K257" s="168"/>
      <c r="L257" s="168"/>
      <c r="M257" s="168"/>
    </row>
    <row r="258" spans="9:13" ht="12.75" customHeight="1">
      <c r="I258" s="168"/>
      <c r="J258" s="168"/>
      <c r="K258" s="168"/>
      <c r="L258" s="168"/>
      <c r="M258" s="168"/>
    </row>
    <row r="259" spans="9:13" ht="12.75" customHeight="1">
      <c r="I259" s="168"/>
      <c r="J259" s="168"/>
      <c r="K259" s="168"/>
      <c r="L259" s="168"/>
      <c r="M259" s="168"/>
    </row>
    <row r="260" spans="9:13" ht="12.75" customHeight="1">
      <c r="I260" s="168"/>
      <c r="J260" s="168"/>
      <c r="K260" s="168"/>
      <c r="L260" s="168"/>
      <c r="M260" s="168"/>
    </row>
    <row r="261" spans="9:13" ht="12.75" customHeight="1">
      <c r="I261" s="168"/>
      <c r="J261" s="168"/>
      <c r="K261" s="168"/>
      <c r="L261" s="168"/>
      <c r="M261" s="168"/>
    </row>
    <row r="262" spans="9:13" ht="12.75" customHeight="1">
      <c r="I262" s="168"/>
      <c r="J262" s="168"/>
      <c r="K262" s="168"/>
      <c r="L262" s="168"/>
      <c r="M262" s="168"/>
    </row>
    <row r="263" spans="9:13" ht="12.75" customHeight="1">
      <c r="I263" s="168"/>
      <c r="J263" s="168"/>
      <c r="K263" s="168"/>
      <c r="L263" s="168"/>
      <c r="M263" s="168"/>
    </row>
    <row r="264" spans="9:13" ht="12.75" customHeight="1">
      <c r="I264" s="168"/>
      <c r="J264" s="168"/>
      <c r="K264" s="168"/>
      <c r="L264" s="168"/>
      <c r="M264" s="168"/>
    </row>
    <row r="265" spans="9:13" ht="12.75" customHeight="1">
      <c r="I265" s="168"/>
      <c r="J265" s="168"/>
      <c r="K265" s="168"/>
      <c r="L265" s="168"/>
      <c r="M265" s="168"/>
    </row>
    <row r="266" spans="9:13" ht="12.75" customHeight="1">
      <c r="I266" s="168"/>
      <c r="J266" s="168"/>
      <c r="K266" s="168"/>
      <c r="L266" s="168"/>
      <c r="M266" s="168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sheetProtection/>
  <mergeCells count="2">
    <mergeCell ref="F3:I3"/>
    <mergeCell ref="N3:S3"/>
  </mergeCells>
  <printOptions/>
  <pageMargins left="0.36" right="0.3" top="0.59" bottom="0.42" header="0.46" footer="0.67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6" t="str">
        <f>+'Historical Analysis'!C1</f>
        <v>Starwood Hotels &amp; Resorts Worldwide Inc. (HOT)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</row>
    <row r="19" spans="3:15" ht="12.75" customHeight="1"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</row>
    <row r="20" spans="3:15" ht="38.25" customHeight="1"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</row>
    <row r="27" spans="6:12" ht="15.75">
      <c r="F27" s="428" t="s">
        <v>273</v>
      </c>
      <c r="G27" s="429"/>
      <c r="H27" s="429"/>
      <c r="I27" s="429"/>
      <c r="J27" s="429"/>
      <c r="K27" s="429"/>
      <c r="L27" s="429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1">
      <selection activeCell="L119" sqref="L119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3" width="22.00390625" style="0" customWidth="1"/>
    <col min="4" max="4" width="18.8515625" style="0" customWidth="1"/>
    <col min="5" max="5" width="13.421875" style="0" customWidth="1"/>
    <col min="6" max="6" width="12.421875" style="0" customWidth="1"/>
    <col min="7" max="7" width="12.140625" style="0" customWidth="1"/>
    <col min="8" max="8" width="10.7109375" style="0" customWidth="1"/>
    <col min="9" max="9" width="13.8515625" style="0" customWidth="1"/>
    <col min="10" max="10" width="12.8515625" style="0" customWidth="1"/>
    <col min="11" max="11" width="12.28125" style="0" customWidth="1"/>
    <col min="12" max="12" width="5.8515625" style="0" customWidth="1"/>
    <col min="13" max="13" width="10.421875" style="0" customWidth="1"/>
    <col min="15" max="15" width="10.421875" style="0" customWidth="1"/>
  </cols>
  <sheetData>
    <row r="1" ht="12.75">
      <c r="B1" s="2" t="s">
        <v>148</v>
      </c>
    </row>
    <row r="2" ht="12.75">
      <c r="C2" s="2"/>
    </row>
    <row r="3" spans="2:10" ht="20.25">
      <c r="B3" s="172" t="s">
        <v>149</v>
      </c>
      <c r="C3" s="75"/>
      <c r="J3" s="79"/>
    </row>
    <row r="4" spans="2:10" ht="15.75">
      <c r="B4" s="173"/>
      <c r="C4" s="75"/>
      <c r="J4" s="79"/>
    </row>
    <row r="5" spans="2:10" ht="20.25">
      <c r="B5" s="90" t="str">
        <f>+'Historical Analysis'!C1</f>
        <v>Starwood Hotels &amp; Resorts Worldwide Inc. (HOT)</v>
      </c>
      <c r="C5" s="75"/>
      <c r="J5" s="79"/>
    </row>
    <row r="6" ht="8.25" customHeight="1">
      <c r="J6" s="79"/>
    </row>
    <row r="7" spans="2:10" ht="21" customHeight="1">
      <c r="B7" t="s">
        <v>151</v>
      </c>
      <c r="D7" s="307" t="s">
        <v>152</v>
      </c>
      <c r="E7" s="307" t="s">
        <v>153</v>
      </c>
      <c r="F7" s="307" t="s">
        <v>154</v>
      </c>
      <c r="G7" s="307" t="s">
        <v>155</v>
      </c>
      <c r="H7" s="307" t="s">
        <v>265</v>
      </c>
      <c r="I7" s="308" t="s">
        <v>266</v>
      </c>
      <c r="J7" s="174"/>
    </row>
    <row r="8" spans="4:10" ht="9.75" customHeight="1" thickBot="1">
      <c r="D8" s="170"/>
      <c r="E8" s="170"/>
      <c r="F8" s="170"/>
      <c r="G8" s="170"/>
      <c r="H8" s="170"/>
      <c r="I8" s="175"/>
      <c r="J8" s="174"/>
    </row>
    <row r="9" spans="2:10" ht="45.75" customHeight="1" thickBot="1">
      <c r="B9" s="176" t="s">
        <v>157</v>
      </c>
      <c r="C9" s="177" t="s">
        <v>158</v>
      </c>
      <c r="D9" s="178" t="s">
        <v>345</v>
      </c>
      <c r="E9" s="178" t="s">
        <v>278</v>
      </c>
      <c r="F9" s="178" t="s">
        <v>279</v>
      </c>
      <c r="G9" s="179" t="s">
        <v>280</v>
      </c>
      <c r="H9" s="180" t="s">
        <v>281</v>
      </c>
      <c r="I9" s="181" t="s">
        <v>282</v>
      </c>
      <c r="J9" s="79"/>
    </row>
    <row r="10" spans="2:10" ht="15.75" customHeight="1" hidden="1">
      <c r="B10" s="182" t="s">
        <v>159</v>
      </c>
      <c r="C10" s="183" t="s">
        <v>160</v>
      </c>
      <c r="D10" s="184">
        <v>64.37</v>
      </c>
      <c r="E10" s="185">
        <v>32.696</v>
      </c>
      <c r="F10" s="186">
        <f>+E10*D10</f>
        <v>2104.64152</v>
      </c>
      <c r="G10" s="187">
        <f>10.15+318.56</f>
        <v>328.71</v>
      </c>
      <c r="H10" s="188"/>
      <c r="I10" s="189">
        <f>+F10+G10</f>
        <v>2433.35152</v>
      </c>
      <c r="J10" s="79"/>
    </row>
    <row r="11" spans="2:10" ht="15.75" customHeight="1" hidden="1">
      <c r="B11" s="190" t="s">
        <v>161</v>
      </c>
      <c r="C11" s="191" t="s">
        <v>162</v>
      </c>
      <c r="D11" s="192">
        <v>30.76</v>
      </c>
      <c r="E11" s="193">
        <v>74.518</v>
      </c>
      <c r="F11" s="186">
        <f aca="true" t="shared" si="0" ref="F11:F18">+E11*D11</f>
        <v>2292.1736800000003</v>
      </c>
      <c r="G11" s="194">
        <f>4.1+398</f>
        <v>402.1</v>
      </c>
      <c r="H11" s="195"/>
      <c r="I11" s="196">
        <f aca="true" t="shared" si="1" ref="I11:I17">+G11+F11</f>
        <v>2694.2736800000002</v>
      </c>
      <c r="J11" s="79"/>
    </row>
    <row r="12" spans="2:10" ht="15.75" customHeight="1" hidden="1">
      <c r="B12" s="190" t="s">
        <v>163</v>
      </c>
      <c r="C12" s="191" t="s">
        <v>164</v>
      </c>
      <c r="D12" s="192">
        <v>24.35</v>
      </c>
      <c r="E12" s="193">
        <v>380.965</v>
      </c>
      <c r="F12" s="186">
        <f t="shared" si="0"/>
        <v>9276.49775</v>
      </c>
      <c r="G12" s="194">
        <f>14+3633</f>
        <v>3647</v>
      </c>
      <c r="H12" s="195"/>
      <c r="I12" s="196">
        <f t="shared" si="1"/>
        <v>12923.49775</v>
      </c>
      <c r="J12" s="79"/>
    </row>
    <row r="13" spans="2:10" ht="15.75" customHeight="1" hidden="1">
      <c r="B13" s="190" t="s">
        <v>165</v>
      </c>
      <c r="C13" s="191" t="s">
        <v>166</v>
      </c>
      <c r="D13" s="192">
        <v>23.6</v>
      </c>
      <c r="E13" s="193">
        <v>5.253</v>
      </c>
      <c r="F13" s="186">
        <f t="shared" si="0"/>
        <v>123.97080000000001</v>
      </c>
      <c r="G13" s="194">
        <f>739.48+25.72</f>
        <v>765.2</v>
      </c>
      <c r="H13" s="195"/>
      <c r="I13" s="196">
        <f t="shared" si="1"/>
        <v>889.1708000000001</v>
      </c>
      <c r="J13" s="79"/>
    </row>
    <row r="14" spans="2:10" ht="15.75" customHeight="1" hidden="1">
      <c r="B14" s="190" t="s">
        <v>167</v>
      </c>
      <c r="C14" s="191" t="s">
        <v>168</v>
      </c>
      <c r="D14" s="192">
        <v>8.52</v>
      </c>
      <c r="E14" s="193">
        <v>201.8</v>
      </c>
      <c r="F14" s="186">
        <f t="shared" si="0"/>
        <v>1719.336</v>
      </c>
      <c r="G14" s="194">
        <f>115.99+809.62</f>
        <v>925.61</v>
      </c>
      <c r="H14" s="195"/>
      <c r="I14" s="196">
        <f t="shared" si="1"/>
        <v>2644.946</v>
      </c>
      <c r="J14" s="79"/>
    </row>
    <row r="15" spans="2:10" ht="15.75" customHeight="1" hidden="1">
      <c r="B15" s="190" t="s">
        <v>169</v>
      </c>
      <c r="C15" s="192" t="s">
        <v>170</v>
      </c>
      <c r="D15" s="192">
        <v>19.92</v>
      </c>
      <c r="E15" s="193">
        <v>21.282</v>
      </c>
      <c r="F15" s="186">
        <f t="shared" si="0"/>
        <v>423.93744000000004</v>
      </c>
      <c r="G15" s="194">
        <f>27.54+170.89</f>
        <v>198.42999999999998</v>
      </c>
      <c r="H15" s="195"/>
      <c r="I15" s="196">
        <f t="shared" si="1"/>
        <v>622.36744</v>
      </c>
      <c r="J15" s="79"/>
    </row>
    <row r="16" spans="2:10" ht="15.75" customHeight="1" hidden="1">
      <c r="B16" s="190" t="s">
        <v>171</v>
      </c>
      <c r="C16" s="192" t="s">
        <v>172</v>
      </c>
      <c r="D16" s="192">
        <v>67.51</v>
      </c>
      <c r="E16" s="193">
        <v>216.711</v>
      </c>
      <c r="F16" s="186">
        <f t="shared" si="0"/>
        <v>14630.159610000002</v>
      </c>
      <c r="G16" s="194">
        <f>489+836</f>
        <v>1325</v>
      </c>
      <c r="H16" s="195"/>
      <c r="I16" s="196">
        <f t="shared" si="1"/>
        <v>15955.159610000002</v>
      </c>
      <c r="J16" s="79"/>
    </row>
    <row r="17" spans="2:10" ht="15.75" customHeight="1" hidden="1">
      <c r="B17" s="190" t="s">
        <v>173</v>
      </c>
      <c r="C17" s="197" t="s">
        <v>174</v>
      </c>
      <c r="D17" s="192">
        <v>28.92</v>
      </c>
      <c r="E17" s="193">
        <v>31.791</v>
      </c>
      <c r="F17" s="186">
        <f t="shared" si="0"/>
        <v>919.3957200000001</v>
      </c>
      <c r="G17" s="194">
        <f>89.17+537.46</f>
        <v>626.63</v>
      </c>
      <c r="H17" s="195"/>
      <c r="I17" s="196">
        <f t="shared" si="1"/>
        <v>1546.02572</v>
      </c>
      <c r="J17" s="79"/>
    </row>
    <row r="18" spans="1:10" ht="15.75" customHeight="1">
      <c r="A18">
        <f>ROW()</f>
        <v>18</v>
      </c>
      <c r="B18" s="190" t="s">
        <v>175</v>
      </c>
      <c r="C18" s="197" t="s">
        <v>176</v>
      </c>
      <c r="D18" s="306">
        <v>77.38</v>
      </c>
      <c r="E18" s="199">
        <v>178580</v>
      </c>
      <c r="F18" s="200">
        <f t="shared" si="0"/>
        <v>13818520.399999999</v>
      </c>
      <c r="G18" s="299">
        <f>+'Projected Analysis'!I34</f>
        <v>2438000</v>
      </c>
      <c r="H18" s="299">
        <f>+'Historical Analysis'!E48</f>
        <v>514000</v>
      </c>
      <c r="I18" s="201">
        <f>+G18+F18-H18</f>
        <v>15742520.399999999</v>
      </c>
      <c r="J18" s="79"/>
    </row>
    <row r="19" spans="1:10" ht="13.5" thickBot="1">
      <c r="A19">
        <f>ROW()</f>
        <v>19</v>
      </c>
      <c r="J19" s="79"/>
    </row>
    <row r="20" spans="1:10" ht="15" thickBot="1">
      <c r="A20">
        <f>ROW()</f>
        <v>20</v>
      </c>
      <c r="B20" s="203" t="s">
        <v>287</v>
      </c>
      <c r="C20" s="215">
        <f>+I18</f>
        <v>15742520.399999999</v>
      </c>
      <c r="J20" s="79"/>
    </row>
    <row r="21" spans="1:10" ht="12.75">
      <c r="A21">
        <f>ROW()</f>
        <v>21</v>
      </c>
      <c r="I21" s="2"/>
      <c r="J21" s="204"/>
    </row>
    <row r="22" spans="1:10" ht="12.75">
      <c r="A22">
        <f>ROW()</f>
        <v>22</v>
      </c>
      <c r="J22" s="79"/>
    </row>
    <row r="23" spans="1:2" ht="20.25">
      <c r="A23">
        <f>ROW()</f>
        <v>23</v>
      </c>
      <c r="B23" s="172" t="s">
        <v>177</v>
      </c>
    </row>
    <row r="24" spans="1:2" ht="14.25" customHeight="1">
      <c r="A24">
        <f>ROW()</f>
        <v>24</v>
      </c>
      <c r="B24" s="172"/>
    </row>
    <row r="25" spans="1:2" ht="18.75" customHeight="1">
      <c r="A25">
        <f>ROW()</f>
        <v>25</v>
      </c>
      <c r="B25" s="90" t="str">
        <f>+B5</f>
        <v>Starwood Hotels &amp; Resorts Worldwide Inc. (HOT)</v>
      </c>
    </row>
    <row r="26" spans="1:11" ht="11.25" customHeight="1">
      <c r="A26">
        <f>ROW()</f>
        <v>26</v>
      </c>
      <c r="B26" s="2"/>
      <c r="D26" s="307" t="s">
        <v>152</v>
      </c>
      <c r="E26" s="307" t="s">
        <v>153</v>
      </c>
      <c r="F26" s="307" t="s">
        <v>154</v>
      </c>
      <c r="G26" s="307" t="s">
        <v>155</v>
      </c>
      <c r="H26" s="307" t="s">
        <v>265</v>
      </c>
      <c r="I26" s="308" t="s">
        <v>266</v>
      </c>
      <c r="J26" s="307" t="s">
        <v>178</v>
      </c>
      <c r="K26" s="307" t="s">
        <v>179</v>
      </c>
    </row>
    <row r="27" spans="1:8" ht="9" customHeight="1" thickBot="1">
      <c r="A27">
        <f>ROW()</f>
        <v>27</v>
      </c>
      <c r="B27" s="2"/>
      <c r="D27" s="170"/>
      <c r="E27" s="170"/>
      <c r="F27" s="170"/>
      <c r="G27" s="170"/>
      <c r="H27" s="170"/>
    </row>
    <row r="28" spans="1:12" ht="39" thickBot="1">
      <c r="A28">
        <f>ROW()</f>
        <v>28</v>
      </c>
      <c r="B28" s="176" t="s">
        <v>157</v>
      </c>
      <c r="C28" s="327" t="s">
        <v>158</v>
      </c>
      <c r="D28" s="178" t="str">
        <f>+D9</f>
        <v>Stock Price 
(as of 2/10/2015)</v>
      </c>
      <c r="E28" s="178" t="s">
        <v>278</v>
      </c>
      <c r="F28" s="178" t="s">
        <v>279</v>
      </c>
      <c r="G28" s="179" t="s">
        <v>280</v>
      </c>
      <c r="H28" s="180" t="s">
        <v>281</v>
      </c>
      <c r="I28" s="181" t="s">
        <v>282</v>
      </c>
      <c r="J28" s="179" t="s">
        <v>341</v>
      </c>
      <c r="K28" s="205" t="s">
        <v>180</v>
      </c>
      <c r="L28" s="313" t="s">
        <v>274</v>
      </c>
    </row>
    <row r="29" spans="1:12" ht="12.75">
      <c r="A29">
        <f>ROW()</f>
        <v>29</v>
      </c>
      <c r="B29" s="182" t="s">
        <v>159</v>
      </c>
      <c r="C29" s="206" t="s">
        <v>160</v>
      </c>
      <c r="D29" s="207">
        <v>59.97</v>
      </c>
      <c r="E29" s="321">
        <v>57700</v>
      </c>
      <c r="F29" s="200">
        <f aca="true" t="shared" si="2" ref="F29:F39">+E29*D29</f>
        <v>3460269</v>
      </c>
      <c r="G29" s="317">
        <v>786720</v>
      </c>
      <c r="H29" s="319">
        <v>244600</v>
      </c>
      <c r="I29" s="290">
        <f aca="true" t="shared" si="3" ref="I29:I36">+F29+G29-H29</f>
        <v>4002389</v>
      </c>
      <c r="J29" s="317">
        <v>219700</v>
      </c>
      <c r="K29" s="208">
        <f aca="true" t="shared" si="4" ref="K29:K39">+I29/J29</f>
        <v>18.217519344560763</v>
      </c>
      <c r="L29" s="323">
        <v>1.05</v>
      </c>
    </row>
    <row r="30" spans="1:12" ht="12.75">
      <c r="A30">
        <f>ROW()</f>
        <v>30</v>
      </c>
      <c r="B30" s="182" t="s">
        <v>325</v>
      </c>
      <c r="C30" s="396" t="s">
        <v>164</v>
      </c>
      <c r="D30" s="207">
        <v>26.85</v>
      </c>
      <c r="E30" s="321">
        <v>984620</v>
      </c>
      <c r="F30" s="200">
        <f t="shared" si="2"/>
        <v>26437047</v>
      </c>
      <c r="G30" s="317">
        <v>12060000</v>
      </c>
      <c r="H30" s="319">
        <v>543000</v>
      </c>
      <c r="I30" s="290">
        <f t="shared" si="3"/>
        <v>37954047</v>
      </c>
      <c r="J30" s="317">
        <v>1900000</v>
      </c>
      <c r="K30" s="208">
        <f t="shared" si="4"/>
        <v>19.975814210526316</v>
      </c>
      <c r="L30" s="323"/>
    </row>
    <row r="31" spans="1:12" ht="12.75">
      <c r="A31">
        <f>ROW()</f>
        <v>31</v>
      </c>
      <c r="B31" s="182" t="s">
        <v>308</v>
      </c>
      <c r="C31" s="206" t="s">
        <v>309</v>
      </c>
      <c r="D31" s="207">
        <v>59.05</v>
      </c>
      <c r="E31" s="321">
        <v>151800</v>
      </c>
      <c r="F31" s="200">
        <f>+E31*D31</f>
        <v>8963790</v>
      </c>
      <c r="G31" s="317">
        <v>1430000</v>
      </c>
      <c r="H31" s="319">
        <v>293000</v>
      </c>
      <c r="I31" s="290">
        <f t="shared" si="3"/>
        <v>10100790</v>
      </c>
      <c r="J31" s="317">
        <v>655000</v>
      </c>
      <c r="K31" s="208">
        <f>+I31/J31</f>
        <v>15.421053435114503</v>
      </c>
      <c r="L31" s="323">
        <v>1.44</v>
      </c>
    </row>
    <row r="32" spans="1:12" ht="12.75">
      <c r="A32">
        <f>ROW()</f>
        <v>32</v>
      </c>
      <c r="B32" s="190" t="s">
        <v>181</v>
      </c>
      <c r="C32" s="209" t="s">
        <v>182</v>
      </c>
      <c r="D32" s="198">
        <v>40.56</v>
      </c>
      <c r="E32" s="322">
        <v>236310</v>
      </c>
      <c r="F32" s="200">
        <f t="shared" si="2"/>
        <v>9584733.6</v>
      </c>
      <c r="G32" s="318">
        <v>1350000</v>
      </c>
      <c r="H32" s="320">
        <v>356000</v>
      </c>
      <c r="I32" s="290">
        <f t="shared" si="3"/>
        <v>10578733.6</v>
      </c>
      <c r="J32" s="318">
        <v>702000</v>
      </c>
      <c r="K32" s="208">
        <f t="shared" si="4"/>
        <v>15.069421082621082</v>
      </c>
      <c r="L32" s="323">
        <v>1</v>
      </c>
    </row>
    <row r="33" spans="1:12" ht="12.75">
      <c r="A33">
        <f>ROW()</f>
        <v>33</v>
      </c>
      <c r="B33" s="190" t="s">
        <v>169</v>
      </c>
      <c r="C33" s="210" t="s">
        <v>170</v>
      </c>
      <c r="D33" s="198">
        <v>19.08</v>
      </c>
      <c r="E33" s="322">
        <v>27410</v>
      </c>
      <c r="F33" s="200">
        <f t="shared" si="2"/>
        <v>522982.79999999993</v>
      </c>
      <c r="G33" s="318">
        <v>269200</v>
      </c>
      <c r="H33" s="320">
        <v>9100</v>
      </c>
      <c r="I33" s="290">
        <f t="shared" si="3"/>
        <v>783082.7999999999</v>
      </c>
      <c r="J33" s="318">
        <v>86160</v>
      </c>
      <c r="K33" s="208">
        <f t="shared" si="4"/>
        <v>9.088704735376044</v>
      </c>
      <c r="L33" s="323">
        <v>0.38</v>
      </c>
    </row>
    <row r="34" spans="1:12" ht="12.75">
      <c r="A34">
        <f>ROW()</f>
        <v>34</v>
      </c>
      <c r="B34" s="190" t="s">
        <v>171</v>
      </c>
      <c r="C34" s="210" t="s">
        <v>172</v>
      </c>
      <c r="D34" s="198">
        <v>75.97</v>
      </c>
      <c r="E34" s="322">
        <v>283570</v>
      </c>
      <c r="F34" s="200">
        <f t="shared" si="2"/>
        <v>21542812.9</v>
      </c>
      <c r="G34" s="318">
        <v>3530000</v>
      </c>
      <c r="H34" s="320">
        <v>150000</v>
      </c>
      <c r="I34" s="290">
        <f t="shared" si="3"/>
        <v>24922812.9</v>
      </c>
      <c r="J34" s="318">
        <v>1260000</v>
      </c>
      <c r="K34" s="208">
        <f t="shared" si="4"/>
        <v>19.780010238095237</v>
      </c>
      <c r="L34" s="323">
        <v>1.06</v>
      </c>
    </row>
    <row r="35" spans="1:12" ht="12.75">
      <c r="A35">
        <f>ROW()</f>
        <v>35</v>
      </c>
      <c r="B35" s="190" t="s">
        <v>275</v>
      </c>
      <c r="C35" s="210" t="s">
        <v>276</v>
      </c>
      <c r="D35" s="198">
        <v>7.56</v>
      </c>
      <c r="E35" s="322">
        <v>34380</v>
      </c>
      <c r="F35" s="200">
        <f t="shared" si="2"/>
        <v>259912.8</v>
      </c>
      <c r="G35" s="318">
        <v>673640</v>
      </c>
      <c r="H35" s="320">
        <v>96280</v>
      </c>
      <c r="I35" s="290">
        <f t="shared" si="3"/>
        <v>837272.8</v>
      </c>
      <c r="J35" s="318">
        <v>37450</v>
      </c>
      <c r="K35" s="208">
        <f t="shared" si="4"/>
        <v>22.357084112149533</v>
      </c>
      <c r="L35" s="323">
        <v>0.68</v>
      </c>
    </row>
    <row r="36" spans="1:12" ht="12.75">
      <c r="A36">
        <f>ROW()</f>
        <v>36</v>
      </c>
      <c r="B36" s="190" t="s">
        <v>346</v>
      </c>
      <c r="C36" s="425" t="s">
        <v>344</v>
      </c>
      <c r="D36" s="198">
        <v>11.15</v>
      </c>
      <c r="E36" s="322">
        <v>103960</v>
      </c>
      <c r="F36" s="200">
        <f t="shared" si="2"/>
        <v>1159154</v>
      </c>
      <c r="G36" s="318">
        <v>629880</v>
      </c>
      <c r="H36" s="320">
        <v>158830</v>
      </c>
      <c r="I36" s="290">
        <f t="shared" si="3"/>
        <v>1630204</v>
      </c>
      <c r="J36" s="318">
        <v>102100</v>
      </c>
      <c r="K36" s="208">
        <f t="shared" si="4"/>
        <v>15.966738491674828</v>
      </c>
      <c r="L36" s="323">
        <v>1.33</v>
      </c>
    </row>
    <row r="37" spans="1:12" ht="13.5" thickBot="1">
      <c r="A37">
        <f>ROW()</f>
        <v>37</v>
      </c>
      <c r="B37" s="348" t="s">
        <v>311</v>
      </c>
      <c r="C37" s="332" t="s">
        <v>310</v>
      </c>
      <c r="D37" s="349">
        <v>87.7</v>
      </c>
      <c r="E37" s="350">
        <v>123000</v>
      </c>
      <c r="F37" s="351">
        <f>+E37*D37</f>
        <v>10787100</v>
      </c>
      <c r="G37" s="352">
        <v>4860000</v>
      </c>
      <c r="H37" s="353">
        <v>252000</v>
      </c>
      <c r="I37" s="354">
        <f>+F37+G37-H37</f>
        <v>15395100</v>
      </c>
      <c r="J37" s="352">
        <v>1210000</v>
      </c>
      <c r="K37" s="355">
        <f>+I37/J37</f>
        <v>12.723223140495868</v>
      </c>
      <c r="L37" s="324">
        <v>1.02</v>
      </c>
    </row>
    <row r="38" ht="13.5" thickBot="1">
      <c r="A38">
        <f>ROW()</f>
        <v>38</v>
      </c>
    </row>
    <row r="39" spans="1:12" ht="13.5" thickBot="1">
      <c r="A39">
        <f>ROW()</f>
        <v>39</v>
      </c>
      <c r="B39" s="339" t="s">
        <v>175</v>
      </c>
      <c r="C39" s="340" t="s">
        <v>176</v>
      </c>
      <c r="D39" s="341">
        <f>+D18</f>
        <v>77.38</v>
      </c>
      <c r="E39" s="342">
        <f>+E18</f>
        <v>178580</v>
      </c>
      <c r="F39" s="342">
        <f t="shared" si="2"/>
        <v>13818520.399999999</v>
      </c>
      <c r="G39" s="343">
        <f>+G18</f>
        <v>2438000</v>
      </c>
      <c r="H39" s="344">
        <f>+H18</f>
        <v>514000</v>
      </c>
      <c r="I39" s="345">
        <f>+G39+F39-H39</f>
        <v>15742520.399999999</v>
      </c>
      <c r="J39" s="343">
        <f>+'Historical Analysis'!E20+'Historical Analysis'!E97</f>
        <v>1040000</v>
      </c>
      <c r="K39" s="346">
        <f t="shared" si="4"/>
        <v>15.137038846153844</v>
      </c>
      <c r="L39" s="347">
        <v>1.65</v>
      </c>
    </row>
    <row r="40" spans="1:11" ht="12.75">
      <c r="A40">
        <f>ROW()</f>
        <v>40</v>
      </c>
      <c r="B40" s="2"/>
      <c r="D40" s="202"/>
      <c r="E40" s="202"/>
      <c r="K40" s="211"/>
    </row>
    <row r="41" spans="1:12" ht="12.75">
      <c r="A41">
        <f>ROW()</f>
        <v>41</v>
      </c>
      <c r="B41" s="2"/>
      <c r="J41" s="2" t="s">
        <v>125</v>
      </c>
      <c r="K41" s="212">
        <f>AVERAGE(K29:K37)</f>
        <v>16.51106319895713</v>
      </c>
      <c r="L41" s="212">
        <f>AVERAGE(L29:L39)</f>
        <v>1.0677777777777777</v>
      </c>
    </row>
    <row r="42" spans="1:11" ht="12.75">
      <c r="A42">
        <f>ROW()</f>
        <v>42</v>
      </c>
      <c r="B42" s="2" t="s">
        <v>183</v>
      </c>
      <c r="C42" s="213">
        <f>+J39</f>
        <v>1040000</v>
      </c>
      <c r="D42" s="214">
        <f>+K42</f>
        <v>16.736254277584084</v>
      </c>
      <c r="F42" s="2"/>
      <c r="G42" s="212"/>
      <c r="H42" s="212"/>
      <c r="J42" t="s">
        <v>307</v>
      </c>
      <c r="K42" s="212">
        <f>(SUM(K29:K37)-MAX(K29:K37)-MIN(K29:K37))/(COUNT(K29:K37)-2)</f>
        <v>16.736254277584084</v>
      </c>
    </row>
    <row r="43" spans="1:10" ht="13.5" thickBot="1">
      <c r="A43">
        <f>ROW()</f>
        <v>43</v>
      </c>
      <c r="B43" s="2"/>
      <c r="F43" s="2"/>
      <c r="G43" s="212"/>
      <c r="H43" s="212"/>
      <c r="J43" t="s">
        <v>314</v>
      </c>
    </row>
    <row r="44" spans="1:3" ht="15" thickBot="1">
      <c r="A44">
        <f>ROW()</f>
        <v>44</v>
      </c>
      <c r="B44" s="203" t="s">
        <v>287</v>
      </c>
      <c r="C44" s="215">
        <f>+C42*D42</f>
        <v>17405704.44868745</v>
      </c>
    </row>
    <row r="45" spans="1:3" ht="12.75">
      <c r="A45">
        <f>ROW()</f>
        <v>45</v>
      </c>
      <c r="C45" s="2"/>
    </row>
    <row r="46" spans="1:9" ht="12.75">
      <c r="A46">
        <f>ROW()</f>
        <v>46</v>
      </c>
      <c r="C46" s="2"/>
      <c r="H46" s="2"/>
      <c r="I46" s="2"/>
    </row>
    <row r="47" spans="1:2" ht="20.25">
      <c r="A47">
        <f>ROW()</f>
        <v>47</v>
      </c>
      <c r="B47" s="90" t="s">
        <v>184</v>
      </c>
    </row>
    <row r="48" spans="1:2" ht="15.75" customHeight="1">
      <c r="A48">
        <f>ROW()</f>
        <v>48</v>
      </c>
      <c r="B48" s="216"/>
    </row>
    <row r="49" spans="1:2" ht="15.75" customHeight="1">
      <c r="A49">
        <f>ROW()</f>
        <v>49</v>
      </c>
      <c r="B49" s="90" t="str">
        <f>+B25</f>
        <v>Starwood Hotels &amp; Resorts Worldwide Inc. (HOT)</v>
      </c>
    </row>
    <row r="50" ht="4.5" customHeight="1">
      <c r="A50">
        <f>ROW()</f>
        <v>50</v>
      </c>
    </row>
    <row r="51" spans="1:15" ht="21" customHeight="1">
      <c r="A51">
        <f>ROW()</f>
        <v>51</v>
      </c>
      <c r="B51" t="s">
        <v>151</v>
      </c>
      <c r="E51" s="307" t="s">
        <v>185</v>
      </c>
      <c r="F51" s="307" t="s">
        <v>153</v>
      </c>
      <c r="G51" s="307" t="s">
        <v>186</v>
      </c>
      <c r="H51" s="307" t="s">
        <v>155</v>
      </c>
      <c r="I51" s="307" t="s">
        <v>156</v>
      </c>
      <c r="J51" s="307" t="s">
        <v>178</v>
      </c>
      <c r="K51" s="307" t="s">
        <v>179</v>
      </c>
      <c r="M51" s="170"/>
      <c r="N51" s="170"/>
      <c r="O51" s="170"/>
    </row>
    <row r="52" spans="1:15" ht="11.25" customHeight="1" thickBot="1">
      <c r="A52">
        <f>ROW()</f>
        <v>52</v>
      </c>
      <c r="E52" s="170"/>
      <c r="F52" s="170"/>
      <c r="G52" s="170"/>
      <c r="H52" s="170"/>
      <c r="I52" s="170"/>
      <c r="J52" s="217"/>
      <c r="K52" s="170"/>
      <c r="L52" s="170"/>
      <c r="M52" s="170"/>
      <c r="N52" s="170"/>
      <c r="O52" s="170"/>
    </row>
    <row r="53" spans="1:13" ht="39" thickBot="1">
      <c r="A53">
        <f>ROW()</f>
        <v>53</v>
      </c>
      <c r="B53" s="390" t="s">
        <v>187</v>
      </c>
      <c r="C53" s="402" t="s">
        <v>188</v>
      </c>
      <c r="D53" s="178" t="s">
        <v>189</v>
      </c>
      <c r="E53" s="178" t="s">
        <v>190</v>
      </c>
      <c r="F53" s="178" t="s">
        <v>191</v>
      </c>
      <c r="G53" s="178" t="s">
        <v>192</v>
      </c>
      <c r="H53" s="178" t="s">
        <v>193</v>
      </c>
      <c r="I53" s="178" t="s">
        <v>194</v>
      </c>
      <c r="J53" s="178" t="s">
        <v>195</v>
      </c>
      <c r="K53" s="391" t="s">
        <v>180</v>
      </c>
      <c r="L53" s="79"/>
      <c r="M53" s="79"/>
    </row>
    <row r="54" spans="1:13" ht="22.5" customHeight="1">
      <c r="A54">
        <f>ROW()</f>
        <v>54</v>
      </c>
      <c r="B54" s="397">
        <f>+'[1]Method #3'!A10</f>
        <v>39267</v>
      </c>
      <c r="C54" s="403" t="str">
        <f>+'[1]Method #3'!B10</f>
        <v>Hilton Hotels</v>
      </c>
      <c r="D54" s="218" t="str">
        <f>+'[1]Method #3'!C10</f>
        <v>Blackstone Group</v>
      </c>
      <c r="E54" s="219">
        <f>+'[1]Method #3'!D10</f>
        <v>47.5</v>
      </c>
      <c r="F54" s="220">
        <f>+'[1]Method #3'!E10</f>
        <v>390400000</v>
      </c>
      <c r="G54" s="221">
        <f>+'[1]Method #3'!F10</f>
        <v>18544</v>
      </c>
      <c r="H54" s="219">
        <f>+'[1]Method #3'!G10</f>
        <v>6180</v>
      </c>
      <c r="I54" s="221">
        <f>+'[1]Method #3'!H10</f>
        <v>24724</v>
      </c>
      <c r="J54" s="221">
        <f>+'[1]Method #3'!I10</f>
        <v>1680</v>
      </c>
      <c r="K54" s="222">
        <f>+'[1]Method #3'!J10</f>
        <v>14.716666666666667</v>
      </c>
      <c r="L54" s="79"/>
      <c r="M54" s="79"/>
    </row>
    <row r="55" spans="1:13" ht="38.25" customHeight="1">
      <c r="A55">
        <f>ROW()</f>
        <v>55</v>
      </c>
      <c r="B55" s="397">
        <v>39027</v>
      </c>
      <c r="C55" s="403" t="s">
        <v>196</v>
      </c>
      <c r="D55" s="218" t="s">
        <v>197</v>
      </c>
      <c r="E55" s="219">
        <v>82</v>
      </c>
      <c r="F55" s="220">
        <v>33078000</v>
      </c>
      <c r="G55" s="221">
        <v>3300</v>
      </c>
      <c r="H55" s="219">
        <f>273.825+4.853</f>
        <v>278.678</v>
      </c>
      <c r="I55" s="221">
        <f>+H55+G55</f>
        <v>3578.678</v>
      </c>
      <c r="J55" s="221">
        <f>+I55/31.9</f>
        <v>112.18426332288401</v>
      </c>
      <c r="K55" s="222">
        <f>+I55/J55</f>
        <v>31.900000000000002</v>
      </c>
      <c r="L55" s="79"/>
      <c r="M55" s="79"/>
    </row>
    <row r="56" spans="1:13" ht="20.25" customHeight="1">
      <c r="A56">
        <f>ROW()</f>
        <v>56</v>
      </c>
      <c r="B56" s="398" t="s">
        <v>198</v>
      </c>
      <c r="C56" s="228" t="s">
        <v>199</v>
      </c>
      <c r="D56" s="223" t="s">
        <v>200</v>
      </c>
      <c r="E56" s="224">
        <v>45</v>
      </c>
      <c r="F56" s="225">
        <f>+G56/E56*1000000</f>
        <v>73333333.33333333</v>
      </c>
      <c r="G56" s="226">
        <v>3300</v>
      </c>
      <c r="H56" s="224">
        <v>123.5</v>
      </c>
      <c r="I56" s="226">
        <f>+H56+G56</f>
        <v>3423.5</v>
      </c>
      <c r="J56" s="226">
        <v>187.2</v>
      </c>
      <c r="K56" s="227">
        <f>+I56/J56</f>
        <v>18.287927350427353</v>
      </c>
      <c r="L56" s="79"/>
      <c r="M56" s="79"/>
    </row>
    <row r="57" spans="1:13" ht="20.25" customHeight="1">
      <c r="A57">
        <f>ROW()</f>
        <v>57</v>
      </c>
      <c r="B57" s="398">
        <v>38727</v>
      </c>
      <c r="C57" s="228" t="s">
        <v>201</v>
      </c>
      <c r="D57" s="223" t="s">
        <v>202</v>
      </c>
      <c r="E57" s="224"/>
      <c r="F57" s="225"/>
      <c r="G57" s="226">
        <v>5578</v>
      </c>
      <c r="H57" s="224">
        <v>0</v>
      </c>
      <c r="I57" s="226">
        <f>+H57+G57</f>
        <v>5578</v>
      </c>
      <c r="J57" s="226">
        <v>504</v>
      </c>
      <c r="K57" s="227">
        <f aca="true" t="shared" si="5" ref="K57:K66">+I57/J57</f>
        <v>11.067460317460318</v>
      </c>
      <c r="L57" s="79"/>
      <c r="M57" s="79"/>
    </row>
    <row r="58" spans="1:13" ht="20.25" customHeight="1">
      <c r="A58">
        <f>ROW()</f>
        <v>58</v>
      </c>
      <c r="B58" s="398" t="s">
        <v>203</v>
      </c>
      <c r="C58" s="404" t="s">
        <v>204</v>
      </c>
      <c r="D58" s="223" t="s">
        <v>205</v>
      </c>
      <c r="E58" s="224"/>
      <c r="F58" s="225"/>
      <c r="G58" s="226"/>
      <c r="H58" s="224"/>
      <c r="I58" s="226">
        <v>4096</v>
      </c>
      <c r="J58" s="226">
        <f>+I58/13</f>
        <v>315.0769230769231</v>
      </c>
      <c r="K58" s="227">
        <f t="shared" si="5"/>
        <v>13</v>
      </c>
      <c r="L58" s="79"/>
      <c r="M58" s="79"/>
    </row>
    <row r="59" spans="1:13" ht="20.25" customHeight="1">
      <c r="A59">
        <f>ROW()</f>
        <v>59</v>
      </c>
      <c r="B59" s="398">
        <v>38649</v>
      </c>
      <c r="C59" s="404" t="s">
        <v>167</v>
      </c>
      <c r="D59" s="223"/>
      <c r="E59" s="224">
        <v>12.22</v>
      </c>
      <c r="F59" s="225">
        <v>202.5</v>
      </c>
      <c r="G59" s="226">
        <v>2474</v>
      </c>
      <c r="H59" s="224">
        <v>925.71</v>
      </c>
      <c r="I59" s="226">
        <v>3400</v>
      </c>
      <c r="J59" s="226">
        <v>229.7</v>
      </c>
      <c r="K59" s="227">
        <v>14.8</v>
      </c>
      <c r="L59" s="79"/>
      <c r="M59" s="79"/>
    </row>
    <row r="60" spans="1:13" ht="20.25" customHeight="1">
      <c r="A60">
        <f>ROW()</f>
        <v>60</v>
      </c>
      <c r="B60" s="399">
        <v>38580</v>
      </c>
      <c r="C60" s="228" t="s">
        <v>206</v>
      </c>
      <c r="D60" s="223" t="s">
        <v>207</v>
      </c>
      <c r="E60" s="224">
        <v>1.15</v>
      </c>
      <c r="F60" s="225">
        <v>172053000</v>
      </c>
      <c r="G60" s="226">
        <f>+F60*E60/1000000</f>
        <v>197.86094999999997</v>
      </c>
      <c r="H60" s="224">
        <v>2681.96</v>
      </c>
      <c r="I60" s="226">
        <f>+H60+G60</f>
        <v>2879.82095</v>
      </c>
      <c r="J60" s="226">
        <v>275.18</v>
      </c>
      <c r="K60" s="227">
        <f t="shared" si="5"/>
        <v>10.465226215567991</v>
      </c>
      <c r="L60" s="79"/>
      <c r="M60" s="79"/>
    </row>
    <row r="61" spans="1:13" ht="20.25" customHeight="1">
      <c r="A61">
        <f>ROW()</f>
        <v>61</v>
      </c>
      <c r="B61" s="399">
        <v>38572</v>
      </c>
      <c r="C61" s="228" t="s">
        <v>165</v>
      </c>
      <c r="D61" s="223" t="s">
        <v>208</v>
      </c>
      <c r="E61" s="224">
        <v>24</v>
      </c>
      <c r="F61" s="225">
        <v>19583</v>
      </c>
      <c r="G61" s="226">
        <v>470</v>
      </c>
      <c r="H61" s="224">
        <v>765.2</v>
      </c>
      <c r="I61" s="226">
        <v>1235</v>
      </c>
      <c r="J61" s="226">
        <v>123.07</v>
      </c>
      <c r="K61" s="227">
        <v>10</v>
      </c>
      <c r="L61" s="79"/>
      <c r="M61" s="79"/>
    </row>
    <row r="62" spans="1:13" ht="20.25" customHeight="1">
      <c r="A62">
        <f>ROW()</f>
        <v>62</v>
      </c>
      <c r="B62" s="398" t="s">
        <v>209</v>
      </c>
      <c r="C62" s="228" t="s">
        <v>210</v>
      </c>
      <c r="D62" s="223" t="s">
        <v>211</v>
      </c>
      <c r="E62" s="224"/>
      <c r="F62" s="225"/>
      <c r="G62" s="226"/>
      <c r="H62" s="224"/>
      <c r="I62" s="226">
        <v>1028.9</v>
      </c>
      <c r="J62" s="226">
        <f>+I62/11.3</f>
        <v>91.05309734513274</v>
      </c>
      <c r="K62" s="227">
        <f t="shared" si="5"/>
        <v>11.3</v>
      </c>
      <c r="L62" s="79"/>
      <c r="M62" s="79"/>
    </row>
    <row r="63" spans="1:13" ht="20.25" customHeight="1">
      <c r="A63">
        <f>ROW()</f>
        <v>63</v>
      </c>
      <c r="B63" s="398" t="s">
        <v>212</v>
      </c>
      <c r="C63" s="228" t="s">
        <v>213</v>
      </c>
      <c r="D63" s="223" t="s">
        <v>214</v>
      </c>
      <c r="E63" s="224"/>
      <c r="F63" s="225"/>
      <c r="G63" s="226"/>
      <c r="H63" s="224"/>
      <c r="I63" s="226">
        <v>981</v>
      </c>
      <c r="J63" s="226">
        <f>+I63/9.2</f>
        <v>106.6304347826087</v>
      </c>
      <c r="K63" s="227">
        <f t="shared" si="5"/>
        <v>9.2</v>
      </c>
      <c r="L63" s="79"/>
      <c r="M63" s="79"/>
    </row>
    <row r="64" spans="1:13" ht="18.75" customHeight="1">
      <c r="A64">
        <f>ROW()</f>
        <v>64</v>
      </c>
      <c r="B64" s="400" t="s">
        <v>215</v>
      </c>
      <c r="C64" s="228" t="s">
        <v>216</v>
      </c>
      <c r="D64" s="223" t="s">
        <v>207</v>
      </c>
      <c r="E64" s="224">
        <v>24</v>
      </c>
      <c r="F64" s="225">
        <v>40284000</v>
      </c>
      <c r="G64" s="226">
        <f>+F64*E64/1000000</f>
        <v>966.816</v>
      </c>
      <c r="H64" s="224">
        <v>217.29</v>
      </c>
      <c r="I64" s="226">
        <f>+H64+G64</f>
        <v>1184.106</v>
      </c>
      <c r="J64" s="226">
        <v>90.07</v>
      </c>
      <c r="K64" s="227">
        <f t="shared" si="5"/>
        <v>13.14650827134451</v>
      </c>
      <c r="L64" s="79"/>
      <c r="M64" s="79"/>
    </row>
    <row r="65" spans="1:13" ht="18.75" customHeight="1">
      <c r="A65">
        <f>ROW()</f>
        <v>65</v>
      </c>
      <c r="B65" s="401" t="s">
        <v>217</v>
      </c>
      <c r="C65" s="228" t="s">
        <v>218</v>
      </c>
      <c r="D65" s="228" t="s">
        <v>207</v>
      </c>
      <c r="E65" s="229">
        <v>12.25</v>
      </c>
      <c r="F65" s="230">
        <v>44808000</v>
      </c>
      <c r="G65" s="231">
        <f>+F65*E65/1000000</f>
        <v>548.898</v>
      </c>
      <c r="H65" s="229">
        <v>243.6</v>
      </c>
      <c r="I65" s="231">
        <f>+H65+G65</f>
        <v>792.498</v>
      </c>
      <c r="J65" s="231">
        <v>55.12</v>
      </c>
      <c r="K65" s="232">
        <f t="shared" si="5"/>
        <v>14.37768505079826</v>
      </c>
      <c r="L65" s="79"/>
      <c r="M65" s="79"/>
    </row>
    <row r="66" spans="1:13" ht="18.75" customHeight="1" thickBot="1">
      <c r="A66">
        <f>ROW()</f>
        <v>66</v>
      </c>
      <c r="B66" s="233" t="s">
        <v>219</v>
      </c>
      <c r="C66" s="234" t="s">
        <v>220</v>
      </c>
      <c r="D66" s="234" t="s">
        <v>207</v>
      </c>
      <c r="E66" s="235">
        <v>19.93</v>
      </c>
      <c r="F66" s="236">
        <v>95077000</v>
      </c>
      <c r="G66" s="237">
        <f>+F66*E66/1000000</f>
        <v>1894.88461</v>
      </c>
      <c r="H66" s="235">
        <v>1231.5</v>
      </c>
      <c r="I66" s="237">
        <f>+H66+G66</f>
        <v>3126.38461</v>
      </c>
      <c r="J66" s="237">
        <v>224.85</v>
      </c>
      <c r="K66" s="238">
        <f t="shared" si="5"/>
        <v>13.904312252612854</v>
      </c>
      <c r="L66" s="79"/>
      <c r="M66" s="79"/>
    </row>
    <row r="67" spans="1:13" ht="12.75" customHeight="1">
      <c r="A67">
        <f>ROW()</f>
        <v>67</v>
      </c>
      <c r="B67" s="239" t="s">
        <v>221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5" ht="12.75">
      <c r="A68">
        <f>ROW()</f>
        <v>68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2.75">
      <c r="A69">
        <f>ROW()</f>
        <v>69</v>
      </c>
      <c r="B69" s="79"/>
      <c r="C69" s="79"/>
      <c r="D69" s="79"/>
      <c r="E69" s="79"/>
      <c r="F69" s="79"/>
      <c r="G69" s="79"/>
      <c r="H69" s="79"/>
      <c r="I69" s="79"/>
      <c r="J69" s="2" t="s">
        <v>125</v>
      </c>
      <c r="K69" s="212">
        <f>AVERAGE(K54:K66)</f>
        <v>14.32044508652907</v>
      </c>
      <c r="L69" s="240"/>
      <c r="M69" s="79"/>
      <c r="N69" s="79"/>
      <c r="O69" s="79"/>
    </row>
    <row r="70" spans="1:11" ht="12.75">
      <c r="A70">
        <f>ROW()</f>
        <v>70</v>
      </c>
      <c r="C70" s="2"/>
      <c r="J70" t="s">
        <v>222</v>
      </c>
      <c r="K70" s="212">
        <f>+(K54+SUM(K56:K62)+SUM(K64:K66))/11</f>
        <v>13.187798738625268</v>
      </c>
    </row>
    <row r="71" spans="1:4" ht="12.75">
      <c r="A71">
        <f>ROW()</f>
        <v>71</v>
      </c>
      <c r="B71" s="2" t="s">
        <v>183</v>
      </c>
      <c r="C71" s="213">
        <f>+C42</f>
        <v>1040000</v>
      </c>
      <c r="D71" s="214">
        <f>+K70</f>
        <v>13.187798738625268</v>
      </c>
    </row>
    <row r="72" spans="1:2" ht="13.5" thickBot="1">
      <c r="A72">
        <f>ROW()</f>
        <v>72</v>
      </c>
      <c r="B72" s="2"/>
    </row>
    <row r="73" spans="1:3" ht="15" thickBot="1">
      <c r="A73">
        <f>ROW()</f>
        <v>73</v>
      </c>
      <c r="B73" s="203" t="s">
        <v>287</v>
      </c>
      <c r="C73" s="215">
        <f>+C71*D71</f>
        <v>13715310.688170278</v>
      </c>
    </row>
    <row r="74" spans="1:3" ht="12.75">
      <c r="A74">
        <f>ROW()</f>
        <v>74</v>
      </c>
      <c r="C74" s="2"/>
    </row>
    <row r="75" spans="1:3" ht="12.75">
      <c r="A75">
        <f>ROW()</f>
        <v>75</v>
      </c>
      <c r="C75" s="2"/>
    </row>
    <row r="76" spans="1:3" ht="12.75">
      <c r="A76">
        <f>ROW()</f>
        <v>76</v>
      </c>
      <c r="C76" s="2"/>
    </row>
    <row r="77" spans="1:2" ht="20.25">
      <c r="A77">
        <f>ROW()</f>
        <v>77</v>
      </c>
      <c r="B77" s="90" t="s">
        <v>223</v>
      </c>
    </row>
    <row r="78" spans="1:10" ht="16.5" customHeight="1" thickBot="1">
      <c r="A78">
        <f>ROW()</f>
        <v>78</v>
      </c>
      <c r="B78" s="2" t="s">
        <v>326</v>
      </c>
      <c r="C78" s="166"/>
      <c r="D78" s="166"/>
      <c r="E78" s="166"/>
      <c r="F78" s="166"/>
      <c r="G78" s="166"/>
      <c r="H78" s="166"/>
      <c r="I78" s="166"/>
      <c r="J78" s="166"/>
    </row>
    <row r="79" spans="1:10" ht="15" customHeight="1" thickBot="1">
      <c r="A79">
        <f>ROW()</f>
        <v>79</v>
      </c>
      <c r="B79" s="406"/>
      <c r="C79" s="407"/>
      <c r="D79" s="408" t="s">
        <v>330</v>
      </c>
      <c r="E79" s="408" t="s">
        <v>331</v>
      </c>
      <c r="F79" s="408" t="s">
        <v>332</v>
      </c>
      <c r="G79" s="408" t="s">
        <v>336</v>
      </c>
      <c r="H79" s="408" t="s">
        <v>339</v>
      </c>
      <c r="I79" s="409"/>
      <c r="J79" s="166"/>
    </row>
    <row r="80" spans="1:10" ht="12.75" customHeight="1">
      <c r="A80">
        <f>ROW()</f>
        <v>80</v>
      </c>
      <c r="B80" s="410" t="s">
        <v>327</v>
      </c>
      <c r="C80" s="411"/>
      <c r="D80" s="412">
        <f>+F39</f>
        <v>13818520.399999999</v>
      </c>
      <c r="E80" s="413">
        <f>+D80/$D$82</f>
        <v>0.8500294072770948</v>
      </c>
      <c r="F80" s="414">
        <f>+D84+(D86*D85)</f>
        <v>0.16499999999999998</v>
      </c>
      <c r="G80" s="414">
        <f>+F80</f>
        <v>0.16499999999999998</v>
      </c>
      <c r="H80" s="414">
        <f>+G80*E80</f>
        <v>0.14025485220072062</v>
      </c>
      <c r="I80" s="415"/>
      <c r="J80" s="166"/>
    </row>
    <row r="81" spans="1:10" ht="12.75" customHeight="1">
      <c r="A81">
        <f>ROW()</f>
        <v>81</v>
      </c>
      <c r="B81" s="410" t="s">
        <v>328</v>
      </c>
      <c r="C81" s="411"/>
      <c r="D81" s="412">
        <f>+G39</f>
        <v>2438000</v>
      </c>
      <c r="E81" s="413">
        <f>+D81/$D$82</f>
        <v>0.14997059272290522</v>
      </c>
      <c r="F81" s="416">
        <f>+'Projected Analysis'!H36</f>
        <v>0.11405672009864365</v>
      </c>
      <c r="G81" s="416">
        <f>+F81*(1-D87)</f>
        <v>0.07983970406905055</v>
      </c>
      <c r="H81" s="414">
        <f>+G81*E81</f>
        <v>0.01197360774205686</v>
      </c>
      <c r="I81" s="415"/>
      <c r="J81" s="166"/>
    </row>
    <row r="82" spans="1:10" ht="12.75" customHeight="1" thickBot="1">
      <c r="A82">
        <f>ROW()</f>
        <v>82</v>
      </c>
      <c r="B82" s="410" t="s">
        <v>329</v>
      </c>
      <c r="C82" s="411"/>
      <c r="D82" s="288">
        <f>SUM(D80:D81)</f>
        <v>16256520.399999999</v>
      </c>
      <c r="E82" s="420">
        <f>+D82/$D$82</f>
        <v>1</v>
      </c>
      <c r="F82" s="204"/>
      <c r="G82" s="204"/>
      <c r="H82" s="421">
        <f>SUM(H80:H81)</f>
        <v>0.15222845994277748</v>
      </c>
      <c r="I82" s="415"/>
      <c r="J82" s="166"/>
    </row>
    <row r="83" spans="1:10" ht="10.5" customHeight="1" thickTop="1">
      <c r="A83">
        <f>ROW()</f>
        <v>83</v>
      </c>
      <c r="B83" s="410"/>
      <c r="C83" s="411"/>
      <c r="D83" s="411"/>
      <c r="E83" s="411"/>
      <c r="F83" s="411"/>
      <c r="G83" s="411"/>
      <c r="H83" s="411"/>
      <c r="I83" s="415"/>
      <c r="J83" s="166"/>
    </row>
    <row r="84" spans="1:10" ht="15" customHeight="1">
      <c r="A84">
        <f>ROW()</f>
        <v>84</v>
      </c>
      <c r="B84" s="410" t="s">
        <v>333</v>
      </c>
      <c r="C84" s="79"/>
      <c r="D84" s="416">
        <v>0.0165</v>
      </c>
      <c r="E84" s="411" t="s">
        <v>335</v>
      </c>
      <c r="F84" s="79"/>
      <c r="G84" s="79"/>
      <c r="H84" s="411"/>
      <c r="I84" s="415"/>
      <c r="J84" s="166"/>
    </row>
    <row r="85" spans="1:10" ht="15" customHeight="1">
      <c r="A85">
        <f>ROW()</f>
        <v>85</v>
      </c>
      <c r="B85" s="410" t="s">
        <v>334</v>
      </c>
      <c r="C85" s="411"/>
      <c r="D85" s="416">
        <v>0.09</v>
      </c>
      <c r="E85" s="422" t="s">
        <v>335</v>
      </c>
      <c r="F85" s="79"/>
      <c r="G85" s="79"/>
      <c r="H85" s="411"/>
      <c r="I85" s="415"/>
      <c r="J85" s="166"/>
    </row>
    <row r="86" spans="1:10" ht="15" customHeight="1">
      <c r="A86">
        <f>ROW()</f>
        <v>86</v>
      </c>
      <c r="B86" s="410" t="s">
        <v>338</v>
      </c>
      <c r="C86" s="411"/>
      <c r="D86" s="405">
        <f>+L39</f>
        <v>1.65</v>
      </c>
      <c r="E86" s="411"/>
      <c r="F86" s="79"/>
      <c r="G86" s="79"/>
      <c r="H86" s="411"/>
      <c r="I86" s="415"/>
      <c r="J86" s="166"/>
    </row>
    <row r="87" spans="1:10" ht="15" customHeight="1">
      <c r="A87">
        <f>ROW()</f>
        <v>87</v>
      </c>
      <c r="B87" s="410" t="s">
        <v>337</v>
      </c>
      <c r="C87" s="411"/>
      <c r="D87" s="416">
        <f>+'Projected Analysis'!L22</f>
        <v>0.3</v>
      </c>
      <c r="E87" s="411"/>
      <c r="F87" s="79"/>
      <c r="G87" s="79"/>
      <c r="H87" s="411"/>
      <c r="I87" s="415"/>
      <c r="J87" s="166"/>
    </row>
    <row r="88" spans="1:10" ht="10.5" customHeight="1" thickBot="1">
      <c r="A88">
        <f>ROW()</f>
        <v>88</v>
      </c>
      <c r="B88" s="417"/>
      <c r="C88" s="418"/>
      <c r="D88" s="418"/>
      <c r="E88" s="418"/>
      <c r="F88" s="418"/>
      <c r="G88" s="418"/>
      <c r="H88" s="418"/>
      <c r="I88" s="419"/>
      <c r="J88" s="166"/>
    </row>
    <row r="89" spans="1:10" ht="6" customHeight="1">
      <c r="A89">
        <f>ROW()</f>
        <v>89</v>
      </c>
      <c r="B89" s="204"/>
      <c r="C89" s="411"/>
      <c r="D89" s="411"/>
      <c r="E89" s="411"/>
      <c r="F89" s="411"/>
      <c r="G89" s="411"/>
      <c r="H89" s="411"/>
      <c r="I89" s="411"/>
      <c r="J89" s="166"/>
    </row>
    <row r="90" spans="1:2" ht="20.25">
      <c r="A90">
        <f>ROW()</f>
        <v>90</v>
      </c>
      <c r="B90" s="90" t="str">
        <f>+B5</f>
        <v>Starwood Hotels &amp; Resorts Worldwide Inc. (HOT)</v>
      </c>
    </row>
    <row r="91" spans="1:10" ht="12.75" customHeight="1" thickBot="1">
      <c r="A91">
        <f>ROW()</f>
        <v>91</v>
      </c>
      <c r="B91" s="90"/>
      <c r="D91" s="297" t="s">
        <v>313</v>
      </c>
      <c r="E91" s="295">
        <v>1</v>
      </c>
      <c r="F91" s="295">
        <v>2</v>
      </c>
      <c r="G91" s="295">
        <v>3</v>
      </c>
      <c r="H91" s="295">
        <v>4</v>
      </c>
      <c r="I91" s="295">
        <v>5</v>
      </c>
      <c r="J91" s="296">
        <v>6</v>
      </c>
    </row>
    <row r="92" spans="1:10" ht="12.75">
      <c r="A92">
        <f>ROW()</f>
        <v>92</v>
      </c>
      <c r="B92" t="s">
        <v>224</v>
      </c>
      <c r="C92" s="298" t="s">
        <v>264</v>
      </c>
      <c r="D92" s="241" t="s">
        <v>225</v>
      </c>
      <c r="I92" s="241" t="s">
        <v>226</v>
      </c>
      <c r="J92" s="336"/>
    </row>
    <row r="93" spans="1:10" ht="13.5" thickBot="1">
      <c r="A93">
        <f>ROW()</f>
        <v>93</v>
      </c>
      <c r="C93" s="326" t="s">
        <v>227</v>
      </c>
      <c r="D93" s="325">
        <f>+'Projected Analysis'!I5</f>
        <v>41912</v>
      </c>
      <c r="E93" s="242">
        <f>+'Projected Analysis'!N5</f>
        <v>42004</v>
      </c>
      <c r="F93" s="242">
        <f>+'Projected Analysis'!O5</f>
        <v>42369</v>
      </c>
      <c r="G93" s="242">
        <f>+'Projected Analysis'!P5</f>
        <v>42734</v>
      </c>
      <c r="H93" s="242">
        <f>+'Projected Analysis'!Q5</f>
        <v>43099</v>
      </c>
      <c r="I93" s="243">
        <f>+'Projected Analysis'!R5</f>
        <v>43465</v>
      </c>
      <c r="J93" s="337">
        <f>+'Projected Analysis'!S5</f>
        <v>43830</v>
      </c>
    </row>
    <row r="94" spans="1:10" ht="12.75">
      <c r="A94">
        <f>ROW()</f>
        <v>94</v>
      </c>
      <c r="B94" t="s">
        <v>228</v>
      </c>
      <c r="C94" s="244"/>
      <c r="D94" s="245">
        <f>+'Projected Analysis'!I7</f>
        <v>5996000</v>
      </c>
      <c r="E94" s="246">
        <f aca="true" t="shared" si="6" ref="E94:J94">+D94*(1+E95)</f>
        <v>6175880</v>
      </c>
      <c r="F94" s="246">
        <f t="shared" si="6"/>
        <v>6669950.4</v>
      </c>
      <c r="G94" s="246">
        <f t="shared" si="6"/>
        <v>7003447.920000001</v>
      </c>
      <c r="H94" s="246">
        <f t="shared" si="6"/>
        <v>7353620.3160000015</v>
      </c>
      <c r="I94" s="247">
        <f t="shared" si="6"/>
        <v>7721301.331800002</v>
      </c>
      <c r="J94" s="246">
        <f t="shared" si="6"/>
        <v>8661622.780195227</v>
      </c>
    </row>
    <row r="95" spans="1:11" ht="12.75">
      <c r="A95">
        <f>ROW()</f>
        <v>95</v>
      </c>
      <c r="B95" t="s">
        <v>286</v>
      </c>
      <c r="C95" s="248"/>
      <c r="D95" s="245"/>
      <c r="E95" s="249">
        <f>+'Projected Analysis'!N19</f>
        <v>0.03</v>
      </c>
      <c r="F95" s="249">
        <f>+'Projected Analysis'!O19</f>
        <v>0.08</v>
      </c>
      <c r="G95" s="249">
        <v>0.05</v>
      </c>
      <c r="H95" s="249">
        <v>0.05</v>
      </c>
      <c r="I95" s="424">
        <v>0.05</v>
      </c>
      <c r="J95" s="438">
        <f>+K95*C110</f>
        <v>0.121782767954222</v>
      </c>
      <c r="K95" s="439">
        <v>0.8</v>
      </c>
    </row>
    <row r="96" spans="1:10" ht="6.75" customHeight="1">
      <c r="A96">
        <f>ROW()</f>
        <v>96</v>
      </c>
      <c r="C96" s="248"/>
      <c r="D96" s="245"/>
      <c r="E96" s="249"/>
      <c r="F96" s="249"/>
      <c r="G96" s="249"/>
      <c r="H96" s="249"/>
      <c r="I96" s="250"/>
      <c r="J96" s="249"/>
    </row>
    <row r="97" spans="1:10" ht="12.75">
      <c r="A97">
        <f>ROW()</f>
        <v>97</v>
      </c>
      <c r="B97" t="s">
        <v>229</v>
      </c>
      <c r="C97" s="361">
        <f>+(1-'Projected Analysis'!L20)</f>
        <v>0.30000000000000004</v>
      </c>
      <c r="D97" s="245">
        <f>-'Projected Analysis'!I8</f>
        <v>-1752000</v>
      </c>
      <c r="E97" s="246">
        <f aca="true" t="shared" si="7" ref="E97:J97">-$C$97*E94</f>
        <v>-1852764.0000000002</v>
      </c>
      <c r="F97" s="246">
        <f t="shared" si="7"/>
        <v>-2000985.1200000003</v>
      </c>
      <c r="G97" s="246">
        <f t="shared" si="7"/>
        <v>-2101034.3760000006</v>
      </c>
      <c r="H97" s="246">
        <f t="shared" si="7"/>
        <v>-2206086.094800001</v>
      </c>
      <c r="I97" s="247">
        <f t="shared" si="7"/>
        <v>-2316390.399540001</v>
      </c>
      <c r="J97" s="246">
        <f t="shared" si="7"/>
        <v>-2598486.8340585683</v>
      </c>
    </row>
    <row r="98" spans="1:10" ht="9" customHeight="1">
      <c r="A98">
        <f>ROW()</f>
        <v>98</v>
      </c>
      <c r="C98" s="361"/>
      <c r="D98" s="250"/>
      <c r="E98" s="249"/>
      <c r="F98" s="249"/>
      <c r="G98" s="249"/>
      <c r="H98" s="249"/>
      <c r="I98" s="250"/>
      <c r="J98" s="249"/>
    </row>
    <row r="99" spans="1:10" ht="12.75">
      <c r="A99">
        <f>ROW()</f>
        <v>99</v>
      </c>
      <c r="B99" t="s">
        <v>8</v>
      </c>
      <c r="C99" s="361">
        <f>+'Projected Analysis'!L21</f>
        <v>0.52</v>
      </c>
      <c r="D99" s="251">
        <f>-'Projected Analysis'!I10</f>
        <v>-3403000</v>
      </c>
      <c r="E99" s="252">
        <f aca="true" t="shared" si="8" ref="E99:J99">-$C$99*E94</f>
        <v>-3211457.6</v>
      </c>
      <c r="F99" s="252">
        <f t="shared" si="8"/>
        <v>-3468374.208</v>
      </c>
      <c r="G99" s="252">
        <f t="shared" si="8"/>
        <v>-3641792.918400001</v>
      </c>
      <c r="H99" s="252">
        <f t="shared" si="8"/>
        <v>-3823882.564320001</v>
      </c>
      <c r="I99" s="253">
        <f t="shared" si="8"/>
        <v>-4015076.692536001</v>
      </c>
      <c r="J99" s="334">
        <f t="shared" si="8"/>
        <v>-4504043.8457015185</v>
      </c>
    </row>
    <row r="100" spans="1:10" ht="12.75">
      <c r="A100">
        <f>ROW()</f>
        <v>100</v>
      </c>
      <c r="B100" t="s">
        <v>230</v>
      </c>
      <c r="D100" s="245">
        <f aca="true" t="shared" si="9" ref="D100:J100">+D94+D97+D99</f>
        <v>841000</v>
      </c>
      <c r="E100" s="246">
        <f t="shared" si="9"/>
        <v>1111658.4</v>
      </c>
      <c r="F100" s="246">
        <f t="shared" si="9"/>
        <v>1200591.0720000002</v>
      </c>
      <c r="G100" s="246">
        <f t="shared" si="9"/>
        <v>1260620.625599999</v>
      </c>
      <c r="H100" s="246">
        <f t="shared" si="9"/>
        <v>1323651.6568799997</v>
      </c>
      <c r="I100" s="247">
        <f t="shared" si="9"/>
        <v>1389834.239724</v>
      </c>
      <c r="J100" s="246">
        <f t="shared" si="9"/>
        <v>1559092.1004351405</v>
      </c>
    </row>
    <row r="101" spans="1:10" ht="12.75">
      <c r="A101">
        <f>ROW()</f>
        <v>101</v>
      </c>
      <c r="B101" t="s">
        <v>231</v>
      </c>
      <c r="C101" s="248">
        <f>+'Projected Analysis'!L22</f>
        <v>0.3</v>
      </c>
      <c r="D101" s="245">
        <f aca="true" t="shared" si="10" ref="D101:J101">-$C$101*D100</f>
        <v>-252300</v>
      </c>
      <c r="E101" s="246">
        <f t="shared" si="10"/>
        <v>-333497.51999999996</v>
      </c>
      <c r="F101" s="246">
        <f t="shared" si="10"/>
        <v>-360177.3216</v>
      </c>
      <c r="G101" s="246">
        <f t="shared" si="10"/>
        <v>-378186.1876799997</v>
      </c>
      <c r="H101" s="246">
        <f t="shared" si="10"/>
        <v>-397095.4970639999</v>
      </c>
      <c r="I101" s="247">
        <f t="shared" si="10"/>
        <v>-416950.2719172</v>
      </c>
      <c r="J101" s="246">
        <f t="shared" si="10"/>
        <v>-467727.63013054215</v>
      </c>
    </row>
    <row r="102" spans="1:10" ht="12.75">
      <c r="A102">
        <f>ROW()</f>
        <v>102</v>
      </c>
      <c r="B102" t="s">
        <v>232</v>
      </c>
      <c r="C102" s="248">
        <f>+'Projected Analysis'!L28</f>
        <v>0.04</v>
      </c>
      <c r="D102" s="245">
        <f>+'Projected Analysis'!I25</f>
        <v>199000</v>
      </c>
      <c r="E102" s="246">
        <f aca="true" t="shared" si="11" ref="E102:J102">+$C$102*E94</f>
        <v>247035.2</v>
      </c>
      <c r="F102" s="246">
        <f t="shared" si="11"/>
        <v>266798.016</v>
      </c>
      <c r="G102" s="246">
        <f t="shared" si="11"/>
        <v>280137.91680000006</v>
      </c>
      <c r="H102" s="246">
        <f t="shared" si="11"/>
        <v>294144.8126400001</v>
      </c>
      <c r="I102" s="247">
        <f t="shared" si="11"/>
        <v>308852.05327200005</v>
      </c>
      <c r="J102" s="246">
        <f t="shared" si="11"/>
        <v>346464.91120780905</v>
      </c>
    </row>
    <row r="103" spans="1:10" ht="12.75">
      <c r="A103">
        <f>ROW()</f>
        <v>103</v>
      </c>
      <c r="B103" t="s">
        <v>233</v>
      </c>
      <c r="C103" s="248">
        <f>+'Projected Analysis'!L29</f>
        <v>0.06</v>
      </c>
      <c r="D103" s="245">
        <f>-'Projected Analysis'!I26</f>
        <v>-350000</v>
      </c>
      <c r="E103" s="246">
        <f aca="true" t="shared" si="12" ref="E103:J103">-$C$103*E94</f>
        <v>-370552.8</v>
      </c>
      <c r="F103" s="246">
        <f t="shared" si="12"/>
        <v>-400197.02400000003</v>
      </c>
      <c r="G103" s="246">
        <f t="shared" si="12"/>
        <v>-420206.8752</v>
      </c>
      <c r="H103" s="246">
        <f t="shared" si="12"/>
        <v>-441217.2189600001</v>
      </c>
      <c r="I103" s="247">
        <f t="shared" si="12"/>
        <v>-463278.0799080001</v>
      </c>
      <c r="J103" s="246">
        <f t="shared" si="12"/>
        <v>-519697.3668117136</v>
      </c>
    </row>
    <row r="104" spans="1:10" ht="13.5" thickBot="1">
      <c r="A104">
        <f>ROW()</f>
        <v>104</v>
      </c>
      <c r="B104" t="s">
        <v>234</v>
      </c>
      <c r="D104" s="254">
        <f aca="true" t="shared" si="13" ref="D104:J104">SUM(D100:D103)</f>
        <v>437700</v>
      </c>
      <c r="E104" s="255">
        <f t="shared" si="13"/>
        <v>654643.2799999998</v>
      </c>
      <c r="F104" s="255">
        <f t="shared" si="13"/>
        <v>707014.7424000001</v>
      </c>
      <c r="G104" s="255">
        <f t="shared" si="13"/>
        <v>742365.4795199992</v>
      </c>
      <c r="H104" s="255">
        <f t="shared" si="13"/>
        <v>779483.7534959997</v>
      </c>
      <c r="I104" s="254">
        <f t="shared" si="13"/>
        <v>818457.9411708</v>
      </c>
      <c r="J104" s="335">
        <f t="shared" si="13"/>
        <v>918132.0147006938</v>
      </c>
    </row>
    <row r="105" spans="1:10" ht="7.5" customHeight="1" thickTop="1">
      <c r="A105">
        <f>ROW()</f>
        <v>105</v>
      </c>
      <c r="D105" s="246"/>
      <c r="E105" s="246"/>
      <c r="F105" s="246"/>
      <c r="G105" s="246"/>
      <c r="H105" s="246"/>
      <c r="I105" s="247"/>
      <c r="J105" s="246"/>
    </row>
    <row r="106" spans="1:10" ht="12.75">
      <c r="A106">
        <f>ROW()</f>
        <v>106</v>
      </c>
      <c r="B106" t="s">
        <v>91</v>
      </c>
      <c r="D106" s="256">
        <f>+J39</f>
        <v>1040000</v>
      </c>
      <c r="E106" s="256">
        <f aca="true" t="shared" si="14" ref="E106:J106">+E100+E102</f>
        <v>1358693.5999999999</v>
      </c>
      <c r="F106" s="256">
        <f t="shared" si="14"/>
        <v>1467389.0880000002</v>
      </c>
      <c r="G106" s="256">
        <f t="shared" si="14"/>
        <v>1540758.542399999</v>
      </c>
      <c r="H106" s="256">
        <f t="shared" si="14"/>
        <v>1617796.4695199998</v>
      </c>
      <c r="I106" s="257">
        <f>+I100+I102</f>
        <v>1698686.292996</v>
      </c>
      <c r="J106" s="256">
        <f t="shared" si="14"/>
        <v>1905557.0116429497</v>
      </c>
    </row>
    <row r="107" spans="1:10" ht="6.75" customHeight="1">
      <c r="A107">
        <f>ROW()</f>
        <v>107</v>
      </c>
      <c r="D107" s="79"/>
      <c r="E107" s="79"/>
      <c r="F107" s="79"/>
      <c r="G107" s="79"/>
      <c r="H107" s="79"/>
      <c r="I107" s="258"/>
      <c r="J107" s="79"/>
    </row>
    <row r="108" spans="1:10" ht="13.5" thickBot="1">
      <c r="A108">
        <f>ROW()</f>
        <v>108</v>
      </c>
      <c r="B108" s="259" t="s">
        <v>235</v>
      </c>
      <c r="C108" s="260" t="s">
        <v>227</v>
      </c>
      <c r="D108" s="79"/>
      <c r="E108" s="79"/>
      <c r="F108" s="79"/>
      <c r="G108" s="79"/>
      <c r="H108" s="79"/>
      <c r="I108" s="258"/>
      <c r="J108" s="79"/>
    </row>
    <row r="109" spans="1:10" ht="12.75">
      <c r="A109">
        <f>ROW()</f>
        <v>109</v>
      </c>
      <c r="B109" t="s">
        <v>236</v>
      </c>
      <c r="C109" s="214">
        <f>+D42</f>
        <v>16.736254277584084</v>
      </c>
      <c r="D109" s="261"/>
      <c r="E109" s="422" t="s">
        <v>343</v>
      </c>
      <c r="F109" s="79"/>
      <c r="G109" s="79"/>
      <c r="H109" s="79"/>
      <c r="I109" s="263">
        <f>+C109*I106</f>
        <v>28429645.737427756</v>
      </c>
      <c r="J109" s="79"/>
    </row>
    <row r="110" spans="1:10" ht="12.75">
      <c r="A110">
        <f>ROW()</f>
        <v>110</v>
      </c>
      <c r="B110" t="s">
        <v>237</v>
      </c>
      <c r="C110" s="291">
        <f>+H82</f>
        <v>0.15222845994277748</v>
      </c>
      <c r="D110" s="264"/>
      <c r="E110" s="422" t="s">
        <v>342</v>
      </c>
      <c r="F110" s="79"/>
      <c r="G110" s="79"/>
      <c r="H110" s="79"/>
      <c r="I110" s="247">
        <f>+J104/(C110-J95)</f>
        <v>30156385.180728327</v>
      </c>
      <c r="J110" s="79"/>
    </row>
    <row r="111" spans="1:10" ht="12.75">
      <c r="A111">
        <f>ROW()</f>
        <v>111</v>
      </c>
      <c r="B111" t="s">
        <v>125</v>
      </c>
      <c r="D111" s="79"/>
      <c r="E111" s="79"/>
      <c r="F111" s="79"/>
      <c r="G111" s="79"/>
      <c r="H111" s="79"/>
      <c r="I111" s="300">
        <f>+(I109+I110)/2</f>
        <v>29293015.459078044</v>
      </c>
      <c r="J111" s="79"/>
    </row>
    <row r="112" spans="1:10" ht="12.75">
      <c r="A112">
        <f>ROW()</f>
        <v>112</v>
      </c>
      <c r="B112" t="s">
        <v>238</v>
      </c>
      <c r="D112" s="265"/>
      <c r="E112" s="79"/>
      <c r="F112" s="79"/>
      <c r="G112" s="79"/>
      <c r="H112" s="79"/>
      <c r="I112" s="263">
        <f>-D130*0.75</f>
        <v>-1828500</v>
      </c>
      <c r="J112" s="262" t="s">
        <v>315</v>
      </c>
    </row>
    <row r="113" spans="1:10" ht="12.75">
      <c r="A113">
        <f>ROW()</f>
        <v>113</v>
      </c>
      <c r="B113" t="s">
        <v>268</v>
      </c>
      <c r="D113" s="265"/>
      <c r="E113" s="79"/>
      <c r="F113" s="79"/>
      <c r="G113" s="79"/>
      <c r="H113" s="79"/>
      <c r="I113" s="301">
        <v>0</v>
      </c>
      <c r="J113" s="79"/>
    </row>
    <row r="114" spans="1:10" ht="12.75">
      <c r="A114">
        <f>ROW()</f>
        <v>114</v>
      </c>
      <c r="B114" t="s">
        <v>239</v>
      </c>
      <c r="D114" s="79"/>
      <c r="E114" s="79"/>
      <c r="F114" s="79"/>
      <c r="G114" s="79"/>
      <c r="H114" s="79"/>
      <c r="I114" s="263">
        <f>+I112+I111</f>
        <v>27464515.459078044</v>
      </c>
      <c r="J114" s="79"/>
    </row>
    <row r="115" spans="1:10" ht="12.75">
      <c r="A115">
        <f>ROW()</f>
        <v>115</v>
      </c>
      <c r="D115" s="79"/>
      <c r="E115" s="79"/>
      <c r="F115" s="79"/>
      <c r="G115" s="79"/>
      <c r="H115" s="79"/>
      <c r="I115" s="258"/>
      <c r="J115" s="79"/>
    </row>
    <row r="116" spans="1:10" ht="12.75">
      <c r="A116">
        <f>ROW()</f>
        <v>116</v>
      </c>
      <c r="B116" t="s">
        <v>240</v>
      </c>
      <c r="D116" s="256"/>
      <c r="E116" s="256">
        <f>+E104</f>
        <v>654643.2799999998</v>
      </c>
      <c r="F116" s="256">
        <f>+F104</f>
        <v>707014.7424000001</v>
      </c>
      <c r="G116" s="256">
        <f>+G104</f>
        <v>742365.4795199992</v>
      </c>
      <c r="H116" s="256">
        <f>+H104</f>
        <v>779483.7534959997</v>
      </c>
      <c r="I116" s="257">
        <f>+I114+I104</f>
        <v>28282973.400248844</v>
      </c>
      <c r="J116" s="79"/>
    </row>
    <row r="117" spans="1:10" ht="12.75">
      <c r="A117">
        <f>ROW()</f>
        <v>117</v>
      </c>
      <c r="D117" s="265"/>
      <c r="E117" s="267" t="s">
        <v>241</v>
      </c>
      <c r="F117" s="267" t="s">
        <v>241</v>
      </c>
      <c r="G117" s="267" t="s">
        <v>241</v>
      </c>
      <c r="H117" s="267" t="s">
        <v>241</v>
      </c>
      <c r="I117" s="302" t="s">
        <v>241</v>
      </c>
      <c r="J117" s="79"/>
    </row>
    <row r="118" spans="1:10" ht="15.75" thickBot="1">
      <c r="A118">
        <f>ROW()</f>
        <v>118</v>
      </c>
      <c r="B118" s="266" t="s">
        <v>242</v>
      </c>
      <c r="C118" s="338" t="s">
        <v>312</v>
      </c>
      <c r="D118" s="265"/>
      <c r="E118" s="292">
        <f>1/((1+$F$80)^E91)</f>
        <v>0.8583690987124464</v>
      </c>
      <c r="F118" s="292">
        <f>1/((1+$F$80)^F91)</f>
        <v>0.7367975096244174</v>
      </c>
      <c r="G118" s="292">
        <f>1/((1+$F$80)^G91)</f>
        <v>0.6324442142698862</v>
      </c>
      <c r="H118" s="292">
        <f>1/((1+$F$80)^H91)</f>
        <v>0.5428705701887434</v>
      </c>
      <c r="I118" s="293">
        <f>1/((1+$F$80)^I91)</f>
        <v>0.46598332205042353</v>
      </c>
      <c r="J118" s="79"/>
    </row>
    <row r="119" spans="1:10" ht="12.75">
      <c r="A119">
        <f>ROW()</f>
        <v>119</v>
      </c>
      <c r="C119" s="266"/>
      <c r="D119" s="265"/>
      <c r="E119" s="267" t="s">
        <v>243</v>
      </c>
      <c r="F119" s="267" t="s">
        <v>243</v>
      </c>
      <c r="G119" s="267" t="s">
        <v>243</v>
      </c>
      <c r="H119" s="267" t="s">
        <v>243</v>
      </c>
      <c r="I119" s="267" t="s">
        <v>243</v>
      </c>
      <c r="J119" s="79"/>
    </row>
    <row r="120" spans="1:3" ht="12.75">
      <c r="A120">
        <f>ROW()</f>
        <v>120</v>
      </c>
      <c r="C120" s="266"/>
    </row>
    <row r="121" spans="1:5" ht="12.75">
      <c r="A121">
        <f>ROW()</f>
        <v>121</v>
      </c>
      <c r="C121" s="266" t="s">
        <v>244</v>
      </c>
      <c r="D121" s="268">
        <f>+E118*E116</f>
        <v>561925.5622317595</v>
      </c>
      <c r="E121" s="269"/>
    </row>
    <row r="122" spans="1:4" ht="12.75">
      <c r="A122">
        <f>ROW()</f>
        <v>122</v>
      </c>
      <c r="C122" s="266" t="s">
        <v>245</v>
      </c>
      <c r="D122" s="268">
        <f>+F118*F116</f>
        <v>520926.70146806905</v>
      </c>
    </row>
    <row r="123" spans="1:4" ht="12.75">
      <c r="A123">
        <f>ROW()</f>
        <v>123</v>
      </c>
      <c r="C123" s="266" t="s">
        <v>246</v>
      </c>
      <c r="D123" s="268">
        <f>+G118*G116</f>
        <v>469504.7523961132</v>
      </c>
    </row>
    <row r="124" spans="1:4" ht="12.75">
      <c r="A124">
        <f>ROW()</f>
        <v>124</v>
      </c>
      <c r="C124" s="266" t="s">
        <v>247</v>
      </c>
      <c r="D124" s="268">
        <f>+H118*H116</f>
        <v>423158.7897132353</v>
      </c>
    </row>
    <row r="125" spans="1:4" ht="12.75">
      <c r="A125">
        <f>ROW()</f>
        <v>125</v>
      </c>
      <c r="C125" s="266" t="s">
        <v>248</v>
      </c>
      <c r="D125" s="268">
        <f>+I118*I116</f>
        <v>13179393.90251172</v>
      </c>
    </row>
    <row r="126" spans="1:5" ht="13.5" thickBot="1">
      <c r="A126">
        <f>ROW()</f>
        <v>126</v>
      </c>
      <c r="C126" s="266" t="s">
        <v>263</v>
      </c>
      <c r="D126" s="270">
        <f>SUM(D120:D125)</f>
        <v>15154909.708320897</v>
      </c>
      <c r="E126" s="271" t="s">
        <v>267</v>
      </c>
    </row>
    <row r="127" spans="1:5" ht="13.5" thickTop="1">
      <c r="A127">
        <f>ROW()</f>
        <v>127</v>
      </c>
      <c r="C127" s="266"/>
      <c r="D127" s="272"/>
      <c r="E127" s="271"/>
    </row>
    <row r="128" spans="1:5" ht="12.75">
      <c r="A128">
        <f>ROW()</f>
        <v>128</v>
      </c>
      <c r="C128" s="273" t="s">
        <v>249</v>
      </c>
      <c r="D128" s="274" t="s">
        <v>250</v>
      </c>
      <c r="E128" s="275"/>
    </row>
    <row r="129" spans="1:4" ht="12.75">
      <c r="A129">
        <f>ROW()</f>
        <v>129</v>
      </c>
      <c r="C129" s="169" t="s">
        <v>251</v>
      </c>
      <c r="D129" s="268">
        <f>+D126</f>
        <v>15154909.708320897</v>
      </c>
    </row>
    <row r="130" spans="1:4" ht="12.75">
      <c r="A130">
        <f>ROW()</f>
        <v>130</v>
      </c>
      <c r="C130" s="276" t="s">
        <v>316</v>
      </c>
      <c r="D130" s="277">
        <f>+G18</f>
        <v>2438000</v>
      </c>
    </row>
    <row r="131" spans="1:4" ht="13.5" thickBot="1">
      <c r="A131">
        <f>ROW()</f>
        <v>131</v>
      </c>
      <c r="C131" s="276" t="s">
        <v>317</v>
      </c>
      <c r="D131" s="277">
        <f>-H18</f>
        <v>-514000</v>
      </c>
    </row>
    <row r="132" spans="1:4" ht="14.25" customHeight="1" thickBot="1">
      <c r="A132">
        <f>ROW()</f>
        <v>132</v>
      </c>
      <c r="B132" s="203" t="s">
        <v>287</v>
      </c>
      <c r="C132" s="278"/>
      <c r="D132" s="215">
        <f>+D130+D129+D131</f>
        <v>17078909.708320897</v>
      </c>
    </row>
    <row r="133" spans="1:3" ht="12.75">
      <c r="A133">
        <f>ROW()</f>
        <v>133</v>
      </c>
      <c r="B133" s="169"/>
      <c r="C133" s="75"/>
    </row>
    <row r="134" spans="1:4" ht="20.25">
      <c r="A134">
        <f>ROW()</f>
        <v>134</v>
      </c>
      <c r="B134" s="294" t="s">
        <v>252</v>
      </c>
      <c r="D134" s="79"/>
    </row>
    <row r="135" spans="1:4" ht="12.75">
      <c r="A135">
        <f>ROW()</f>
        <v>135</v>
      </c>
      <c r="B135" s="79"/>
      <c r="C135" s="79"/>
      <c r="D135" s="79"/>
    </row>
    <row r="136" spans="1:3" ht="21" thickBot="1">
      <c r="A136">
        <f>ROW()</f>
        <v>136</v>
      </c>
      <c r="B136" s="279" t="s">
        <v>150</v>
      </c>
      <c r="C136" s="79"/>
    </row>
    <row r="137" spans="1:8" ht="9" customHeight="1" thickBot="1">
      <c r="A137">
        <f>ROW()</f>
        <v>137</v>
      </c>
      <c r="B137" s="280"/>
      <c r="C137" s="77"/>
      <c r="D137" s="77"/>
      <c r="E137" s="77"/>
      <c r="F137" s="77"/>
      <c r="G137" s="77"/>
      <c r="H137" s="281"/>
    </row>
    <row r="138" spans="1:8" ht="13.5" thickBot="1">
      <c r="A138">
        <f>ROW()</f>
        <v>138</v>
      </c>
      <c r="B138" s="282"/>
      <c r="C138" s="282" t="s">
        <v>253</v>
      </c>
      <c r="D138" s="282" t="s">
        <v>254</v>
      </c>
      <c r="E138" s="282" t="s">
        <v>255</v>
      </c>
      <c r="F138" s="282" t="s">
        <v>256</v>
      </c>
      <c r="G138" s="282" t="s">
        <v>257</v>
      </c>
      <c r="H138" s="283" t="s">
        <v>258</v>
      </c>
    </row>
    <row r="139" spans="1:8" ht="12.75">
      <c r="A139">
        <f>ROW()</f>
        <v>139</v>
      </c>
      <c r="B139" s="284" t="s">
        <v>259</v>
      </c>
      <c r="C139" s="285">
        <f>+C20</f>
        <v>15742520.399999999</v>
      </c>
      <c r="D139" s="285">
        <f>+$D$130</f>
        <v>2438000</v>
      </c>
      <c r="E139" s="285">
        <f>+H18</f>
        <v>514000</v>
      </c>
      <c r="F139" s="285">
        <f>+C139-D139+E139</f>
        <v>13818520.399999999</v>
      </c>
      <c r="G139" s="285">
        <f>+$E$18</f>
        <v>178580</v>
      </c>
      <c r="H139" s="303">
        <f>+F139/G139</f>
        <v>77.38</v>
      </c>
    </row>
    <row r="140" spans="1:8" ht="12.75">
      <c r="A140">
        <f>ROW()</f>
        <v>140</v>
      </c>
      <c r="B140" s="284"/>
      <c r="C140" s="285"/>
      <c r="D140" s="285"/>
      <c r="E140" s="285"/>
      <c r="F140" s="285"/>
      <c r="G140" s="285"/>
      <c r="H140" s="303"/>
    </row>
    <row r="141" spans="1:8" ht="12.75">
      <c r="A141">
        <f>ROW()</f>
        <v>141</v>
      </c>
      <c r="B141" s="286" t="s">
        <v>260</v>
      </c>
      <c r="C141" s="287">
        <f>+C44</f>
        <v>17405704.44868745</v>
      </c>
      <c r="D141" s="285">
        <f>+$D$130</f>
        <v>2438000</v>
      </c>
      <c r="E141" s="285">
        <f>+$H$39</f>
        <v>514000</v>
      </c>
      <c r="F141" s="285">
        <f>+C141-D141+E141</f>
        <v>15481704.44868745</v>
      </c>
      <c r="G141" s="285">
        <f>+$E$18</f>
        <v>178580</v>
      </c>
      <c r="H141" s="303">
        <f>+F141/G141</f>
        <v>86.69338363023546</v>
      </c>
    </row>
    <row r="142" spans="1:8" ht="12.75">
      <c r="A142">
        <f>ROW()</f>
        <v>142</v>
      </c>
      <c r="B142" s="286" t="s">
        <v>261</v>
      </c>
      <c r="C142" s="287">
        <f>+C73</f>
        <v>13715310.688170278</v>
      </c>
      <c r="D142" s="285">
        <f>+$D$130</f>
        <v>2438000</v>
      </c>
      <c r="E142" s="285">
        <f>+$H$39</f>
        <v>514000</v>
      </c>
      <c r="F142" s="285">
        <f>+C142-D142+E142</f>
        <v>11791310.688170278</v>
      </c>
      <c r="G142" s="285">
        <f>+$E$18</f>
        <v>178580</v>
      </c>
      <c r="H142" s="303">
        <f>+F142/G142</f>
        <v>66.02817050156948</v>
      </c>
    </row>
    <row r="143" spans="1:8" ht="12.75">
      <c r="A143">
        <f>ROW()</f>
        <v>143</v>
      </c>
      <c r="B143" s="284" t="s">
        <v>262</v>
      </c>
      <c r="C143" s="285">
        <f>+D132</f>
        <v>17078909.708320897</v>
      </c>
      <c r="D143" s="285">
        <f>+$D$130</f>
        <v>2438000</v>
      </c>
      <c r="E143" s="285">
        <f>+$H$39</f>
        <v>514000</v>
      </c>
      <c r="F143" s="285">
        <f>+C143-D143+E143</f>
        <v>15154909.708320897</v>
      </c>
      <c r="G143" s="285">
        <f>+$E$18</f>
        <v>178580</v>
      </c>
      <c r="H143" s="303">
        <f>+F143/G143</f>
        <v>84.86342092239275</v>
      </c>
    </row>
    <row r="144" spans="1:8" ht="12.75">
      <c r="A144">
        <f>ROW()</f>
        <v>144</v>
      </c>
      <c r="B144" s="78"/>
      <c r="C144" s="265"/>
      <c r="D144" s="265"/>
      <c r="E144" s="265"/>
      <c r="F144" s="265"/>
      <c r="G144" s="265"/>
      <c r="H144" s="304"/>
    </row>
    <row r="145" spans="1:8" ht="13.5" thickBot="1">
      <c r="A145">
        <f>ROW()</f>
        <v>145</v>
      </c>
      <c r="B145" s="423" t="s">
        <v>340</v>
      </c>
      <c r="C145" s="288">
        <f>AVERAGE(C139:C143)</f>
        <v>15985611.311294656</v>
      </c>
      <c r="D145" s="288">
        <f>AVERAGE(D139:D143)</f>
        <v>2438000</v>
      </c>
      <c r="E145" s="288">
        <f>AVERAGE(E139:E143)</f>
        <v>514000</v>
      </c>
      <c r="F145" s="288">
        <f>AVERAGE(F139:F143)</f>
        <v>14061611.311294656</v>
      </c>
      <c r="G145" s="288"/>
      <c r="H145" s="305">
        <f>AVERAGE(H138:H143)</f>
        <v>78.74124376354942</v>
      </c>
    </row>
    <row r="146" spans="1:8" ht="14.25" thickBot="1" thickTop="1">
      <c r="A146">
        <f>ROW()</f>
        <v>146</v>
      </c>
      <c r="B146" s="83"/>
      <c r="C146" s="84"/>
      <c r="D146" s="84"/>
      <c r="E146" s="84"/>
      <c r="F146" s="84"/>
      <c r="G146" s="84"/>
      <c r="H146" s="289"/>
    </row>
    <row r="147" ht="12.75">
      <c r="B147" s="79"/>
    </row>
    <row r="151" spans="5:11" ht="12.75">
      <c r="E151" s="202"/>
      <c r="G151" s="202"/>
      <c r="H151" s="202"/>
      <c r="I151" s="202"/>
      <c r="J151" s="202"/>
      <c r="K151" s="202"/>
    </row>
    <row r="152" spans="5:11" ht="12.75">
      <c r="E152" s="202"/>
      <c r="G152" s="202"/>
      <c r="H152" s="202"/>
      <c r="I152" s="202"/>
      <c r="J152" s="202"/>
      <c r="K152" s="202"/>
    </row>
    <row r="153" spans="5:11" ht="12.75">
      <c r="E153" s="202"/>
      <c r="G153" s="202"/>
      <c r="H153" s="202"/>
      <c r="I153" s="202"/>
      <c r="J153" s="202"/>
      <c r="K153" s="202"/>
    </row>
    <row r="154" spans="5:11" ht="12.75">
      <c r="E154" s="202"/>
      <c r="G154" s="202"/>
      <c r="H154" s="202"/>
      <c r="I154" s="202"/>
      <c r="J154" s="202"/>
      <c r="K154" s="202"/>
    </row>
    <row r="155" spans="5:11" ht="12.75">
      <c r="E155" s="202"/>
      <c r="G155" s="202"/>
      <c r="H155" s="202"/>
      <c r="I155" s="202"/>
      <c r="J155" s="202"/>
      <c r="K155" s="202"/>
    </row>
    <row r="156" spans="5:7" ht="12.75">
      <c r="E156" s="202"/>
      <c r="G156" s="202"/>
    </row>
    <row r="157" ht="12.75">
      <c r="E157" s="202"/>
    </row>
    <row r="158" ht="12.75">
      <c r="E158" s="202"/>
    </row>
    <row r="159" ht="12.75">
      <c r="E159" s="202"/>
    </row>
    <row r="160" ht="12.75">
      <c r="E160" s="202"/>
    </row>
    <row r="161" ht="12.75">
      <c r="E161" s="202"/>
    </row>
    <row r="162" ht="12.75">
      <c r="E162" s="202"/>
    </row>
    <row r="163" ht="12.75">
      <c r="E163" s="202"/>
    </row>
    <row r="164" ht="12.75">
      <c r="E164" s="202"/>
    </row>
    <row r="165" ht="12.75">
      <c r="E165" s="202"/>
    </row>
    <row r="166" ht="12.75">
      <c r="E166" s="202"/>
    </row>
    <row r="167" ht="12.75">
      <c r="E167" s="202"/>
    </row>
    <row r="168" ht="12.75">
      <c r="E168" s="202"/>
    </row>
    <row r="169" ht="12.75">
      <c r="E169" s="202"/>
    </row>
    <row r="170" ht="12.75">
      <c r="E170" s="202"/>
    </row>
    <row r="171" ht="12.75">
      <c r="E171" s="202"/>
    </row>
    <row r="172" ht="12.75">
      <c r="E172" s="202"/>
    </row>
    <row r="173" ht="12.75">
      <c r="E173" s="202"/>
    </row>
    <row r="174" ht="12.75">
      <c r="E174" s="202"/>
    </row>
    <row r="175" ht="12.75">
      <c r="E175" s="202"/>
    </row>
    <row r="176" ht="12.75">
      <c r="E176" s="202"/>
    </row>
    <row r="177" ht="12.75">
      <c r="E177" s="202"/>
    </row>
    <row r="178" ht="12.75">
      <c r="E178" s="202"/>
    </row>
    <row r="179" ht="12.75">
      <c r="E179" s="202"/>
    </row>
    <row r="180" ht="12.75">
      <c r="E180" s="202"/>
    </row>
    <row r="181" ht="12.75">
      <c r="E181" s="202"/>
    </row>
    <row r="182" ht="12.75">
      <c r="E182" s="202"/>
    </row>
    <row r="183" ht="12.75">
      <c r="E183" s="202"/>
    </row>
    <row r="184" ht="12.75">
      <c r="E184" s="202"/>
    </row>
    <row r="185" ht="12.75">
      <c r="E185" s="202"/>
    </row>
    <row r="186" ht="12.75">
      <c r="E186" s="202"/>
    </row>
  </sheetData>
  <sheetProtection/>
  <printOptions/>
  <pageMargins left="0.31" right="0.2" top="0.63" bottom="1" header="0.39" footer="0.5"/>
  <pageSetup horizontalDpi="600" verticalDpi="600" orientation="landscape" scale="75" r:id="rId2"/>
  <headerFooter alignWithMargins="0">
    <oddFooter>&amp;L&amp;P</oddFooter>
  </headerFooter>
  <rowBreaks count="3" manualBreakCount="3">
    <brk id="46" max="255" man="1"/>
    <brk id="76" max="255" man="1"/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Christakis Droussiotis</cp:lastModifiedBy>
  <cp:lastPrinted>2014-10-02T18:58:33Z</cp:lastPrinted>
  <dcterms:created xsi:type="dcterms:W3CDTF">2007-04-16T14:04:59Z</dcterms:created>
  <dcterms:modified xsi:type="dcterms:W3CDTF">2015-02-10T16:26:31Z</dcterms:modified>
  <cp:category/>
  <cp:version/>
  <cp:contentType/>
  <cp:contentStatus/>
</cp:coreProperties>
</file>