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COLUMBIA/Columbia Pre-Collage Program/"/>
    </mc:Choice>
  </mc:AlternateContent>
  <xr:revisionPtr revIDLastSave="7" documentId="8_{198B9C51-D763-458C-A8BF-80B9FDCEE416}" xr6:coauthVersionLast="47" xr6:coauthVersionMax="47" xr10:uidLastSave="{A768AA81-0F7A-4BCC-82D8-437AE34A4EB5}"/>
  <bookViews>
    <workbookView xWindow="28680" yWindow="-120" windowWidth="29040" windowHeight="15720" xr2:uid="{C95FE93B-FCE9-43EF-87DB-4184B746519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0" i="1"/>
  <c r="C8" i="1"/>
  <c r="C7" i="1"/>
  <c r="H9" i="1"/>
  <c r="F9" i="1"/>
  <c r="E10" i="1"/>
  <c r="D10" i="1"/>
  <c r="E9" i="1"/>
  <c r="D9" i="1"/>
  <c r="D8" i="1"/>
  <c r="E8" i="1"/>
  <c r="D7" i="1"/>
  <c r="E7" i="1"/>
  <c r="F8" i="1"/>
  <c r="F10" i="1"/>
  <c r="F7" i="1"/>
  <c r="G10" i="1"/>
  <c r="G9" i="1"/>
  <c r="G8" i="1"/>
  <c r="G7" i="1"/>
  <c r="H5" i="1"/>
  <c r="G5" i="1"/>
  <c r="F5" i="1"/>
  <c r="E5" i="1"/>
  <c r="D5" i="1"/>
  <c r="H10" i="1"/>
  <c r="C9" i="1"/>
  <c r="H8" i="1"/>
  <c r="H7" i="1"/>
  <c r="C5" i="1"/>
  <c r="K56" i="1"/>
  <c r="J56" i="1"/>
  <c r="I56" i="1"/>
  <c r="H56" i="1"/>
  <c r="G56" i="1"/>
  <c r="F56" i="1"/>
  <c r="E56" i="1"/>
  <c r="D56" i="1"/>
  <c r="C56" i="1"/>
  <c r="B56" i="1"/>
  <c r="A56" i="1"/>
  <c r="C87" i="1"/>
  <c r="F87" i="1"/>
  <c r="G87" i="1"/>
  <c r="H87" i="1"/>
  <c r="E87" i="1"/>
  <c r="I85" i="1"/>
  <c r="I83" i="1"/>
  <c r="B83" i="1"/>
  <c r="J94" i="1"/>
  <c r="J93" i="1"/>
  <c r="J92" i="1"/>
  <c r="I93" i="1"/>
  <c r="I92" i="1"/>
  <c r="H93" i="1"/>
  <c r="H92" i="1"/>
  <c r="B100" i="1"/>
  <c r="B98" i="1"/>
  <c r="G94" i="1"/>
  <c r="G93" i="1"/>
  <c r="G92" i="1"/>
  <c r="F94" i="1"/>
  <c r="F93" i="1"/>
  <c r="F92" i="1"/>
  <c r="I79" i="1"/>
  <c r="I78" i="1"/>
  <c r="J75" i="1"/>
  <c r="I75" i="1"/>
  <c r="H75" i="1"/>
  <c r="G75" i="1"/>
  <c r="F75" i="1"/>
  <c r="E75" i="1"/>
  <c r="J74" i="1"/>
  <c r="I74" i="1"/>
  <c r="H74" i="1"/>
  <c r="G74" i="1"/>
  <c r="F74" i="1"/>
  <c r="J73" i="1"/>
  <c r="I73" i="1"/>
  <c r="H73" i="1"/>
  <c r="G73" i="1"/>
  <c r="F73" i="1"/>
  <c r="J70" i="1"/>
  <c r="I70" i="1"/>
  <c r="I71" i="1" s="1"/>
  <c r="H70" i="1"/>
  <c r="H71" i="1" s="1"/>
  <c r="G70" i="1"/>
  <c r="F70" i="1"/>
  <c r="F71" i="1" s="1"/>
  <c r="J69" i="1"/>
  <c r="J71" i="1" s="1"/>
  <c r="I69" i="1"/>
  <c r="H69" i="1"/>
  <c r="G69" i="1"/>
  <c r="G71" i="1" s="1"/>
  <c r="F69" i="1"/>
  <c r="E74" i="1"/>
  <c r="E73" i="1"/>
  <c r="O73" i="1"/>
  <c r="O74" i="1"/>
  <c r="O75" i="1"/>
  <c r="E69" i="1"/>
  <c r="E70" i="1"/>
  <c r="O70" i="1"/>
  <c r="O69" i="1"/>
  <c r="F67" i="1"/>
  <c r="G67" i="1" s="1"/>
  <c r="H67" i="1" s="1"/>
  <c r="I67" i="1" s="1"/>
  <c r="J67" i="1" s="1"/>
  <c r="E67" i="1"/>
  <c r="B42" i="1"/>
  <c r="B43" i="1"/>
  <c r="B41" i="1"/>
  <c r="B40" i="1"/>
  <c r="E35" i="1"/>
  <c r="E34" i="1"/>
  <c r="E26" i="1"/>
  <c r="H26" i="1" s="1"/>
  <c r="B93" i="1"/>
  <c r="B92" i="1"/>
  <c r="J66" i="1"/>
  <c r="I66" i="1"/>
  <c r="H66" i="1"/>
  <c r="G66" i="1"/>
  <c r="F66" i="1"/>
  <c r="E66" i="1"/>
  <c r="D66" i="1"/>
  <c r="C66" i="1"/>
  <c r="B66" i="1"/>
  <c r="G47" i="1"/>
  <c r="F47" i="1"/>
  <c r="C47" i="1"/>
  <c r="B34" i="1"/>
  <c r="AA6" i="1"/>
  <c r="Z6" i="1"/>
  <c r="Y6" i="1"/>
  <c r="X6" i="1"/>
  <c r="W6" i="1"/>
  <c r="AA5" i="1"/>
  <c r="Z5" i="1"/>
  <c r="Y5" i="1"/>
  <c r="X5" i="1"/>
  <c r="W5" i="1"/>
  <c r="J72" i="1" l="1"/>
  <c r="J76" i="1" s="1"/>
  <c r="H72" i="1"/>
  <c r="H76" i="1"/>
  <c r="F72" i="1"/>
  <c r="F76" i="1" s="1"/>
  <c r="G72" i="1"/>
  <c r="G76" i="1" s="1"/>
  <c r="I72" i="1"/>
  <c r="I76" i="1" s="1"/>
  <c r="E71" i="1"/>
  <c r="E72" i="1" s="1"/>
  <c r="K58" i="1"/>
  <c r="B35" i="1"/>
  <c r="W7" i="1"/>
  <c r="B95" i="1"/>
  <c r="B87" i="1" s="1"/>
  <c r="X7" i="1"/>
  <c r="Y7" i="1"/>
  <c r="Z7" i="1"/>
  <c r="AA7" i="1"/>
  <c r="E76" i="1" l="1"/>
  <c r="J58" i="1"/>
  <c r="I82" i="1" l="1"/>
  <c r="I84" i="1" s="1"/>
  <c r="I86" i="1" s="1"/>
  <c r="I87" i="1" s="1"/>
  <c r="D88" i="1" s="1"/>
  <c r="D89" i="1" s="1"/>
  <c r="C58" i="1"/>
  <c r="B60" i="1" s="1"/>
  <c r="E58" i="1" s="1"/>
</calcChain>
</file>

<file path=xl/sharedStrings.xml><?xml version="1.0" encoding="utf-8"?>
<sst xmlns="http://schemas.openxmlformats.org/spreadsheetml/2006/main" count="165" uniqueCount="145">
  <si>
    <t>VALUATION ANALYSIS</t>
  </si>
  <si>
    <t>Financial Statement Date:</t>
  </si>
  <si>
    <t>HISTORICAL  INFORMATION</t>
  </si>
  <si>
    <t>ENTERPRISE VALUATION ANALYSIS</t>
  </si>
  <si>
    <t>INCOME STATEMENT</t>
  </si>
  <si>
    <t>LTM</t>
  </si>
  <si>
    <t>EV
(000's)</t>
  </si>
  <si>
    <t>Debt
(000's)</t>
  </si>
  <si>
    <t>Cash
(000's)</t>
  </si>
  <si>
    <t>Eq Value
(000's)</t>
  </si>
  <si>
    <t>Shares Outs
(000's)</t>
  </si>
  <si>
    <t>Stock 
Price</t>
  </si>
  <si>
    <t>Recommend</t>
  </si>
  <si>
    <t>(000's)</t>
  </si>
  <si>
    <t>METHOD #1 - Market Value / Using the Stock Price</t>
  </si>
  <si>
    <t>Revenue</t>
  </si>
  <si>
    <t>Cost of Revenue</t>
  </si>
  <si>
    <t xml:space="preserve"> Gross Profit</t>
  </si>
  <si>
    <t xml:space="preserve">  Average of other methods</t>
  </si>
  <si>
    <t>Company</t>
  </si>
  <si>
    <t>Symbol</t>
  </si>
  <si>
    <t>Stock Price</t>
  </si>
  <si>
    <t>Stocks Outstanding ($000)</t>
  </si>
  <si>
    <t>Equity 
Value
 ($000)</t>
  </si>
  <si>
    <t>Debt 
(ST&amp;LT)
($000)</t>
  </si>
  <si>
    <t>Cash
 ($000)</t>
  </si>
  <si>
    <t>Enterprise Value 
($000)</t>
  </si>
  <si>
    <t>Choice Hotels International</t>
  </si>
  <si>
    <t>CHH</t>
  </si>
  <si>
    <t>Fairmont Hotels &amp; Resorts</t>
  </si>
  <si>
    <t>FHR</t>
  </si>
  <si>
    <t>Hilton Hotels</t>
  </si>
  <si>
    <t>HLT</t>
  </si>
  <si>
    <t>John Q. Hammons Hotels</t>
  </si>
  <si>
    <t>JQH</t>
  </si>
  <si>
    <t>La-Quinta Corp</t>
  </si>
  <si>
    <t>LQI</t>
  </si>
  <si>
    <t>Marcus Corporation</t>
  </si>
  <si>
    <t>MCS</t>
  </si>
  <si>
    <t>Marriott International</t>
  </si>
  <si>
    <t>MAR</t>
  </si>
  <si>
    <t>Orient Express Hotels Ltd</t>
  </si>
  <si>
    <t>OEH</t>
  </si>
  <si>
    <t>Total Debt</t>
  </si>
  <si>
    <t>Using CAPM = k = Rf + ( Beta * Premium )</t>
  </si>
  <si>
    <t>Intrinsic Value = V0 = [ E(D1) + E (P1)] / (1+k)</t>
  </si>
  <si>
    <t>Risk Free (10-year Tresury) =</t>
  </si>
  <si>
    <t>D1=</t>
  </si>
  <si>
    <t>Beta =</t>
  </si>
  <si>
    <t>Market Premium=</t>
  </si>
  <si>
    <t>Exp (P1)=</t>
  </si>
  <si>
    <t>Market Return (Rf + Premium)=</t>
  </si>
  <si>
    <t>k=</t>
  </si>
  <si>
    <t>Expected Equity Return using CAPM=</t>
  </si>
  <si>
    <t>Stock Val=</t>
  </si>
  <si>
    <t>Constant-Growth DDM (Gordon Model) V0 = D1 / (k-g)</t>
  </si>
  <si>
    <t>Expected HPR = E 9r) = [E (d1) + (E(p1) - P0) / P0</t>
  </si>
  <si>
    <t>D1 =</t>
  </si>
  <si>
    <t>Dividend (d1)</t>
  </si>
  <si>
    <t>Expected Equity Return (k)=</t>
  </si>
  <si>
    <t>P1 = P0+D</t>
  </si>
  <si>
    <t>Expected Growth (g) =</t>
  </si>
  <si>
    <t>Stock Val =</t>
  </si>
  <si>
    <t>Equity Value
 ($000)</t>
  </si>
  <si>
    <t>EBITDA 
($000)</t>
  </si>
  <si>
    <t>EBITDA Multiple</t>
  </si>
  <si>
    <t>Beta</t>
  </si>
  <si>
    <t>EBITDA * Average Multiple Industry</t>
  </si>
  <si>
    <t xml:space="preserve"> Stock Val=</t>
  </si>
  <si>
    <t>Average</t>
  </si>
  <si>
    <t xml:space="preserve">  year =</t>
  </si>
  <si>
    <t xml:space="preserve">HISTORICAL </t>
  </si>
  <si>
    <t>PROJECTED</t>
  </si>
  <si>
    <t>EXIT YEAR</t>
  </si>
  <si>
    <t>Revenues</t>
  </si>
  <si>
    <t xml:space="preserve">  Revenue Growth</t>
  </si>
  <si>
    <t>Cost of Revenues (CoGS)</t>
  </si>
  <si>
    <t>Operating Expenses (Excl. Non-rec.)</t>
  </si>
  <si>
    <t xml:space="preserve"> EBIT</t>
  </si>
  <si>
    <t>EBITDA</t>
  </si>
  <si>
    <t>Less Taxes (tax rate x of EBIT)</t>
  </si>
  <si>
    <t>Plus Depreciation</t>
  </si>
  <si>
    <t>Less Working Capital</t>
  </si>
  <si>
    <t xml:space="preserve">Less Capex </t>
  </si>
  <si>
    <t>Cash Flow</t>
  </si>
  <si>
    <t>Debt (assuming 5% reduction of intial principal per year)</t>
  </si>
  <si>
    <t>Terminal Value</t>
  </si>
  <si>
    <t>Assumptions</t>
  </si>
  <si>
    <t>Growth</t>
  </si>
  <si>
    <t xml:space="preserve">  EBITDA Multiple Method</t>
  </si>
  <si>
    <t>Exit year's EBITDA x Trading Multiple</t>
  </si>
  <si>
    <t xml:space="preserve">  Perpetuity Method </t>
  </si>
  <si>
    <t>WACC</t>
  </si>
  <si>
    <t>Next Year's CF / (WACC - growth)</t>
  </si>
  <si>
    <t>Less Debt Outstanding (at Exit)</t>
  </si>
  <si>
    <t>Equity Value at Terminal</t>
  </si>
  <si>
    <t>Equity Cash Flows</t>
  </si>
  <si>
    <t>Hyatt's EquityValue</t>
  </si>
  <si>
    <t xml:space="preserve">Stock Price  </t>
  </si>
  <si>
    <t xml:space="preserve">                    = NPV(CAPM,CF1,CF2,CF3,CF4,CF5)</t>
  </si>
  <si>
    <t>Rate x (1- tr)</t>
  </si>
  <si>
    <t>Cost of Equity Calculation</t>
  </si>
  <si>
    <t>WACC Calc:</t>
  </si>
  <si>
    <t>Amount</t>
  </si>
  <si>
    <t xml:space="preserve">  % Cap</t>
  </si>
  <si>
    <t>RoR</t>
  </si>
  <si>
    <t xml:space="preserve"> AT RoR</t>
  </si>
  <si>
    <t>Risk Free Rate (5 year)</t>
  </si>
  <si>
    <t>Premium based on MC =</t>
  </si>
  <si>
    <t>MV Equity</t>
  </si>
  <si>
    <t>Total Cap</t>
  </si>
  <si>
    <t>Expected Equity Return =</t>
  </si>
  <si>
    <t xml:space="preserve">Cost of Debt Calculation </t>
  </si>
  <si>
    <t>WACC (Firm Valuation Discount Rate)</t>
  </si>
  <si>
    <t>Avg Debt</t>
  </si>
  <si>
    <t>CAPM (Equity Valuation Discount Rate)</t>
  </si>
  <si>
    <t>Interest</t>
  </si>
  <si>
    <t>Rate</t>
  </si>
  <si>
    <t>Intrinsic Value</t>
  </si>
  <si>
    <t xml:space="preserve"> Dividend Discount Model (DDM)</t>
  </si>
  <si>
    <t xml:space="preserve">Average  EBITDA  Industry Trading Multiples </t>
  </si>
  <si>
    <t>Discount Cash Flow Valuation Analysis</t>
  </si>
  <si>
    <t>(Avg Target by Analysts)</t>
  </si>
  <si>
    <t xml:space="preserve"> Market Value / Using the Stock Price</t>
  </si>
  <si>
    <t>Dividend Discount Model (DDM)</t>
  </si>
  <si>
    <t>Enteprise Value</t>
  </si>
  <si>
    <t>Revenue Growth</t>
  </si>
  <si>
    <t>Cost of Revenue % of Revenue</t>
  </si>
  <si>
    <t>Oper. Expen  Revenue</t>
  </si>
  <si>
    <t>Depreciation as % of Revenue</t>
  </si>
  <si>
    <t>Working Capital % of Revenue</t>
  </si>
  <si>
    <t>Capex as % of Revenue</t>
  </si>
  <si>
    <t>Hyatt</t>
  </si>
  <si>
    <t>H</t>
  </si>
  <si>
    <t>EV = (SP x SO) + D - C</t>
  </si>
  <si>
    <t>SP = (EV - D + C) / SO</t>
  </si>
  <si>
    <t>Hilton Worldwide Holdings Inc.</t>
  </si>
  <si>
    <t>Intercontinental Hotel</t>
  </si>
  <si>
    <t>IHG</t>
  </si>
  <si>
    <t>Park Hotels &amp; Resorts Inc.</t>
  </si>
  <si>
    <t>PK</t>
  </si>
  <si>
    <t>Wyndham Worldwide</t>
  </si>
  <si>
    <t>WH</t>
  </si>
  <si>
    <t>Sell</t>
  </si>
  <si>
    <t>Buy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</si>
</sst>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0.00\x"/>
    <numFmt numFmtId="167" formatCode="0.0%"/>
    <numFmt numFmtId="168" formatCode="0.0\x"/>
    <numFmt numFmtId="169" formatCode="0.000%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66FF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u/>
      <sz val="11"/>
      <name val="Aptos Narrow"/>
      <family val="2"/>
      <scheme val="minor"/>
    </font>
    <font>
      <b/>
      <sz val="16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i/>
      <sz val="8"/>
      <name val="Aptos Narrow"/>
      <family val="2"/>
      <scheme val="minor"/>
    </font>
    <font>
      <b/>
      <i/>
      <sz val="1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color rgb="FF0000FF"/>
      <name val="Aptos Narrow"/>
      <family val="2"/>
      <scheme val="minor"/>
    </font>
    <font>
      <b/>
      <sz val="11"/>
      <color rgb="FF0000FF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6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/>
    <xf numFmtId="0" fontId="6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2" fillId="3" borderId="0" xfId="0" applyFont="1" applyFill="1"/>
    <xf numFmtId="0" fontId="2" fillId="3" borderId="8" xfId="0" applyFont="1" applyFill="1" applyBorder="1" applyAlignment="1">
      <alignment horizontal="center" vertical="center"/>
    </xf>
    <xf numFmtId="14" fontId="2" fillId="3" borderId="0" xfId="0" applyNumberFormat="1" applyFont="1" applyFill="1"/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5" borderId="9" xfId="0" quotePrefix="1" applyFont="1" applyFill="1" applyBorder="1" applyAlignment="1">
      <alignment horizontal="left" vertical="center" wrapText="1"/>
    </xf>
    <xf numFmtId="14" fontId="8" fillId="5" borderId="10" xfId="0" applyNumberFormat="1" applyFont="1" applyFill="1" applyBorder="1" applyAlignment="1">
      <alignment horizontal="center" vertical="center" wrapText="1"/>
    </xf>
    <xf numFmtId="14" fontId="8" fillId="5" borderId="9" xfId="0" applyNumberFormat="1" applyFont="1" applyFill="1" applyBorder="1" applyAlignment="1">
      <alignment horizontal="center" vertical="center" wrapText="1"/>
    </xf>
    <xf numFmtId="0" fontId="9" fillId="6" borderId="11" xfId="0" applyFont="1" applyFill="1" applyBorder="1"/>
    <xf numFmtId="164" fontId="9" fillId="6" borderId="12" xfId="0" applyNumberFormat="1" applyFont="1" applyFill="1" applyBorder="1"/>
    <xf numFmtId="164" fontId="3" fillId="6" borderId="12" xfId="0" applyNumberFormat="1" applyFont="1" applyFill="1" applyBorder="1"/>
    <xf numFmtId="8" fontId="3" fillId="6" borderId="13" xfId="2" applyNumberFormat="1" applyFont="1" applyFill="1" applyBorder="1" applyAlignment="1"/>
    <xf numFmtId="164" fontId="9" fillId="6" borderId="12" xfId="0" applyNumberFormat="1" applyFont="1" applyFill="1" applyBorder="1" applyAlignment="1">
      <alignment horizontal="center" vertical="center"/>
    </xf>
    <xf numFmtId="3" fontId="0" fillId="0" borderId="0" xfId="0" applyNumberFormat="1"/>
    <xf numFmtId="164" fontId="0" fillId="0" borderId="8" xfId="1" applyNumberFormat="1" applyFont="1" applyBorder="1"/>
    <xf numFmtId="164" fontId="0" fillId="0" borderId="0" xfId="1" applyNumberFormat="1" applyFont="1"/>
    <xf numFmtId="0" fontId="6" fillId="2" borderId="0" xfId="0" applyFont="1" applyFill="1" applyAlignment="1">
      <alignment horizontal="left"/>
    </xf>
    <xf numFmtId="6" fontId="7" fillId="2" borderId="0" xfId="0" applyNumberFormat="1" applyFont="1" applyFill="1"/>
    <xf numFmtId="0" fontId="7" fillId="2" borderId="0" xfId="0" applyFont="1" applyFill="1"/>
    <xf numFmtId="0" fontId="4" fillId="4" borderId="21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 wrapText="1"/>
    </xf>
    <xf numFmtId="0" fontId="4" fillId="0" borderId="24" xfId="0" applyFont="1" applyBorder="1" applyAlignment="1">
      <alignment horizontal="left" vertical="center" wrapText="1"/>
    </xf>
    <xf numFmtId="0" fontId="9" fillId="0" borderId="25" xfId="0" applyFont="1" applyBorder="1"/>
    <xf numFmtId="44" fontId="9" fillId="0" borderId="25" xfId="2" applyFont="1" applyBorder="1"/>
    <xf numFmtId="165" fontId="9" fillId="0" borderId="25" xfId="1" applyNumberFormat="1" applyFont="1" applyBorder="1"/>
    <xf numFmtId="43" fontId="9" fillId="0" borderId="25" xfId="1" applyFont="1" applyBorder="1"/>
    <xf numFmtId="43" fontId="9" fillId="0" borderId="26" xfId="1" applyFont="1" applyBorder="1"/>
    <xf numFmtId="43" fontId="4" fillId="7" borderId="25" xfId="1" applyFont="1" applyFill="1" applyBorder="1"/>
    <xf numFmtId="0" fontId="4" fillId="0" borderId="27" xfId="0" applyFont="1" applyBorder="1" applyAlignment="1">
      <alignment horizontal="left" vertical="center" wrapText="1"/>
    </xf>
    <xf numFmtId="0" fontId="9" fillId="0" borderId="18" xfId="0" applyFont="1" applyBorder="1"/>
    <xf numFmtId="44" fontId="9" fillId="0" borderId="18" xfId="2" applyFont="1" applyBorder="1"/>
    <xf numFmtId="165" fontId="9" fillId="0" borderId="18" xfId="1" applyNumberFormat="1" applyFont="1" applyBorder="1"/>
    <xf numFmtId="43" fontId="9" fillId="0" borderId="18" xfId="1" applyFont="1" applyBorder="1"/>
    <xf numFmtId="43" fontId="9" fillId="0" borderId="28" xfId="1" applyFont="1" applyBorder="1"/>
    <xf numFmtId="43" fontId="4" fillId="7" borderId="18" xfId="1" applyFont="1" applyFill="1" applyBorder="1"/>
    <xf numFmtId="0" fontId="4" fillId="0" borderId="21" xfId="0" applyFont="1" applyBorder="1" applyAlignment="1">
      <alignment horizontal="left" vertical="center" wrapText="1"/>
    </xf>
    <xf numFmtId="44" fontId="9" fillId="0" borderId="22" xfId="2" applyFont="1" applyFill="1" applyBorder="1"/>
    <xf numFmtId="44" fontId="9" fillId="0" borderId="22" xfId="2" applyFont="1" applyBorder="1"/>
    <xf numFmtId="165" fontId="9" fillId="0" borderId="22" xfId="1" applyNumberFormat="1" applyFont="1" applyBorder="1"/>
    <xf numFmtId="43" fontId="9" fillId="0" borderId="8" xfId="1" applyFont="1" applyBorder="1"/>
    <xf numFmtId="43" fontId="9" fillId="0" borderId="22" xfId="1" applyFont="1" applyBorder="1"/>
    <xf numFmtId="43" fontId="9" fillId="0" borderId="23" xfId="1" applyFont="1" applyBorder="1"/>
    <xf numFmtId="43" fontId="4" fillId="7" borderId="22" xfId="1" applyFont="1" applyFill="1" applyBorder="1"/>
    <xf numFmtId="0" fontId="10" fillId="2" borderId="0" xfId="0" applyFont="1" applyFill="1"/>
    <xf numFmtId="0" fontId="8" fillId="4" borderId="20" xfId="0" applyFont="1" applyFill="1" applyBorder="1" applyAlignment="1">
      <alignment vertical="center"/>
    </xf>
    <xf numFmtId="0" fontId="8" fillId="4" borderId="22" xfId="0" applyFont="1" applyFill="1" applyBorder="1" applyAlignment="1">
      <alignment horizontal="center" vertical="center"/>
    </xf>
    <xf numFmtId="14" fontId="8" fillId="4" borderId="22" xfId="0" applyNumberFormat="1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13" fillId="0" borderId="0" xfId="0" applyFont="1"/>
    <xf numFmtId="0" fontId="6" fillId="2" borderId="0" xfId="0" applyFont="1" applyFill="1"/>
    <xf numFmtId="0" fontId="12" fillId="0" borderId="12" xfId="0" applyFont="1" applyBorder="1"/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12" xfId="0" applyFont="1" applyBorder="1" applyAlignment="1">
      <alignment horizontal="center"/>
    </xf>
    <xf numFmtId="0" fontId="3" fillId="4" borderId="12" xfId="0" applyFont="1" applyFill="1" applyBorder="1"/>
    <xf numFmtId="0" fontId="4" fillId="8" borderId="22" xfId="0" applyFont="1" applyFill="1" applyBorder="1" applyAlignment="1">
      <alignment horizontal="center"/>
    </xf>
    <xf numFmtId="0" fontId="0" fillId="4" borderId="0" xfId="0" applyFill="1"/>
    <xf numFmtId="0" fontId="0" fillId="4" borderId="43" xfId="0" applyFill="1" applyBorder="1"/>
    <xf numFmtId="1" fontId="4" fillId="4" borderId="2" xfId="0" quotePrefix="1" applyNumberFormat="1" applyFont="1" applyFill="1" applyBorder="1" applyAlignment="1">
      <alignment horizontal="center"/>
    </xf>
    <xf numFmtId="1" fontId="4" fillId="4" borderId="3" xfId="0" quotePrefix="1" applyNumberFormat="1" applyFont="1" applyFill="1" applyBorder="1" applyAlignment="1">
      <alignment horizontal="center"/>
    </xf>
    <xf numFmtId="1" fontId="4" fillId="4" borderId="39" xfId="0" quotePrefix="1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1" fontId="4" fillId="6" borderId="37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0" fontId="0" fillId="0" borderId="11" xfId="0" applyBorder="1"/>
    <xf numFmtId="164" fontId="0" fillId="0" borderId="12" xfId="0" applyNumberFormat="1" applyBorder="1"/>
    <xf numFmtId="44" fontId="0" fillId="0" borderId="13" xfId="2" applyFont="1" applyFill="1" applyBorder="1" applyAlignment="1"/>
    <xf numFmtId="164" fontId="0" fillId="0" borderId="12" xfId="0" applyNumberFormat="1" applyBorder="1" applyAlignment="1">
      <alignment horizontal="center" vertical="center"/>
    </xf>
    <xf numFmtId="164" fontId="0" fillId="0" borderId="8" xfId="1" applyNumberFormat="1" applyFont="1" applyFill="1" applyBorder="1"/>
    <xf numFmtId="164" fontId="0" fillId="0" borderId="0" xfId="1" applyNumberFormat="1" applyFont="1" applyFill="1"/>
    <xf numFmtId="164" fontId="0" fillId="0" borderId="14" xfId="0" applyNumberFormat="1" applyBorder="1"/>
    <xf numFmtId="164" fontId="0" fillId="0" borderId="15" xfId="0" applyNumberFormat="1" applyBorder="1"/>
    <xf numFmtId="0" fontId="0" fillId="0" borderId="16" xfId="0" applyBorder="1"/>
    <xf numFmtId="164" fontId="0" fillId="0" borderId="17" xfId="0" applyNumberFormat="1" applyBorder="1"/>
    <xf numFmtId="0" fontId="0" fillId="0" borderId="19" xfId="0" applyBorder="1"/>
    <xf numFmtId="164" fontId="0" fillId="0" borderId="0" xfId="0" applyNumberFormat="1"/>
    <xf numFmtId="0" fontId="4" fillId="0" borderId="19" xfId="0" applyFont="1" applyBorder="1"/>
    <xf numFmtId="164" fontId="4" fillId="0" borderId="20" xfId="0" applyNumberFormat="1" applyFont="1" applyBorder="1"/>
    <xf numFmtId="0" fontId="0" fillId="0" borderId="5" xfId="0" applyBorder="1"/>
    <xf numFmtId="0" fontId="0" fillId="0" borderId="6" xfId="0" applyBorder="1"/>
    <xf numFmtId="44" fontId="4" fillId="0" borderId="25" xfId="2" applyFont="1" applyFill="1" applyBorder="1" applyAlignment="1">
      <alignment horizontal="center" vertical="center"/>
    </xf>
    <xf numFmtId="164" fontId="4" fillId="0" borderId="25" xfId="1" applyNumberFormat="1" applyFont="1" applyFill="1" applyBorder="1" applyAlignment="1">
      <alignment vertical="center"/>
    </xf>
    <xf numFmtId="164" fontId="4" fillId="0" borderId="26" xfId="1" applyNumberFormat="1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11" fillId="0" borderId="0" xfId="0" applyFont="1"/>
    <xf numFmtId="8" fontId="4" fillId="0" borderId="0" xfId="0" applyNumberFormat="1" applyFont="1"/>
    <xf numFmtId="166" fontId="4" fillId="0" borderId="0" xfId="0" applyNumberFormat="1" applyFont="1"/>
    <xf numFmtId="166" fontId="5" fillId="0" borderId="0" xfId="0" applyNumberFormat="1" applyFont="1" applyAlignment="1">
      <alignment horizontal="center"/>
    </xf>
    <xf numFmtId="0" fontId="4" fillId="0" borderId="0" xfId="0" quotePrefix="1" applyFont="1"/>
    <xf numFmtId="10" fontId="4" fillId="0" borderId="0" xfId="0" applyNumberFormat="1" applyFont="1"/>
    <xf numFmtId="0" fontId="3" fillId="0" borderId="0" xfId="0" applyFont="1" applyAlignment="1">
      <alignment horizontal="left"/>
    </xf>
    <xf numFmtId="10" fontId="4" fillId="0" borderId="1" xfId="3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4" fontId="4" fillId="9" borderId="1" xfId="2" applyFont="1" applyFill="1" applyBorder="1"/>
    <xf numFmtId="0" fontId="9" fillId="0" borderId="0" xfId="0" applyFont="1"/>
    <xf numFmtId="8" fontId="9" fillId="0" borderId="0" xfId="0" applyNumberFormat="1" applyFont="1"/>
    <xf numFmtId="8" fontId="0" fillId="0" borderId="0" xfId="0" applyNumberFormat="1"/>
    <xf numFmtId="10" fontId="9" fillId="0" borderId="0" xfId="0" applyNumberFormat="1" applyFont="1"/>
    <xf numFmtId="10" fontId="3" fillId="0" borderId="0" xfId="0" applyNumberFormat="1" applyFont="1"/>
    <xf numFmtId="44" fontId="9" fillId="0" borderId="0" xfId="2" applyFont="1" applyFill="1" applyBorder="1"/>
    <xf numFmtId="10" fontId="4" fillId="0" borderId="0" xfId="3" applyNumberFormat="1" applyFont="1" applyFill="1" applyBorder="1"/>
    <xf numFmtId="44" fontId="4" fillId="4" borderId="1" xfId="2" applyFont="1" applyFill="1" applyBorder="1"/>
    <xf numFmtId="0" fontId="4" fillId="0" borderId="32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/>
    </xf>
    <xf numFmtId="164" fontId="4" fillId="0" borderId="25" xfId="1" applyNumberFormat="1" applyFont="1" applyFill="1" applyBorder="1"/>
    <xf numFmtId="166" fontId="4" fillId="0" borderId="25" xfId="1" applyNumberFormat="1" applyFont="1" applyFill="1" applyBorder="1" applyAlignment="1">
      <alignment horizontal="center"/>
    </xf>
    <xf numFmtId="0" fontId="4" fillId="0" borderId="33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/>
    </xf>
    <xf numFmtId="44" fontId="4" fillId="0" borderId="18" xfId="2" applyFont="1" applyFill="1" applyBorder="1" applyAlignment="1">
      <alignment horizontal="center"/>
    </xf>
    <xf numFmtId="0" fontId="4" fillId="0" borderId="34" xfId="0" applyFont="1" applyBorder="1" applyAlignment="1">
      <alignment horizontal="left" vertical="center" wrapText="1"/>
    </xf>
    <xf numFmtId="44" fontId="4" fillId="0" borderId="35" xfId="2" applyFont="1" applyFill="1" applyBorder="1" applyAlignment="1">
      <alignment horizontal="center"/>
    </xf>
    <xf numFmtId="164" fontId="4" fillId="0" borderId="10" xfId="1" applyNumberFormat="1" applyFont="1" applyFill="1" applyBorder="1"/>
    <xf numFmtId="166" fontId="4" fillId="0" borderId="10" xfId="1" applyNumberFormat="1" applyFont="1" applyFill="1" applyBorder="1" applyAlignment="1">
      <alignment horizontal="center"/>
    </xf>
    <xf numFmtId="166" fontId="9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14" fillId="0" borderId="0" xfId="0" applyNumberFormat="1" applyFont="1"/>
    <xf numFmtId="0" fontId="4" fillId="0" borderId="2" xfId="0" applyFont="1" applyBorder="1" applyAlignment="1">
      <alignment horizontal="left" vertical="center" wrapText="1"/>
    </xf>
    <xf numFmtId="164" fontId="4" fillId="0" borderId="4" xfId="0" applyNumberFormat="1" applyFont="1" applyBorder="1"/>
    <xf numFmtId="44" fontId="3" fillId="4" borderId="1" xfId="0" applyNumberFormat="1" applyFont="1" applyFill="1" applyBorder="1"/>
    <xf numFmtId="0" fontId="4" fillId="4" borderId="36" xfId="0" applyFont="1" applyFill="1" applyBorder="1" applyAlignment="1">
      <alignment horizontal="left" vertical="center" wrapText="1"/>
    </xf>
    <xf numFmtId="44" fontId="4" fillId="4" borderId="37" xfId="2" applyFont="1" applyFill="1" applyBorder="1" applyAlignment="1">
      <alignment horizontal="center"/>
    </xf>
    <xf numFmtId="44" fontId="4" fillId="4" borderId="37" xfId="2" applyFont="1" applyFill="1" applyBorder="1" applyAlignment="1">
      <alignment horizontal="right"/>
    </xf>
    <xf numFmtId="164" fontId="4" fillId="4" borderId="37" xfId="1" applyNumberFormat="1" applyFont="1" applyFill="1" applyBorder="1"/>
    <xf numFmtId="164" fontId="4" fillId="4" borderId="38" xfId="1" applyNumberFormat="1" applyFont="1" applyFill="1" applyBorder="1"/>
    <xf numFmtId="166" fontId="4" fillId="4" borderId="37" xfId="1" applyNumberFormat="1" applyFont="1" applyFill="1" applyBorder="1" applyAlignment="1">
      <alignment horizontal="center"/>
    </xf>
    <xf numFmtId="166" fontId="3" fillId="4" borderId="37" xfId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167" fontId="9" fillId="0" borderId="0" xfId="3" applyNumberFormat="1" applyFont="1" applyFill="1" applyBorder="1"/>
    <xf numFmtId="167" fontId="9" fillId="0" borderId="8" xfId="3" applyNumberFormat="1" applyFont="1" applyFill="1" applyBorder="1"/>
    <xf numFmtId="164" fontId="0" fillId="0" borderId="12" xfId="1" applyNumberFormat="1" applyFont="1" applyFill="1" applyBorder="1"/>
    <xf numFmtId="164" fontId="0" fillId="0" borderId="25" xfId="1" applyNumberFormat="1" applyFont="1" applyFill="1" applyBorder="1"/>
    <xf numFmtId="0" fontId="0" fillId="0" borderId="44" xfId="0" applyBorder="1"/>
    <xf numFmtId="164" fontId="4" fillId="0" borderId="15" xfId="1" applyNumberFormat="1" applyFont="1" applyFill="1" applyBorder="1"/>
    <xf numFmtId="164" fontId="4" fillId="0" borderId="14" xfId="1" applyNumberFormat="1" applyFont="1" applyFill="1" applyBorder="1"/>
    <xf numFmtId="164" fontId="4" fillId="0" borderId="45" xfId="1" applyNumberFormat="1" applyFont="1" applyFill="1" applyBorder="1"/>
    <xf numFmtId="0" fontId="0" fillId="0" borderId="12" xfId="0" applyBorder="1"/>
    <xf numFmtId="0" fontId="0" fillId="0" borderId="20" xfId="0" applyBorder="1"/>
    <xf numFmtId="164" fontId="4" fillId="0" borderId="22" xfId="0" applyNumberFormat="1" applyFont="1" applyBorder="1"/>
    <xf numFmtId="164" fontId="4" fillId="0" borderId="0" xfId="0" applyNumberFormat="1" applyFont="1"/>
    <xf numFmtId="0" fontId="4" fillId="0" borderId="12" xfId="0" applyFont="1" applyBorder="1"/>
    <xf numFmtId="164" fontId="4" fillId="0" borderId="12" xfId="0" applyNumberFormat="1" applyFont="1" applyBorder="1"/>
    <xf numFmtId="164" fontId="4" fillId="0" borderId="0" xfId="1" applyNumberFormat="1" applyFont="1" applyFill="1" applyBorder="1"/>
    <xf numFmtId="0" fontId="0" fillId="0" borderId="8" xfId="0" applyBorder="1"/>
    <xf numFmtId="0" fontId="16" fillId="0" borderId="0" xfId="0" applyFont="1"/>
    <xf numFmtId="0" fontId="4" fillId="0" borderId="9" xfId="0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8" fontId="0" fillId="0" borderId="0" xfId="0" applyNumberFormat="1"/>
    <xf numFmtId="0" fontId="0" fillId="0" borderId="0" xfId="0" quotePrefix="1"/>
    <xf numFmtId="164" fontId="0" fillId="0" borderId="8" xfId="0" applyNumberFormat="1" applyBorder="1"/>
    <xf numFmtId="10" fontId="0" fillId="0" borderId="0" xfId="0" applyNumberFormat="1" applyAlignment="1">
      <alignment horizontal="center"/>
    </xf>
    <xf numFmtId="0" fontId="9" fillId="0" borderId="0" xfId="0" quotePrefix="1" applyFont="1" applyAlignment="1">
      <alignment horizontal="center" shrinkToFit="1"/>
    </xf>
    <xf numFmtId="164" fontId="0" fillId="0" borderId="22" xfId="1" applyNumberFormat="1" applyFont="1" applyFill="1" applyBorder="1"/>
    <xf numFmtId="0" fontId="0" fillId="0" borderId="15" xfId="0" applyBorder="1"/>
    <xf numFmtId="10" fontId="4" fillId="0" borderId="15" xfId="0" applyNumberFormat="1" applyFont="1" applyBorder="1" applyAlignment="1">
      <alignment horizontal="center"/>
    </xf>
    <xf numFmtId="164" fontId="4" fillId="0" borderId="15" xfId="0" applyNumberFormat="1" applyFont="1" applyBorder="1"/>
    <xf numFmtId="0" fontId="4" fillId="0" borderId="31" xfId="0" applyFont="1" applyBorder="1" applyAlignment="1">
      <alignment horizontal="left" vertical="center" wrapText="1"/>
    </xf>
    <xf numFmtId="0" fontId="0" fillId="0" borderId="9" xfId="0" applyBorder="1"/>
    <xf numFmtId="6" fontId="3" fillId="0" borderId="46" xfId="0" applyNumberFormat="1" applyFont="1" applyBorder="1"/>
    <xf numFmtId="164" fontId="4" fillId="0" borderId="0" xfId="1" applyNumberFormat="1" applyFont="1" applyFill="1"/>
    <xf numFmtId="0" fontId="17" fillId="0" borderId="0" xfId="0" applyFont="1"/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6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0" fontId="4" fillId="0" borderId="30" xfId="0" applyNumberFormat="1" applyFont="1" applyBorder="1"/>
    <xf numFmtId="167" fontId="4" fillId="0" borderId="0" xfId="3" applyNumberFormat="1" applyFont="1" applyFill="1" applyBorder="1" applyAlignment="1">
      <alignment horizontal="center"/>
    </xf>
    <xf numFmtId="169" fontId="4" fillId="0" borderId="0" xfId="3" applyNumberFormat="1" applyFont="1" applyFill="1" applyBorder="1" applyAlignment="1">
      <alignment horizontal="center"/>
    </xf>
    <xf numFmtId="169" fontId="4" fillId="0" borderId="30" xfId="3" applyNumberFormat="1" applyFont="1" applyFill="1" applyBorder="1" applyAlignment="1">
      <alignment horizontal="center"/>
    </xf>
    <xf numFmtId="10" fontId="3" fillId="0" borderId="30" xfId="0" applyNumberFormat="1" applyFont="1" applyBorder="1"/>
    <xf numFmtId="169" fontId="4" fillId="0" borderId="0" xfId="0" applyNumberFormat="1" applyFont="1" applyAlignment="1">
      <alignment horizontal="center"/>
    </xf>
    <xf numFmtId="166" fontId="4" fillId="0" borderId="30" xfId="0" applyNumberFormat="1" applyFont="1" applyBorder="1"/>
    <xf numFmtId="0" fontId="4" fillId="0" borderId="31" xfId="0" applyFont="1" applyBorder="1"/>
    <xf numFmtId="164" fontId="4" fillId="0" borderId="41" xfId="0" applyNumberFormat="1" applyFont="1" applyBorder="1"/>
    <xf numFmtId="167" fontId="4" fillId="0" borderId="41" xfId="3" applyNumberFormat="1" applyFont="1" applyFill="1" applyBorder="1" applyAlignment="1">
      <alignment horizontal="center"/>
    </xf>
    <xf numFmtId="169" fontId="4" fillId="0" borderId="41" xfId="3" applyNumberFormat="1" applyFont="1" applyFill="1" applyBorder="1" applyAlignment="1">
      <alignment horizontal="center"/>
    </xf>
    <xf numFmtId="169" fontId="4" fillId="0" borderId="41" xfId="0" applyNumberFormat="1" applyFont="1" applyBorder="1" applyAlignment="1">
      <alignment horizontal="right"/>
    </xf>
    <xf numFmtId="169" fontId="4" fillId="0" borderId="47" xfId="0" applyNumberFormat="1" applyFont="1" applyBorder="1" applyAlignment="1">
      <alignment horizontal="center"/>
    </xf>
    <xf numFmtId="10" fontId="4" fillId="0" borderId="1" xfId="3" applyNumberFormat="1" applyFont="1" applyFill="1" applyBorder="1"/>
    <xf numFmtId="0" fontId="4" fillId="0" borderId="18" xfId="0" quotePrefix="1" applyFont="1" applyBorder="1"/>
    <xf numFmtId="169" fontId="4" fillId="0" borderId="18" xfId="0" quotePrefix="1" applyNumberFormat="1" applyFont="1" applyBorder="1"/>
    <xf numFmtId="164" fontId="4" fillId="0" borderId="5" xfId="1" applyNumberFormat="1" applyFont="1" applyFill="1" applyBorder="1"/>
    <xf numFmtId="164" fontId="4" fillId="0" borderId="29" xfId="1" applyNumberFormat="1" applyFont="1" applyFill="1" applyBorder="1"/>
    <xf numFmtId="164" fontId="4" fillId="0" borderId="19" xfId="1" applyNumberFormat="1" applyFont="1" applyFill="1" applyBorder="1"/>
    <xf numFmtId="164" fontId="4" fillId="0" borderId="31" xfId="1" applyNumberFormat="1" applyFont="1" applyFill="1" applyBorder="1"/>
    <xf numFmtId="169" fontId="3" fillId="0" borderId="1" xfId="3" applyNumberFormat="1" applyFont="1" applyFill="1" applyBorder="1"/>
    <xf numFmtId="44" fontId="3" fillId="4" borderId="1" xfId="2" applyFont="1" applyFill="1" applyBorder="1"/>
    <xf numFmtId="0" fontId="0" fillId="0" borderId="0" xfId="0" applyAlignment="1">
      <alignment horizontal="left"/>
    </xf>
    <xf numFmtId="167" fontId="0" fillId="0" borderId="0" xfId="3" applyNumberFormat="1" applyFont="1"/>
    <xf numFmtId="0" fontId="3" fillId="4" borderId="0" xfId="0" applyFont="1" applyFill="1" applyAlignment="1">
      <alignment horizontal="left"/>
    </xf>
    <xf numFmtId="0" fontId="3" fillId="4" borderId="0" xfId="0" applyFont="1" applyFill="1"/>
    <xf numFmtId="0" fontId="3" fillId="4" borderId="40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164" fontId="0" fillId="10" borderId="0" xfId="1" applyNumberFormat="1" applyFont="1" applyFill="1" applyBorder="1"/>
    <xf numFmtId="10" fontId="0" fillId="0" borderId="15" xfId="0" applyNumberFormat="1" applyBorder="1"/>
    <xf numFmtId="167" fontId="18" fillId="0" borderId="0" xfId="3" applyNumberFormat="1" applyFont="1" applyFill="1" applyBorder="1"/>
    <xf numFmtId="167" fontId="18" fillId="0" borderId="44" xfId="3" applyNumberFormat="1" applyFont="1" applyFill="1" applyBorder="1"/>
    <xf numFmtId="164" fontId="18" fillId="0" borderId="12" xfId="1" applyNumberFormat="1" applyFont="1" applyFill="1" applyBorder="1"/>
    <xf numFmtId="164" fontId="18" fillId="0" borderId="26" xfId="1" applyNumberFormat="1" applyFont="1" applyFill="1" applyBorder="1"/>
    <xf numFmtId="164" fontId="18" fillId="0" borderId="0" xfId="1" applyNumberFormat="1" applyFont="1" applyFill="1" applyBorder="1"/>
    <xf numFmtId="164" fontId="18" fillId="0" borderId="44" xfId="1" applyNumberFormat="1" applyFont="1" applyFill="1" applyBorder="1"/>
    <xf numFmtId="10" fontId="19" fillId="0" borderId="1" xfId="0" applyNumberFormat="1" applyFont="1" applyBorder="1" applyAlignment="1">
      <alignment horizontal="center"/>
    </xf>
    <xf numFmtId="164" fontId="18" fillId="0" borderId="44" xfId="1" applyNumberFormat="1" applyFont="1" applyBorder="1"/>
    <xf numFmtId="164" fontId="19" fillId="0" borderId="30" xfId="1" applyNumberFormat="1" applyFont="1" applyFill="1" applyBorder="1"/>
    <xf numFmtId="164" fontId="19" fillId="0" borderId="24" xfId="1" applyNumberFormat="1" applyFont="1" applyFill="1" applyBorder="1" applyAlignment="1">
      <alignment vertical="center"/>
    </xf>
    <xf numFmtId="164" fontId="19" fillId="0" borderId="25" xfId="1" applyNumberFormat="1" applyFont="1" applyFill="1" applyBorder="1" applyAlignment="1">
      <alignment vertical="center"/>
    </xf>
    <xf numFmtId="44" fontId="19" fillId="0" borderId="25" xfId="2" applyFont="1" applyFill="1" applyBorder="1" applyAlignment="1">
      <alignment horizontal="center" vertical="center"/>
    </xf>
    <xf numFmtId="0" fontId="4" fillId="0" borderId="1" xfId="0" applyFont="1" applyBorder="1"/>
    <xf numFmtId="166" fontId="19" fillId="0" borderId="0" xfId="0" applyNumberFormat="1" applyFont="1"/>
    <xf numFmtId="8" fontId="19" fillId="0" borderId="0" xfId="0" applyNumberFormat="1" applyFont="1"/>
    <xf numFmtId="164" fontId="18" fillId="0" borderId="0" xfId="1" applyNumberFormat="1" applyFont="1" applyBorder="1"/>
    <xf numFmtId="0" fontId="18" fillId="0" borderId="0" xfId="0" applyFont="1" applyBorder="1"/>
    <xf numFmtId="0" fontId="0" fillId="0" borderId="0" xfId="0" applyBorder="1"/>
    <xf numFmtId="167" fontId="18" fillId="0" borderId="0" xfId="3" applyNumberFormat="1" applyFont="1"/>
    <xf numFmtId="10" fontId="0" fillId="0" borderId="0" xfId="3" applyNumberFormat="1" applyFont="1"/>
    <xf numFmtId="10" fontId="18" fillId="0" borderId="0" xfId="0" applyNumberFormat="1" applyFont="1" applyAlignment="1">
      <alignment horizontal="center"/>
    </xf>
    <xf numFmtId="14" fontId="19" fillId="0" borderId="1" xfId="0" applyNumberFormat="1" applyFont="1" applyBorder="1" applyAlignment="1">
      <alignment horizontal="center" vertical="center"/>
    </xf>
    <xf numFmtId="10" fontId="19" fillId="0" borderId="0" xfId="0" applyNumberFormat="1" applyFont="1"/>
    <xf numFmtId="9" fontId="19" fillId="0" borderId="0" xfId="3" applyFont="1" applyFill="1" applyAlignment="1">
      <alignment horizontal="center"/>
    </xf>
    <xf numFmtId="8" fontId="19" fillId="0" borderId="25" xfId="2" applyNumberFormat="1" applyFont="1" applyFill="1" applyBorder="1"/>
    <xf numFmtId="164" fontId="19" fillId="0" borderId="25" xfId="1" applyNumberFormat="1" applyFont="1" applyFill="1" applyBorder="1"/>
    <xf numFmtId="164" fontId="19" fillId="0" borderId="24" xfId="1" applyNumberFormat="1" applyFont="1" applyFill="1" applyBorder="1"/>
    <xf numFmtId="166" fontId="19" fillId="0" borderId="25" xfId="1" applyNumberFormat="1" applyFont="1" applyFill="1" applyBorder="1" applyAlignment="1">
      <alignment horizontal="center"/>
    </xf>
    <xf numFmtId="164" fontId="19" fillId="0" borderId="0" xfId="0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461010</xdr:colOff>
      <xdr:row>79</xdr:row>
      <xdr:rowOff>83820</xdr:rowOff>
    </xdr:from>
    <xdr:to>
      <xdr:col>9</xdr:col>
      <xdr:colOff>461010</xdr:colOff>
      <xdr:row>82</xdr:row>
      <xdr:rowOff>110490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B746E1EF-6FFB-43A4-B0D5-021DFA28E312}"/>
            </a:ext>
          </a:extLst>
        </xdr:cNvPr>
        <xdr:cNvSpPr>
          <a:spLocks noChangeShapeType="1"/>
        </xdr:cNvSpPr>
      </xdr:nvSpPr>
      <xdr:spPr bwMode="auto">
        <a:xfrm flipV="1">
          <a:off x="9119235" y="20591145"/>
          <a:ext cx="0" cy="5124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</xdr:colOff>
      <xdr:row>82</xdr:row>
      <xdr:rowOff>91440</xdr:rowOff>
    </xdr:from>
    <xdr:to>
      <xdr:col>9</xdr:col>
      <xdr:colOff>472440</xdr:colOff>
      <xdr:row>82</xdr:row>
      <xdr:rowOff>91440</xdr:rowOff>
    </xdr:to>
    <xdr:sp macro="" textlink="">
      <xdr:nvSpPr>
        <xdr:cNvPr id="3" name="Line 22">
          <a:extLst>
            <a:ext uri="{FF2B5EF4-FFF2-40B4-BE49-F238E27FC236}">
              <a16:creationId xmlns:a16="http://schemas.microsoft.com/office/drawing/2014/main" id="{595380E8-91EA-4DD3-8A70-7980C0716EE9}"/>
            </a:ext>
          </a:extLst>
        </xdr:cNvPr>
        <xdr:cNvSpPr>
          <a:spLocks noChangeShapeType="1"/>
        </xdr:cNvSpPr>
      </xdr:nvSpPr>
      <xdr:spPr bwMode="auto">
        <a:xfrm>
          <a:off x="8669655" y="21084540"/>
          <a:ext cx="4610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87</xdr:row>
      <xdr:rowOff>85725</xdr:rowOff>
    </xdr:from>
    <xdr:to>
      <xdr:col>4</xdr:col>
      <xdr:colOff>428625</xdr:colOff>
      <xdr:row>88</xdr:row>
      <xdr:rowOff>123825</xdr:rowOff>
    </xdr:to>
    <xdr:cxnSp macro="">
      <xdr:nvCxnSpPr>
        <xdr:cNvPr id="4" name="Connector: Elbow 3">
          <a:extLst>
            <a:ext uri="{FF2B5EF4-FFF2-40B4-BE49-F238E27FC236}">
              <a16:creationId xmlns:a16="http://schemas.microsoft.com/office/drawing/2014/main" id="{5C347B5B-82F3-4AC4-BB01-36DF0EE2E866}"/>
            </a:ext>
          </a:extLst>
        </xdr:cNvPr>
        <xdr:cNvCxnSpPr/>
      </xdr:nvCxnSpPr>
      <xdr:spPr>
        <a:xfrm>
          <a:off x="4438650" y="22069425"/>
          <a:ext cx="428625" cy="247650"/>
        </a:xfrm>
        <a:prstGeom prst="bentConnector3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oussch\Dropbox\File%20requests\INVESTMENTS%20FINANCE%20CREDIT\Chapters\ACTIVE%20LEARNING\PART%20IV%20-%20COMPANY%20SPECIFIC%20ANALYSIS\FINAL%20PROJECT\Hyatt_Analysis_Financial_Analysis_Valuation.xlsx" TargetMode="External"/><Relationship Id="rId1" Type="http://schemas.openxmlformats.org/officeDocument/2006/relationships/externalLinkPath" Target="file:///C:\Users\droussch\Dropbox\File%20requests\INVESTMENTS%20FINANCE%20CREDIT\Chapters\ACTIVE%20LEARNING\PART%20IV%20-%20COMPANY%20SPECIFIC%20ANALYSIS\FINAL%20PROJECT\Hyatt_Analysis_Financial_Analysis_Valu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storical Analysis"/>
      <sheetName val="Projections"/>
      <sheetName val="Valuation Analysis"/>
      <sheetName val="DCF"/>
      <sheetName val="Technical Analysis"/>
      <sheetName val="Yahoo Input Val"/>
      <sheetName val="S&amp;P ETF Yahoo"/>
      <sheetName val="Income Stat Yahoo Input"/>
      <sheetName val="Balance Sheet Yahoo Input"/>
      <sheetName val="Cash Flow Yahoo Input"/>
      <sheetName val="Stock Historical Yahoo"/>
    </sheetNames>
    <sheetDataSet>
      <sheetData sheetId="0">
        <row r="7">
          <cell r="D7">
            <v>5891000</v>
          </cell>
          <cell r="E7">
            <v>3028000</v>
          </cell>
          <cell r="F7">
            <v>2066000</v>
          </cell>
          <cell r="G7">
            <v>5020000</v>
          </cell>
          <cell r="H7">
            <v>4454000</v>
          </cell>
        </row>
        <row r="8">
          <cell r="D8">
            <v>4603000</v>
          </cell>
          <cell r="E8">
            <v>2603000</v>
          </cell>
          <cell r="F8">
            <v>2067000</v>
          </cell>
          <cell r="G8">
            <v>4077000</v>
          </cell>
          <cell r="H8">
            <v>3475000</v>
          </cell>
        </row>
      </sheetData>
      <sheetData sheetId="1">
        <row r="6">
          <cell r="Q6">
            <v>2021</v>
          </cell>
          <cell r="R6">
            <v>2022</v>
          </cell>
          <cell r="S6">
            <v>2023</v>
          </cell>
          <cell r="T6">
            <v>2024</v>
          </cell>
          <cell r="U6">
            <v>2025</v>
          </cell>
          <cell r="V6">
            <v>2026</v>
          </cell>
          <cell r="W6">
            <v>2027</v>
          </cell>
          <cell r="X6">
            <v>2028</v>
          </cell>
          <cell r="Y6">
            <v>2029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8C333-DD5D-4CF2-87C5-B3658DA8C2AA}">
  <dimension ref="A1:AA100"/>
  <sheetViews>
    <sheetView tabSelected="1" workbookViewId="0">
      <selection activeCell="J17" sqref="J17"/>
    </sheetView>
  </sheetViews>
  <sheetFormatPr defaultRowHeight="15" x14ac:dyDescent="0.25"/>
  <cols>
    <col min="1" max="1" width="37.5703125" customWidth="1"/>
    <col min="2" max="2" width="13.42578125" customWidth="1"/>
    <col min="3" max="3" width="13.28515625" customWidth="1"/>
    <col min="4" max="4" width="13.7109375" customWidth="1"/>
    <col min="5" max="5" width="13.140625" customWidth="1"/>
    <col min="6" max="6" width="12.42578125" customWidth="1"/>
    <col min="7" max="7" width="12.5703125" customWidth="1"/>
    <col min="8" max="8" width="12.28515625" customWidth="1"/>
    <col min="9" max="9" width="12.85546875" customWidth="1"/>
    <col min="10" max="10" width="13.28515625" customWidth="1"/>
    <col min="11" max="11" width="12.5703125" bestFit="1" customWidth="1"/>
    <col min="12" max="12" width="2.7109375" customWidth="1"/>
    <col min="13" max="13" width="27.7109375" style="1" customWidth="1"/>
    <col min="14" max="14" width="10.85546875" customWidth="1"/>
    <col min="15" max="15" width="18.85546875" customWidth="1"/>
    <col min="16" max="19" width="12.28515625" customWidth="1"/>
    <col min="20" max="21" width="10.42578125" customWidth="1"/>
    <col min="22" max="22" width="12.42578125" customWidth="1"/>
    <col min="23" max="27" width="10.85546875" customWidth="1"/>
    <col min="28" max="28" width="12.42578125" bestFit="1" customWidth="1"/>
  </cols>
  <sheetData>
    <row r="1" spans="1:27" ht="18" customHeight="1" thickBot="1" x14ac:dyDescent="0.3">
      <c r="A1" s="2" t="s">
        <v>0</v>
      </c>
      <c r="B1" s="3"/>
      <c r="G1" s="4" t="s">
        <v>1</v>
      </c>
      <c r="H1" s="235">
        <v>45291</v>
      </c>
      <c r="U1" s="5" t="s">
        <v>2</v>
      </c>
    </row>
    <row r="2" spans="1:27" ht="10.5" customHeight="1" thickBot="1" x14ac:dyDescent="0.3"/>
    <row r="3" spans="1:27" ht="16.5" thickBot="1" x14ac:dyDescent="0.3">
      <c r="A3" s="6" t="s">
        <v>3</v>
      </c>
      <c r="B3" s="7"/>
      <c r="C3" s="7"/>
      <c r="D3" s="7"/>
      <c r="E3" s="7"/>
      <c r="F3" s="7"/>
      <c r="G3" s="7"/>
      <c r="H3" s="8"/>
      <c r="I3" s="7"/>
      <c r="U3" s="9" t="s">
        <v>4</v>
      </c>
      <c r="V3" s="9"/>
      <c r="W3" s="10" t="s">
        <v>5</v>
      </c>
      <c r="X3" s="11"/>
      <c r="Y3" s="11"/>
      <c r="Z3" s="11"/>
      <c r="AA3" s="11"/>
    </row>
    <row r="4" spans="1:27" s="16" customFormat="1" ht="44.45" customHeight="1" thickBot="1" x14ac:dyDescent="0.3">
      <c r="A4" s="12"/>
      <c r="B4" s="13"/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5" t="s">
        <v>11</v>
      </c>
      <c r="I4" s="14" t="s">
        <v>12</v>
      </c>
      <c r="J4"/>
      <c r="M4" s="17"/>
      <c r="U4" s="18" t="s">
        <v>13</v>
      </c>
      <c r="V4" s="18"/>
      <c r="W4" s="19">
        <v>44012</v>
      </c>
      <c r="X4" s="20">
        <v>43830</v>
      </c>
      <c r="Y4" s="20">
        <v>43465</v>
      </c>
      <c r="Z4" s="20">
        <v>43100</v>
      </c>
      <c r="AA4" s="20">
        <v>42735</v>
      </c>
    </row>
    <row r="5" spans="1:27" x14ac:dyDescent="0.25">
      <c r="A5" s="21" t="s">
        <v>14</v>
      </c>
      <c r="B5" s="22"/>
      <c r="C5" s="22">
        <f>+H26</f>
        <v>15560000</v>
      </c>
      <c r="D5" s="22">
        <f>F26</f>
        <v>3370000</v>
      </c>
      <c r="E5" s="22">
        <f>G26</f>
        <v>896000</v>
      </c>
      <c r="F5" s="22">
        <f>+C5-D5+E5</f>
        <v>13086000</v>
      </c>
      <c r="G5" s="23">
        <f>+D26</f>
        <v>96804.260985352856</v>
      </c>
      <c r="H5" s="24">
        <f>+F5/G5</f>
        <v>135.18</v>
      </c>
      <c r="I5" s="25"/>
      <c r="K5" s="16"/>
      <c r="U5" s="26" t="s">
        <v>15</v>
      </c>
      <c r="W5" s="27">
        <f>+'[1]Historical Analysis'!D7</f>
        <v>5891000</v>
      </c>
      <c r="X5" s="28">
        <f>+'[1]Historical Analysis'!E7</f>
        <v>3028000</v>
      </c>
      <c r="Y5" s="28">
        <f>+'[1]Historical Analysis'!F7</f>
        <v>2066000</v>
      </c>
      <c r="Z5" s="28">
        <f>+'[1]Historical Analysis'!G7</f>
        <v>5020000</v>
      </c>
      <c r="AA5" s="28">
        <f>+'[1]Historical Analysis'!H7</f>
        <v>4454000</v>
      </c>
    </row>
    <row r="6" spans="1:27" x14ac:dyDescent="0.25">
      <c r="A6" s="80"/>
      <c r="B6" s="81"/>
      <c r="C6" s="81"/>
      <c r="D6" s="81"/>
      <c r="E6" s="81"/>
      <c r="F6" s="81"/>
      <c r="G6" s="81"/>
      <c r="H6" s="82"/>
      <c r="I6" s="83"/>
      <c r="K6" s="16"/>
      <c r="U6" t="s">
        <v>16</v>
      </c>
      <c r="W6" s="84">
        <f>+'[1]Historical Analysis'!D8</f>
        <v>4603000</v>
      </c>
      <c r="X6" s="85">
        <f>+'[1]Historical Analysis'!E8</f>
        <v>2603000</v>
      </c>
      <c r="Y6" s="85">
        <f>+'[1]Historical Analysis'!F8</f>
        <v>2067000</v>
      </c>
      <c r="Z6" s="85">
        <f>+'[1]Historical Analysis'!G8</f>
        <v>4077000</v>
      </c>
      <c r="AA6" s="85">
        <f>+'[1]Historical Analysis'!H8</f>
        <v>3475000</v>
      </c>
    </row>
    <row r="7" spans="1:27" ht="15.75" thickBot="1" x14ac:dyDescent="0.3">
      <c r="A7" s="80" t="s">
        <v>118</v>
      </c>
      <c r="B7" s="81"/>
      <c r="C7" s="81">
        <f>+D7+F7-E7</f>
        <v>16066153.815065343</v>
      </c>
      <c r="D7" s="81">
        <f>+D5</f>
        <v>3370000</v>
      </c>
      <c r="E7" s="81">
        <f>+E5</f>
        <v>896000</v>
      </c>
      <c r="F7" s="81">
        <f>+H7*G7</f>
        <v>13592153.815065343</v>
      </c>
      <c r="G7" s="81">
        <f>+G5</f>
        <v>96804.260985352856</v>
      </c>
      <c r="H7" s="82">
        <f>+E35</f>
        <v>140.40863156965713</v>
      </c>
      <c r="I7" s="83" t="s">
        <v>144</v>
      </c>
      <c r="K7" s="16"/>
      <c r="U7" s="26" t="s">
        <v>17</v>
      </c>
      <c r="W7" s="86">
        <f>+W5-W6</f>
        <v>1288000</v>
      </c>
      <c r="X7" s="87">
        <f>+X5-X6</f>
        <v>425000</v>
      </c>
      <c r="Y7" s="87">
        <f>+Y5-Y6</f>
        <v>-1000</v>
      </c>
      <c r="Z7" s="87">
        <f>+Z5-Z6</f>
        <v>943000</v>
      </c>
      <c r="AA7" s="87">
        <f>+AA5-AA6</f>
        <v>979000</v>
      </c>
    </row>
    <row r="8" spans="1:27" ht="15.75" thickTop="1" x14ac:dyDescent="0.25">
      <c r="A8" s="80" t="s">
        <v>119</v>
      </c>
      <c r="B8" s="81"/>
      <c r="C8" s="81">
        <f>+D8+F8-E8</f>
        <v>6839468.3646156872</v>
      </c>
      <c r="D8" s="81">
        <f>+D5</f>
        <v>3370000</v>
      </c>
      <c r="E8" s="81">
        <f>+E5</f>
        <v>896000</v>
      </c>
      <c r="F8" s="81">
        <f t="shared" ref="F8:F10" si="0">+H8*G8</f>
        <v>4365468.3646156872</v>
      </c>
      <c r="G8" s="81">
        <f>+G5</f>
        <v>96804.260985352856</v>
      </c>
      <c r="H8" s="82">
        <f>+B43</f>
        <v>45.095828635851191</v>
      </c>
      <c r="I8" s="83" t="s">
        <v>143</v>
      </c>
    </row>
    <row r="9" spans="1:27" x14ac:dyDescent="0.25">
      <c r="A9" s="88" t="s">
        <v>120</v>
      </c>
      <c r="B9" s="81"/>
      <c r="C9" s="89">
        <f>+B60</f>
        <v>14130982.097781952</v>
      </c>
      <c r="D9" s="81">
        <f>+D5</f>
        <v>3370000</v>
      </c>
      <c r="E9" s="81">
        <f>+E5</f>
        <v>896000</v>
      </c>
      <c r="F9" s="81">
        <f>+C9-D9+E9</f>
        <v>11656982.097781952</v>
      </c>
      <c r="G9" s="81">
        <f>+G5</f>
        <v>96804.260985352856</v>
      </c>
      <c r="H9" s="82">
        <f>+F9/G9</f>
        <v>120.41806816278194</v>
      </c>
      <c r="I9" s="83" t="s">
        <v>143</v>
      </c>
    </row>
    <row r="10" spans="1:27" x14ac:dyDescent="0.25">
      <c r="A10" s="80" t="s">
        <v>121</v>
      </c>
      <c r="B10" s="81"/>
      <c r="C10" s="81">
        <f>+D10+F10-E10</f>
        <v>16648238.426507987</v>
      </c>
      <c r="D10" s="81">
        <f>+D5</f>
        <v>3370000</v>
      </c>
      <c r="E10" s="81">
        <f>+E5</f>
        <v>896000</v>
      </c>
      <c r="F10" s="81">
        <f t="shared" si="0"/>
        <v>14174238.426507987</v>
      </c>
      <c r="G10" s="81">
        <f>+G5</f>
        <v>96804.260985352856</v>
      </c>
      <c r="H10" s="82">
        <f>+D89</f>
        <v>146.42163766585281</v>
      </c>
      <c r="I10" s="83" t="s">
        <v>144</v>
      </c>
    </row>
    <row r="11" spans="1:27" ht="15.75" thickBot="1" x14ac:dyDescent="0.3">
      <c r="A11" s="90"/>
      <c r="C11" s="81">
        <f>+D11+F11-E11</f>
        <v>0</v>
      </c>
    </row>
    <row r="12" spans="1:27" ht="15.75" thickBot="1" x14ac:dyDescent="0.3">
      <c r="A12" s="92" t="s">
        <v>18</v>
      </c>
      <c r="B12" s="2"/>
      <c r="C12" s="2"/>
      <c r="D12" s="2"/>
      <c r="E12" s="2"/>
      <c r="F12" s="2"/>
      <c r="G12" s="2"/>
      <c r="H12" s="226"/>
      <c r="I12" s="2"/>
      <c r="K12" s="2"/>
    </row>
    <row r="13" spans="1:27" x14ac:dyDescent="0.25">
      <c r="A13" s="94"/>
      <c r="B13" s="95"/>
      <c r="C13" s="95"/>
      <c r="D13" s="95"/>
      <c r="E13" s="95"/>
      <c r="F13" s="95"/>
      <c r="G13" s="95"/>
      <c r="H13" s="95"/>
      <c r="I13" s="95"/>
    </row>
    <row r="14" spans="1:27" ht="9.6" customHeight="1" x14ac:dyDescent="0.25"/>
    <row r="15" spans="1:27" ht="15.75" x14ac:dyDescent="0.25">
      <c r="A15" s="29" t="s">
        <v>123</v>
      </c>
      <c r="B15" s="30"/>
      <c r="C15" s="31"/>
      <c r="D15" s="31"/>
      <c r="E15" s="31"/>
      <c r="F15" s="31"/>
      <c r="G15" s="31"/>
      <c r="H15" s="31"/>
    </row>
    <row r="16" spans="1:27" ht="7.5" customHeight="1" x14ac:dyDescent="0.25"/>
    <row r="17" spans="1:8" ht="45" x14ac:dyDescent="0.25">
      <c r="A17" s="32" t="s">
        <v>19</v>
      </c>
      <c r="B17" s="33" t="s">
        <v>20</v>
      </c>
      <c r="C17" s="34" t="s">
        <v>21</v>
      </c>
      <c r="D17" s="34" t="s">
        <v>22</v>
      </c>
      <c r="E17" s="34" t="s">
        <v>23</v>
      </c>
      <c r="F17" s="34" t="s">
        <v>24</v>
      </c>
      <c r="G17" s="35" t="s">
        <v>25</v>
      </c>
      <c r="H17" s="34" t="s">
        <v>26</v>
      </c>
    </row>
    <row r="18" spans="1:8" ht="20.100000000000001" hidden="1" customHeight="1" x14ac:dyDescent="0.25">
      <c r="A18" s="36" t="s">
        <v>27</v>
      </c>
      <c r="B18" s="37" t="s">
        <v>28</v>
      </c>
      <c r="C18" s="38">
        <v>64.37</v>
      </c>
      <c r="D18" s="39">
        <v>32.695999999999998</v>
      </c>
      <c r="E18" s="40">
        <v>2104.6415200000001</v>
      </c>
      <c r="F18" s="40">
        <v>328.71</v>
      </c>
      <c r="G18" s="41"/>
      <c r="H18" s="42">
        <v>2433.3515200000002</v>
      </c>
    </row>
    <row r="19" spans="1:8" ht="30" hidden="1" customHeight="1" x14ac:dyDescent="0.25">
      <c r="A19" s="43" t="s">
        <v>29</v>
      </c>
      <c r="B19" s="44" t="s">
        <v>30</v>
      </c>
      <c r="C19" s="45">
        <v>30.76</v>
      </c>
      <c r="D19" s="46">
        <v>74.518000000000001</v>
      </c>
      <c r="E19" s="40">
        <v>2292.1736800000003</v>
      </c>
      <c r="F19" s="47">
        <v>402.1</v>
      </c>
      <c r="G19" s="48"/>
      <c r="H19" s="49">
        <v>2694.2736800000002</v>
      </c>
    </row>
    <row r="20" spans="1:8" ht="15.75" hidden="1" customHeight="1" x14ac:dyDescent="0.25">
      <c r="A20" s="43" t="s">
        <v>31</v>
      </c>
      <c r="B20" s="44" t="s">
        <v>32</v>
      </c>
      <c r="C20" s="45">
        <v>24.35</v>
      </c>
      <c r="D20" s="46">
        <v>380.96499999999997</v>
      </c>
      <c r="E20" s="40">
        <v>9276.4977500000005</v>
      </c>
      <c r="F20" s="47">
        <v>3647</v>
      </c>
      <c r="G20" s="48"/>
      <c r="H20" s="49">
        <v>12923.49775</v>
      </c>
    </row>
    <row r="21" spans="1:8" ht="30" hidden="1" customHeight="1" x14ac:dyDescent="0.25">
      <c r="A21" s="43" t="s">
        <v>33</v>
      </c>
      <c r="B21" s="44" t="s">
        <v>34</v>
      </c>
      <c r="C21" s="45">
        <v>23.6</v>
      </c>
      <c r="D21" s="46">
        <v>5.2530000000000001</v>
      </c>
      <c r="E21" s="40">
        <v>123.97080000000001</v>
      </c>
      <c r="F21" s="47">
        <v>765.2</v>
      </c>
      <c r="G21" s="48"/>
      <c r="H21" s="49">
        <v>889.1708000000001</v>
      </c>
    </row>
    <row r="22" spans="1:8" ht="20.100000000000001" hidden="1" customHeight="1" x14ac:dyDescent="0.25">
      <c r="A22" s="43" t="s">
        <v>35</v>
      </c>
      <c r="B22" s="44" t="s">
        <v>36</v>
      </c>
      <c r="C22" s="45">
        <v>8.52</v>
      </c>
      <c r="D22" s="46">
        <v>201.8</v>
      </c>
      <c r="E22" s="40">
        <v>1719.336</v>
      </c>
      <c r="F22" s="47">
        <v>925.61</v>
      </c>
      <c r="G22" s="48"/>
      <c r="H22" s="49">
        <v>2644.9459999999999</v>
      </c>
    </row>
    <row r="23" spans="1:8" ht="20.100000000000001" hidden="1" customHeight="1" x14ac:dyDescent="0.25">
      <c r="A23" s="43" t="s">
        <v>37</v>
      </c>
      <c r="B23" s="45" t="s">
        <v>38</v>
      </c>
      <c r="C23" s="45">
        <v>19.920000000000002</v>
      </c>
      <c r="D23" s="46">
        <v>21.282</v>
      </c>
      <c r="E23" s="40">
        <v>423.93744000000004</v>
      </c>
      <c r="F23" s="47">
        <v>198.43</v>
      </c>
      <c r="G23" s="48"/>
      <c r="H23" s="49">
        <v>622.36743999999999</v>
      </c>
    </row>
    <row r="24" spans="1:8" ht="20.100000000000001" hidden="1" customHeight="1" x14ac:dyDescent="0.25">
      <c r="A24" s="43" t="s">
        <v>39</v>
      </c>
      <c r="B24" s="45" t="s">
        <v>40</v>
      </c>
      <c r="C24" s="45">
        <v>67.510000000000005</v>
      </c>
      <c r="D24" s="46">
        <v>216.71100000000001</v>
      </c>
      <c r="E24" s="40">
        <v>14630.159610000002</v>
      </c>
      <c r="F24" s="47">
        <v>1325</v>
      </c>
      <c r="G24" s="48"/>
      <c r="H24" s="49">
        <v>15955.159610000002</v>
      </c>
    </row>
    <row r="25" spans="1:8" ht="20.100000000000001" hidden="1" customHeight="1" x14ac:dyDescent="0.25">
      <c r="A25" s="50" t="s">
        <v>41</v>
      </c>
      <c r="B25" s="51" t="s">
        <v>42</v>
      </c>
      <c r="C25" s="52">
        <v>28.92</v>
      </c>
      <c r="D25" s="53">
        <v>31.791</v>
      </c>
      <c r="E25" s="54">
        <v>919.3957200000001</v>
      </c>
      <c r="F25" s="55">
        <v>626.63</v>
      </c>
      <c r="G25" s="56"/>
      <c r="H25" s="57">
        <v>1546.0257200000001</v>
      </c>
    </row>
    <row r="26" spans="1:8" ht="19.5" customHeight="1" x14ac:dyDescent="0.25">
      <c r="A26" s="36" t="s">
        <v>132</v>
      </c>
      <c r="B26" s="96" t="s">
        <v>133</v>
      </c>
      <c r="C26" s="225">
        <v>135.18</v>
      </c>
      <c r="D26" s="224">
        <v>96804.260985352856</v>
      </c>
      <c r="E26" s="98">
        <f>C26*D26</f>
        <v>13086000</v>
      </c>
      <c r="F26" s="223">
        <v>3370000</v>
      </c>
      <c r="G26" s="224">
        <v>896000</v>
      </c>
      <c r="H26" s="97">
        <f>E26+F26-G26</f>
        <v>15560000</v>
      </c>
    </row>
    <row r="28" spans="1:8" ht="15.75" x14ac:dyDescent="0.25">
      <c r="A28" s="29" t="s">
        <v>118</v>
      </c>
      <c r="B28" s="31"/>
      <c r="C28" s="31"/>
      <c r="D28" s="31"/>
      <c r="E28" s="31"/>
      <c r="F28" s="31"/>
      <c r="G28" s="31"/>
      <c r="H28" s="58"/>
    </row>
    <row r="29" spans="1:8" x14ac:dyDescent="0.25">
      <c r="A29" s="99"/>
      <c r="B29" s="5"/>
      <c r="C29" s="5"/>
      <c r="D29" s="5"/>
      <c r="E29" s="5"/>
      <c r="F29" s="5"/>
      <c r="G29" s="5"/>
      <c r="H29" s="5"/>
    </row>
    <row r="30" spans="1:8" ht="16.5" customHeight="1" x14ac:dyDescent="0.25">
      <c r="A30" s="100" t="s">
        <v>44</v>
      </c>
      <c r="B30" s="2"/>
      <c r="C30" s="5"/>
      <c r="D30" s="100" t="s">
        <v>45</v>
      </c>
      <c r="E30" s="2"/>
      <c r="F30" s="5"/>
      <c r="G30" s="5"/>
      <c r="H30" s="5"/>
    </row>
    <row r="31" spans="1:8" ht="16.5" customHeight="1" x14ac:dyDescent="0.25">
      <c r="A31" s="2" t="s">
        <v>46</v>
      </c>
      <c r="B31" s="236">
        <v>0.05</v>
      </c>
      <c r="C31" s="2"/>
      <c r="D31" s="2" t="s">
        <v>47</v>
      </c>
      <c r="E31" s="228">
        <v>0.6</v>
      </c>
      <c r="F31" s="5"/>
      <c r="G31" s="5"/>
      <c r="H31" s="5"/>
    </row>
    <row r="32" spans="1:8" ht="16.5" customHeight="1" x14ac:dyDescent="0.25">
      <c r="A32" s="2" t="s">
        <v>48</v>
      </c>
      <c r="B32" s="227">
        <v>1.51</v>
      </c>
      <c r="C32" s="103"/>
      <c r="D32" s="2"/>
      <c r="E32" s="101"/>
      <c r="F32" s="104"/>
      <c r="G32" s="5"/>
      <c r="H32" s="5"/>
    </row>
    <row r="33" spans="1:11" ht="16.5" customHeight="1" x14ac:dyDescent="0.25">
      <c r="A33" s="2" t="s">
        <v>49</v>
      </c>
      <c r="B33" s="236">
        <v>5.5E-2</v>
      </c>
      <c r="C33" s="2"/>
      <c r="D33" s="2" t="s">
        <v>50</v>
      </c>
      <c r="E33" s="228">
        <v>158.49</v>
      </c>
      <c r="F33" s="104" t="s">
        <v>122</v>
      </c>
      <c r="G33" s="5"/>
      <c r="H33" s="5"/>
    </row>
    <row r="34" spans="1:11" ht="16.5" customHeight="1" thickBot="1" x14ac:dyDescent="0.3">
      <c r="A34" s="2" t="s">
        <v>51</v>
      </c>
      <c r="B34" s="105">
        <f>+B33+B31</f>
        <v>0.10500000000000001</v>
      </c>
      <c r="C34" s="2"/>
      <c r="D34" s="2" t="s">
        <v>52</v>
      </c>
      <c r="E34" s="105">
        <f>B35</f>
        <v>0.13305</v>
      </c>
      <c r="F34" s="5"/>
      <c r="G34" s="5"/>
      <c r="H34" s="5"/>
    </row>
    <row r="35" spans="1:11" ht="16.5" customHeight="1" thickBot="1" x14ac:dyDescent="0.3">
      <c r="A35" s="106" t="s">
        <v>53</v>
      </c>
      <c r="B35" s="107">
        <f>+B31+B32*B33</f>
        <v>0.13305</v>
      </c>
      <c r="C35" s="2"/>
      <c r="D35" s="108" t="s">
        <v>54</v>
      </c>
      <c r="E35" s="110">
        <f>(E31+E33)/(1+E34)</f>
        <v>140.40863156965713</v>
      </c>
      <c r="F35" s="104"/>
      <c r="G35" s="5"/>
      <c r="H35" s="5"/>
    </row>
    <row r="36" spans="1:11" ht="16.5" customHeight="1" x14ac:dyDescent="0.25">
      <c r="A36" s="109"/>
      <c r="B36" s="109"/>
      <c r="C36" s="5"/>
      <c r="D36" s="5"/>
      <c r="E36" s="5"/>
      <c r="F36" s="5"/>
      <c r="G36" s="5"/>
      <c r="H36" s="5"/>
    </row>
    <row r="37" spans="1:11" ht="15.75" x14ac:dyDescent="0.25">
      <c r="A37" s="29" t="s">
        <v>124</v>
      </c>
      <c r="B37" s="31"/>
      <c r="C37" s="31"/>
      <c r="D37" s="31"/>
      <c r="E37" s="31"/>
      <c r="F37" s="31"/>
      <c r="G37" s="31"/>
      <c r="H37" s="58"/>
    </row>
    <row r="38" spans="1:11" x14ac:dyDescent="0.25">
      <c r="A38" s="111"/>
      <c r="B38" s="111"/>
      <c r="C38" s="111"/>
      <c r="D38" s="111"/>
      <c r="E38" s="111"/>
      <c r="F38" s="111"/>
      <c r="G38" s="111"/>
      <c r="H38" s="111"/>
    </row>
    <row r="39" spans="1:11" x14ac:dyDescent="0.25">
      <c r="A39" s="100" t="s">
        <v>55</v>
      </c>
      <c r="B39" s="111"/>
      <c r="C39" s="111"/>
      <c r="D39" s="100" t="s">
        <v>56</v>
      </c>
      <c r="E39" s="111"/>
      <c r="F39" s="111"/>
      <c r="G39" s="111"/>
      <c r="H39" s="111"/>
    </row>
    <row r="40" spans="1:11" x14ac:dyDescent="0.25">
      <c r="A40" s="111" t="s">
        <v>57</v>
      </c>
      <c r="B40" s="112">
        <f>E31</f>
        <v>0.6</v>
      </c>
      <c r="C40" s="111"/>
      <c r="D40" s="111" t="s">
        <v>58</v>
      </c>
      <c r="E40" s="111"/>
      <c r="F40" s="113"/>
      <c r="G40" s="111"/>
      <c r="H40" s="111"/>
    </row>
    <row r="41" spans="1:11" x14ac:dyDescent="0.25">
      <c r="A41" s="111" t="s">
        <v>59</v>
      </c>
      <c r="B41" s="114">
        <f>E34</f>
        <v>0.13305</v>
      </c>
      <c r="C41" s="111"/>
      <c r="D41" s="111" t="s">
        <v>60</v>
      </c>
      <c r="E41" s="111"/>
      <c r="F41" s="112"/>
      <c r="G41" s="111"/>
      <c r="H41" s="111"/>
    </row>
    <row r="42" spans="1:11" ht="15.75" thickBot="1" x14ac:dyDescent="0.3">
      <c r="A42" s="111" t="s">
        <v>61</v>
      </c>
      <c r="B42" s="115">
        <f>B41*C42</f>
        <v>0.119745</v>
      </c>
      <c r="C42" s="237">
        <v>0.9</v>
      </c>
      <c r="D42" s="111"/>
      <c r="E42" s="111"/>
      <c r="F42" s="116"/>
      <c r="G42" s="111"/>
      <c r="H42" s="111"/>
    </row>
    <row r="43" spans="1:11" ht="15.75" thickBot="1" x14ac:dyDescent="0.3">
      <c r="A43" s="108" t="s">
        <v>62</v>
      </c>
      <c r="B43" s="118">
        <f>B40/(B41-B42)</f>
        <v>45.095828635851191</v>
      </c>
      <c r="C43" s="111"/>
      <c r="D43" s="2"/>
      <c r="E43" s="111"/>
      <c r="F43" s="117"/>
      <c r="G43" s="111"/>
      <c r="H43" s="111"/>
    </row>
    <row r="44" spans="1:11" x14ac:dyDescent="0.25">
      <c r="A44" s="99"/>
      <c r="B44" s="5"/>
      <c r="C44" s="5"/>
      <c r="D44" s="5"/>
      <c r="E44" s="5"/>
      <c r="F44" s="5"/>
      <c r="G44" s="5"/>
      <c r="H44" s="2"/>
    </row>
    <row r="45" spans="1:11" ht="10.5" customHeight="1" x14ac:dyDescent="0.25"/>
    <row r="46" spans="1:11" ht="15.75" x14ac:dyDescent="0.25">
      <c r="A46" s="29" t="s">
        <v>120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</row>
    <row r="47" spans="1:11" ht="43.5" customHeight="1" x14ac:dyDescent="0.25">
      <c r="A47" s="59" t="s">
        <v>19</v>
      </c>
      <c r="B47" s="60" t="s">
        <v>20</v>
      </c>
      <c r="C47" s="61" t="str">
        <f>+C17</f>
        <v>Stock Price</v>
      </c>
      <c r="D47" s="62" t="s">
        <v>22</v>
      </c>
      <c r="E47" s="63" t="s">
        <v>63</v>
      </c>
      <c r="F47" s="63" t="str">
        <f>+F17</f>
        <v>Debt 
(ST&amp;LT)
($000)</v>
      </c>
      <c r="G47" s="62" t="str">
        <f>+G17</f>
        <v>Cash
 ($000)</v>
      </c>
      <c r="H47" s="63" t="s">
        <v>26</v>
      </c>
      <c r="I47" s="63" t="s">
        <v>64</v>
      </c>
      <c r="J47" s="63" t="s">
        <v>65</v>
      </c>
      <c r="K47" s="63" t="s">
        <v>66</v>
      </c>
    </row>
    <row r="48" spans="1:11" ht="15.6" customHeight="1" x14ac:dyDescent="0.25">
      <c r="A48" s="119" t="s">
        <v>27</v>
      </c>
      <c r="B48" s="120" t="s">
        <v>28</v>
      </c>
      <c r="C48" s="238">
        <v>117.07</v>
      </c>
      <c r="D48" s="239">
        <v>49670</v>
      </c>
      <c r="E48" s="121">
        <v>5814866.8999999994</v>
      </c>
      <c r="F48" s="240">
        <v>1680000</v>
      </c>
      <c r="G48" s="239">
        <v>26750</v>
      </c>
      <c r="H48" s="121">
        <v>7468116.8999999994</v>
      </c>
      <c r="I48" s="239">
        <v>458040</v>
      </c>
      <c r="J48" s="122">
        <v>16.304508121561433</v>
      </c>
      <c r="K48" s="241">
        <v>1.21</v>
      </c>
    </row>
    <row r="49" spans="1:13" ht="15.6" customHeight="1" x14ac:dyDescent="0.25">
      <c r="A49" s="119" t="s">
        <v>136</v>
      </c>
      <c r="B49" s="120" t="s">
        <v>32</v>
      </c>
      <c r="C49" s="238">
        <v>198.82</v>
      </c>
      <c r="D49" s="239">
        <v>253750</v>
      </c>
      <c r="E49" s="121">
        <v>50450575</v>
      </c>
      <c r="F49" s="240">
        <v>10120000</v>
      </c>
      <c r="G49" s="239">
        <v>800000</v>
      </c>
      <c r="H49" s="121">
        <v>59770575</v>
      </c>
      <c r="I49" s="239">
        <v>2410000</v>
      </c>
      <c r="J49" s="122">
        <v>24.801068464730289</v>
      </c>
      <c r="K49" s="241">
        <v>1.26</v>
      </c>
    </row>
    <row r="50" spans="1:13" ht="15.6" customHeight="1" x14ac:dyDescent="0.25">
      <c r="A50" s="123" t="s">
        <v>137</v>
      </c>
      <c r="B50" s="124" t="s">
        <v>138</v>
      </c>
      <c r="C50" s="238">
        <v>98.02</v>
      </c>
      <c r="D50" s="239">
        <v>164950</v>
      </c>
      <c r="E50" s="121">
        <v>16168399</v>
      </c>
      <c r="F50" s="240">
        <v>3620000</v>
      </c>
      <c r="G50" s="239">
        <v>1330000</v>
      </c>
      <c r="H50" s="121">
        <v>18458399</v>
      </c>
      <c r="I50" s="239">
        <v>1060000</v>
      </c>
      <c r="J50" s="122">
        <v>17.413583962264152</v>
      </c>
      <c r="K50" s="241">
        <v>0.97</v>
      </c>
    </row>
    <row r="51" spans="1:13" ht="15.6" customHeight="1" x14ac:dyDescent="0.25">
      <c r="A51" s="123" t="s">
        <v>37</v>
      </c>
      <c r="B51" s="125" t="s">
        <v>38</v>
      </c>
      <c r="C51" s="238">
        <v>13.63</v>
      </c>
      <c r="D51" s="239">
        <v>32140</v>
      </c>
      <c r="E51" s="121">
        <v>438068.2</v>
      </c>
      <c r="F51" s="240">
        <v>379060</v>
      </c>
      <c r="G51" s="239">
        <v>60950</v>
      </c>
      <c r="H51" s="121">
        <v>756178.2</v>
      </c>
      <c r="I51" s="239">
        <v>100540</v>
      </c>
      <c r="J51" s="122">
        <v>7.5211676944499697</v>
      </c>
      <c r="K51" s="241">
        <v>1.49</v>
      </c>
    </row>
    <row r="52" spans="1:13" ht="15.6" customHeight="1" x14ac:dyDescent="0.25">
      <c r="A52" s="123" t="s">
        <v>39</v>
      </c>
      <c r="B52" s="125" t="s">
        <v>40</v>
      </c>
      <c r="C52" s="238">
        <v>236.3</v>
      </c>
      <c r="D52" s="239">
        <v>291540</v>
      </c>
      <c r="E52" s="121">
        <v>68890902</v>
      </c>
      <c r="F52" s="240">
        <v>12870000</v>
      </c>
      <c r="G52" s="239">
        <v>338000</v>
      </c>
      <c r="H52" s="121">
        <v>81422902</v>
      </c>
      <c r="I52" s="239">
        <v>4270000</v>
      </c>
      <c r="J52" s="122">
        <v>19.06859531615925</v>
      </c>
      <c r="K52" s="241">
        <v>1.62</v>
      </c>
    </row>
    <row r="53" spans="1:13" ht="15.6" customHeight="1" x14ac:dyDescent="0.25">
      <c r="A53" s="123" t="s">
        <v>139</v>
      </c>
      <c r="B53" s="125" t="s">
        <v>140</v>
      </c>
      <c r="C53" s="238">
        <v>16.63</v>
      </c>
      <c r="D53" s="239">
        <v>214240</v>
      </c>
      <c r="E53" s="121">
        <v>3562811.1999999997</v>
      </c>
      <c r="F53" s="240">
        <v>4710000</v>
      </c>
      <c r="G53" s="239">
        <v>717000</v>
      </c>
      <c r="H53" s="121">
        <v>7555811.1999999993</v>
      </c>
      <c r="I53" s="239">
        <v>609000</v>
      </c>
      <c r="J53" s="122">
        <v>12.406914942528735</v>
      </c>
      <c r="K53" s="241">
        <v>2.0299999999999998</v>
      </c>
    </row>
    <row r="54" spans="1:13" ht="15.6" customHeight="1" thickBot="1" x14ac:dyDescent="0.3">
      <c r="A54" s="126" t="s">
        <v>141</v>
      </c>
      <c r="B54" s="127" t="s">
        <v>142</v>
      </c>
      <c r="C54" s="238">
        <v>69.31</v>
      </c>
      <c r="D54" s="239">
        <v>81020</v>
      </c>
      <c r="E54" s="128">
        <v>5615496.2000000002</v>
      </c>
      <c r="F54" s="240">
        <v>2210000</v>
      </c>
      <c r="G54" s="239">
        <v>66000</v>
      </c>
      <c r="H54" s="128">
        <v>7759496.2000000002</v>
      </c>
      <c r="I54" s="239">
        <v>591000</v>
      </c>
      <c r="J54" s="129">
        <v>13.129435194585449</v>
      </c>
      <c r="K54" s="241">
        <v>1.35</v>
      </c>
    </row>
    <row r="55" spans="1:13" ht="9.6" customHeight="1" thickBot="1" x14ac:dyDescent="0.3">
      <c r="L55" s="64"/>
      <c r="M55" s="64"/>
    </row>
    <row r="56" spans="1:13" ht="15.6" customHeight="1" thickBot="1" x14ac:dyDescent="0.3">
      <c r="A56" s="136" t="str">
        <f>+A26</f>
        <v>Hyatt</v>
      </c>
      <c r="B56" s="137" t="str">
        <f t="shared" ref="B56:H56" si="1">+B26</f>
        <v>H</v>
      </c>
      <c r="C56" s="138">
        <f t="shared" si="1"/>
        <v>135.18</v>
      </c>
      <c r="D56" s="139">
        <f t="shared" si="1"/>
        <v>96804.260985352856</v>
      </c>
      <c r="E56" s="139">
        <f t="shared" si="1"/>
        <v>13086000</v>
      </c>
      <c r="F56" s="140">
        <f t="shared" si="1"/>
        <v>3370000</v>
      </c>
      <c r="G56" s="139">
        <f t="shared" si="1"/>
        <v>896000</v>
      </c>
      <c r="H56" s="139">
        <f t="shared" si="1"/>
        <v>15560000</v>
      </c>
      <c r="I56" s="139">
        <f>+B58</f>
        <v>894000</v>
      </c>
      <c r="J56" s="141">
        <f>+H56/I56</f>
        <v>17.404921700223714</v>
      </c>
      <c r="K56" s="142">
        <f>+B32</f>
        <v>1.51</v>
      </c>
      <c r="L56" s="26"/>
    </row>
    <row r="57" spans="1:13" ht="15.75" thickBot="1" x14ac:dyDescent="0.3">
      <c r="A57" s="2"/>
      <c r="C57" s="85"/>
      <c r="D57" s="85"/>
      <c r="J57" s="130"/>
    </row>
    <row r="58" spans="1:13" ht="15.75" thickBot="1" x14ac:dyDescent="0.3">
      <c r="A58" s="2" t="s">
        <v>67</v>
      </c>
      <c r="B58" s="242">
        <v>894000</v>
      </c>
      <c r="C58" s="131">
        <f>+J58</f>
        <v>15.806467670897039</v>
      </c>
      <c r="D58" s="4" t="s">
        <v>68</v>
      </c>
      <c r="E58" s="135">
        <f>(B60-F26+G26)/D26</f>
        <v>120.41806816278194</v>
      </c>
      <c r="I58" s="108" t="s">
        <v>69</v>
      </c>
      <c r="J58" s="131">
        <f>AVERAGE(J48:J54)</f>
        <v>15.806467670897039</v>
      </c>
      <c r="K58" s="131">
        <f>AVERAGE(K48:K56)</f>
        <v>1.43</v>
      </c>
      <c r="L58" s="132"/>
    </row>
    <row r="59" spans="1:13" ht="15.75" thickBot="1" x14ac:dyDescent="0.3">
      <c r="A59" s="2"/>
      <c r="E59" s="2"/>
      <c r="F59" s="102"/>
      <c r="G59" s="102"/>
      <c r="I59" s="108"/>
      <c r="J59" s="131"/>
      <c r="K59" s="131"/>
    </row>
    <row r="60" spans="1:13" ht="15.75" thickBot="1" x14ac:dyDescent="0.3">
      <c r="A60" s="133" t="s">
        <v>125</v>
      </c>
      <c r="B60" s="134">
        <f>B58*C58</f>
        <v>14130982.097781952</v>
      </c>
      <c r="D60" t="s">
        <v>134</v>
      </c>
      <c r="E60" s="2"/>
      <c r="F60" s="102"/>
      <c r="G60" s="102"/>
      <c r="J60" s="111"/>
      <c r="K60" s="111"/>
    </row>
    <row r="61" spans="1:13" x14ac:dyDescent="0.25">
      <c r="A61" s="1"/>
      <c r="B61" s="1"/>
      <c r="C61" s="1"/>
      <c r="D61" s="1" t="s">
        <v>135</v>
      </c>
      <c r="E61" s="1"/>
      <c r="F61" s="1"/>
      <c r="G61" s="1"/>
      <c r="H61" s="1"/>
      <c r="I61" s="1"/>
      <c r="J61" s="1"/>
      <c r="K61" s="1"/>
    </row>
    <row r="63" spans="1:13" ht="15.75" x14ac:dyDescent="0.25">
      <c r="A63" s="65" t="s">
        <v>121</v>
      </c>
      <c r="B63" s="31"/>
      <c r="C63" s="31"/>
      <c r="D63" s="31"/>
      <c r="E63" s="31"/>
      <c r="F63" s="31"/>
      <c r="G63" s="31"/>
      <c r="H63" s="31"/>
      <c r="I63" s="31"/>
      <c r="J63" s="31"/>
    </row>
    <row r="64" spans="1:13" ht="11.45" customHeight="1" x14ac:dyDescent="0.35">
      <c r="A64" s="66"/>
      <c r="B64" s="67"/>
      <c r="C64" s="67"/>
      <c r="D64" s="68" t="s">
        <v>70</v>
      </c>
      <c r="E64" s="69">
        <v>1</v>
      </c>
      <c r="F64" s="69">
        <v>2</v>
      </c>
      <c r="G64" s="69">
        <v>3</v>
      </c>
      <c r="H64" s="69">
        <v>4</v>
      </c>
      <c r="I64" s="69">
        <v>5</v>
      </c>
      <c r="J64" s="69">
        <v>6</v>
      </c>
    </row>
    <row r="65" spans="1:24" ht="15.75" thickBot="1" x14ac:dyDescent="0.3">
      <c r="A65" s="70"/>
      <c r="B65" s="209" t="s">
        <v>71</v>
      </c>
      <c r="C65" s="210"/>
      <c r="D65" s="211"/>
      <c r="E65" s="210" t="s">
        <v>72</v>
      </c>
      <c r="F65" s="210"/>
      <c r="G65" s="210"/>
      <c r="H65" s="211"/>
      <c r="I65" s="71" t="s">
        <v>73</v>
      </c>
      <c r="J65" s="72"/>
    </row>
    <row r="66" spans="1:24" ht="15.75" thickBot="1" x14ac:dyDescent="0.3">
      <c r="A66" s="73"/>
      <c r="B66" s="74">
        <f>+[1]Projections!Q6</f>
        <v>2021</v>
      </c>
      <c r="C66" s="75">
        <f>+[1]Projections!R6</f>
        <v>2022</v>
      </c>
      <c r="D66" s="76">
        <f>+[1]Projections!S6</f>
        <v>2023</v>
      </c>
      <c r="E66" s="77">
        <f>+[1]Projections!T6</f>
        <v>2024</v>
      </c>
      <c r="F66" s="77">
        <f>+[1]Projections!U6</f>
        <v>2025</v>
      </c>
      <c r="G66" s="77">
        <f>+[1]Projections!V6</f>
        <v>2026</v>
      </c>
      <c r="H66" s="77">
        <f>+[1]Projections!W6</f>
        <v>2027</v>
      </c>
      <c r="I66" s="78">
        <f>+[1]Projections!X6</f>
        <v>2028</v>
      </c>
      <c r="J66" s="79">
        <f>+[1]Projections!Y6</f>
        <v>2029</v>
      </c>
      <c r="M66" s="207" t="s">
        <v>87</v>
      </c>
      <c r="N66" s="208"/>
    </row>
    <row r="67" spans="1:24" x14ac:dyDescent="0.25">
      <c r="A67" t="s">
        <v>74</v>
      </c>
      <c r="B67" s="229">
        <v>3028000</v>
      </c>
      <c r="C67" s="229">
        <v>5891000</v>
      </c>
      <c r="D67" s="221">
        <v>6667000</v>
      </c>
      <c r="E67" s="212">
        <f>D67*(1+$N$68)</f>
        <v>7333700.0000000009</v>
      </c>
      <c r="F67" s="143">
        <f t="shared" ref="F67:J67" si="2">E67*(1+$N$68)</f>
        <v>8067070.0000000019</v>
      </c>
      <c r="G67" s="143">
        <f t="shared" si="2"/>
        <v>8873777.0000000019</v>
      </c>
      <c r="H67" s="143">
        <f t="shared" si="2"/>
        <v>9761154.700000003</v>
      </c>
      <c r="I67" s="84">
        <f t="shared" si="2"/>
        <v>10737270.170000004</v>
      </c>
      <c r="J67" s="143">
        <f t="shared" si="2"/>
        <v>11810997.187000005</v>
      </c>
      <c r="M67" s="205"/>
    </row>
    <row r="68" spans="1:24" x14ac:dyDescent="0.25">
      <c r="A68" t="s">
        <v>75</v>
      </c>
      <c r="B68" s="214"/>
      <c r="C68" s="214"/>
      <c r="D68" s="215"/>
      <c r="E68" s="144"/>
      <c r="F68" s="144"/>
      <c r="G68" s="144"/>
      <c r="H68" s="144"/>
      <c r="I68" s="145"/>
      <c r="J68" s="144"/>
      <c r="M68" s="205" t="s">
        <v>126</v>
      </c>
      <c r="N68" s="232">
        <v>0.1</v>
      </c>
    </row>
    <row r="69" spans="1:24" x14ac:dyDescent="0.25">
      <c r="A69" t="s">
        <v>76</v>
      </c>
      <c r="B69" s="229">
        <v>-2603000</v>
      </c>
      <c r="C69" s="229">
        <v>-4603000</v>
      </c>
      <c r="D69" s="221">
        <v>-5350000</v>
      </c>
      <c r="E69" s="212">
        <f>-E67*$N$69</f>
        <v>-5903628.5000000009</v>
      </c>
      <c r="F69" s="143">
        <f t="shared" ref="F69:J69" si="3">-F67*$N$69</f>
        <v>-6493991.3500000015</v>
      </c>
      <c r="G69" s="143">
        <f t="shared" si="3"/>
        <v>-7143390.4850000022</v>
      </c>
      <c r="H69" s="143">
        <f t="shared" si="3"/>
        <v>-7857729.5335000027</v>
      </c>
      <c r="I69" s="84">
        <f t="shared" si="3"/>
        <v>-8643502.4868500028</v>
      </c>
      <c r="J69" s="143">
        <f t="shared" si="3"/>
        <v>-9507852.7355350051</v>
      </c>
      <c r="M69" s="205" t="s">
        <v>127</v>
      </c>
      <c r="N69" s="232">
        <v>0.80500000000000005</v>
      </c>
      <c r="O69" s="233">
        <f>SUM(B69:D69)/(SUM(B67:D67))</f>
        <v>-0.80559476453227252</v>
      </c>
    </row>
    <row r="70" spans="1:24" x14ac:dyDescent="0.25">
      <c r="A70" t="s">
        <v>77</v>
      </c>
      <c r="B70" s="216">
        <v>-698000</v>
      </c>
      <c r="C70" s="216">
        <v>-874000</v>
      </c>
      <c r="D70" s="217">
        <v>-995000</v>
      </c>
      <c r="E70" s="146">
        <f>-$N$70*E67</f>
        <v>-880044.00000000012</v>
      </c>
      <c r="F70" s="146">
        <f t="shared" ref="F70:J70" si="4">-$N$70*F67</f>
        <v>-968048.40000000014</v>
      </c>
      <c r="G70" s="146">
        <f t="shared" si="4"/>
        <v>-1064853.2400000002</v>
      </c>
      <c r="H70" s="146">
        <f t="shared" si="4"/>
        <v>-1171338.5640000002</v>
      </c>
      <c r="I70" s="147">
        <f t="shared" si="4"/>
        <v>-1288472.4204000004</v>
      </c>
      <c r="J70" s="146">
        <f t="shared" si="4"/>
        <v>-1417319.6624400006</v>
      </c>
      <c r="M70" s="205" t="s">
        <v>128</v>
      </c>
      <c r="N70" s="232">
        <v>0.12</v>
      </c>
      <c r="O70" s="233">
        <f>SUM(B70:D70)/SUM(B67:D67)</f>
        <v>-0.16469908892595919</v>
      </c>
    </row>
    <row r="71" spans="1:24" ht="15.75" thickBot="1" x14ac:dyDescent="0.3">
      <c r="A71" t="s">
        <v>78</v>
      </c>
      <c r="B71" s="218"/>
      <c r="C71" s="218"/>
      <c r="D71" s="219"/>
      <c r="E71" s="143">
        <f>SUM(E67:E70)</f>
        <v>550027.49999999988</v>
      </c>
      <c r="F71" s="143">
        <f t="shared" ref="F71:J71" si="5">SUM(F67:F70)</f>
        <v>605030.25000000023</v>
      </c>
      <c r="G71" s="143">
        <f t="shared" si="5"/>
        <v>665533.27499999944</v>
      </c>
      <c r="H71" s="143">
        <f t="shared" si="5"/>
        <v>732086.60250000004</v>
      </c>
      <c r="I71" s="84">
        <f t="shared" si="5"/>
        <v>805295.26275000046</v>
      </c>
      <c r="J71" s="143">
        <f t="shared" si="5"/>
        <v>885824.7890249989</v>
      </c>
      <c r="M71" s="205"/>
      <c r="N71" s="206"/>
      <c r="O71" s="233"/>
      <c r="X71" s="91"/>
    </row>
    <row r="72" spans="1:24" ht="15.75" thickBot="1" x14ac:dyDescent="0.3">
      <c r="A72" t="s">
        <v>80</v>
      </c>
      <c r="B72" s="220">
        <v>0.22</v>
      </c>
      <c r="C72" s="230"/>
      <c r="D72" s="219"/>
      <c r="E72" s="143">
        <f>-$B$72*E71</f>
        <v>-121006.04999999997</v>
      </c>
      <c r="F72" s="143">
        <f t="shared" ref="F72:J72" si="6">-$B$72*F71</f>
        <v>-133106.65500000006</v>
      </c>
      <c r="G72" s="143">
        <f t="shared" si="6"/>
        <v>-146417.32049999989</v>
      </c>
      <c r="H72" s="143">
        <f t="shared" si="6"/>
        <v>-161059.05255000002</v>
      </c>
      <c r="I72" s="84">
        <f t="shared" si="6"/>
        <v>-177164.9578050001</v>
      </c>
      <c r="J72" s="143">
        <f t="shared" si="6"/>
        <v>-194881.45358549975</v>
      </c>
      <c r="M72" s="205"/>
      <c r="N72" s="206"/>
      <c r="O72" s="233"/>
    </row>
    <row r="73" spans="1:24" x14ac:dyDescent="0.25">
      <c r="A73" t="s">
        <v>81</v>
      </c>
      <c r="B73" s="229">
        <v>337000</v>
      </c>
      <c r="C73" s="229">
        <v>461000</v>
      </c>
      <c r="D73" s="221">
        <v>439000</v>
      </c>
      <c r="E73" s="143">
        <f>$N$73*E67</f>
        <v>579362.30000000005</v>
      </c>
      <c r="F73" s="143">
        <f t="shared" ref="F73:J73" si="7">$N$73*F67</f>
        <v>637298.53000000014</v>
      </c>
      <c r="G73" s="143">
        <f t="shared" si="7"/>
        <v>701028.38300000015</v>
      </c>
      <c r="H73" s="143">
        <f t="shared" si="7"/>
        <v>771131.22130000021</v>
      </c>
      <c r="I73" s="84">
        <f t="shared" si="7"/>
        <v>848244.34343000024</v>
      </c>
      <c r="J73" s="143">
        <f t="shared" si="7"/>
        <v>933068.77777300042</v>
      </c>
      <c r="M73" s="205" t="s">
        <v>129</v>
      </c>
      <c r="N73" s="232">
        <v>7.9000000000000001E-2</v>
      </c>
      <c r="O73" s="233">
        <f>SUM(B73:D73)/SUM(B67:D67)</f>
        <v>7.9366097780059028E-2</v>
      </c>
    </row>
    <row r="74" spans="1:24" x14ac:dyDescent="0.25">
      <c r="A74" t="s">
        <v>82</v>
      </c>
      <c r="B74" s="229">
        <v>-388000</v>
      </c>
      <c r="C74" s="229">
        <v>-167000</v>
      </c>
      <c r="D74" s="221">
        <v>-203000</v>
      </c>
      <c r="E74" s="143">
        <f>-$N$74*E67</f>
        <v>-3666.8500000000004</v>
      </c>
      <c r="F74" s="143">
        <f t="shared" ref="F74:J74" si="8">-$N$74*F67</f>
        <v>-4033.5350000000012</v>
      </c>
      <c r="G74" s="143">
        <f t="shared" si="8"/>
        <v>-4436.8885000000009</v>
      </c>
      <c r="H74" s="143">
        <f t="shared" si="8"/>
        <v>-4880.5773500000014</v>
      </c>
      <c r="I74" s="84">
        <f t="shared" si="8"/>
        <v>-5368.6350850000017</v>
      </c>
      <c r="J74" s="143">
        <f t="shared" si="8"/>
        <v>-5905.4985935000022</v>
      </c>
      <c r="M74" s="205" t="s">
        <v>130</v>
      </c>
      <c r="N74" s="232">
        <v>5.0000000000000001E-4</v>
      </c>
      <c r="O74" s="233">
        <f>SUM(B74:D74)/SUM(B$67:$D68)</f>
        <v>-4.8633388938791225E-2</v>
      </c>
    </row>
    <row r="75" spans="1:24" x14ac:dyDescent="0.25">
      <c r="A75" t="s">
        <v>83</v>
      </c>
      <c r="B75" s="229">
        <v>-111000</v>
      </c>
      <c r="C75" s="229">
        <v>-201000</v>
      </c>
      <c r="D75" s="221">
        <v>-198000</v>
      </c>
      <c r="E75" s="143">
        <f>-$N$75*E67</f>
        <v>-513359.00000000012</v>
      </c>
      <c r="F75" s="143">
        <f t="shared" ref="F75:J75" si="9">-$N$75*F67</f>
        <v>-564694.90000000014</v>
      </c>
      <c r="G75" s="143">
        <f t="shared" si="9"/>
        <v>-621164.39000000025</v>
      </c>
      <c r="H75" s="143">
        <f t="shared" si="9"/>
        <v>-683280.82900000026</v>
      </c>
      <c r="I75" s="84">
        <f t="shared" si="9"/>
        <v>-751608.9119000003</v>
      </c>
      <c r="J75" s="143">
        <f t="shared" si="9"/>
        <v>-826769.80309000041</v>
      </c>
      <c r="M75" s="205" t="s">
        <v>131</v>
      </c>
      <c r="N75" s="232">
        <v>7.0000000000000007E-2</v>
      </c>
      <c r="O75" s="233">
        <f>SUM(B75:D75)/SUM(B$67:$D69)</f>
        <v>-0.16831683168316833</v>
      </c>
    </row>
    <row r="76" spans="1:24" ht="15.75" thickBot="1" x14ac:dyDescent="0.3">
      <c r="A76" t="s">
        <v>84</v>
      </c>
      <c r="B76" s="231"/>
      <c r="C76" s="231"/>
      <c r="D76" s="148"/>
      <c r="E76" s="149">
        <f>SUM(E71:E75)</f>
        <v>491357.89999999991</v>
      </c>
      <c r="F76" s="149">
        <f t="shared" ref="F76:J76" si="10">SUM(F71:F75)</f>
        <v>540493.69000000041</v>
      </c>
      <c r="G76" s="149">
        <f t="shared" si="10"/>
        <v>594543.05899999931</v>
      </c>
      <c r="H76" s="149">
        <f t="shared" si="10"/>
        <v>653997.36490000004</v>
      </c>
      <c r="I76" s="150">
        <f t="shared" si="10"/>
        <v>719397.10139000032</v>
      </c>
      <c r="J76" s="151">
        <f t="shared" si="10"/>
        <v>791336.81152899901</v>
      </c>
      <c r="M76" s="205"/>
      <c r="N76" s="206"/>
    </row>
    <row r="77" spans="1:24" ht="7.5" customHeight="1" thickTop="1" x14ac:dyDescent="0.25">
      <c r="A77" s="152"/>
      <c r="B77" s="152"/>
      <c r="C77" s="152"/>
      <c r="D77" s="146"/>
      <c r="E77" s="146"/>
      <c r="F77" s="146"/>
      <c r="G77" s="146"/>
      <c r="H77" s="146"/>
      <c r="I77" s="147"/>
      <c r="J77" s="143"/>
      <c r="M77" s="205"/>
    </row>
    <row r="78" spans="1:24" x14ac:dyDescent="0.25">
      <c r="A78" s="153" t="s">
        <v>79</v>
      </c>
      <c r="B78" s="153"/>
      <c r="C78" s="153"/>
      <c r="D78" s="93"/>
      <c r="E78" s="93"/>
      <c r="F78" s="93"/>
      <c r="G78" s="93"/>
      <c r="H78" s="93"/>
      <c r="I78" s="154">
        <f>I71+I73</f>
        <v>1653539.6061800006</v>
      </c>
      <c r="J78" s="155"/>
      <c r="M78" s="205"/>
    </row>
    <row r="79" spans="1:24" ht="12" customHeight="1" x14ac:dyDescent="0.25">
      <c r="A79" s="156" t="s">
        <v>85</v>
      </c>
      <c r="B79" s="156"/>
      <c r="C79" s="156"/>
      <c r="D79" s="157"/>
      <c r="E79" s="157"/>
      <c r="F79" s="157"/>
      <c r="G79" s="157"/>
      <c r="H79" s="157"/>
      <c r="I79" s="121">
        <f>+F26*0.75</f>
        <v>2527500</v>
      </c>
      <c r="J79" s="158"/>
    </row>
    <row r="80" spans="1:24" ht="7.5" customHeight="1" x14ac:dyDescent="0.25">
      <c r="I80" s="159"/>
    </row>
    <row r="81" spans="1:10" ht="15.75" thickBot="1" x14ac:dyDescent="0.3">
      <c r="A81" s="160" t="s">
        <v>86</v>
      </c>
      <c r="B81" s="161" t="s">
        <v>87</v>
      </c>
      <c r="D81" s="162" t="s">
        <v>88</v>
      </c>
      <c r="I81" s="159"/>
    </row>
    <row r="82" spans="1:10" x14ac:dyDescent="0.25">
      <c r="A82" t="s">
        <v>89</v>
      </c>
      <c r="B82" s="163"/>
      <c r="D82" s="164"/>
      <c r="E82" s="165"/>
      <c r="F82" t="s">
        <v>90</v>
      </c>
      <c r="I82" s="166">
        <f>J58*I78</f>
        <v>26136620.327632003</v>
      </c>
    </row>
    <row r="83" spans="1:10" x14ac:dyDescent="0.25">
      <c r="A83" t="s">
        <v>91</v>
      </c>
      <c r="B83" s="167">
        <f>+J94</f>
        <v>0.11267575960136121</v>
      </c>
      <c r="C83" s="5" t="s">
        <v>92</v>
      </c>
      <c r="D83" s="234">
        <v>0.08</v>
      </c>
      <c r="E83" s="165"/>
      <c r="F83" t="s">
        <v>93</v>
      </c>
      <c r="I83" s="84">
        <f>+J76/(B83-D83)</f>
        <v>24217855.106757287</v>
      </c>
    </row>
    <row r="84" spans="1:10" x14ac:dyDescent="0.25">
      <c r="A84" t="s">
        <v>69</v>
      </c>
      <c r="B84" s="1"/>
      <c r="D84" s="168"/>
      <c r="I84" s="169">
        <f>AVERAGE(I82:I83)</f>
        <v>25177237.717194647</v>
      </c>
    </row>
    <row r="85" spans="1:10" x14ac:dyDescent="0.25">
      <c r="A85" t="s">
        <v>94</v>
      </c>
      <c r="B85" s="1"/>
      <c r="D85" s="91"/>
      <c r="I85" s="166">
        <f>-I79</f>
        <v>-2527500</v>
      </c>
    </row>
    <row r="86" spans="1:10" ht="16.5" customHeight="1" thickBot="1" x14ac:dyDescent="0.3">
      <c r="A86" t="s">
        <v>95</v>
      </c>
      <c r="B86" s="1"/>
      <c r="I86" s="86">
        <f>+I84+I85</f>
        <v>22649737.717194647</v>
      </c>
    </row>
    <row r="87" spans="1:10" ht="16.5" thickTop="1" thickBot="1" x14ac:dyDescent="0.3">
      <c r="A87" s="170" t="s">
        <v>96</v>
      </c>
      <c r="B87" s="171">
        <f>+B95</f>
        <v>0.05</v>
      </c>
      <c r="C87" s="213">
        <f>B35</f>
        <v>0.13305</v>
      </c>
      <c r="D87" s="172"/>
      <c r="E87" s="172">
        <f>+E76</f>
        <v>491357.89999999991</v>
      </c>
      <c r="F87" s="172">
        <f t="shared" ref="F87:I87" si="11">+F76</f>
        <v>540493.69000000041</v>
      </c>
      <c r="G87" s="172">
        <f t="shared" si="11"/>
        <v>594543.05899999931</v>
      </c>
      <c r="H87" s="172">
        <f t="shared" si="11"/>
        <v>653997.36490000004</v>
      </c>
      <c r="I87" s="172">
        <f>+I76+I86</f>
        <v>23369134.818584647</v>
      </c>
    </row>
    <row r="88" spans="1:10" ht="16.5" thickTop="1" thickBot="1" x14ac:dyDescent="0.3">
      <c r="A88" s="173" t="s">
        <v>97</v>
      </c>
      <c r="B88" s="174"/>
      <c r="C88" s="174"/>
      <c r="D88" s="175">
        <f>NPV(C87,E87:I87)</f>
        <v>14174238.426507989</v>
      </c>
      <c r="E88" s="176"/>
      <c r="F88" s="176"/>
      <c r="G88" s="176"/>
      <c r="H88" s="176"/>
      <c r="I88" s="176"/>
    </row>
    <row r="89" spans="1:10" ht="15.75" thickBot="1" x14ac:dyDescent="0.3">
      <c r="C89" s="4" t="s">
        <v>98</v>
      </c>
      <c r="D89" s="204">
        <f>+D88/D26</f>
        <v>146.42163766585281</v>
      </c>
      <c r="E89" s="177" t="s">
        <v>99</v>
      </c>
    </row>
    <row r="90" spans="1:10" ht="15.75" thickBot="1" x14ac:dyDescent="0.3">
      <c r="I90" t="s">
        <v>100</v>
      </c>
    </row>
    <row r="91" spans="1:10" ht="15.75" thickBot="1" x14ac:dyDescent="0.3">
      <c r="A91" s="178" t="s">
        <v>101</v>
      </c>
      <c r="B91" s="179"/>
      <c r="D91" s="180"/>
      <c r="E91" s="178" t="s">
        <v>102</v>
      </c>
      <c r="F91" s="181" t="s">
        <v>103</v>
      </c>
      <c r="G91" s="181" t="s">
        <v>104</v>
      </c>
      <c r="H91" s="181" t="s">
        <v>105</v>
      </c>
      <c r="I91" s="181" t="s">
        <v>106</v>
      </c>
      <c r="J91" s="182" t="s">
        <v>92</v>
      </c>
    </row>
    <row r="92" spans="1:10" x14ac:dyDescent="0.25">
      <c r="A92" s="92" t="s">
        <v>107</v>
      </c>
      <c r="B92" s="183">
        <f>+B31</f>
        <v>0.05</v>
      </c>
      <c r="D92" s="180"/>
      <c r="E92" s="92" t="s">
        <v>43</v>
      </c>
      <c r="F92" s="155">
        <f>F26</f>
        <v>3370000</v>
      </c>
      <c r="G92" s="184">
        <f>+F92/$F$94</f>
        <v>0.20478852698104036</v>
      </c>
      <c r="H92" s="185">
        <f>B100</f>
        <v>4.3026706231454007E-2</v>
      </c>
      <c r="I92" s="185">
        <f>+H92*(1-B72)</f>
        <v>3.3560830860534123E-2</v>
      </c>
      <c r="J92" s="186">
        <f>+I92*G92</f>
        <v>6.8728731161886245E-3</v>
      </c>
    </row>
    <row r="93" spans="1:10" x14ac:dyDescent="0.25">
      <c r="A93" s="92" t="s">
        <v>108</v>
      </c>
      <c r="B93" s="187">
        <f>B33</f>
        <v>5.5E-2</v>
      </c>
      <c r="D93" s="180"/>
      <c r="E93" s="92" t="s">
        <v>109</v>
      </c>
      <c r="F93" s="155">
        <f>+E26</f>
        <v>13086000</v>
      </c>
      <c r="G93" s="184">
        <f>+F93/$F$94</f>
        <v>0.79521147301895967</v>
      </c>
      <c r="H93" s="185">
        <f>B35</f>
        <v>0.13305</v>
      </c>
      <c r="I93" s="188">
        <f>+H93</f>
        <v>0.13305</v>
      </c>
      <c r="J93" s="186">
        <f>+I93*G93</f>
        <v>0.10580288648517258</v>
      </c>
    </row>
    <row r="94" spans="1:10" ht="15.75" thickBot="1" x14ac:dyDescent="0.3">
      <c r="A94" s="92" t="s">
        <v>48</v>
      </c>
      <c r="B94" s="189"/>
      <c r="D94" s="180"/>
      <c r="E94" s="190" t="s">
        <v>110</v>
      </c>
      <c r="F94" s="191">
        <f>SUM(F92:F93)</f>
        <v>16456000</v>
      </c>
      <c r="G94" s="192">
        <f>+G93+G92</f>
        <v>1</v>
      </c>
      <c r="H94" s="193"/>
      <c r="I94" s="194"/>
      <c r="J94" s="195">
        <f>+J93+J92</f>
        <v>0.11267575960136121</v>
      </c>
    </row>
    <row r="95" spans="1:10" ht="15.75" thickBot="1" x14ac:dyDescent="0.3">
      <c r="A95" s="190" t="s">
        <v>111</v>
      </c>
      <c r="B95" s="196">
        <f>B92+B94*B93</f>
        <v>0.05</v>
      </c>
      <c r="E95" s="165"/>
    </row>
    <row r="96" spans="1:10" ht="17.100000000000001" customHeight="1" thickBot="1" x14ac:dyDescent="0.3"/>
    <row r="97" spans="1:8" ht="15.75" thickBot="1" x14ac:dyDescent="0.3">
      <c r="A97" s="178" t="s">
        <v>112</v>
      </c>
      <c r="B97" s="179"/>
      <c r="E97" s="197" t="s">
        <v>113</v>
      </c>
      <c r="F97" s="197"/>
      <c r="G97" s="197"/>
      <c r="H97" s="198"/>
    </row>
    <row r="98" spans="1:8" x14ac:dyDescent="0.25">
      <c r="A98" s="199" t="s">
        <v>114</v>
      </c>
      <c r="B98" s="200">
        <f>+F26</f>
        <v>3370000</v>
      </c>
      <c r="E98" s="197" t="s">
        <v>115</v>
      </c>
      <c r="F98" s="197"/>
      <c r="G98" s="197"/>
      <c r="H98" s="198"/>
    </row>
    <row r="99" spans="1:8" ht="15.75" thickBot="1" x14ac:dyDescent="0.3">
      <c r="A99" s="201" t="s">
        <v>116</v>
      </c>
      <c r="B99" s="222">
        <v>145000</v>
      </c>
    </row>
    <row r="100" spans="1:8" ht="15.75" thickBot="1" x14ac:dyDescent="0.3">
      <c r="A100" s="202" t="s">
        <v>117</v>
      </c>
      <c r="B100" s="203">
        <f>+B99/B98</f>
        <v>4.3026706231454007E-2</v>
      </c>
    </row>
  </sheetData>
  <mergeCells count="2">
    <mergeCell ref="B65:D65"/>
    <mergeCell ref="E65:H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2024-08-09T16:08:21Z</dcterms:created>
  <dcterms:modified xsi:type="dcterms:W3CDTF">2024-08-09T20:21:15Z</dcterms:modified>
</cp:coreProperties>
</file>