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codeName="ThisWorkbook" defaultThemeVersion="166925"/>
  <mc:AlternateContent xmlns:mc="http://schemas.openxmlformats.org/markup-compatibility/2006">
    <mc:Choice Requires="x15">
      <x15ac:absPath xmlns:x15ac="http://schemas.microsoft.com/office/spreadsheetml/2010/11/ac" url="https://d.docs.live.net/66921b89f68d3868/Documents/School Work/SHU/FIN 4241 FIN 7225 Mergers ^0 Acquisition/"/>
    </mc:Choice>
  </mc:AlternateContent>
  <xr:revisionPtr revIDLastSave="0" documentId="8_{AF28C182-A68A-4C34-A3D4-835CBFBFA2E5}" xr6:coauthVersionLast="47" xr6:coauthVersionMax="47" xr10:uidLastSave="{00000000-0000-0000-0000-000000000000}"/>
  <bookViews>
    <workbookView xWindow="-110" yWindow="-110" windowWidth="19420" windowHeight="11500" firstSheet="1" activeTab="1" xr2:uid="{F17B7D92-1950-4B46-923A-FE4B93895216}"/>
  </bookViews>
  <sheets>
    <sheet name="OSI" sheetId="7" state="veryHidden" r:id="rId1"/>
    <sheet name="Input &amp; Projections" sheetId="1" r:id="rId2"/>
    <sheet name="Comps (Old)" sheetId="3" state="hidden" r:id="rId3"/>
    <sheet name="Summary Valuation" sheetId="13" r:id="rId4"/>
    <sheet name="Technical Valuation" sheetId="11" r:id="rId5"/>
    <sheet name="Comps Valuation" sheetId="10" r:id="rId6"/>
    <sheet name="DCF Valuation" sheetId="2" r:id="rId7"/>
    <sheet name="LBO Valuation" sheetId="12" r:id="rId8"/>
  </sheets>
  <definedNames>
    <definedName name="Case">'Input &amp; Projections'!$I$10</definedName>
    <definedName name="CIQWBGuid" hidden="1">"d2733082-f834-4dde-98aa-0f55e3b8f25e"</definedName>
    <definedName name="CIQWBInfo" hidden="1">"{ ""CIQVersion"":""9.45.614.5792"" }"</definedName>
    <definedName name="Days">'Input &amp; Projections'!$E$11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44985.7470601852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2">'Comps (Old)'!$B$7:$N$31</definedName>
    <definedName name="_xlnm.Print_Area" localSheetId="5">'Comps Valuation'!$B$8:$L$30</definedName>
    <definedName name="_xlnm.Print_Area" localSheetId="6">'DCF Valuation'!$B$13:$J$87</definedName>
    <definedName name="_xlnm.Print_Area" localSheetId="1">'Input &amp; Projections'!$B$23:$M$109</definedName>
    <definedName name="TaxRate">'Input &amp; Projections'!$E$12</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H25" i="1"/>
  <c r="H26" i="1"/>
  <c r="H98" i="1"/>
  <c r="H99" i="1"/>
  <c r="H102" i="1"/>
  <c r="H103" i="1"/>
  <c r="H104" i="1"/>
  <c r="H107" i="1"/>
  <c r="H108" i="1"/>
  <c r="H68" i="1"/>
  <c r="H74" i="1" s="1"/>
  <c r="H69" i="1"/>
  <c r="H80" i="1" s="1"/>
  <c r="H70" i="1"/>
  <c r="H86" i="1" s="1"/>
  <c r="H71" i="1"/>
  <c r="H92" i="1" s="1"/>
  <c r="H72" i="1"/>
  <c r="H95" i="1" s="1"/>
  <c r="H56" i="1"/>
  <c r="H50" i="1"/>
  <c r="H40" i="1"/>
  <c r="H31" i="1"/>
  <c r="H34" i="1" s="1"/>
  <c r="H39" i="1" s="1"/>
  <c r="H41" i="1" s="1"/>
  <c r="H42" i="1" s="1"/>
  <c r="H58" i="1" l="1"/>
  <c r="H109" i="1"/>
  <c r="J38" i="2"/>
  <c r="E21" i="2"/>
  <c r="D22" i="10"/>
  <c r="E30" i="2"/>
  <c r="B27" i="2"/>
  <c r="B28" i="2"/>
  <c r="B26" i="2"/>
  <c r="E28" i="2"/>
  <c r="G8" i="11" s="1"/>
  <c r="E27" i="2"/>
  <c r="E26" i="2"/>
  <c r="E81" i="2"/>
  <c r="I9" i="12" s="1"/>
  <c r="K63" i="10"/>
  <c r="K61" i="10"/>
  <c r="K62" i="10" s="1"/>
  <c r="K60" i="10"/>
  <c r="B1" i="2"/>
  <c r="F66" i="12"/>
  <c r="D56" i="12"/>
  <c r="D40" i="12"/>
  <c r="D33" i="12"/>
  <c r="B37" i="12"/>
  <c r="B30" i="12"/>
  <c r="B49" i="12"/>
  <c r="B50" i="12"/>
  <c r="B53" i="12"/>
  <c r="B57" i="12"/>
  <c r="B58" i="12"/>
  <c r="B59" i="12"/>
  <c r="B60" i="12"/>
  <c r="F19" i="12"/>
  <c r="D19" i="12"/>
  <c r="D7" i="12"/>
  <c r="F7" i="12" s="1"/>
  <c r="F73" i="12" s="1"/>
  <c r="H56" i="10"/>
  <c r="G56" i="10"/>
  <c r="E56" i="10"/>
  <c r="D56" i="10"/>
  <c r="H55" i="10"/>
  <c r="G55" i="10"/>
  <c r="E55" i="10"/>
  <c r="D55" i="10"/>
  <c r="H54" i="10"/>
  <c r="G54" i="10"/>
  <c r="E54" i="10"/>
  <c r="D54" i="10"/>
  <c r="H53" i="10"/>
  <c r="G53" i="10"/>
  <c r="E53" i="10"/>
  <c r="D53" i="10"/>
  <c r="F50" i="10"/>
  <c r="F49" i="10"/>
  <c r="J49" i="10" s="1"/>
  <c r="F48" i="10"/>
  <c r="F47" i="10"/>
  <c r="F46" i="10"/>
  <c r="F45" i="10"/>
  <c r="F44" i="10"/>
  <c r="F43" i="10"/>
  <c r="G22" i="11"/>
  <c r="C22" i="11" s="1"/>
  <c r="C15" i="11"/>
  <c r="C13" i="11"/>
  <c r="E8" i="11"/>
  <c r="D8" i="11"/>
  <c r="G24" i="11" s="1"/>
  <c r="C8" i="11"/>
  <c r="B8" i="11"/>
  <c r="D5" i="13" l="1"/>
  <c r="K33" i="10"/>
  <c r="H8" i="11"/>
  <c r="B1" i="13"/>
  <c r="B1" i="12"/>
  <c r="F8" i="11"/>
  <c r="B1" i="10"/>
  <c r="B1" i="11"/>
  <c r="F55" i="10"/>
  <c r="F53" i="10"/>
  <c r="F54" i="10"/>
  <c r="F56" i="10"/>
  <c r="K43" i="10"/>
  <c r="J43" i="10"/>
  <c r="J45" i="10"/>
  <c r="K45" i="10"/>
  <c r="K47" i="10"/>
  <c r="J47" i="10"/>
  <c r="K49" i="10"/>
  <c r="K46" i="10"/>
  <c r="J46" i="10"/>
  <c r="K48" i="10"/>
  <c r="J48" i="10"/>
  <c r="K50" i="10"/>
  <c r="J50" i="10"/>
  <c r="K44" i="10"/>
  <c r="J44" i="10"/>
  <c r="G23" i="11"/>
  <c r="G25" i="11" s="1"/>
  <c r="C16" i="11"/>
  <c r="I8" i="11" l="1"/>
  <c r="J53" i="10"/>
  <c r="J56" i="10"/>
  <c r="J54" i="10"/>
  <c r="J55" i="10"/>
  <c r="K55" i="10"/>
  <c r="K54" i="10"/>
  <c r="K53" i="10"/>
  <c r="K56" i="10"/>
  <c r="E18" i="10" l="1"/>
  <c r="E20" i="10"/>
  <c r="E17" i="10"/>
  <c r="E16" i="10"/>
  <c r="E15" i="10"/>
  <c r="E14" i="10"/>
  <c r="E13" i="10"/>
  <c r="E19" i="10"/>
  <c r="G56" i="1"/>
  <c r="F56" i="1"/>
  <c r="E56" i="1"/>
  <c r="G50" i="1"/>
  <c r="F50" i="1"/>
  <c r="E50" i="1"/>
  <c r="E58" i="1" l="1"/>
  <c r="F60" i="1" s="1"/>
  <c r="F61" i="1" s="1"/>
  <c r="G58" i="1"/>
  <c r="H60" i="1" s="1"/>
  <c r="H61" i="1" s="1"/>
  <c r="F58" i="1"/>
  <c r="B12" i="10"/>
  <c r="J10" i="1"/>
  <c r="G60" i="1" l="1"/>
  <c r="G61" i="1" s="1"/>
  <c r="C22" i="10"/>
  <c r="B22" i="10"/>
  <c r="H28" i="10" l="1"/>
  <c r="G28" i="10"/>
  <c r="E28" i="10"/>
  <c r="D28" i="10"/>
  <c r="H27" i="10"/>
  <c r="G27" i="10"/>
  <c r="E27" i="10"/>
  <c r="D27" i="10"/>
  <c r="H26" i="10"/>
  <c r="G26" i="10"/>
  <c r="E26" i="10"/>
  <c r="D26" i="10"/>
  <c r="H25" i="10"/>
  <c r="G25" i="10"/>
  <c r="E25" i="10"/>
  <c r="D25" i="10"/>
  <c r="F20" i="10"/>
  <c r="K20" i="10" s="1"/>
  <c r="F19" i="10"/>
  <c r="K19" i="10" s="1"/>
  <c r="F18" i="10"/>
  <c r="J18" i="10" s="1"/>
  <c r="F17" i="10"/>
  <c r="J17" i="10" s="1"/>
  <c r="F16" i="10"/>
  <c r="J16" i="10" s="1"/>
  <c r="F15" i="10"/>
  <c r="K15" i="10" s="1"/>
  <c r="F14" i="10"/>
  <c r="K14" i="10" s="1"/>
  <c r="F13" i="10"/>
  <c r="G31" i="1"/>
  <c r="G34" i="1" s="1"/>
  <c r="F31" i="1"/>
  <c r="F34" i="1" s="1"/>
  <c r="E31" i="1"/>
  <c r="E34" i="1" s="1"/>
  <c r="K13" i="10" l="1"/>
  <c r="J20" i="10"/>
  <c r="K17" i="10"/>
  <c r="J13" i="10"/>
  <c r="K16" i="10"/>
  <c r="J19" i="10"/>
  <c r="K18" i="10"/>
  <c r="J14" i="10"/>
  <c r="F28" i="10"/>
  <c r="F27" i="10"/>
  <c r="J15" i="10"/>
  <c r="F26" i="10"/>
  <c r="F25" i="10"/>
  <c r="K28" i="10" l="1"/>
  <c r="J25" i="10"/>
  <c r="J27" i="10"/>
  <c r="K26" i="10"/>
  <c r="K27" i="10"/>
  <c r="J28" i="10"/>
  <c r="J26" i="10"/>
  <c r="K25" i="10"/>
  <c r="C20" i="7" l="1"/>
  <c r="B7" i="3"/>
  <c r="D23" i="3"/>
  <c r="E32" i="2"/>
  <c r="E29" i="2"/>
  <c r="K32" i="10" s="1"/>
  <c r="E20" i="2" l="1"/>
  <c r="J39" i="2" s="1"/>
  <c r="J40" i="2" s="1"/>
  <c r="E38" i="2" s="1"/>
  <c r="C14" i="11" s="1"/>
  <c r="C17" i="11" s="1"/>
  <c r="I8" i="12"/>
  <c r="E80" i="2"/>
  <c r="E22" i="10" s="1"/>
  <c r="F22" i="10" s="1"/>
  <c r="E23" i="3"/>
  <c r="E31" i="2"/>
  <c r="E33" i="2" s="1"/>
  <c r="J80" i="2"/>
  <c r="E22" i="2"/>
  <c r="F20" i="2" s="1"/>
  <c r="F33" i="2" s="1"/>
  <c r="E41" i="2" l="1"/>
  <c r="C23" i="11"/>
  <c r="C25" i="11" s="1"/>
  <c r="D8" i="13" s="1"/>
  <c r="F16" i="11"/>
  <c r="F17" i="11" s="1"/>
  <c r="D7" i="13" s="1"/>
  <c r="K22" i="10"/>
  <c r="D9" i="2" s="1"/>
  <c r="E65" i="12" s="1"/>
  <c r="J22" i="10"/>
  <c r="G33" i="2"/>
  <c r="F22" i="2"/>
  <c r="F21" i="2"/>
  <c r="F41" i="2" s="1"/>
  <c r="G41" i="2" s="1"/>
  <c r="G44" i="2" l="1"/>
  <c r="D10" i="2" s="1"/>
  <c r="D66" i="12" s="1"/>
  <c r="E66" i="12" s="1"/>
  <c r="G39" i="1" l="1"/>
  <c r="F39" i="1"/>
  <c r="E39" i="1"/>
  <c r="G40" i="1" l="1"/>
  <c r="G41" i="1" s="1"/>
  <c r="F40" i="1"/>
  <c r="F41" i="1" s="1"/>
  <c r="F42" i="1" s="1"/>
  <c r="E40" i="1"/>
  <c r="E41" i="1" s="1"/>
  <c r="E42" i="1" s="1"/>
  <c r="B52" i="2"/>
  <c r="B47" i="12" s="1"/>
  <c r="B53" i="2"/>
  <c r="B48" i="12" s="1"/>
  <c r="B57" i="2"/>
  <c r="B52" i="12" s="1"/>
  <c r="B95" i="1"/>
  <c r="B92" i="1"/>
  <c r="B80" i="1"/>
  <c r="B86" i="1"/>
  <c r="E70" i="1"/>
  <c r="F70" i="1"/>
  <c r="G70" i="1"/>
  <c r="K31" i="10" l="1"/>
  <c r="K34" i="10" s="1"/>
  <c r="G42" i="1"/>
  <c r="H43" i="1" s="1"/>
  <c r="C26" i="12"/>
  <c r="F43" i="1"/>
  <c r="C23" i="3"/>
  <c r="B23" i="3"/>
  <c r="B13" i="3"/>
  <c r="B16" i="2"/>
  <c r="J81" i="2"/>
  <c r="G83" i="2"/>
  <c r="B83" i="2"/>
  <c r="J83" i="2"/>
  <c r="E83" i="2"/>
  <c r="J73" i="2"/>
  <c r="E73" i="2"/>
  <c r="B46" i="2"/>
  <c r="G43" i="1" l="1"/>
  <c r="G7" i="12"/>
  <c r="I7" i="12" s="1"/>
  <c r="I10" i="12" s="1"/>
  <c r="K35" i="10"/>
  <c r="K36" i="10" s="1"/>
  <c r="D9" i="13" s="1"/>
  <c r="G18" i="12"/>
  <c r="G17" i="12"/>
  <c r="H23" i="3"/>
  <c r="B61" i="2"/>
  <c r="B56" i="12" s="1"/>
  <c r="G19" i="12" l="1"/>
  <c r="I11" i="12"/>
  <c r="I12" i="12" s="1"/>
  <c r="J10" i="12" s="1"/>
  <c r="M23" i="3"/>
  <c r="L23" i="3"/>
  <c r="G26" i="1"/>
  <c r="B67" i="1"/>
  <c r="M23" i="1"/>
  <c r="M63" i="1" s="1"/>
  <c r="E109" i="1"/>
  <c r="F109" i="1"/>
  <c r="G109" i="1"/>
  <c r="E108" i="1"/>
  <c r="F108" i="1"/>
  <c r="G108" i="1"/>
  <c r="E107" i="1"/>
  <c r="F107" i="1"/>
  <c r="G107" i="1"/>
  <c r="E104" i="1"/>
  <c r="F104" i="1"/>
  <c r="G104" i="1"/>
  <c r="E102" i="1"/>
  <c r="F102" i="1"/>
  <c r="G102" i="1"/>
  <c r="E103" i="1"/>
  <c r="F103" i="1"/>
  <c r="G103" i="1"/>
  <c r="B109" i="1"/>
  <c r="B108" i="1"/>
  <c r="B104" i="1"/>
  <c r="M74" i="1"/>
  <c r="M68" i="1" s="1"/>
  <c r="L74" i="1"/>
  <c r="L68" i="1" s="1"/>
  <c r="K74" i="1"/>
  <c r="K68" i="1" s="1"/>
  <c r="J74" i="1"/>
  <c r="I74" i="1"/>
  <c r="I68" i="1" s="1"/>
  <c r="I29" i="1" s="1"/>
  <c r="E72" i="1"/>
  <c r="E95" i="1" s="1"/>
  <c r="F72" i="1"/>
  <c r="F95" i="1" s="1"/>
  <c r="G72" i="1"/>
  <c r="G95" i="1" s="1"/>
  <c r="E71" i="1"/>
  <c r="E92" i="1" s="1"/>
  <c r="F71" i="1"/>
  <c r="F92" i="1" s="1"/>
  <c r="G71" i="1"/>
  <c r="G92" i="1" s="1"/>
  <c r="E86" i="1"/>
  <c r="F86" i="1"/>
  <c r="G86" i="1"/>
  <c r="E69" i="1"/>
  <c r="E80" i="1" s="1"/>
  <c r="I83" i="1" s="1"/>
  <c r="F69" i="1"/>
  <c r="F80" i="1" s="1"/>
  <c r="G69" i="1"/>
  <c r="G80" i="1" s="1"/>
  <c r="F68" i="1"/>
  <c r="F74" i="1" s="1"/>
  <c r="G68" i="1"/>
  <c r="G74" i="1" s="1"/>
  <c r="G90" i="1"/>
  <c r="G89" i="1"/>
  <c r="G88" i="1"/>
  <c r="G84" i="1"/>
  <c r="G83" i="1"/>
  <c r="G82" i="1"/>
  <c r="G78" i="1"/>
  <c r="G77" i="1"/>
  <c r="G76" i="1"/>
  <c r="B63" i="1"/>
  <c r="B23" i="1"/>
  <c r="I89" i="1" l="1"/>
  <c r="I86" i="1" s="1"/>
  <c r="I70" i="1" s="1"/>
  <c r="I33" i="1" s="1"/>
  <c r="F57" i="2" s="1"/>
  <c r="F52" i="12" s="1"/>
  <c r="I84" i="1"/>
  <c r="J84" i="1" s="1"/>
  <c r="K84" i="1" s="1"/>
  <c r="L84" i="1" s="1"/>
  <c r="M84" i="1" s="1"/>
  <c r="J83" i="1"/>
  <c r="I80" i="1"/>
  <c r="I69" i="1" s="1"/>
  <c r="I30" i="1" s="1"/>
  <c r="I31" i="1" s="1"/>
  <c r="I92" i="1"/>
  <c r="J92" i="1" s="1"/>
  <c r="I102" i="1"/>
  <c r="J102" i="1" s="1"/>
  <c r="K102" i="1" s="1"/>
  <c r="L102" i="1" s="1"/>
  <c r="M102" i="1" s="1"/>
  <c r="I108" i="1"/>
  <c r="J108" i="1" s="1"/>
  <c r="K108" i="1" s="1"/>
  <c r="L108" i="1" s="1"/>
  <c r="M108" i="1" s="1"/>
  <c r="I95" i="1"/>
  <c r="I104" i="1"/>
  <c r="J104" i="1" s="1"/>
  <c r="K104" i="1" s="1"/>
  <c r="L104" i="1" s="1"/>
  <c r="M104" i="1" s="1"/>
  <c r="I109" i="1"/>
  <c r="J109" i="1" s="1"/>
  <c r="K109" i="1" s="1"/>
  <c r="L109" i="1" s="1"/>
  <c r="M109" i="1" s="1"/>
  <c r="I103" i="1"/>
  <c r="J103" i="1" s="1"/>
  <c r="K103" i="1" s="1"/>
  <c r="L103" i="1" s="1"/>
  <c r="M103" i="1" s="1"/>
  <c r="K12" i="12"/>
  <c r="E17" i="12"/>
  <c r="E18" i="12"/>
  <c r="H18" i="12" s="1"/>
  <c r="J8" i="12"/>
  <c r="J9" i="12"/>
  <c r="J12" i="12"/>
  <c r="J7" i="12"/>
  <c r="I107" i="1"/>
  <c r="J107" i="1" s="1"/>
  <c r="K107" i="1" s="1"/>
  <c r="L107" i="1" s="1"/>
  <c r="M107" i="1" s="1"/>
  <c r="J11" i="12"/>
  <c r="F52" i="2"/>
  <c r="F47" i="12" s="1"/>
  <c r="J68" i="1"/>
  <c r="J29" i="1" s="1"/>
  <c r="J46" i="2"/>
  <c r="J89" i="1" l="1"/>
  <c r="K89" i="1" s="1"/>
  <c r="I88" i="1"/>
  <c r="J88" i="1" s="1"/>
  <c r="K88" i="1" s="1"/>
  <c r="L88" i="1" s="1"/>
  <c r="M88" i="1" s="1"/>
  <c r="I90" i="1"/>
  <c r="J90" i="1" s="1"/>
  <c r="K90" i="1" s="1"/>
  <c r="L90" i="1" s="1"/>
  <c r="M90" i="1" s="1"/>
  <c r="K83" i="1"/>
  <c r="J80" i="1"/>
  <c r="J69" i="1" s="1"/>
  <c r="J30" i="1" s="1"/>
  <c r="J31" i="1" s="1"/>
  <c r="I47" i="1"/>
  <c r="I71" i="1"/>
  <c r="I36" i="1" s="1"/>
  <c r="F65" i="2" s="1"/>
  <c r="F59" i="12" s="1"/>
  <c r="K92" i="1"/>
  <c r="J71" i="1"/>
  <c r="J36" i="1" s="1"/>
  <c r="I55" i="1"/>
  <c r="J95" i="1"/>
  <c r="I72" i="1"/>
  <c r="I49" i="1"/>
  <c r="I54" i="1"/>
  <c r="J18" i="12"/>
  <c r="E38" i="12"/>
  <c r="I34" i="1"/>
  <c r="I39" i="1" s="1"/>
  <c r="G52" i="2"/>
  <c r="G47" i="12" s="1"/>
  <c r="J55" i="1"/>
  <c r="J54" i="1"/>
  <c r="J47" i="1"/>
  <c r="J49" i="1"/>
  <c r="I48" i="1"/>
  <c r="F53" i="2"/>
  <c r="I53" i="1"/>
  <c r="K29" i="1"/>
  <c r="J86" i="1" l="1"/>
  <c r="J70" i="1" s="1"/>
  <c r="J33" i="1" s="1"/>
  <c r="G57" i="2" s="1"/>
  <c r="G52" i="12" s="1"/>
  <c r="L83" i="1"/>
  <c r="K80" i="1"/>
  <c r="K69" i="1" s="1"/>
  <c r="K30" i="1" s="1"/>
  <c r="L89" i="1"/>
  <c r="K86" i="1"/>
  <c r="K70" i="1" s="1"/>
  <c r="K33" i="1" s="1"/>
  <c r="H57" i="2" s="1"/>
  <c r="H52" i="12" s="1"/>
  <c r="I37" i="1"/>
  <c r="F64" i="2" s="1"/>
  <c r="F58" i="12" s="1"/>
  <c r="I50" i="1"/>
  <c r="I56" i="1"/>
  <c r="F54" i="2"/>
  <c r="F58" i="2" s="1"/>
  <c r="F48" i="12"/>
  <c r="F49" i="12" s="1"/>
  <c r="K95" i="1"/>
  <c r="J72" i="1"/>
  <c r="J37" i="1" s="1"/>
  <c r="J34" i="1"/>
  <c r="J39" i="1" s="1"/>
  <c r="F40" i="12"/>
  <c r="L39" i="12"/>
  <c r="F39" i="12"/>
  <c r="I39" i="12"/>
  <c r="J39" i="12"/>
  <c r="G39" i="12"/>
  <c r="H39" i="12"/>
  <c r="K39" i="12"/>
  <c r="L92" i="1"/>
  <c r="K71" i="1"/>
  <c r="K36" i="1" s="1"/>
  <c r="J53" i="1"/>
  <c r="J56" i="1" s="1"/>
  <c r="G53" i="2"/>
  <c r="J48" i="1"/>
  <c r="J50" i="1" s="1"/>
  <c r="G65" i="2"/>
  <c r="G59" i="12" s="1"/>
  <c r="K55" i="1"/>
  <c r="H52" i="2"/>
  <c r="H47" i="12" s="1"/>
  <c r="K54" i="1"/>
  <c r="K47" i="1"/>
  <c r="K49" i="1"/>
  <c r="L29" i="1"/>
  <c r="M83" i="1" l="1"/>
  <c r="M80" i="1" s="1"/>
  <c r="M69" i="1" s="1"/>
  <c r="L80" i="1"/>
  <c r="L69" i="1" s="1"/>
  <c r="L30" i="1" s="1"/>
  <c r="M89" i="1"/>
  <c r="M86" i="1" s="1"/>
  <c r="M70" i="1" s="1"/>
  <c r="L86" i="1"/>
  <c r="L70" i="1" s="1"/>
  <c r="I58" i="1"/>
  <c r="I60" i="1" s="1"/>
  <c r="F66" i="2" s="1"/>
  <c r="I40" i="1"/>
  <c r="I41" i="1" s="1"/>
  <c r="I42" i="1" s="1"/>
  <c r="I43" i="1" s="1"/>
  <c r="F41" i="12"/>
  <c r="F59" i="2"/>
  <c r="F61" i="2"/>
  <c r="F62" i="2" s="1"/>
  <c r="F38" i="12"/>
  <c r="J58" i="1"/>
  <c r="F55" i="2"/>
  <c r="L95" i="1"/>
  <c r="K72" i="1"/>
  <c r="K37" i="1" s="1"/>
  <c r="G54" i="2"/>
  <c r="G55" i="2" s="1"/>
  <c r="G48" i="12"/>
  <c r="G49" i="12" s="1"/>
  <c r="F53" i="12"/>
  <c r="F50" i="12"/>
  <c r="M92" i="1"/>
  <c r="M71" i="1" s="1"/>
  <c r="L71" i="1"/>
  <c r="L36" i="1" s="1"/>
  <c r="H65" i="2"/>
  <c r="H59" i="12" s="1"/>
  <c r="I52" i="2"/>
  <c r="I47" i="12" s="1"/>
  <c r="L55" i="1"/>
  <c r="L54" i="1"/>
  <c r="L47" i="1"/>
  <c r="L49" i="1"/>
  <c r="J40" i="1"/>
  <c r="J41" i="1" s="1"/>
  <c r="J42" i="1" s="1"/>
  <c r="G64" i="2"/>
  <c r="G58" i="12" s="1"/>
  <c r="K53" i="1"/>
  <c r="K56" i="1" s="1"/>
  <c r="K48" i="1"/>
  <c r="K50" i="1" s="1"/>
  <c r="H53" i="2"/>
  <c r="K31" i="1"/>
  <c r="K34" i="1" s="1"/>
  <c r="K39" i="1" s="1"/>
  <c r="L33" i="1"/>
  <c r="I57" i="2" s="1"/>
  <c r="I52" i="12" s="1"/>
  <c r="M29" i="1"/>
  <c r="G99" i="1"/>
  <c r="G65" i="1"/>
  <c r="F26" i="1"/>
  <c r="E26" i="1" s="1"/>
  <c r="I26" i="1"/>
  <c r="F49" i="2" s="1"/>
  <c r="F45" i="12" s="1"/>
  <c r="F29" i="12" s="1"/>
  <c r="M30" i="1" l="1"/>
  <c r="M53" i="1" s="1"/>
  <c r="J60" i="1"/>
  <c r="G66" i="2" s="1"/>
  <c r="I61" i="1"/>
  <c r="J43" i="1"/>
  <c r="G58" i="2"/>
  <c r="G59" i="2" s="1"/>
  <c r="F67" i="2"/>
  <c r="F60" i="12"/>
  <c r="M95" i="1"/>
  <c r="M72" i="1" s="1"/>
  <c r="L72" i="1"/>
  <c r="L37" i="1" s="1"/>
  <c r="H54" i="2"/>
  <c r="H58" i="2" s="1"/>
  <c r="H48" i="12"/>
  <c r="H49" i="12" s="1"/>
  <c r="G40" i="12"/>
  <c r="G41" i="12" s="1"/>
  <c r="G38" i="12"/>
  <c r="G50" i="12"/>
  <c r="G53" i="12"/>
  <c r="M33" i="1"/>
  <c r="J57" i="2" s="1"/>
  <c r="J52" i="12" s="1"/>
  <c r="K58" i="1"/>
  <c r="K60" i="1" s="1"/>
  <c r="L53" i="1"/>
  <c r="L56" i="1" s="1"/>
  <c r="L48" i="1"/>
  <c r="L50" i="1" s="1"/>
  <c r="I53" i="2"/>
  <c r="L31" i="1"/>
  <c r="L34" i="1" s="1"/>
  <c r="L39" i="1" s="1"/>
  <c r="K40" i="1"/>
  <c r="K41" i="1" s="1"/>
  <c r="K42" i="1" s="1"/>
  <c r="K43" i="1" s="1"/>
  <c r="H64" i="2"/>
  <c r="H58" i="12" s="1"/>
  <c r="M36" i="1"/>
  <c r="M55" i="1"/>
  <c r="M54" i="1"/>
  <c r="M47" i="1"/>
  <c r="M49" i="1"/>
  <c r="J52" i="2"/>
  <c r="I65" i="2"/>
  <c r="I59" i="12" s="1"/>
  <c r="E99" i="1"/>
  <c r="E65" i="1"/>
  <c r="J26" i="1"/>
  <c r="G49" i="2" s="1"/>
  <c r="G45" i="12" s="1"/>
  <c r="G29" i="12" s="1"/>
  <c r="I99" i="1"/>
  <c r="I65" i="1"/>
  <c r="F99" i="1"/>
  <c r="F65" i="1"/>
  <c r="J61" i="1" l="1"/>
  <c r="J53" i="2"/>
  <c r="J48" i="12" s="1"/>
  <c r="M31" i="1"/>
  <c r="M34" i="1" s="1"/>
  <c r="M39" i="1" s="1"/>
  <c r="M48" i="1"/>
  <c r="G61" i="2"/>
  <c r="G62" i="2" s="1"/>
  <c r="G67" i="2" s="1"/>
  <c r="H55" i="2"/>
  <c r="H61" i="2"/>
  <c r="H62" i="2" s="1"/>
  <c r="H59" i="2"/>
  <c r="H50" i="12"/>
  <c r="H53" i="12"/>
  <c r="J47" i="12"/>
  <c r="G60" i="12"/>
  <c r="H40" i="12"/>
  <c r="H41" i="12" s="1"/>
  <c r="H38" i="12"/>
  <c r="I54" i="2"/>
  <c r="I55" i="2" s="1"/>
  <c r="I48" i="12"/>
  <c r="I49" i="12" s="1"/>
  <c r="M37" i="1"/>
  <c r="J65" i="2"/>
  <c r="J59" i="12" s="1"/>
  <c r="L40" i="1"/>
  <c r="L41" i="1" s="1"/>
  <c r="L42" i="1" s="1"/>
  <c r="L43" i="1" s="1"/>
  <c r="I64" i="2"/>
  <c r="I58" i="12" s="1"/>
  <c r="M50" i="1"/>
  <c r="H66" i="2"/>
  <c r="K61" i="1"/>
  <c r="L58" i="1"/>
  <c r="M56" i="1"/>
  <c r="K26" i="1"/>
  <c r="H49" i="2" s="1"/>
  <c r="H45" i="12" s="1"/>
  <c r="H29" i="12" s="1"/>
  <c r="J99" i="1"/>
  <c r="J65" i="1"/>
  <c r="J49" i="12" l="1"/>
  <c r="J53" i="12" s="1"/>
  <c r="J54" i="2"/>
  <c r="J55" i="2" s="1"/>
  <c r="I58" i="2"/>
  <c r="I59" i="2" s="1"/>
  <c r="I50" i="12"/>
  <c r="I53" i="12"/>
  <c r="I38" i="12"/>
  <c r="I40" i="12"/>
  <c r="I41" i="12" s="1"/>
  <c r="H67" i="2"/>
  <c r="H60" i="12"/>
  <c r="M58" i="1"/>
  <c r="M60" i="1" s="1"/>
  <c r="M40" i="1"/>
  <c r="M41" i="1" s="1"/>
  <c r="M42" i="1" s="1"/>
  <c r="M43" i="1" s="1"/>
  <c r="J64" i="2"/>
  <c r="L60" i="1"/>
  <c r="L26" i="1"/>
  <c r="I49" i="2" s="1"/>
  <c r="I45" i="12" s="1"/>
  <c r="I29" i="12" s="1"/>
  <c r="K99" i="1"/>
  <c r="K65" i="1"/>
  <c r="J58" i="2" l="1"/>
  <c r="J59" i="2" s="1"/>
  <c r="J50" i="12"/>
  <c r="I61" i="2"/>
  <c r="I62" i="2" s="1"/>
  <c r="J38" i="12"/>
  <c r="J40" i="12"/>
  <c r="J41" i="12" s="1"/>
  <c r="J58" i="12"/>
  <c r="J65" i="12" s="1"/>
  <c r="I66" i="2"/>
  <c r="L61" i="1"/>
  <c r="J66" i="2"/>
  <c r="M61" i="1"/>
  <c r="M26" i="1"/>
  <c r="J49" i="2" s="1"/>
  <c r="J45" i="12" s="1"/>
  <c r="J29" i="12" s="1"/>
  <c r="K29" i="12" s="1"/>
  <c r="L29" i="12" s="1"/>
  <c r="L99" i="1"/>
  <c r="L65" i="1"/>
  <c r="E72" i="2" l="1"/>
  <c r="E74" i="2" s="1"/>
  <c r="E78" i="2" s="1"/>
  <c r="J61" i="2"/>
  <c r="J62" i="2" s="1"/>
  <c r="J67" i="2" s="1"/>
  <c r="J72" i="2" s="1"/>
  <c r="J60" i="12"/>
  <c r="I67" i="2"/>
  <c r="I60" i="12"/>
  <c r="K40" i="12"/>
  <c r="K41" i="12" s="1"/>
  <c r="K38" i="12"/>
  <c r="G72" i="2"/>
  <c r="B72" i="2"/>
  <c r="G77" i="2"/>
  <c r="B77" i="2"/>
  <c r="M99" i="1"/>
  <c r="M65" i="1"/>
  <c r="E75" i="2" l="1"/>
  <c r="E87" i="2"/>
  <c r="J87" i="2"/>
  <c r="J74" i="2"/>
  <c r="J75" i="2" s="1"/>
  <c r="J77" i="2"/>
  <c r="E77" i="2"/>
  <c r="E79" i="2" s="1"/>
  <c r="E82" i="2" s="1"/>
  <c r="E84" i="2" s="1"/>
  <c r="D11" i="13" s="1"/>
  <c r="L40" i="12"/>
  <c r="L41" i="12" s="1"/>
  <c r="L38" i="12"/>
  <c r="J78" i="2" l="1"/>
  <c r="J79" i="2" s="1"/>
  <c r="J82" i="2" s="1"/>
  <c r="J84" i="2" s="1"/>
  <c r="D12" i="13" s="1"/>
  <c r="B85" i="2"/>
  <c r="F84" i="2"/>
  <c r="K84" i="2" l="1"/>
  <c r="G85" i="2"/>
  <c r="E19" i="12" l="1"/>
  <c r="H17" i="12" l="1"/>
  <c r="J17" i="12" l="1"/>
  <c r="E31" i="12"/>
  <c r="H19" i="12"/>
  <c r="J19" i="12" l="1"/>
  <c r="K32" i="12"/>
  <c r="F32" i="12"/>
  <c r="G32" i="12"/>
  <c r="G61" i="12" s="1"/>
  <c r="I32" i="12"/>
  <c r="I61" i="12" s="1"/>
  <c r="J32" i="12"/>
  <c r="J61" i="12" s="1"/>
  <c r="F33" i="12"/>
  <c r="F54" i="12" s="1"/>
  <c r="F55" i="12" s="1"/>
  <c r="F56" i="12" s="1"/>
  <c r="F57" i="12" s="1"/>
  <c r="L32" i="12"/>
  <c r="H32" i="12"/>
  <c r="H61" i="12" s="1"/>
  <c r="H21" i="12"/>
  <c r="J21" i="12" l="1"/>
  <c r="E70" i="12"/>
  <c r="F31" i="12"/>
  <c r="G31" i="12" s="1"/>
  <c r="F61" i="12"/>
  <c r="F62" i="12" s="1"/>
  <c r="F70" i="12" s="1"/>
  <c r="F34" i="12"/>
  <c r="H23" i="12"/>
  <c r="J23" i="12" s="1"/>
  <c r="G33" i="12" l="1"/>
  <c r="G34" i="12" s="1"/>
  <c r="H33" i="12"/>
  <c r="H31" i="12"/>
  <c r="I23" i="12"/>
  <c r="I18" i="12"/>
  <c r="I17" i="12"/>
  <c r="I19" i="12"/>
  <c r="I21" i="12"/>
  <c r="G54" i="12" l="1"/>
  <c r="G55" i="12" s="1"/>
  <c r="G56" i="12" s="1"/>
  <c r="G57" i="12" s="1"/>
  <c r="G62" i="12" s="1"/>
  <c r="G70" i="12" s="1"/>
  <c r="H34" i="12"/>
  <c r="H54" i="12"/>
  <c r="H55" i="12" s="1"/>
  <c r="H56" i="12" s="1"/>
  <c r="H57" i="12" s="1"/>
  <c r="H62" i="12" s="1"/>
  <c r="H70" i="12" s="1"/>
  <c r="I33" i="12"/>
  <c r="I31" i="12"/>
  <c r="I34" i="12" l="1"/>
  <c r="I54" i="12"/>
  <c r="I55" i="12" s="1"/>
  <c r="I56" i="12" s="1"/>
  <c r="I57" i="12" s="1"/>
  <c r="I62" i="12" s="1"/>
  <c r="I70" i="12" s="1"/>
  <c r="J33" i="12"/>
  <c r="J31" i="12"/>
  <c r="J68" i="12" s="1"/>
  <c r="J34" i="12" l="1"/>
  <c r="J54" i="12"/>
  <c r="J55" i="12" s="1"/>
  <c r="J56" i="12" s="1"/>
  <c r="J57" i="12" s="1"/>
  <c r="J62" i="12" s="1"/>
  <c r="J66" i="12" s="1"/>
  <c r="K31" i="12"/>
  <c r="K33" i="12"/>
  <c r="K34" i="12" s="1"/>
  <c r="J67" i="12" l="1"/>
  <c r="J69" i="12" s="1"/>
  <c r="J70" i="12" s="1"/>
  <c r="F71" i="12" s="1"/>
  <c r="L33" i="12"/>
  <c r="L34" i="12" s="1"/>
  <c r="L31" i="12"/>
  <c r="F74" i="12" l="1"/>
  <c r="D13" i="13"/>
  <c r="D15" i="13" s="1"/>
  <c r="F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tc={E00BD597-14EB-4C8A-AC3B-844A9E48BBD1}</author>
  </authors>
  <commentList>
    <comment ref="E22" authorId="0" shapeId="0" xr:uid="{E00BD597-14EB-4C8A-AC3B-844A9E48BBD1}">
      <text>
        <t>[Threaded comment]
Your version of Excel allows you to read this threaded comment; however, any edits to it will get removed if the file is opened in a newer version of Excel. Learn more: https://go.microsoft.com/fwlink/?linkid=870924
Comment:
    This number will change after inputting "Cash" on the DCF worksheet (E79)</t>
      </text>
    </comment>
  </commentList>
</comments>
</file>

<file path=xl/sharedStrings.xml><?xml version="1.0" encoding="utf-8"?>
<sst xmlns="http://schemas.openxmlformats.org/spreadsheetml/2006/main" count="549" uniqueCount="329">
  <si>
    <t>Company Information</t>
  </si>
  <si>
    <t>Case</t>
  </si>
  <si>
    <t>Company Name</t>
  </si>
  <si>
    <t>Upside Case</t>
  </si>
  <si>
    <t>Ticker</t>
  </si>
  <si>
    <t>Base Case</t>
  </si>
  <si>
    <t>Stock Price</t>
  </si>
  <si>
    <t>Downside Case</t>
  </si>
  <si>
    <t>Last Fiscal Year End</t>
  </si>
  <si>
    <t>Days</t>
  </si>
  <si>
    <t>Tax Rate</t>
  </si>
  <si>
    <t>Share outstanding (mm)</t>
  </si>
  <si>
    <t>Stock price as of date</t>
  </si>
  <si>
    <t>USD in millions</t>
  </si>
  <si>
    <t>Historical</t>
  </si>
  <si>
    <t>Revenues</t>
  </si>
  <si>
    <t>Cost of goods sold</t>
  </si>
  <si>
    <t>Gross profit</t>
  </si>
  <si>
    <t>EBITDA</t>
  </si>
  <si>
    <t>Depreciation &amp; Amortization</t>
  </si>
  <si>
    <t>EBIT</t>
  </si>
  <si>
    <t>Capital expenditures</t>
  </si>
  <si>
    <t>Gross profit margin</t>
  </si>
  <si>
    <t>Financials</t>
  </si>
  <si>
    <t>Receivables, net</t>
  </si>
  <si>
    <t>Inventories, net</t>
  </si>
  <si>
    <t>Prepaid expenses and other</t>
  </si>
  <si>
    <t>Current assets</t>
  </si>
  <si>
    <t>Total non-cash current assets:</t>
  </si>
  <si>
    <t>Current liabilities</t>
  </si>
  <si>
    <t>Total non-debt operating current liabilities</t>
  </si>
  <si>
    <t>Net Working Capital</t>
  </si>
  <si>
    <t>(Increase)/decrease in Net Working Capital</t>
  </si>
  <si>
    <t>as % of sales</t>
  </si>
  <si>
    <t xml:space="preserve">Working Capital </t>
  </si>
  <si>
    <t>Operating Assumptions</t>
  </si>
  <si>
    <t>Estimates</t>
  </si>
  <si>
    <t>Net Sales Growth</t>
  </si>
  <si>
    <t>Gross Profit Margin</t>
  </si>
  <si>
    <t>CapEx (as a % of Sales)</t>
  </si>
  <si>
    <t>D&amp;A (as a % of CapEx)</t>
  </si>
  <si>
    <t>Trade accounts receivable days</t>
  </si>
  <si>
    <t>Inventories days</t>
  </si>
  <si>
    <t>Accounts payable days</t>
  </si>
  <si>
    <t>Net Working Capital Assumptions</t>
  </si>
  <si>
    <t>Non-cash current assets:</t>
  </si>
  <si>
    <t>Non-debt operating current liabilities</t>
  </si>
  <si>
    <t>Calculate the forecased financials</t>
  </si>
  <si>
    <t>Hints</t>
  </si>
  <si>
    <t>Input your operating assumptions for each case</t>
  </si>
  <si>
    <r>
      <rPr>
        <sz val="10"/>
        <color theme="0" tint="-0.34998626667073579"/>
        <rFont val="Wingdings"/>
        <charset val="2"/>
      </rPr>
      <t>ß</t>
    </r>
    <r>
      <rPr>
        <sz val="8.5"/>
        <color theme="0" tint="-0.34998626667073579"/>
        <rFont val="Arial"/>
        <family val="2"/>
      </rPr>
      <t xml:space="preserve"> Cell called "Days"</t>
    </r>
  </si>
  <si>
    <r>
      <rPr>
        <sz val="10"/>
        <color theme="0" tint="-0.34998626667073579"/>
        <rFont val="Wingdings"/>
        <charset val="2"/>
      </rPr>
      <t>ß</t>
    </r>
    <r>
      <rPr>
        <sz val="8.5"/>
        <color theme="0" tint="-0.34998626667073579"/>
        <rFont val="Arial"/>
        <family val="2"/>
      </rPr>
      <t xml:space="preserve"> Cell called "TaxRate"</t>
    </r>
  </si>
  <si>
    <r>
      <rPr>
        <sz val="10"/>
        <color theme="0" tint="-0.34998626667073579"/>
        <rFont val="Wingdings"/>
        <charset val="2"/>
      </rPr>
      <t>á</t>
    </r>
    <r>
      <rPr>
        <sz val="8.5"/>
        <color theme="0" tint="-0.34998626667073579"/>
        <rFont val="Arial"/>
        <family val="2"/>
      </rPr>
      <t xml:space="preserve"> Cell called "Case"</t>
    </r>
  </si>
  <si>
    <t>Once the values are completed the gray will disappear</t>
  </si>
  <si>
    <t>x</t>
  </si>
  <si>
    <t>END</t>
  </si>
  <si>
    <t>Discounted Cash Flow</t>
  </si>
  <si>
    <t>Net Operating Profit after Taxes</t>
  </si>
  <si>
    <t>Less: Capital Expenditures</t>
  </si>
  <si>
    <t>Adjust for Changes in NWC</t>
  </si>
  <si>
    <t>Unlevered Free Cash Flow</t>
  </si>
  <si>
    <t>EBIT margin</t>
  </si>
  <si>
    <t>0 = Black&amp;White</t>
  </si>
  <si>
    <t>1 = Color</t>
  </si>
  <si>
    <t>Output Toggle</t>
  </si>
  <si>
    <t xml:space="preserve"> Cells that should be referenced/linked from the Core worksheet</t>
  </si>
  <si>
    <t xml:space="preserve"> Cells that should be calculated on this worksheet</t>
  </si>
  <si>
    <t>Link form core worksheet</t>
  </si>
  <si>
    <t>GREEN</t>
  </si>
  <si>
    <t>BLACK</t>
  </si>
  <si>
    <t>Toggle "Output toggle" to 1 to remove all colors, useful when posting images to PPT.</t>
  </si>
  <si>
    <t>BLUE</t>
  </si>
  <si>
    <t xml:space="preserve">  Cells that are inputs</t>
  </si>
  <si>
    <t xml:space="preserve">  Cells that should be calculated.  Once the values are completed the gray will disappear.</t>
  </si>
  <si>
    <t>Model Notes</t>
  </si>
  <si>
    <t>Perpetuity Growth</t>
  </si>
  <si>
    <t>Terminal Value</t>
  </si>
  <si>
    <t>PV of Terminal Value</t>
  </si>
  <si>
    <t>Add: Cash</t>
  </si>
  <si>
    <t>Less: Debt</t>
  </si>
  <si>
    <t>Implied Per Share Value</t>
  </si>
  <si>
    <t>Implied Equity Value</t>
  </si>
  <si>
    <t>Implied Enterprise Value</t>
  </si>
  <si>
    <t>Perpetuity growth rate</t>
  </si>
  <si>
    <t>EBITDA Multiple</t>
  </si>
  <si>
    <t>Terminal Multiple</t>
  </si>
  <si>
    <t xml:space="preserve"> Cells that are inputs - you need to come up with this assumption</t>
  </si>
  <si>
    <t>WACC</t>
  </si>
  <si>
    <t xml:space="preserve"> Enter your assumptions here</t>
  </si>
  <si>
    <t>WACC Calculations</t>
  </si>
  <si>
    <t>Levered beta</t>
  </si>
  <si>
    <t>Cost of Equity (Ke)</t>
  </si>
  <si>
    <t>Marginal tax rate</t>
  </si>
  <si>
    <t>After-tax Cost of Debt (Kdt)</t>
  </si>
  <si>
    <t>Percentage of Capital</t>
  </si>
  <si>
    <t>Debt</t>
  </si>
  <si>
    <t>Equity</t>
  </si>
  <si>
    <t>Total capital</t>
  </si>
  <si>
    <t>Weighted Average Cost of Capital</t>
  </si>
  <si>
    <t>Risk free rate (Rf)</t>
  </si>
  <si>
    <t>Amount</t>
  </si>
  <si>
    <t xml:space="preserve">Weighted </t>
  </si>
  <si>
    <t>Avg. Cost</t>
  </si>
  <si>
    <t>Total debt</t>
  </si>
  <si>
    <t>Cost of Equity (CAPM)</t>
  </si>
  <si>
    <t>Enter in the market capital of the subject company</t>
  </si>
  <si>
    <t>Reverence the proper cell</t>
  </si>
  <si>
    <t>Linked already</t>
  </si>
  <si>
    <t>Calculate</t>
  </si>
  <si>
    <t>Link</t>
  </si>
  <si>
    <t>Input</t>
  </si>
  <si>
    <t>Public Comps</t>
  </si>
  <si>
    <t>Market</t>
  </si>
  <si>
    <t>Enterprise</t>
  </si>
  <si>
    <t>Value</t>
  </si>
  <si>
    <t>Revenue</t>
  </si>
  <si>
    <t>Company 1</t>
  </si>
  <si>
    <t>Company 2</t>
  </si>
  <si>
    <t>Company 3</t>
  </si>
  <si>
    <t>Company 4</t>
  </si>
  <si>
    <t>Company 5</t>
  </si>
  <si>
    <t>Company 6</t>
  </si>
  <si>
    <t>Company 7</t>
  </si>
  <si>
    <t>Company 8</t>
  </si>
  <si>
    <t>Minimum</t>
  </si>
  <si>
    <t>Median</t>
  </si>
  <si>
    <t>Average</t>
  </si>
  <si>
    <t>Maximum</t>
  </si>
  <si>
    <t>TCK</t>
  </si>
  <si>
    <t xml:space="preserve">Pull numbers from Bloomberg </t>
  </si>
  <si>
    <t>The input for market value for the subject company is on the DCF worksheet</t>
  </si>
  <si>
    <t>Input your NWC assumptions here</t>
  </si>
  <si>
    <t>xxx</t>
  </si>
  <si>
    <t xml:space="preserve">  Cells that are key inputs</t>
  </si>
  <si>
    <t>SG&amp;A (as a % of Sales)</t>
  </si>
  <si>
    <t>Add: Depreciation &amp; Amortization</t>
  </si>
  <si>
    <t>Accounts payable</t>
  </si>
  <si>
    <t>Accrued liabilities</t>
  </si>
  <si>
    <t>Other current liabilities</t>
  </si>
  <si>
    <t>LTM Revenue</t>
  </si>
  <si>
    <t>LTM EBITDA</t>
  </si>
  <si>
    <t xml:space="preserve">LTM </t>
  </si>
  <si>
    <t>Pref. Equity</t>
  </si>
  <si>
    <t xml:space="preserve">Pull adjusted beta from Bloomberg </t>
  </si>
  <si>
    <t xml:space="preserve"> Rounded value</t>
  </si>
  <si>
    <t>EBITDA Margin</t>
  </si>
  <si>
    <t>bps change</t>
  </si>
  <si>
    <t>Calculate use cell called "TaxRate"</t>
  </si>
  <si>
    <t>Present Value of Terminal Value</t>
  </si>
  <si>
    <t>Implied Perpetuity Growth Rate</t>
  </si>
  <si>
    <t>Implied EBITDA Multiple</t>
  </si>
  <si>
    <t>Implied Cost of Debt</t>
  </si>
  <si>
    <t>Notes and loans payable</t>
  </si>
  <si>
    <t>Implied cost of debt</t>
  </si>
  <si>
    <t>Equity/Cap</t>
  </si>
  <si>
    <t>Interest paid</t>
  </si>
  <si>
    <t>Debt / Cap</t>
  </si>
  <si>
    <t>Pull from the Balance Sheet</t>
  </si>
  <si>
    <t>Pull from the supplemental information on the Cash Flow Atatement</t>
  </si>
  <si>
    <t xml:space="preserve">xxx </t>
  </si>
  <si>
    <t>Sort the peer group my Market Value</t>
  </si>
  <si>
    <t>Historical financials have be normalized for non-recurring items as per NetAdvantage / S&amp;P Capital IQ</t>
  </si>
  <si>
    <t>Pull from NetAdvantabe (S&amp;P Capital IQ) (Quick Comps)</t>
  </si>
  <si>
    <t>Net Debt</t>
  </si>
  <si>
    <t>LTM</t>
  </si>
  <si>
    <t>Non-contr. Int.</t>
  </si>
  <si>
    <t>Long-term debt</t>
  </si>
  <si>
    <t>Current portion of LT debt</t>
  </si>
  <si>
    <t>Oakwood Solutions, Inc.</t>
  </si>
  <si>
    <t xml:space="preserve">Copyright Oakwood Solutions, Inc. (“OSI”) </t>
  </si>
  <si>
    <t>Professor Zirpolo</t>
  </si>
  <si>
    <t>Equity risk premium</t>
  </si>
  <si>
    <t>Size premium</t>
  </si>
  <si>
    <t>Input formula</t>
  </si>
  <si>
    <t>Use Historical Average</t>
  </si>
  <si>
    <t>+1%</t>
  </si>
  <si>
    <t>-1%</t>
  </si>
  <si>
    <t>Inflation</t>
  </si>
  <si>
    <t>Levered Beta</t>
  </si>
  <si>
    <t>Unlevered</t>
  </si>
  <si>
    <t>Debt/Equity</t>
  </si>
  <si>
    <t>Hormel Foods</t>
  </si>
  <si>
    <t>HRL</t>
  </si>
  <si>
    <t>Conagra Brands</t>
  </si>
  <si>
    <t>CAG</t>
  </si>
  <si>
    <t>Cambell Soup Company</t>
  </si>
  <si>
    <t>Kellogg Company</t>
  </si>
  <si>
    <t>CPB</t>
  </si>
  <si>
    <t>K</t>
  </si>
  <si>
    <t>General Mills</t>
  </si>
  <si>
    <t>GIS</t>
  </si>
  <si>
    <t>Kraft Heinz Company</t>
  </si>
  <si>
    <t>KHC</t>
  </si>
  <si>
    <t>Mondelez</t>
  </si>
  <si>
    <t>MDLZ</t>
  </si>
  <si>
    <t>The Hershey Company</t>
  </si>
  <si>
    <t>HSY</t>
  </si>
  <si>
    <t>METHOD #1 - Market Value / Using the Stock Price</t>
  </si>
  <si>
    <t>Calculations</t>
  </si>
  <si>
    <t>SP</t>
  </si>
  <si>
    <t>SO</t>
  </si>
  <si>
    <t>SP * SO = EQ</t>
  </si>
  <si>
    <t>D</t>
  </si>
  <si>
    <t>C</t>
  </si>
  <si>
    <t>EQ + D - C = EV</t>
  </si>
  <si>
    <t>Company</t>
  </si>
  <si>
    <t>Symbol</t>
  </si>
  <si>
    <t xml:space="preserve">Stock Price </t>
  </si>
  <si>
    <t>Stocks Outstanding ($000)</t>
  </si>
  <si>
    <t>Equity 
Value
 ($000)</t>
  </si>
  <si>
    <t>Debt (ST&amp;LT)
($000)</t>
  </si>
  <si>
    <t>Cash
 ($000)</t>
  </si>
  <si>
    <t>Enterprise Value 
($000)</t>
  </si>
  <si>
    <t>METHOD #2- Intrinsic Value</t>
  </si>
  <si>
    <t>Using CAPM = k = Rf + ( Beta * Premium )</t>
  </si>
  <si>
    <t>Intrinsic Value = V0 = [ E(D1) + E (P1)] / (1+k)</t>
  </si>
  <si>
    <t>Risk Free =</t>
  </si>
  <si>
    <t>D1=</t>
  </si>
  <si>
    <t>Premium=</t>
  </si>
  <si>
    <t>Exp (P1)=</t>
  </si>
  <si>
    <t>Market Return (Rf + Premium)=</t>
  </si>
  <si>
    <t>k=</t>
  </si>
  <si>
    <t>Expected Equity Return using CAPM=</t>
  </si>
  <si>
    <t>V0=</t>
  </si>
  <si>
    <t>METHOD #3- Dividend Discount Model (DDM)</t>
  </si>
  <si>
    <t>Constant-Growth DDM (Gordon Model) V0 = D1 / (k-g)</t>
  </si>
  <si>
    <t>Expected HPR = E 9r) = [E (d1) + (E(p1) - P0) / P0</t>
  </si>
  <si>
    <t>D1 =</t>
  </si>
  <si>
    <t>Dividend (d1)</t>
  </si>
  <si>
    <t>(No growth)</t>
  </si>
  <si>
    <t>Expected Equity Return (k)=</t>
  </si>
  <si>
    <t>P1 = P0+D</t>
  </si>
  <si>
    <t>Expected Growth (g) =</t>
  </si>
  <si>
    <t>P0</t>
  </si>
  <si>
    <t>Exp. HPR=</t>
  </si>
  <si>
    <t>Levered Beta =</t>
  </si>
  <si>
    <t>METHOD #4 - EBITDA Trading Multiples</t>
  </si>
  <si>
    <t>(Avg Target by Analysts)</t>
  </si>
  <si>
    <t>METHOD #6 - Discount Cash Flow Valuation</t>
  </si>
  <si>
    <t>METHOD #5 - EBITDA Acquisition Multiples</t>
  </si>
  <si>
    <t>Stock</t>
  </si>
  <si>
    <t>Purchase</t>
  </si>
  <si>
    <t>Enterprise Acqusition Multiples</t>
  </si>
  <si>
    <t>Target Companies</t>
  </si>
  <si>
    <t>Pull from Yahoo Finance (Statistics)</t>
  </si>
  <si>
    <t>Enterprise Trading Multiples</t>
  </si>
  <si>
    <t>METHOD #7- LBO Model</t>
  </si>
  <si>
    <t>Bank Debt</t>
  </si>
  <si>
    <t>Corporate Bonds</t>
  </si>
  <si>
    <t xml:space="preserve">  Total Debt</t>
  </si>
  <si>
    <t>Purchase of Stock</t>
  </si>
  <si>
    <t>Current
Stock
Price</t>
  </si>
  <si>
    <t>Premium
Paid</t>
  </si>
  <si>
    <t>Refinance Existing Debt</t>
  </si>
  <si>
    <t>Less Cash</t>
  </si>
  <si>
    <t xml:space="preserve"> Acquisition Value</t>
  </si>
  <si>
    <t>Fees</t>
  </si>
  <si>
    <t>Total Uses</t>
  </si>
  <si>
    <t>Total Sources</t>
  </si>
  <si>
    <t>Acquisition
Stock 
Price</t>
  </si>
  <si>
    <t xml:space="preserve">  % Cap</t>
  </si>
  <si>
    <t>Interest /
Exp. Return</t>
  </si>
  <si>
    <t>Shares
Outst.
(mm)</t>
  </si>
  <si>
    <t>Amount
($ mm)</t>
  </si>
  <si>
    <t>EBITDAx</t>
  </si>
  <si>
    <t>Debt Capacity</t>
  </si>
  <si>
    <t>% Cap</t>
  </si>
  <si>
    <t>Max</t>
  </si>
  <si>
    <t>EBITDA
Multiple
X</t>
  </si>
  <si>
    <t xml:space="preserve"> %</t>
  </si>
  <si>
    <t>Interest</t>
  </si>
  <si>
    <t>LBO Cash Flow</t>
  </si>
  <si>
    <t>Debt Schedule</t>
  </si>
  <si>
    <t>Outstanding</t>
  </si>
  <si>
    <t>Principal Payment</t>
  </si>
  <si>
    <t>Interest Payment</t>
  </si>
  <si>
    <t>Total Payment</t>
  </si>
  <si>
    <t>2022</t>
  </si>
  <si>
    <t xml:space="preserve">  Princiapl Payment %</t>
  </si>
  <si>
    <t>EBT</t>
  </si>
  <si>
    <t>Less Principal Payment</t>
  </si>
  <si>
    <t>Free Cash Flow (Levered)</t>
  </si>
  <si>
    <t>Using EBITDA Multiple</t>
  </si>
  <si>
    <t>Based on Perpetuity Method</t>
  </si>
  <si>
    <t>Less Debt</t>
  </si>
  <si>
    <t>Teriminal Equity Value</t>
  </si>
  <si>
    <t>Average EV Terminal Value</t>
  </si>
  <si>
    <t>Total Equity</t>
  </si>
  <si>
    <t>Present Vaue</t>
  </si>
  <si>
    <t>EXIT</t>
  </si>
  <si>
    <t>Assumptions</t>
  </si>
  <si>
    <t>Shares Outstanding</t>
  </si>
  <si>
    <t>Stock Price based on LBO</t>
  </si>
  <si>
    <t>Summary Valuation</t>
  </si>
  <si>
    <t>Description</t>
  </si>
  <si>
    <t>Using Stock Price</t>
  </si>
  <si>
    <t>Intrinsic Value</t>
  </si>
  <si>
    <t>Dividend Discount Method</t>
  </si>
  <si>
    <t>Comps - EBITDA Trading Multiples</t>
  </si>
  <si>
    <t>Comps - EBITDA Acquisition Multiples</t>
  </si>
  <si>
    <t>Discount Cash Flow - Using EBITDA Multiple for TV</t>
  </si>
  <si>
    <t>Discount Cash Flow - Using EBITDA Trading for TV</t>
  </si>
  <si>
    <t>LBO Methodology</t>
  </si>
  <si>
    <t>Stock
Price</t>
  </si>
  <si>
    <t>Enteprise Value</t>
  </si>
  <si>
    <t>Plus Cash</t>
  </si>
  <si>
    <t>Equity Value</t>
  </si>
  <si>
    <t>Method
 #</t>
  </si>
  <si>
    <t>Transaction Uses</t>
  </si>
  <si>
    <t>Transaction Sources</t>
  </si>
  <si>
    <t>Cash</t>
  </si>
  <si>
    <t>million</t>
  </si>
  <si>
    <t>Selling, General &amp; Admin.</t>
  </si>
  <si>
    <t>IRR =</t>
  </si>
  <si>
    <t>Maximum Premium</t>
  </si>
  <si>
    <t>o</t>
  </si>
  <si>
    <t xml:space="preserve"> Use Goal Seek </t>
  </si>
  <si>
    <t>Goal Seek Instructions</t>
  </si>
  <si>
    <t xml:space="preserve">  - Go to Data</t>
  </si>
  <si>
    <t xml:space="preserve">  - Go to What-if-Analysis</t>
  </si>
  <si>
    <t xml:space="preserve">  - Enter 0% cell E7 (Pemium Paid)</t>
  </si>
  <si>
    <t xml:space="preserve">  - Go to Goal Seek</t>
  </si>
  <si>
    <t xml:space="preserve">       - To Value: 0.25</t>
  </si>
  <si>
    <t>Use Historical Less than average</t>
  </si>
  <si>
    <t>+4%</t>
  </si>
  <si>
    <t xml:space="preserve">       - Set Cell: F9 (IRR)</t>
  </si>
  <si>
    <t xml:space="preserve">       - By Changing: E7 (Premium Paid) and press OK</t>
  </si>
  <si>
    <t>9/30/2024</t>
  </si>
  <si>
    <t>Historical (FYE June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</si>
</sst>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3" formatCode="_(* #,##0.00_);_(* \(#,##0.00\);_(* &quot;-&quot;??_);_(@_)"/>
    <numFmt numFmtId="164" formatCode="#,##0.0_);\(#,##0.0\)"/>
    <numFmt numFmtId="165" formatCode="&quot;$&quot;#,##0.0_);\(&quot;$&quot;#,##0.0\)"/>
    <numFmt numFmtId="166" formatCode="0.0%_);\(0.0%\)"/>
    <numFmt numFmtId="167" formatCode="0.0\x_);&quot;NM &quot;"/>
    <numFmt numFmtId="168" formatCode="mmm\-d\-yyyy"/>
    <numFmt numFmtId="169" formatCode="#,##0.0%_);\(#,##0.0%\)"/>
    <numFmt numFmtId="170" formatCode="#,##0.0%"/>
    <numFmt numFmtId="171" formatCode="&quot;$&quot;#,##0.00"/>
    <numFmt numFmtId="172" formatCode="0000\A_)"/>
    <numFmt numFmtId="173" formatCode="General&quot;A&quot;"/>
    <numFmt numFmtId="174" formatCode="General&quot;E&quot;"/>
    <numFmt numFmtId="175" formatCode="_(* #,##0.0_);_(* \(#,##0.0\);_(* &quot;-&quot;?_);_(@_)"/>
    <numFmt numFmtId="176" formatCode="#,##0.0\x"/>
    <numFmt numFmtId="177" formatCode="#,##0.0\x_)"/>
    <numFmt numFmtId="178" formatCode="#,##0.000_);\(#,##0.000\)"/>
    <numFmt numFmtId="179" formatCode="#,##0.00%_);\(#,##0.00%\)"/>
    <numFmt numFmtId="180" formatCode="#,##0.00%"/>
    <numFmt numFmtId="181" formatCode="#,##0.00\x_)"/>
    <numFmt numFmtId="182" formatCode="_(* #,##0_);_(* \(#,##0\);_(* &quot;-&quot;??_);_(@_)"/>
    <numFmt numFmtId="183" formatCode="0.00\x"/>
    <numFmt numFmtId="184" formatCode="_(* #,##0.0_);_(* \(#,##0.0\);_(* &quot;-&quot;??_);_(@_)"/>
    <numFmt numFmtId="185" formatCode="0.0\x"/>
    <numFmt numFmtId="186" formatCode="0.0%"/>
  </numFmts>
  <fonts count="61">
    <font>
      <sz val="10"/>
      <color theme="1"/>
      <name val="Arial"/>
      <family val="2"/>
    </font>
    <font>
      <sz val="18"/>
      <color theme="1"/>
      <name val="Arial"/>
      <family val="2"/>
    </font>
    <font>
      <sz val="18"/>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8"/>
      <color rgb="FF006100"/>
      <name val="Arial"/>
      <family val="2"/>
    </font>
    <font>
      <sz val="18"/>
      <color rgb="FF9C0006"/>
      <name val="Arial"/>
      <family val="2"/>
    </font>
    <font>
      <sz val="18"/>
      <color rgb="FF9C5700"/>
      <name val="Arial"/>
      <family val="2"/>
    </font>
    <font>
      <sz val="18"/>
      <color rgb="FF3F3F76"/>
      <name val="Arial"/>
      <family val="2"/>
    </font>
    <font>
      <b/>
      <sz val="18"/>
      <color rgb="FF3F3F3F"/>
      <name val="Arial"/>
      <family val="2"/>
    </font>
    <font>
      <b/>
      <sz val="18"/>
      <color rgb="FFFA7D00"/>
      <name val="Arial"/>
      <family val="2"/>
    </font>
    <font>
      <sz val="18"/>
      <color rgb="FFFA7D00"/>
      <name val="Arial"/>
      <family val="2"/>
    </font>
    <font>
      <b/>
      <sz val="18"/>
      <color theme="0"/>
      <name val="Arial"/>
      <family val="2"/>
    </font>
    <font>
      <sz val="18"/>
      <color rgb="FFFF0000"/>
      <name val="Arial"/>
      <family val="2"/>
    </font>
    <font>
      <i/>
      <sz val="18"/>
      <color rgb="FF7F7F7F"/>
      <name val="Arial"/>
      <family val="2"/>
    </font>
    <font>
      <b/>
      <sz val="18"/>
      <color theme="1"/>
      <name val="Arial"/>
      <family val="2"/>
    </font>
    <font>
      <sz val="18"/>
      <color theme="0"/>
      <name val="Arial"/>
      <family val="2"/>
    </font>
    <font>
      <sz val="10"/>
      <color theme="1"/>
      <name val="Arial"/>
      <family val="2"/>
    </font>
    <font>
      <sz val="10"/>
      <name val="Arial"/>
      <family val="2"/>
    </font>
    <font>
      <sz val="7"/>
      <color theme="0" tint="-0.24994659260841701"/>
      <name val="Arial"/>
      <family val="2"/>
    </font>
    <font>
      <sz val="11"/>
      <color theme="1"/>
      <name val="Calibri"/>
      <family val="2"/>
      <scheme val="minor"/>
    </font>
    <font>
      <b/>
      <sz val="10"/>
      <name val="Arial"/>
      <family val="2"/>
    </font>
    <font>
      <b/>
      <sz val="10"/>
      <color theme="0"/>
      <name val="Arial"/>
      <family val="2"/>
    </font>
    <font>
      <sz val="10"/>
      <color rgb="FF0000FF"/>
      <name val="Arial"/>
      <family val="2"/>
    </font>
    <font>
      <sz val="9"/>
      <color rgb="FF0000FF"/>
      <name val="Arial"/>
      <family val="2"/>
    </font>
    <font>
      <sz val="10"/>
      <color rgb="FF008000"/>
      <name val="Arial"/>
      <family val="2"/>
    </font>
    <font>
      <b/>
      <u/>
      <sz val="10"/>
      <color theme="0"/>
      <name val="Arial"/>
      <family val="2"/>
    </font>
    <font>
      <sz val="10"/>
      <color rgb="FF0000CC"/>
      <name val="Arial"/>
      <family val="2"/>
    </font>
    <font>
      <i/>
      <sz val="10"/>
      <color theme="1"/>
      <name val="Arial"/>
      <family val="2"/>
    </font>
    <font>
      <u/>
      <sz val="10"/>
      <color theme="1"/>
      <name val="Arial"/>
      <family val="2"/>
    </font>
    <font>
      <sz val="10"/>
      <color indexed="8"/>
      <name val="Arial"/>
      <family val="2"/>
    </font>
    <font>
      <b/>
      <sz val="10"/>
      <color rgb="FF000000"/>
      <name val="Arial"/>
      <family val="2"/>
    </font>
    <font>
      <b/>
      <sz val="10"/>
      <color theme="1"/>
      <name val="Arial"/>
      <family val="2"/>
    </font>
    <font>
      <sz val="10"/>
      <color theme="0"/>
      <name val="Arial"/>
      <family val="2"/>
    </font>
    <font>
      <u/>
      <sz val="10"/>
      <name val="Arial"/>
      <family val="2"/>
    </font>
    <font>
      <sz val="10"/>
      <color theme="0" tint="-0.499984740745262"/>
      <name val="Arial"/>
      <family val="2"/>
    </font>
    <font>
      <sz val="10"/>
      <color theme="0" tint="-0.34998626667073579"/>
      <name val="Arial"/>
      <family val="2"/>
      <charset val="2"/>
    </font>
    <font>
      <sz val="10"/>
      <color theme="0" tint="-0.34998626667073579"/>
      <name val="Wingdings"/>
      <charset val="2"/>
    </font>
    <font>
      <sz val="8.5"/>
      <color theme="0" tint="-0.34998626667073579"/>
      <name val="Arial"/>
      <family val="2"/>
    </font>
    <font>
      <b/>
      <sz val="10"/>
      <color rgb="FF0000FF"/>
      <name val="Arial"/>
      <family val="2"/>
    </font>
    <font>
      <i/>
      <sz val="10"/>
      <color theme="0"/>
      <name val="Arial"/>
      <family val="2"/>
    </font>
    <font>
      <i/>
      <sz val="10"/>
      <name val="Arial"/>
      <family val="2"/>
    </font>
    <font>
      <i/>
      <sz val="9"/>
      <color theme="1"/>
      <name val="Arial"/>
      <family val="2"/>
    </font>
    <font>
      <b/>
      <sz val="14"/>
      <color theme="1"/>
      <name val="Arial"/>
      <family val="2"/>
    </font>
    <font>
      <b/>
      <sz val="14"/>
      <name val="Arial"/>
      <family val="2"/>
    </font>
    <font>
      <b/>
      <sz val="26"/>
      <color rgb="FF002060"/>
      <name val="Arial"/>
      <family val="2"/>
    </font>
    <font>
      <sz val="10"/>
      <color rgb="FFFF0000"/>
      <name val="Arial"/>
      <family val="2"/>
    </font>
    <font>
      <b/>
      <sz val="12"/>
      <color theme="0"/>
      <name val="Arial"/>
      <family val="2"/>
    </font>
    <font>
      <sz val="8"/>
      <name val="Arial"/>
      <family val="2"/>
    </font>
    <font>
      <b/>
      <u/>
      <sz val="10"/>
      <name val="Arial"/>
      <family val="2"/>
    </font>
    <font>
      <b/>
      <sz val="10"/>
      <color indexed="10"/>
      <name val="Arial"/>
      <family val="2"/>
    </font>
    <font>
      <b/>
      <sz val="10"/>
      <name val="Times New Roman"/>
      <family val="1"/>
    </font>
    <font>
      <i/>
      <sz val="10"/>
      <color rgb="FF0000FF"/>
      <name val="Arial"/>
      <family val="2"/>
    </font>
    <font>
      <b/>
      <u/>
      <sz val="10"/>
      <color theme="1"/>
      <name val="Arial"/>
      <family val="2"/>
    </font>
    <font>
      <b/>
      <sz val="20"/>
      <color theme="1"/>
      <name val="Arial"/>
      <family val="2"/>
    </font>
    <font>
      <b/>
      <i/>
      <sz val="10"/>
      <color theme="0"/>
      <name val="Arial"/>
      <family val="2"/>
    </font>
    <font>
      <b/>
      <sz val="10"/>
      <color rgb="FFFF0000"/>
      <name val="Arial"/>
      <family val="2"/>
    </font>
    <font>
      <b/>
      <u/>
      <sz val="10"/>
      <color rgb="FFFF0000"/>
      <name val="Arial"/>
      <family val="2"/>
    </font>
    <font>
      <b/>
      <sz val="20"/>
      <color rgb="FF0000FF"/>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rgb="FFECF4FA"/>
        <bgColor indexed="64"/>
      </patternFill>
    </fill>
    <fill>
      <patternFill patternType="solid">
        <fgColor theme="8"/>
        <bgColor indexed="64"/>
      </patternFill>
    </fill>
    <fill>
      <patternFill patternType="solid">
        <fgColor theme="4" tint="0.79998168889431442"/>
        <bgColor indexed="64"/>
      </patternFill>
    </fill>
    <fill>
      <patternFill patternType="solid">
        <fgColor indexed="22"/>
        <bgColor indexed="64"/>
      </patternFill>
    </fill>
    <fill>
      <patternFill patternType="solid">
        <fgColor rgb="FFFFFF00"/>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style="thin">
        <color indexed="64"/>
      </top>
      <bottom/>
      <diagonal/>
    </border>
    <border>
      <left/>
      <right style="thick">
        <color theme="0"/>
      </right>
      <top/>
      <bottom/>
      <diagonal/>
    </border>
    <border>
      <left/>
      <right style="thin">
        <color theme="0" tint="-0.24994659260841701"/>
      </right>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9"/>
      </left>
      <right style="thin">
        <color theme="9"/>
      </right>
      <top style="thin">
        <color theme="9"/>
      </top>
      <bottom style="thin">
        <color theme="9"/>
      </bottom>
      <diagonal/>
    </border>
    <border>
      <left/>
      <right/>
      <top style="thin">
        <color auto="1"/>
      </top>
      <bottom style="double">
        <color auto="1"/>
      </bottom>
      <diagonal/>
    </border>
    <border>
      <left style="thin">
        <color theme="8"/>
      </left>
      <right style="thin">
        <color theme="8"/>
      </right>
      <top style="thin">
        <color theme="9"/>
      </top>
      <bottom style="thin">
        <color theme="0" tint="-0.24994659260841701"/>
      </bottom>
      <diagonal/>
    </border>
    <border>
      <left style="thin">
        <color theme="8"/>
      </left>
      <right style="thin">
        <color theme="8"/>
      </right>
      <top style="thin">
        <color theme="8"/>
      </top>
      <bottom style="thin">
        <color theme="8"/>
      </bottom>
      <diagonal/>
    </border>
    <border>
      <left style="medium">
        <color theme="0"/>
      </left>
      <right/>
      <top/>
      <bottom/>
      <diagonal/>
    </border>
    <border>
      <left/>
      <right/>
      <top style="medium">
        <color theme="0"/>
      </top>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14996795556505021"/>
      </top>
      <bottom style="thin">
        <color theme="0" tint="-0.14996795556505021"/>
      </bottom>
      <diagonal/>
    </border>
    <border>
      <left style="thin">
        <color rgb="FF0000FF"/>
      </left>
      <right style="thin">
        <color rgb="FF0000FF"/>
      </right>
      <top style="thin">
        <color rgb="FF0000FF"/>
      </top>
      <bottom style="thin">
        <color rgb="FF0000FF"/>
      </bottom>
      <diagonal/>
    </border>
    <border>
      <left style="thin">
        <color theme="0" tint="-0.24994659260841701"/>
      </left>
      <right style="thin">
        <color theme="0" tint="-0.24994659260841701"/>
      </right>
      <top style="thin">
        <color theme="0" tint="-0.24994659260841701"/>
      </top>
      <bottom style="thin">
        <color theme="8"/>
      </bottom>
      <diagonal/>
    </border>
    <border>
      <left/>
      <right style="thin">
        <color auto="1"/>
      </right>
      <top/>
      <bottom/>
      <diagonal/>
    </border>
    <border>
      <left/>
      <right style="thin">
        <color auto="1"/>
      </right>
      <top/>
      <bottom style="thin">
        <color indexed="64"/>
      </bottom>
      <diagonal/>
    </border>
    <border>
      <left/>
      <right style="thin">
        <color auto="1"/>
      </right>
      <top style="thin">
        <color indexed="64"/>
      </top>
      <bottom/>
      <diagonal/>
    </border>
    <border>
      <left style="thick">
        <color theme="0"/>
      </left>
      <right style="thick">
        <color theme="0"/>
      </right>
      <top/>
      <bottom/>
      <diagonal/>
    </border>
    <border>
      <left style="thick">
        <color theme="0"/>
      </left>
      <right style="thick">
        <color theme="0"/>
      </right>
      <top style="thin">
        <color indexed="64"/>
      </top>
      <bottom/>
      <diagonal/>
    </border>
    <border>
      <left/>
      <right style="thick">
        <color theme="0"/>
      </right>
      <top style="thin">
        <color indexed="64"/>
      </top>
      <bottom/>
      <diagonal/>
    </border>
    <border>
      <left/>
      <right style="thick">
        <color theme="0"/>
      </right>
      <top style="thin">
        <color theme="0" tint="-0.24994659260841701"/>
      </top>
      <bottom/>
      <diagonal/>
    </border>
    <border>
      <left/>
      <right/>
      <top style="medium">
        <color rgb="FF002060"/>
      </top>
      <bottom style="thin">
        <color theme="0"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auto="1"/>
      </top>
      <bottom style="double">
        <color auto="1"/>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auto="1"/>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55">
    <xf numFmtId="0" fontId="0" fillId="0" borderId="0"/>
    <xf numFmtId="164" fontId="20" fillId="0" borderId="0" applyFill="0" applyBorder="0" applyAlignment="0" applyProtection="0"/>
    <xf numFmtId="41" fontId="2" fillId="0" borderId="0" applyFont="0" applyFill="0" applyBorder="0" applyAlignment="0" applyProtection="0"/>
    <xf numFmtId="165" fontId="20" fillId="0" borderId="0" applyFill="0" applyBorder="0" applyAlignment="0" applyProtection="0"/>
    <xf numFmtId="42" fontId="2" fillId="0" borderId="0" applyFont="0" applyFill="0" applyBorder="0" applyAlignment="0" applyProtection="0"/>
    <xf numFmtId="166" fontId="20" fillId="0" borderId="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167" fontId="20" fillId="0" borderId="0" applyFill="0" applyBorder="0" applyAlignment="0"/>
    <xf numFmtId="0" fontId="21" fillId="0" borderId="0" applyNumberFormat="0" applyFill="0" applyBorder="0" applyAlignment="0"/>
    <xf numFmtId="164" fontId="20" fillId="0" borderId="0" applyFill="0" applyBorder="0" applyAlignment="0"/>
    <xf numFmtId="165" fontId="20" fillId="0" borderId="0" applyFill="0" applyBorder="0" applyAlignment="0"/>
    <xf numFmtId="166" fontId="20" fillId="0" borderId="0" applyFill="0" applyBorder="0" applyAlignment="0"/>
    <xf numFmtId="43" fontId="22" fillId="0" borderId="0" applyFont="0" applyFill="0" applyBorder="0" applyAlignment="0" applyProtection="0"/>
    <xf numFmtId="9" fontId="22" fillId="0" borderId="0" applyFont="0" applyFill="0" applyBorder="0" applyAlignment="0" applyProtection="0"/>
    <xf numFmtId="0" fontId="22" fillId="0" borderId="0"/>
  </cellStyleXfs>
  <cellXfs count="388">
    <xf numFmtId="0" fontId="0" fillId="0" borderId="0" xfId="0"/>
    <xf numFmtId="0" fontId="19" fillId="0" borderId="0" xfId="0" applyFont="1"/>
    <xf numFmtId="0" fontId="24" fillId="33" borderId="0" xfId="0" applyFont="1" applyFill="1"/>
    <xf numFmtId="0" fontId="19" fillId="33" borderId="0" xfId="0" applyFont="1" applyFill="1"/>
    <xf numFmtId="0" fontId="19" fillId="0" borderId="0" xfId="0" applyFont="1" applyAlignment="1">
      <alignment horizontal="center"/>
    </xf>
    <xf numFmtId="0" fontId="19" fillId="0" borderId="0" xfId="0" applyFont="1" applyAlignment="1">
      <alignment horizontal="left" indent="1"/>
    </xf>
    <xf numFmtId="0" fontId="0" fillId="0" borderId="0" xfId="0" applyAlignment="1">
      <alignment horizontal="left"/>
    </xf>
    <xf numFmtId="0" fontId="25" fillId="34" borderId="10" xfId="0" applyFont="1" applyFill="1" applyBorder="1" applyAlignment="1">
      <alignment horizontal="center"/>
    </xf>
    <xf numFmtId="168" fontId="25" fillId="34" borderId="10" xfId="0" applyNumberFormat="1" applyFont="1" applyFill="1" applyBorder="1" applyAlignment="1">
      <alignment horizontal="right"/>
    </xf>
    <xf numFmtId="171" fontId="25" fillId="34" borderId="10" xfId="0" applyNumberFormat="1" applyFont="1" applyFill="1" applyBorder="1" applyAlignment="1">
      <alignment horizontal="center"/>
    </xf>
    <xf numFmtId="170" fontId="25" fillId="34" borderId="10" xfId="0" applyNumberFormat="1" applyFont="1" applyFill="1" applyBorder="1" applyAlignment="1">
      <alignment horizontal="center"/>
    </xf>
    <xf numFmtId="0" fontId="28" fillId="33" borderId="0" xfId="0" applyFont="1" applyFill="1" applyAlignment="1">
      <alignment horizontal="centerContinuous" vertical="center"/>
    </xf>
    <xf numFmtId="0" fontId="19" fillId="33" borderId="0" xfId="0" applyFont="1" applyFill="1" applyAlignment="1">
      <alignment horizontal="centerContinuous"/>
    </xf>
    <xf numFmtId="0" fontId="30" fillId="0" borderId="0" xfId="0" applyFont="1" applyAlignment="1">
      <alignment horizontal="left" indent="1"/>
    </xf>
    <xf numFmtId="0" fontId="30" fillId="0" borderId="0" xfId="0" applyFont="1"/>
    <xf numFmtId="6" fontId="29" fillId="0" borderId="0" xfId="0" applyNumberFormat="1" applyFont="1"/>
    <xf numFmtId="0" fontId="31" fillId="0" borderId="0" xfId="0" applyFont="1"/>
    <xf numFmtId="0" fontId="20" fillId="0" borderId="0" xfId="0" applyFont="1" applyAlignment="1">
      <alignment horizontal="left"/>
    </xf>
    <xf numFmtId="165" fontId="0" fillId="0" borderId="0" xfId="0" applyNumberFormat="1"/>
    <xf numFmtId="164" fontId="0" fillId="0" borderId="0" xfId="0" applyNumberFormat="1"/>
    <xf numFmtId="0" fontId="0" fillId="0" borderId="12" xfId="0" applyBorder="1"/>
    <xf numFmtId="0" fontId="20" fillId="0" borderId="0" xfId="0" applyFont="1"/>
    <xf numFmtId="0" fontId="32" fillId="0" borderId="0" xfId="0" applyFont="1"/>
    <xf numFmtId="0" fontId="23" fillId="0" borderId="0" xfId="0" applyFont="1"/>
    <xf numFmtId="169" fontId="0" fillId="0" borderId="0" xfId="0" applyNumberFormat="1"/>
    <xf numFmtId="165" fontId="20" fillId="0" borderId="0" xfId="0" applyNumberFormat="1" applyFont="1" applyAlignment="1">
      <alignment horizontal="left" indent="1"/>
    </xf>
    <xf numFmtId="0" fontId="0" fillId="0" borderId="12" xfId="0" applyBorder="1" applyAlignment="1">
      <alignment horizontal="left" indent="2"/>
    </xf>
    <xf numFmtId="0" fontId="34" fillId="0" borderId="0" xfId="0" applyFont="1"/>
    <xf numFmtId="5" fontId="25" fillId="0" borderId="0" xfId="0" applyNumberFormat="1" applyFont="1"/>
    <xf numFmtId="37" fontId="25" fillId="0" borderId="0" xfId="0" applyNumberFormat="1" applyFont="1"/>
    <xf numFmtId="5" fontId="20" fillId="0" borderId="12" xfId="0" applyNumberFormat="1" applyFont="1" applyBorder="1"/>
    <xf numFmtId="5" fontId="20" fillId="0" borderId="12" xfId="0" applyNumberFormat="1" applyFont="1" applyBorder="1" applyAlignment="1">
      <alignment horizontal="right"/>
    </xf>
    <xf numFmtId="5" fontId="0" fillId="0" borderId="0" xfId="0" applyNumberFormat="1"/>
    <xf numFmtId="5" fontId="33" fillId="0" borderId="0" xfId="0" applyNumberFormat="1" applyFont="1"/>
    <xf numFmtId="172" fontId="24" fillId="33" borderId="0" xfId="0" applyNumberFormat="1" applyFont="1" applyFill="1" applyAlignment="1">
      <alignment horizontal="center"/>
    </xf>
    <xf numFmtId="0" fontId="24" fillId="33" borderId="0" xfId="0" applyFont="1" applyFill="1" applyAlignment="1">
      <alignment horizontal="centerContinuous" vertical="center"/>
    </xf>
    <xf numFmtId="173" fontId="24" fillId="33" borderId="0" xfId="0" applyNumberFormat="1" applyFont="1" applyFill="1" applyAlignment="1">
      <alignment horizontal="center"/>
    </xf>
    <xf numFmtId="174" fontId="24" fillId="33" borderId="0" xfId="0" applyNumberFormat="1" applyFont="1" applyFill="1" applyAlignment="1">
      <alignment horizontal="center"/>
    </xf>
    <xf numFmtId="169" fontId="19" fillId="0" borderId="0" xfId="0" applyNumberFormat="1" applyFont="1"/>
    <xf numFmtId="169" fontId="29" fillId="36" borderId="0" xfId="53" applyNumberFormat="1" applyFont="1" applyFill="1"/>
    <xf numFmtId="0" fontId="35" fillId="33" borderId="0" xfId="0" applyFont="1" applyFill="1"/>
    <xf numFmtId="37" fontId="29" fillId="0" borderId="11" xfId="52" applyNumberFormat="1" applyFont="1" applyBorder="1"/>
    <xf numFmtId="37" fontId="0" fillId="0" borderId="0" xfId="52" applyNumberFormat="1" applyFont="1" applyBorder="1"/>
    <xf numFmtId="37" fontId="19" fillId="0" borderId="0" xfId="0" applyNumberFormat="1" applyFont="1"/>
    <xf numFmtId="37" fontId="0" fillId="0" borderId="0" xfId="0" applyNumberFormat="1"/>
    <xf numFmtId="169" fontId="29" fillId="36" borderId="0" xfId="53" applyNumberFormat="1" applyFont="1" applyFill="1" applyAlignment="1">
      <alignment horizontal="right"/>
    </xf>
    <xf numFmtId="175" fontId="29" fillId="36" borderId="0" xfId="0" applyNumberFormat="1" applyFont="1" applyFill="1"/>
    <xf numFmtId="175" fontId="19" fillId="0" borderId="0" xfId="0" applyNumberFormat="1" applyFont="1"/>
    <xf numFmtId="0" fontId="0" fillId="0" borderId="0" xfId="0" applyAlignment="1">
      <alignment horizontal="left" indent="1"/>
    </xf>
    <xf numFmtId="0" fontId="0" fillId="0" borderId="0" xfId="0" applyAlignment="1">
      <alignment vertical="top"/>
    </xf>
    <xf numFmtId="0" fontId="36" fillId="0" borderId="0" xfId="0" applyFont="1" applyAlignment="1">
      <alignment horizontal="left"/>
    </xf>
    <xf numFmtId="0" fontId="31" fillId="0" borderId="0" xfId="0" applyFont="1" applyAlignment="1">
      <alignment horizontal="left"/>
    </xf>
    <xf numFmtId="164" fontId="19" fillId="0" borderId="0" xfId="0" applyNumberFormat="1" applyFont="1"/>
    <xf numFmtId="169" fontId="29" fillId="36" borderId="0" xfId="53" applyNumberFormat="1" applyFont="1" applyFill="1" applyBorder="1"/>
    <xf numFmtId="169" fontId="19" fillId="0" borderId="0" xfId="53" applyNumberFormat="1" applyFont="1" applyBorder="1"/>
    <xf numFmtId="0" fontId="30" fillId="0" borderId="0" xfId="0" applyFont="1" applyAlignment="1">
      <alignment horizontal="right"/>
    </xf>
    <xf numFmtId="0" fontId="37" fillId="0" borderId="0" xfId="0" applyFont="1"/>
    <xf numFmtId="0" fontId="0" fillId="0" borderId="0" xfId="0" applyAlignment="1">
      <alignment horizontal="center"/>
    </xf>
    <xf numFmtId="0" fontId="34" fillId="0" borderId="0" xfId="0" applyFont="1" applyAlignment="1">
      <alignment horizontal="center"/>
    </xf>
    <xf numFmtId="0" fontId="38" fillId="0" borderId="0" xfId="0" applyFont="1"/>
    <xf numFmtId="0" fontId="38" fillId="0" borderId="0" xfId="0" applyFont="1" applyAlignment="1">
      <alignment horizontal="left" indent="3"/>
    </xf>
    <xf numFmtId="0" fontId="21" fillId="0" borderId="0" xfId="48"/>
    <xf numFmtId="0" fontId="34" fillId="0" borderId="0" xfId="0" applyFont="1" applyAlignment="1">
      <alignment horizontal="left" indent="1"/>
    </xf>
    <xf numFmtId="0" fontId="41" fillId="34" borderId="10" xfId="0" applyFont="1" applyFill="1" applyBorder="1" applyAlignment="1">
      <alignment horizontal="center"/>
    </xf>
    <xf numFmtId="6" fontId="34" fillId="35" borderId="0" xfId="0" applyNumberFormat="1" applyFont="1" applyFill="1"/>
    <xf numFmtId="37" fontId="20" fillId="35" borderId="0" xfId="52" applyNumberFormat="1" applyFont="1" applyFill="1" applyBorder="1"/>
    <xf numFmtId="169" fontId="30" fillId="35" borderId="0" xfId="0" applyNumberFormat="1" applyFont="1" applyFill="1"/>
    <xf numFmtId="37" fontId="20" fillId="35" borderId="11" xfId="52" applyNumberFormat="1" applyFont="1" applyFill="1" applyBorder="1"/>
    <xf numFmtId="6" fontId="27" fillId="37" borderId="0" xfId="0" applyNumberFormat="1" applyFont="1" applyFill="1"/>
    <xf numFmtId="37" fontId="27" fillId="37" borderId="11" xfId="52" applyNumberFormat="1" applyFont="1" applyFill="1" applyBorder="1"/>
    <xf numFmtId="37" fontId="27" fillId="37" borderId="0" xfId="0" applyNumberFormat="1" applyFont="1" applyFill="1" applyAlignment="1">
      <alignment horizontal="right"/>
    </xf>
    <xf numFmtId="37" fontId="27" fillId="37" borderId="11" xfId="0" applyNumberFormat="1" applyFont="1" applyFill="1" applyBorder="1"/>
    <xf numFmtId="6" fontId="27" fillId="37" borderId="17" xfId="0" applyNumberFormat="1" applyFont="1" applyFill="1" applyBorder="1" applyAlignment="1">
      <alignment horizontal="center"/>
    </xf>
    <xf numFmtId="0" fontId="0" fillId="33" borderId="0" xfId="0" applyFill="1"/>
    <xf numFmtId="0" fontId="24" fillId="38" borderId="0" xfId="0" applyFont="1" applyFill="1"/>
    <xf numFmtId="0" fontId="35" fillId="38" borderId="0" xfId="0" applyFont="1" applyFill="1"/>
    <xf numFmtId="0" fontId="0" fillId="35" borderId="10" xfId="0" applyFill="1" applyBorder="1" applyAlignment="1">
      <alignment horizontal="center"/>
    </xf>
    <xf numFmtId="0" fontId="23" fillId="0" borderId="12" xfId="0" applyFont="1" applyBorder="1" applyAlignment="1">
      <alignment horizontal="left" indent="1"/>
    </xf>
    <xf numFmtId="0" fontId="23" fillId="0" borderId="12" xfId="0" applyFont="1" applyBorder="1" applyAlignment="1">
      <alignment horizontal="left"/>
    </xf>
    <xf numFmtId="0" fontId="34" fillId="0" borderId="18" xfId="0" applyFont="1" applyBorder="1"/>
    <xf numFmtId="0" fontId="34" fillId="0" borderId="18" xfId="0" applyFont="1" applyBorder="1" applyAlignment="1">
      <alignment horizontal="left" indent="1"/>
    </xf>
    <xf numFmtId="0" fontId="25" fillId="36" borderId="19" xfId="0" applyFont="1" applyFill="1" applyBorder="1" applyAlignment="1">
      <alignment horizontal="center"/>
    </xf>
    <xf numFmtId="170" fontId="25" fillId="36" borderId="20" xfId="0" applyNumberFormat="1" applyFont="1" applyFill="1" applyBorder="1" applyAlignment="1">
      <alignment horizontal="center"/>
    </xf>
    <xf numFmtId="176" fontId="25" fillId="36" borderId="20" xfId="0" applyNumberFormat="1" applyFont="1" applyFill="1" applyBorder="1" applyAlignment="1">
      <alignment horizontal="center"/>
    </xf>
    <xf numFmtId="0" fontId="34" fillId="0" borderId="12" xfId="0" applyFont="1" applyBorder="1" applyAlignment="1">
      <alignment horizontal="left" indent="1"/>
    </xf>
    <xf numFmtId="0" fontId="34" fillId="0" borderId="12" xfId="0" applyFont="1" applyBorder="1"/>
    <xf numFmtId="10" fontId="24" fillId="38" borderId="21" xfId="0" applyNumberFormat="1" applyFont="1" applyFill="1" applyBorder="1" applyAlignment="1">
      <alignment horizontal="center"/>
    </xf>
    <xf numFmtId="5" fontId="0" fillId="35" borderId="0" xfId="0" applyNumberFormat="1" applyFill="1"/>
    <xf numFmtId="37" fontId="0" fillId="35" borderId="0" xfId="0" applyNumberFormat="1" applyFill="1"/>
    <xf numFmtId="165" fontId="23" fillId="35" borderId="12" xfId="0" applyNumberFormat="1" applyFont="1" applyFill="1" applyBorder="1" applyAlignment="1">
      <alignment horizontal="right"/>
    </xf>
    <xf numFmtId="0" fontId="24" fillId="0" borderId="0" xfId="0" applyFont="1"/>
    <xf numFmtId="0" fontId="24" fillId="0" borderId="0" xfId="0" applyFont="1" applyAlignment="1">
      <alignment horizontal="center" vertical="center" wrapText="1"/>
    </xf>
    <xf numFmtId="0" fontId="20" fillId="0" borderId="0" xfId="0" applyFont="1" applyAlignment="1">
      <alignment vertical="top"/>
    </xf>
    <xf numFmtId="0" fontId="20" fillId="0" borderId="0" xfId="0" applyFont="1" applyAlignment="1">
      <alignment vertical="top" wrapText="1"/>
    </xf>
    <xf numFmtId="175" fontId="29" fillId="0" borderId="0" xfId="0" applyNumberFormat="1" applyFont="1" applyAlignment="1">
      <alignment horizontal="right" vertical="top"/>
    </xf>
    <xf numFmtId="177" fontId="0" fillId="0" borderId="0" xfId="0" applyNumberFormat="1" applyAlignment="1">
      <alignment horizontal="right" indent="2"/>
    </xf>
    <xf numFmtId="0" fontId="42" fillId="33" borderId="0" xfId="0" applyFont="1" applyFill="1" applyAlignment="1">
      <alignment horizontal="left" vertical="center"/>
    </xf>
    <xf numFmtId="0" fontId="42" fillId="33" borderId="0" xfId="0" applyFont="1" applyFill="1" applyAlignment="1">
      <alignment horizontal="left" vertical="center" wrapText="1"/>
    </xf>
    <xf numFmtId="0" fontId="24" fillId="33" borderId="0" xfId="0" applyFont="1" applyFill="1" applyAlignment="1">
      <alignment horizontal="center"/>
    </xf>
    <xf numFmtId="0" fontId="24" fillId="33" borderId="0" xfId="0" applyFont="1" applyFill="1" applyAlignment="1">
      <alignment horizontal="centerContinuous" vertical="center" wrapText="1"/>
    </xf>
    <xf numFmtId="0" fontId="24" fillId="33" borderId="0" xfId="0" applyFont="1" applyFill="1" applyAlignment="1">
      <alignment horizontal="center" vertical="center" wrapText="1"/>
    </xf>
    <xf numFmtId="0" fontId="24" fillId="33" borderId="0" xfId="0" applyFont="1" applyFill="1" applyAlignment="1">
      <alignment horizontal="left"/>
    </xf>
    <xf numFmtId="0" fontId="24" fillId="33" borderId="22" xfId="0" applyFont="1" applyFill="1" applyBorder="1" applyAlignment="1">
      <alignment horizontal="center" vertical="center" wrapText="1"/>
    </xf>
    <xf numFmtId="0" fontId="0" fillId="0" borderId="24" xfId="0" applyBorder="1" applyAlignment="1">
      <alignment horizontal="left" indent="1"/>
    </xf>
    <xf numFmtId="165" fontId="0" fillId="35" borderId="15" xfId="0" applyNumberFormat="1" applyFill="1" applyBorder="1"/>
    <xf numFmtId="177" fontId="0" fillId="35" borderId="16" xfId="0" applyNumberFormat="1" applyFill="1" applyBorder="1" applyAlignment="1">
      <alignment horizontal="right" indent="2"/>
    </xf>
    <xf numFmtId="164" fontId="0" fillId="35" borderId="0" xfId="0" applyNumberFormat="1" applyFill="1"/>
    <xf numFmtId="177" fontId="0" fillId="35" borderId="14" xfId="0" applyNumberFormat="1" applyFill="1" applyBorder="1" applyAlignment="1">
      <alignment horizontal="right" indent="2"/>
    </xf>
    <xf numFmtId="164" fontId="0" fillId="35" borderId="26" xfId="0" applyNumberFormat="1" applyFill="1" applyBorder="1"/>
    <xf numFmtId="177" fontId="0" fillId="35" borderId="27" xfId="0" applyNumberFormat="1" applyFill="1" applyBorder="1" applyAlignment="1">
      <alignment horizontal="right" indent="2"/>
    </xf>
    <xf numFmtId="165" fontId="29" fillId="36" borderId="28" xfId="0" applyNumberFormat="1" applyFont="1" applyFill="1" applyBorder="1" applyAlignment="1">
      <alignment horizontal="right" vertical="top"/>
    </xf>
    <xf numFmtId="164" fontId="29" fillId="36" borderId="28" xfId="0" applyNumberFormat="1" applyFont="1" applyFill="1" applyBorder="1" applyAlignment="1">
      <alignment horizontal="right" vertical="top"/>
    </xf>
    <xf numFmtId="177" fontId="0" fillId="35" borderId="28" xfId="0" applyNumberFormat="1" applyFill="1" applyBorder="1" applyAlignment="1">
      <alignment horizontal="right" indent="2"/>
    </xf>
    <xf numFmtId="0" fontId="25" fillId="36" borderId="28" xfId="0" applyFont="1" applyFill="1" applyBorder="1" applyAlignment="1">
      <alignment horizontal="center" vertical="top" wrapText="1"/>
    </xf>
    <xf numFmtId="0" fontId="23" fillId="0" borderId="0" xfId="0" applyFont="1" applyAlignment="1">
      <alignment horizontal="center" vertical="top" wrapText="1"/>
    </xf>
    <xf numFmtId="169" fontId="27" fillId="39" borderId="0" xfId="0" applyNumberFormat="1" applyFont="1" applyFill="1" applyAlignment="1">
      <alignment horizontal="center" vertical="top" wrapText="1"/>
    </xf>
    <xf numFmtId="0" fontId="25" fillId="36" borderId="28" xfId="0" applyFont="1" applyFill="1" applyBorder="1" applyAlignment="1">
      <alignment horizontal="left" indent="1" shrinkToFit="1"/>
    </xf>
    <xf numFmtId="0" fontId="20" fillId="0" borderId="0" xfId="0" applyFont="1" applyAlignment="1">
      <alignment horizontal="left" indent="1"/>
    </xf>
    <xf numFmtId="169" fontId="27" fillId="39" borderId="0" xfId="0" applyNumberFormat="1" applyFont="1" applyFill="1" applyAlignment="1">
      <alignment horizontal="left" indent="1"/>
    </xf>
    <xf numFmtId="37" fontId="0" fillId="35" borderId="12" xfId="0" applyNumberFormat="1" applyFill="1" applyBorder="1"/>
    <xf numFmtId="5" fontId="0" fillId="35" borderId="12" xfId="0" applyNumberFormat="1" applyFill="1" applyBorder="1"/>
    <xf numFmtId="5" fontId="34" fillId="35" borderId="0" xfId="0" applyNumberFormat="1" applyFont="1" applyFill="1"/>
    <xf numFmtId="0" fontId="25" fillId="36" borderId="20" xfId="0" applyFont="1" applyFill="1" applyBorder="1" applyAlignment="1">
      <alignment horizontal="center"/>
    </xf>
    <xf numFmtId="0" fontId="41" fillId="34" borderId="29" xfId="0" applyFont="1" applyFill="1" applyBorder="1" applyAlignment="1">
      <alignment horizontal="center"/>
    </xf>
    <xf numFmtId="0" fontId="25" fillId="34" borderId="30" xfId="0" applyFont="1" applyFill="1" applyBorder="1" applyAlignment="1">
      <alignment horizontal="center"/>
    </xf>
    <xf numFmtId="37" fontId="29" fillId="0" borderId="0" xfId="52" applyNumberFormat="1" applyFont="1" applyBorder="1"/>
    <xf numFmtId="6" fontId="29" fillId="0" borderId="31" xfId="0" applyNumberFormat="1" applyFont="1" applyBorder="1"/>
    <xf numFmtId="37" fontId="29" fillId="0" borderId="32" xfId="52" applyNumberFormat="1" applyFont="1" applyBorder="1"/>
    <xf numFmtId="37" fontId="0" fillId="0" borderId="31" xfId="52" applyNumberFormat="1" applyFont="1" applyBorder="1"/>
    <xf numFmtId="37" fontId="19" fillId="0" borderId="31" xfId="0" applyNumberFormat="1" applyFont="1" applyBorder="1"/>
    <xf numFmtId="37" fontId="0" fillId="0" borderId="31" xfId="0" applyNumberFormat="1" applyBorder="1"/>
    <xf numFmtId="5" fontId="25" fillId="0" borderId="31" xfId="0" applyNumberFormat="1" applyFont="1" applyBorder="1"/>
    <xf numFmtId="37" fontId="25" fillId="0" borderId="31" xfId="0" applyNumberFormat="1" applyFont="1" applyBorder="1"/>
    <xf numFmtId="5" fontId="20" fillId="0" borderId="33" xfId="0" applyNumberFormat="1" applyFont="1" applyBorder="1" applyAlignment="1">
      <alignment horizontal="right"/>
    </xf>
    <xf numFmtId="164" fontId="0" fillId="0" borderId="31" xfId="0" applyNumberFormat="1" applyBorder="1"/>
    <xf numFmtId="0" fontId="0" fillId="0" borderId="31" xfId="0" applyBorder="1"/>
    <xf numFmtId="5" fontId="20" fillId="0" borderId="33" xfId="0" applyNumberFormat="1" applyFont="1" applyBorder="1"/>
    <xf numFmtId="5" fontId="0" fillId="0" borderId="31" xfId="0" applyNumberFormat="1" applyBorder="1"/>
    <xf numFmtId="5" fontId="33" fillId="0" borderId="31" xfId="0" applyNumberFormat="1" applyFont="1" applyBorder="1"/>
    <xf numFmtId="169" fontId="0" fillId="0" borderId="31" xfId="0" applyNumberFormat="1" applyBorder="1"/>
    <xf numFmtId="0" fontId="19" fillId="0" borderId="31" xfId="0" applyFont="1" applyBorder="1"/>
    <xf numFmtId="169" fontId="19" fillId="0" borderId="31" xfId="0" applyNumberFormat="1" applyFont="1" applyBorder="1"/>
    <xf numFmtId="0" fontId="0" fillId="0" borderId="12" xfId="0" applyBorder="1" applyAlignment="1">
      <alignment vertical="top"/>
    </xf>
    <xf numFmtId="0" fontId="0" fillId="0" borderId="12" xfId="0" applyBorder="1" applyAlignment="1">
      <alignment vertical="top" wrapText="1"/>
    </xf>
    <xf numFmtId="169" fontId="29" fillId="0" borderId="12" xfId="0" applyNumberFormat="1" applyFont="1" applyBorder="1" applyAlignment="1">
      <alignment horizontal="right" vertical="top"/>
    </xf>
    <xf numFmtId="169" fontId="0" fillId="0" borderId="12" xfId="53" applyNumberFormat="1" applyFont="1" applyBorder="1" applyAlignment="1">
      <alignment horizontal="right" vertical="top"/>
    </xf>
    <xf numFmtId="169" fontId="0" fillId="0" borderId="33" xfId="53" applyNumberFormat="1" applyFont="1" applyBorder="1" applyAlignment="1">
      <alignment horizontal="right" vertical="top"/>
    </xf>
    <xf numFmtId="169" fontId="0" fillId="0" borderId="12" xfId="53" applyNumberFormat="1" applyFont="1" applyBorder="1"/>
    <xf numFmtId="169" fontId="0" fillId="0" borderId="12" xfId="0" applyNumberFormat="1" applyBorder="1" applyAlignment="1">
      <alignment horizontal="right" vertical="top"/>
    </xf>
    <xf numFmtId="164" fontId="19" fillId="0" borderId="31" xfId="0" applyNumberFormat="1" applyFont="1" applyBorder="1"/>
    <xf numFmtId="169" fontId="19" fillId="0" borderId="31" xfId="53" applyNumberFormat="1" applyFont="1" applyBorder="1"/>
    <xf numFmtId="175" fontId="19" fillId="0" borderId="31" xfId="0" applyNumberFormat="1" applyFont="1" applyBorder="1"/>
    <xf numFmtId="164" fontId="0" fillId="35" borderId="28" xfId="0" applyNumberFormat="1" applyFill="1" applyBorder="1" applyAlignment="1">
      <alignment horizontal="right"/>
    </xf>
    <xf numFmtId="165" fontId="0" fillId="35" borderId="28" xfId="0" applyNumberFormat="1" applyFill="1" applyBorder="1" applyAlignment="1">
      <alignment horizontal="right"/>
    </xf>
    <xf numFmtId="165" fontId="29" fillId="39" borderId="0" xfId="0" applyNumberFormat="1" applyFont="1" applyFill="1" applyAlignment="1">
      <alignment vertical="center"/>
    </xf>
    <xf numFmtId="165" fontId="27" fillId="39" borderId="0" xfId="0" applyNumberFormat="1" applyFont="1" applyFill="1" applyAlignment="1">
      <alignment vertical="center"/>
    </xf>
    <xf numFmtId="165" fontId="0" fillId="39" borderId="0" xfId="0" applyNumberFormat="1" applyFill="1" applyAlignment="1">
      <alignment vertical="center"/>
    </xf>
    <xf numFmtId="165" fontId="20" fillId="35" borderId="0" xfId="0" applyNumberFormat="1" applyFont="1" applyFill="1"/>
    <xf numFmtId="165" fontId="34" fillId="35" borderId="12" xfId="0" applyNumberFormat="1" applyFont="1" applyFill="1" applyBorder="1"/>
    <xf numFmtId="181" fontId="0" fillId="35" borderId="28" xfId="0" applyNumberFormat="1" applyFill="1" applyBorder="1" applyAlignment="1">
      <alignment horizontal="right" indent="2"/>
    </xf>
    <xf numFmtId="181" fontId="0" fillId="0" borderId="0" xfId="0" applyNumberFormat="1" applyAlignment="1">
      <alignment horizontal="right" indent="2"/>
    </xf>
    <xf numFmtId="181" fontId="0" fillId="35" borderId="15" xfId="0" applyNumberFormat="1" applyFill="1" applyBorder="1" applyAlignment="1">
      <alignment horizontal="right" indent="2"/>
    </xf>
    <xf numFmtId="181" fontId="0" fillId="35" borderId="0" xfId="0" applyNumberFormat="1" applyFill="1" applyAlignment="1">
      <alignment horizontal="right" indent="2"/>
    </xf>
    <xf numFmtId="181" fontId="0" fillId="35" borderId="26" xfId="0" applyNumberFormat="1" applyFill="1" applyBorder="1" applyAlignment="1">
      <alignment horizontal="right" indent="2"/>
    </xf>
    <xf numFmtId="165" fontId="29" fillId="39" borderId="0" xfId="0" applyNumberFormat="1" applyFont="1" applyFill="1" applyAlignment="1">
      <alignment horizontal="right" vertical="center"/>
    </xf>
    <xf numFmtId="181" fontId="0" fillId="39" borderId="0" xfId="0" applyNumberFormat="1" applyFill="1" applyAlignment="1">
      <alignment horizontal="right" vertical="center" indent="2"/>
    </xf>
    <xf numFmtId="177" fontId="0" fillId="39" borderId="0" xfId="0" applyNumberFormat="1" applyFill="1" applyAlignment="1">
      <alignment horizontal="right" vertical="center" indent="2"/>
    </xf>
    <xf numFmtId="169" fontId="29" fillId="36" borderId="12" xfId="53" applyNumberFormat="1" applyFont="1" applyFill="1" applyBorder="1"/>
    <xf numFmtId="169" fontId="30" fillId="0" borderId="0" xfId="0" applyNumberFormat="1" applyFont="1" applyAlignment="1">
      <alignment horizontal="right"/>
    </xf>
    <xf numFmtId="169" fontId="30" fillId="0" borderId="31" xfId="0" applyNumberFormat="1" applyFont="1" applyBorder="1" applyAlignment="1">
      <alignment horizontal="right"/>
    </xf>
    <xf numFmtId="165" fontId="0" fillId="0" borderId="31" xfId="0" applyNumberFormat="1" applyBorder="1"/>
    <xf numFmtId="165" fontId="0" fillId="0" borderId="12" xfId="0" applyNumberFormat="1" applyBorder="1"/>
    <xf numFmtId="165" fontId="0" fillId="0" borderId="33" xfId="0" applyNumberFormat="1" applyBorder="1"/>
    <xf numFmtId="166" fontId="20" fillId="0" borderId="0" xfId="0" applyNumberFormat="1" applyFont="1" applyProtection="1">
      <protection hidden="1"/>
    </xf>
    <xf numFmtId="166" fontId="20" fillId="0" borderId="31" xfId="0" applyNumberFormat="1" applyFont="1" applyBorder="1" applyProtection="1">
      <protection hidden="1"/>
    </xf>
    <xf numFmtId="39" fontId="30" fillId="0" borderId="0" xfId="0" applyNumberFormat="1" applyFont="1"/>
    <xf numFmtId="39" fontId="30" fillId="0" borderId="31" xfId="0" applyNumberFormat="1" applyFont="1" applyBorder="1"/>
    <xf numFmtId="0" fontId="20" fillId="0" borderId="0" xfId="0" applyFont="1" applyAlignment="1" applyProtection="1">
      <alignment horizontal="left" indent="1"/>
      <protection hidden="1"/>
    </xf>
    <xf numFmtId="0" fontId="43" fillId="0" borderId="0" xfId="0" applyFont="1" applyAlignment="1" applyProtection="1">
      <alignment horizontal="left" indent="2"/>
      <protection hidden="1"/>
    </xf>
    <xf numFmtId="0" fontId="0" fillId="0" borderId="0" xfId="0" quotePrefix="1" applyAlignment="1">
      <alignment horizontal="left" indent="1"/>
    </xf>
    <xf numFmtId="5" fontId="27" fillId="37" borderId="0" xfId="0" applyNumberFormat="1" applyFont="1" applyFill="1"/>
    <xf numFmtId="0" fontId="44" fillId="0" borderId="0" xfId="0" applyFont="1"/>
    <xf numFmtId="0" fontId="0" fillId="0" borderId="0" xfId="0" applyAlignment="1">
      <alignment horizontal="right"/>
    </xf>
    <xf numFmtId="169" fontId="0" fillId="0" borderId="0" xfId="0" applyNumberFormat="1" applyAlignment="1">
      <alignment horizontal="center"/>
    </xf>
    <xf numFmtId="177" fontId="0" fillId="0" borderId="0" xfId="0" applyNumberFormat="1" applyAlignment="1">
      <alignment horizontal="centerContinuous"/>
    </xf>
    <xf numFmtId="177" fontId="20" fillId="0" borderId="0" xfId="0" applyNumberFormat="1" applyFont="1"/>
    <xf numFmtId="169" fontId="20" fillId="0" borderId="0" xfId="0" applyNumberFormat="1" applyFont="1"/>
    <xf numFmtId="164" fontId="20" fillId="0" borderId="0" xfId="0" applyNumberFormat="1" applyFont="1" applyProtection="1">
      <protection hidden="1"/>
    </xf>
    <xf numFmtId="178" fontId="27" fillId="0" borderId="0" xfId="0" applyNumberFormat="1" applyFont="1"/>
    <xf numFmtId="2" fontId="23" fillId="0" borderId="12" xfId="0" applyNumberFormat="1" applyFont="1" applyBorder="1" applyAlignment="1">
      <alignment horizontal="left" indent="1"/>
    </xf>
    <xf numFmtId="180" fontId="34" fillId="0" borderId="12" xfId="0" applyNumberFormat="1" applyFont="1" applyBorder="1" applyAlignment="1">
      <alignment horizontal="center"/>
    </xf>
    <xf numFmtId="179" fontId="34" fillId="0" borderId="12" xfId="0" applyNumberFormat="1" applyFont="1" applyBorder="1" applyAlignment="1">
      <alignment horizontal="center"/>
    </xf>
    <xf numFmtId="2" fontId="20" fillId="0" borderId="0" xfId="0" applyNumberFormat="1" applyFont="1"/>
    <xf numFmtId="0" fontId="0" fillId="0" borderId="15" xfId="0" applyBorder="1" applyAlignment="1">
      <alignment horizontal="left" indent="1"/>
    </xf>
    <xf numFmtId="0" fontId="0" fillId="0" borderId="15" xfId="0" applyBorder="1"/>
    <xf numFmtId="0" fontId="34" fillId="0" borderId="21" xfId="0" applyFont="1" applyBorder="1" applyAlignment="1">
      <alignment horizontal="center" vertical="center"/>
    </xf>
    <xf numFmtId="0" fontId="34" fillId="0" borderId="0" xfId="0" applyFont="1" applyAlignment="1">
      <alignment horizontal="center" vertical="center"/>
    </xf>
    <xf numFmtId="0" fontId="24" fillId="40" borderId="0" xfId="0" applyFont="1" applyFill="1"/>
    <xf numFmtId="0" fontId="24" fillId="40" borderId="0" xfId="0" applyFont="1" applyFill="1" applyAlignment="1">
      <alignment horizontal="center"/>
    </xf>
    <xf numFmtId="169" fontId="27" fillId="37" borderId="13" xfId="0" applyNumberFormat="1" applyFont="1" applyFill="1" applyBorder="1"/>
    <xf numFmtId="179" fontId="23" fillId="35" borderId="36" xfId="0" applyNumberFormat="1" applyFont="1" applyFill="1" applyBorder="1"/>
    <xf numFmtId="179" fontId="25" fillId="36" borderId="13" xfId="0" applyNumberFormat="1" applyFont="1" applyFill="1" applyBorder="1"/>
    <xf numFmtId="0" fontId="34" fillId="0" borderId="13" xfId="0" applyFont="1" applyBorder="1" applyAlignment="1">
      <alignment horizontal="center"/>
    </xf>
    <xf numFmtId="179" fontId="20" fillId="35" borderId="37" xfId="0" applyNumberFormat="1" applyFont="1" applyFill="1" applyBorder="1"/>
    <xf numFmtId="179" fontId="0" fillId="0" borderId="34" xfId="0" applyNumberFormat="1" applyBorder="1" applyAlignment="1">
      <alignment horizontal="right"/>
    </xf>
    <xf numFmtId="179" fontId="34" fillId="0" borderId="35" xfId="0" applyNumberFormat="1" applyFont="1" applyBorder="1" applyAlignment="1">
      <alignment horizontal="right"/>
    </xf>
    <xf numFmtId="165" fontId="23" fillId="35" borderId="36" xfId="0" applyNumberFormat="1" applyFont="1" applyFill="1" applyBorder="1"/>
    <xf numFmtId="165" fontId="0" fillId="35" borderId="0" xfId="0" applyNumberFormat="1" applyFill="1"/>
    <xf numFmtId="0" fontId="0" fillId="0" borderId="23" xfId="0" applyBorder="1"/>
    <xf numFmtId="0" fontId="0" fillId="0" borderId="25" xfId="0" applyBorder="1"/>
    <xf numFmtId="164" fontId="0" fillId="35" borderId="15" xfId="0" applyNumberFormat="1" applyFill="1" applyBorder="1"/>
    <xf numFmtId="180" fontId="25" fillId="36" borderId="20" xfId="0" applyNumberFormat="1" applyFont="1" applyFill="1" applyBorder="1" applyAlignment="1">
      <alignment horizontal="center"/>
    </xf>
    <xf numFmtId="0" fontId="45" fillId="0" borderId="0" xfId="0" applyFont="1"/>
    <xf numFmtId="0" fontId="46" fillId="0" borderId="0" xfId="0" applyFont="1"/>
    <xf numFmtId="0" fontId="24" fillId="33" borderId="0" xfId="0" applyFont="1" applyFill="1" applyAlignment="1">
      <alignment horizontal="center" vertical="center"/>
    </xf>
    <xf numFmtId="0" fontId="0" fillId="35" borderId="0" xfId="0" applyFill="1"/>
    <xf numFmtId="0" fontId="47" fillId="0" borderId="0" xfId="0" applyFont="1"/>
    <xf numFmtId="0" fontId="1" fillId="41" borderId="38" xfId="0" applyFont="1" applyFill="1" applyBorder="1"/>
    <xf numFmtId="0" fontId="0" fillId="41" borderId="38" xfId="0" applyFill="1" applyBorder="1"/>
    <xf numFmtId="0" fontId="45" fillId="0" borderId="0" xfId="0" applyFont="1" applyAlignment="1">
      <alignment horizontal="right"/>
    </xf>
    <xf numFmtId="0" fontId="48" fillId="0" borderId="0" xfId="0" applyFont="1"/>
    <xf numFmtId="0" fontId="0" fillId="0" borderId="0" xfId="0" quotePrefix="1"/>
    <xf numFmtId="0" fontId="48" fillId="0" borderId="0" xfId="0" quotePrefix="1" applyFont="1"/>
    <xf numFmtId="169" fontId="29" fillId="36" borderId="0" xfId="53" quotePrefix="1" applyNumberFormat="1" applyFont="1" applyFill="1"/>
    <xf numFmtId="5" fontId="20" fillId="35" borderId="0" xfId="0" applyNumberFormat="1" applyFont="1" applyFill="1" applyAlignment="1">
      <alignment horizontal="right"/>
    </xf>
    <xf numFmtId="37" fontId="20" fillId="35" borderId="0" xfId="0" applyNumberFormat="1" applyFont="1" applyFill="1" applyAlignment="1">
      <alignment horizontal="right"/>
    </xf>
    <xf numFmtId="5" fontId="23" fillId="35" borderId="12" xfId="0" applyNumberFormat="1" applyFont="1" applyFill="1" applyBorder="1" applyAlignment="1">
      <alignment horizontal="right"/>
    </xf>
    <xf numFmtId="37" fontId="20" fillId="0" borderId="0" xfId="0" applyNumberFormat="1" applyFont="1" applyProtection="1">
      <protection hidden="1"/>
    </xf>
    <xf numFmtId="37" fontId="20" fillId="0" borderId="0" xfId="0" applyNumberFormat="1" applyFont="1" applyAlignment="1">
      <alignment horizontal="right"/>
    </xf>
    <xf numFmtId="37" fontId="23" fillId="35" borderId="12" xfId="0" applyNumberFormat="1" applyFont="1" applyFill="1" applyBorder="1" applyAlignment="1">
      <alignment horizontal="right"/>
    </xf>
    <xf numFmtId="169" fontId="0" fillId="41" borderId="0" xfId="0" applyNumberFormat="1" applyFill="1"/>
    <xf numFmtId="0" fontId="23" fillId="42" borderId="44" xfId="0" applyFont="1" applyFill="1" applyBorder="1" applyAlignment="1">
      <alignment horizontal="center" wrapText="1"/>
    </xf>
    <xf numFmtId="0" fontId="51" fillId="0" borderId="0" xfId="0" applyFont="1"/>
    <xf numFmtId="10" fontId="20" fillId="0" borderId="0" xfId="0" applyNumberFormat="1" applyFont="1"/>
    <xf numFmtId="10" fontId="0" fillId="0" borderId="0" xfId="0" applyNumberFormat="1"/>
    <xf numFmtId="10" fontId="0" fillId="0" borderId="0" xfId="53" applyNumberFormat="1" applyFont="1" applyAlignment="1">
      <alignment horizontal="right"/>
    </xf>
    <xf numFmtId="8" fontId="20" fillId="0" borderId="0" xfId="0" applyNumberFormat="1" applyFont="1"/>
    <xf numFmtId="10" fontId="23" fillId="0" borderId="0" xfId="53" applyNumberFormat="1" applyFont="1" applyFill="1" applyBorder="1"/>
    <xf numFmtId="0" fontId="23" fillId="41" borderId="40" xfId="0" applyFont="1" applyFill="1" applyBorder="1"/>
    <xf numFmtId="0" fontId="23" fillId="41" borderId="41" xfId="0" applyFont="1" applyFill="1" applyBorder="1" applyAlignment="1">
      <alignment horizontal="center"/>
    </xf>
    <xf numFmtId="0" fontId="23" fillId="41" borderId="41" xfId="0" applyFont="1" applyFill="1" applyBorder="1" applyAlignment="1">
      <alignment horizontal="center" wrapText="1"/>
    </xf>
    <xf numFmtId="0" fontId="23" fillId="41" borderId="42" xfId="0" applyFont="1" applyFill="1" applyBorder="1" applyAlignment="1">
      <alignment horizontal="center" wrapText="1"/>
    </xf>
    <xf numFmtId="0" fontId="23" fillId="41" borderId="43" xfId="0" applyFont="1" applyFill="1" applyBorder="1" applyAlignment="1">
      <alignment horizontal="center" wrapText="1"/>
    </xf>
    <xf numFmtId="0" fontId="21" fillId="0" borderId="0" xfId="48" applyFill="1"/>
    <xf numFmtId="8" fontId="25" fillId="0" borderId="0" xfId="0" applyNumberFormat="1" applyFont="1"/>
    <xf numFmtId="183" fontId="0" fillId="0" borderId="0" xfId="0" applyNumberFormat="1"/>
    <xf numFmtId="0" fontId="23" fillId="41" borderId="0" xfId="0" applyFont="1" applyFill="1"/>
    <xf numFmtId="165" fontId="23" fillId="41" borderId="0" xfId="50" applyFont="1" applyFill="1" applyBorder="1"/>
    <xf numFmtId="0" fontId="52" fillId="0" borderId="39" xfId="0" applyFont="1" applyBorder="1" applyAlignment="1">
      <alignment horizontal="center" vertical="center"/>
    </xf>
    <xf numFmtId="0" fontId="52" fillId="0" borderId="39" xfId="0" quotePrefix="1" applyFont="1" applyBorder="1" applyAlignment="1">
      <alignment horizontal="center" vertical="center"/>
    </xf>
    <xf numFmtId="0" fontId="0" fillId="0" borderId="0" xfId="0" quotePrefix="1" applyAlignment="1">
      <alignment horizontal="left"/>
    </xf>
    <xf numFmtId="0" fontId="53" fillId="0" borderId="48" xfId="0" applyFont="1" applyBorder="1" applyAlignment="1">
      <alignment horizontal="left" vertical="center" wrapText="1"/>
    </xf>
    <xf numFmtId="165" fontId="20" fillId="0" borderId="39" xfId="50" applyFill="1" applyBorder="1" applyAlignment="1">
      <alignment horizontal="center"/>
    </xf>
    <xf numFmtId="182" fontId="20" fillId="0" borderId="39" xfId="52" applyNumberFormat="1" applyFont="1" applyFill="1" applyBorder="1"/>
    <xf numFmtId="182" fontId="20" fillId="0" borderId="46" xfId="52" applyNumberFormat="1" applyFont="1" applyFill="1" applyBorder="1"/>
    <xf numFmtId="182" fontId="20" fillId="0" borderId="49" xfId="52" applyNumberFormat="1" applyFont="1" applyFill="1" applyBorder="1"/>
    <xf numFmtId="182" fontId="23" fillId="0" borderId="51" xfId="52" applyNumberFormat="1" applyFont="1" applyFill="1" applyBorder="1"/>
    <xf numFmtId="0" fontId="23" fillId="0" borderId="0" xfId="0" applyFont="1" applyAlignment="1">
      <alignment horizontal="left"/>
    </xf>
    <xf numFmtId="0" fontId="20" fillId="0" borderId="0" xfId="0" quotePrefix="1" applyFont="1"/>
    <xf numFmtId="8" fontId="0" fillId="0" borderId="0" xfId="0" applyNumberFormat="1"/>
    <xf numFmtId="165" fontId="20" fillId="0" borderId="0" xfId="50" applyBorder="1"/>
    <xf numFmtId="0" fontId="0" fillId="0" borderId="0" xfId="0" applyAlignment="1">
      <alignment vertical="center"/>
    </xf>
    <xf numFmtId="10" fontId="25" fillId="0" borderId="0" xfId="0" applyNumberFormat="1" applyFont="1"/>
    <xf numFmtId="165" fontId="23" fillId="41" borderId="39" xfId="50" applyFont="1" applyFill="1" applyBorder="1" applyAlignment="1">
      <alignment horizontal="center"/>
    </xf>
    <xf numFmtId="0" fontId="24" fillId="33" borderId="0" xfId="0" applyFont="1" applyFill="1" applyAlignment="1">
      <alignment vertical="center"/>
    </xf>
    <xf numFmtId="0" fontId="24" fillId="0" borderId="0" xfId="0" applyFont="1" applyAlignment="1">
      <alignment vertical="center"/>
    </xf>
    <xf numFmtId="0" fontId="23" fillId="41" borderId="18" xfId="0" applyFont="1" applyFill="1" applyBorder="1" applyAlignment="1">
      <alignment vertical="center"/>
    </xf>
    <xf numFmtId="0" fontId="23" fillId="41" borderId="18" xfId="0" applyFont="1" applyFill="1" applyBorder="1" applyAlignment="1">
      <alignment horizontal="center" vertical="center" wrapText="1"/>
    </xf>
    <xf numFmtId="0" fontId="23" fillId="41" borderId="18" xfId="0" applyFont="1" applyFill="1" applyBorder="1" applyAlignment="1">
      <alignment horizontal="center" vertical="center"/>
    </xf>
    <xf numFmtId="165" fontId="20" fillId="0" borderId="0" xfId="50"/>
    <xf numFmtId="182" fontId="0" fillId="0" borderId="0" xfId="52" applyNumberFormat="1" applyFont="1"/>
    <xf numFmtId="182" fontId="0" fillId="0" borderId="18" xfId="52" applyNumberFormat="1" applyFont="1" applyBorder="1"/>
    <xf numFmtId="182" fontId="0" fillId="0" borderId="12" xfId="52" applyNumberFormat="1" applyFont="1" applyBorder="1"/>
    <xf numFmtId="185" fontId="0" fillId="0" borderId="0" xfId="0" applyNumberFormat="1"/>
    <xf numFmtId="182" fontId="0" fillId="0" borderId="0" xfId="0" applyNumberFormat="1"/>
    <xf numFmtId="182" fontId="0" fillId="0" borderId="12" xfId="0" applyNumberFormat="1" applyBorder="1"/>
    <xf numFmtId="182" fontId="0" fillId="0" borderId="18" xfId="0" applyNumberFormat="1" applyBorder="1"/>
    <xf numFmtId="186" fontId="0" fillId="0" borderId="0" xfId="53" applyNumberFormat="1" applyFont="1"/>
    <xf numFmtId="186" fontId="0" fillId="0" borderId="11" xfId="53" applyNumberFormat="1" applyFont="1" applyBorder="1"/>
    <xf numFmtId="186" fontId="0" fillId="0" borderId="18" xfId="53" applyNumberFormat="1" applyFont="1" applyBorder="1"/>
    <xf numFmtId="0" fontId="23" fillId="41" borderId="12" xfId="0" applyFont="1" applyFill="1" applyBorder="1" applyAlignment="1">
      <alignment vertical="center"/>
    </xf>
    <xf numFmtId="0" fontId="23" fillId="41" borderId="12" xfId="0" applyFont="1" applyFill="1" applyBorder="1" applyAlignment="1">
      <alignment horizontal="center" vertical="center" wrapText="1"/>
    </xf>
    <xf numFmtId="0" fontId="23" fillId="41" borderId="12" xfId="0" applyFont="1" applyFill="1" applyBorder="1" applyAlignment="1">
      <alignment horizontal="center" vertical="center"/>
    </xf>
    <xf numFmtId="0" fontId="25" fillId="0" borderId="0" xfId="0" applyFont="1"/>
    <xf numFmtId="9" fontId="0" fillId="0" borderId="12" xfId="0" applyNumberFormat="1" applyBorder="1" applyAlignment="1">
      <alignment horizontal="center"/>
    </xf>
    <xf numFmtId="185" fontId="0" fillId="0" borderId="12" xfId="0" applyNumberFormat="1" applyBorder="1" applyAlignment="1">
      <alignment horizontal="center"/>
    </xf>
    <xf numFmtId="0" fontId="0" fillId="0" borderId="11" xfId="0" applyBorder="1"/>
    <xf numFmtId="185" fontId="0" fillId="0" borderId="0" xfId="0" applyNumberFormat="1" applyAlignment="1">
      <alignment horizontal="center"/>
    </xf>
    <xf numFmtId="186" fontId="0" fillId="0" borderId="12" xfId="53" applyNumberFormat="1" applyFont="1" applyBorder="1"/>
    <xf numFmtId="185" fontId="25" fillId="34" borderId="10" xfId="0" applyNumberFormat="1" applyFont="1" applyFill="1" applyBorder="1" applyAlignment="1">
      <alignment horizontal="center"/>
    </xf>
    <xf numFmtId="0" fontId="34" fillId="0" borderId="49" xfId="0" applyFont="1" applyBorder="1"/>
    <xf numFmtId="182" fontId="34" fillId="0" borderId="52" xfId="52" applyNumberFormat="1" applyFont="1" applyBorder="1"/>
    <xf numFmtId="182" fontId="34" fillId="0" borderId="0" xfId="52" applyNumberFormat="1" applyFont="1" applyBorder="1"/>
    <xf numFmtId="174" fontId="24" fillId="33" borderId="0" xfId="0" quotePrefix="1" applyNumberFormat="1" applyFont="1" applyFill="1" applyAlignment="1">
      <alignment horizontal="center"/>
    </xf>
    <xf numFmtId="170" fontId="0" fillId="0" borderId="0" xfId="0" applyNumberFormat="1"/>
    <xf numFmtId="170" fontId="54" fillId="34" borderId="10" xfId="0" applyNumberFormat="1" applyFont="1" applyFill="1" applyBorder="1" applyAlignment="1">
      <alignment horizontal="center"/>
    </xf>
    <xf numFmtId="37" fontId="0" fillId="0" borderId="12" xfId="0" applyNumberFormat="1" applyBorder="1"/>
    <xf numFmtId="37" fontId="27" fillId="37" borderId="0" xfId="0" applyNumberFormat="1" applyFont="1" applyFill="1"/>
    <xf numFmtId="0" fontId="55" fillId="0" borderId="0" xfId="0" applyFont="1"/>
    <xf numFmtId="0" fontId="0" fillId="0" borderId="53" xfId="0" applyBorder="1"/>
    <xf numFmtId="6" fontId="27" fillId="37" borderId="53" xfId="0" applyNumberFormat="1" applyFont="1" applyFill="1" applyBorder="1"/>
    <xf numFmtId="37" fontId="27" fillId="37" borderId="47" xfId="52" applyNumberFormat="1" applyFont="1" applyFill="1" applyBorder="1"/>
    <xf numFmtId="37" fontId="20" fillId="35" borderId="53" xfId="52" applyNumberFormat="1" applyFont="1" applyFill="1" applyBorder="1"/>
    <xf numFmtId="169" fontId="30" fillId="35" borderId="53" xfId="0" applyNumberFormat="1" applyFont="1" applyFill="1" applyBorder="1"/>
    <xf numFmtId="37" fontId="0" fillId="0" borderId="53" xfId="0" applyNumberFormat="1" applyBorder="1"/>
    <xf numFmtId="37" fontId="0" fillId="0" borderId="54" xfId="0" applyNumberFormat="1" applyBorder="1"/>
    <xf numFmtId="37" fontId="20" fillId="35" borderId="47" xfId="52" applyNumberFormat="1" applyFont="1" applyFill="1" applyBorder="1"/>
    <xf numFmtId="37" fontId="27" fillId="37" borderId="53" xfId="0" applyNumberFormat="1" applyFont="1" applyFill="1" applyBorder="1" applyAlignment="1">
      <alignment horizontal="right"/>
    </xf>
    <xf numFmtId="37" fontId="27" fillId="37" borderId="53" xfId="0" applyNumberFormat="1" applyFont="1" applyFill="1" applyBorder="1"/>
    <xf numFmtId="0" fontId="24" fillId="33" borderId="56" xfId="0" applyFont="1" applyFill="1" applyBorder="1"/>
    <xf numFmtId="0" fontId="0" fillId="33" borderId="57" xfId="0" applyFill="1" applyBorder="1"/>
    <xf numFmtId="0" fontId="24" fillId="33" borderId="57" xfId="0" applyFont="1" applyFill="1" applyBorder="1" applyAlignment="1">
      <alignment horizontal="centerContinuous" vertical="center"/>
    </xf>
    <xf numFmtId="0" fontId="28" fillId="33" borderId="57" xfId="0" applyFont="1" applyFill="1" applyBorder="1" applyAlignment="1">
      <alignment horizontal="centerContinuous" vertical="center"/>
    </xf>
    <xf numFmtId="0" fontId="35" fillId="33" borderId="58" xfId="0" applyFont="1" applyFill="1" applyBorder="1"/>
    <xf numFmtId="0" fontId="0" fillId="33" borderId="59" xfId="0" applyFill="1" applyBorder="1"/>
    <xf numFmtId="174" fontId="24" fillId="33" borderId="59" xfId="0" applyNumberFormat="1" applyFont="1" applyFill="1" applyBorder="1" applyAlignment="1">
      <alignment horizontal="center"/>
    </xf>
    <xf numFmtId="174" fontId="24" fillId="33" borderId="55" xfId="0" applyNumberFormat="1" applyFont="1" applyFill="1" applyBorder="1" applyAlignment="1">
      <alignment horizontal="center"/>
    </xf>
    <xf numFmtId="174" fontId="24" fillId="33" borderId="44" xfId="0" applyNumberFormat="1" applyFont="1" applyFill="1" applyBorder="1" applyAlignment="1">
      <alignment horizontal="center"/>
    </xf>
    <xf numFmtId="10" fontId="0" fillId="0" borderId="0" xfId="53" applyNumberFormat="1" applyFont="1"/>
    <xf numFmtId="182" fontId="0" fillId="0" borderId="53" xfId="0" applyNumberFormat="1" applyBorder="1"/>
    <xf numFmtId="6" fontId="0" fillId="0" borderId="0" xfId="0" applyNumberFormat="1"/>
    <xf numFmtId="6" fontId="34" fillId="35" borderId="18" xfId="0" applyNumberFormat="1" applyFont="1" applyFill="1" applyBorder="1"/>
    <xf numFmtId="6" fontId="34" fillId="35" borderId="60" xfId="0" applyNumberFormat="1" applyFont="1" applyFill="1" applyBorder="1"/>
    <xf numFmtId="0" fontId="49" fillId="33" borderId="0" xfId="0" applyFont="1" applyFill="1" applyAlignment="1">
      <alignment vertical="center"/>
    </xf>
    <xf numFmtId="0" fontId="56" fillId="0" borderId="0" xfId="0" applyFont="1"/>
    <xf numFmtId="0" fontId="0" fillId="41" borderId="18" xfId="0" applyFill="1" applyBorder="1"/>
    <xf numFmtId="0" fontId="0" fillId="0" borderId="0" xfId="0" applyAlignment="1">
      <alignment horizontal="left" vertical="center"/>
    </xf>
    <xf numFmtId="0" fontId="56" fillId="0" borderId="0" xfId="0" applyFont="1" applyAlignment="1">
      <alignment horizontal="left"/>
    </xf>
    <xf numFmtId="0" fontId="34" fillId="0" borderId="0" xfId="0" applyFont="1" applyAlignment="1">
      <alignment horizontal="left"/>
    </xf>
    <xf numFmtId="0" fontId="0" fillId="0" borderId="61" xfId="0" applyBorder="1" applyAlignment="1">
      <alignment horizontal="center"/>
    </xf>
    <xf numFmtId="7" fontId="20" fillId="0" borderId="62" xfId="50" applyNumberFormat="1" applyBorder="1"/>
    <xf numFmtId="0" fontId="34" fillId="0" borderId="0" xfId="0" applyFont="1" applyAlignment="1">
      <alignment horizontal="right" vertical="center"/>
    </xf>
    <xf numFmtId="165" fontId="23" fillId="41" borderId="44" xfId="50" applyFont="1" applyFill="1" applyBorder="1" applyAlignment="1">
      <alignment horizontal="right" vertical="center"/>
    </xf>
    <xf numFmtId="7" fontId="23" fillId="41" borderId="18" xfId="0" applyNumberFormat="1" applyFont="1" applyFill="1" applyBorder="1" applyAlignment="1">
      <alignment horizontal="right"/>
    </xf>
    <xf numFmtId="7" fontId="23" fillId="41" borderId="44" xfId="50" applyNumberFormat="1" applyFont="1" applyFill="1" applyBorder="1"/>
    <xf numFmtId="0" fontId="49" fillId="33" borderId="65" xfId="0" applyFont="1" applyFill="1" applyBorder="1" applyAlignment="1">
      <alignment horizontal="center" vertical="center" wrapText="1"/>
    </xf>
    <xf numFmtId="0" fontId="49" fillId="33" borderId="12" xfId="0" applyFont="1" applyFill="1" applyBorder="1" applyAlignment="1">
      <alignment vertical="center"/>
    </xf>
    <xf numFmtId="0" fontId="49" fillId="33" borderId="66" xfId="0" applyFont="1" applyFill="1" applyBorder="1" applyAlignment="1">
      <alignment horizontal="center" vertical="center" wrapText="1"/>
    </xf>
    <xf numFmtId="0" fontId="0" fillId="41" borderId="67" xfId="0" applyFill="1" applyBorder="1" applyAlignment="1">
      <alignment horizontal="center"/>
    </xf>
    <xf numFmtId="7" fontId="20" fillId="41" borderId="64" xfId="50" applyNumberFormat="1" applyFill="1" applyBorder="1"/>
    <xf numFmtId="0" fontId="0" fillId="0" borderId="45" xfId="0" applyBorder="1" applyAlignment="1">
      <alignment horizontal="center"/>
    </xf>
    <xf numFmtId="7" fontId="20" fillId="0" borderId="68" xfId="50" applyNumberFormat="1" applyBorder="1"/>
    <xf numFmtId="0" fontId="0" fillId="0" borderId="48" xfId="0" applyBorder="1" applyAlignment="1">
      <alignment horizontal="center"/>
    </xf>
    <xf numFmtId="0" fontId="0" fillId="0" borderId="50" xfId="0" applyBorder="1"/>
    <xf numFmtId="7" fontId="20" fillId="0" borderId="69" xfId="50" applyNumberFormat="1" applyBorder="1"/>
    <xf numFmtId="0" fontId="0" fillId="0" borderId="63" xfId="0" applyBorder="1" applyAlignment="1">
      <alignment horizontal="center" vertical="center"/>
    </xf>
    <xf numFmtId="0" fontId="34" fillId="0" borderId="59" xfId="0" applyFont="1" applyBorder="1" applyAlignment="1">
      <alignment vertical="center"/>
    </xf>
    <xf numFmtId="7" fontId="23" fillId="41" borderId="44" xfId="50" applyNumberFormat="1" applyFont="1" applyFill="1" applyBorder="1" applyAlignment="1">
      <alignment vertical="center"/>
    </xf>
    <xf numFmtId="185" fontId="34" fillId="0" borderId="18" xfId="0" applyNumberFormat="1" applyFont="1" applyBorder="1" applyAlignment="1">
      <alignment horizontal="center"/>
    </xf>
    <xf numFmtId="183" fontId="0" fillId="0" borderId="0" xfId="0" applyNumberFormat="1" applyAlignment="1">
      <alignment horizontal="center"/>
    </xf>
    <xf numFmtId="37" fontId="34" fillId="0" borderId="54" xfId="0" applyNumberFormat="1" applyFont="1" applyBorder="1"/>
    <xf numFmtId="6" fontId="34" fillId="0" borderId="18" xfId="0" applyNumberFormat="1" applyFont="1" applyBorder="1"/>
    <xf numFmtId="6" fontId="34" fillId="0" borderId="60" xfId="0" applyNumberFormat="1" applyFont="1" applyBorder="1"/>
    <xf numFmtId="185" fontId="34" fillId="0" borderId="0" xfId="0" applyNumberFormat="1" applyFont="1"/>
    <xf numFmtId="182" fontId="34" fillId="0" borderId="18" xfId="0" applyNumberFormat="1" applyFont="1" applyBorder="1"/>
    <xf numFmtId="186" fontId="34" fillId="0" borderId="18" xfId="53" applyNumberFormat="1" applyFont="1" applyBorder="1"/>
    <xf numFmtId="184" fontId="25" fillId="34" borderId="10" xfId="52" applyNumberFormat="1" applyFont="1" applyFill="1" applyBorder="1" applyAlignment="1">
      <alignment horizontal="center"/>
    </xf>
    <xf numFmtId="184" fontId="20" fillId="34" borderId="10" xfId="52" applyNumberFormat="1" applyFont="1" applyFill="1" applyBorder="1" applyAlignment="1">
      <alignment horizontal="center"/>
    </xf>
    <xf numFmtId="164" fontId="20" fillId="36" borderId="0" xfId="0" applyNumberFormat="1" applyFont="1" applyFill="1" applyProtection="1">
      <protection hidden="1"/>
    </xf>
    <xf numFmtId="165" fontId="20" fillId="0" borderId="13" xfId="0" applyNumberFormat="1" applyFont="1" applyBorder="1"/>
    <xf numFmtId="164" fontId="20" fillId="0" borderId="13" xfId="0" applyNumberFormat="1" applyFont="1" applyBorder="1"/>
    <xf numFmtId="178" fontId="26" fillId="34" borderId="10" xfId="0" applyNumberFormat="1" applyFont="1" applyFill="1" applyBorder="1" applyAlignment="1">
      <alignment shrinkToFit="1"/>
    </xf>
    <xf numFmtId="2" fontId="0" fillId="41" borderId="18" xfId="0" applyNumberFormat="1" applyFill="1" applyBorder="1"/>
    <xf numFmtId="0" fontId="21" fillId="0" borderId="0" xfId="48" applyAlignment="1">
      <alignment vertical="center"/>
    </xf>
    <xf numFmtId="0" fontId="37" fillId="0" borderId="0" xfId="0" applyFont="1" applyAlignment="1">
      <alignment vertical="center"/>
    </xf>
    <xf numFmtId="0" fontId="0" fillId="33" borderId="0" xfId="0" applyFill="1" applyAlignment="1">
      <alignment vertical="center"/>
    </xf>
    <xf numFmtId="0" fontId="57" fillId="33" borderId="0" xfId="0" applyFont="1" applyFill="1" applyAlignment="1">
      <alignment horizontal="left" vertical="center"/>
    </xf>
    <xf numFmtId="165" fontId="0" fillId="36" borderId="13" xfId="0" applyNumberFormat="1" applyFill="1" applyBorder="1"/>
    <xf numFmtId="164" fontId="0" fillId="0" borderId="0" xfId="0" applyNumberFormat="1" applyAlignment="1">
      <alignment horizontal="right"/>
    </xf>
    <xf numFmtId="183" fontId="0" fillId="36" borderId="13" xfId="0" applyNumberFormat="1" applyFill="1" applyBorder="1"/>
    <xf numFmtId="183" fontId="25" fillId="36" borderId="13" xfId="0" applyNumberFormat="1" applyFont="1" applyFill="1" applyBorder="1"/>
    <xf numFmtId="0" fontId="24" fillId="33" borderId="31" xfId="0" applyFont="1" applyFill="1" applyBorder="1" applyAlignment="1">
      <alignment horizontal="centerContinuous" vertical="center"/>
    </xf>
    <xf numFmtId="173" fontId="24" fillId="33" borderId="31" xfId="0" quotePrefix="1" applyNumberFormat="1" applyFont="1" applyFill="1" applyBorder="1" applyAlignment="1">
      <alignment horizontal="center"/>
    </xf>
    <xf numFmtId="173" fontId="24" fillId="33" borderId="31" xfId="0" applyNumberFormat="1" applyFont="1" applyFill="1" applyBorder="1" applyAlignment="1">
      <alignment horizontal="center"/>
    </xf>
    <xf numFmtId="174" fontId="24" fillId="33" borderId="31" xfId="0" applyNumberFormat="1" applyFont="1" applyFill="1" applyBorder="1" applyAlignment="1">
      <alignment horizontal="center"/>
    </xf>
    <xf numFmtId="172" fontId="24" fillId="33" borderId="31" xfId="0" applyNumberFormat="1" applyFont="1" applyFill="1" applyBorder="1" applyAlignment="1">
      <alignment horizontal="center"/>
    </xf>
    <xf numFmtId="37" fontId="29" fillId="0" borderId="31" xfId="52" applyNumberFormat="1" applyFont="1" applyBorder="1"/>
    <xf numFmtId="9" fontId="0" fillId="0" borderId="0" xfId="0" applyNumberFormat="1"/>
    <xf numFmtId="186" fontId="34" fillId="43" borderId="44" xfId="0" applyNumberFormat="1" applyFont="1" applyFill="1" applyBorder="1"/>
    <xf numFmtId="43" fontId="0" fillId="0" borderId="0" xfId="0" applyNumberFormat="1"/>
    <xf numFmtId="186" fontId="34" fillId="0" borderId="0" xfId="53" applyNumberFormat="1" applyFont="1"/>
    <xf numFmtId="0" fontId="58" fillId="0" borderId="0" xfId="0" applyFont="1"/>
    <xf numFmtId="0" fontId="59" fillId="0" borderId="0" xfId="0" applyFont="1"/>
    <xf numFmtId="0" fontId="23" fillId="41" borderId="11" xfId="0" applyFont="1" applyFill="1" applyBorder="1" applyAlignment="1">
      <alignment horizontal="center"/>
    </xf>
    <xf numFmtId="0" fontId="0" fillId="41" borderId="11" xfId="0" applyFill="1" applyBorder="1" applyAlignment="1">
      <alignment horizontal="center"/>
    </xf>
    <xf numFmtId="0" fontId="0" fillId="0" borderId="11" xfId="0" applyBorder="1"/>
    <xf numFmtId="0" fontId="34" fillId="41" borderId="18" xfId="0" applyFont="1" applyFill="1" applyBorder="1" applyAlignment="1">
      <alignment horizontal="center"/>
    </xf>
    <xf numFmtId="0" fontId="60" fillId="0" borderId="0" xfId="0" applyFont="1"/>
  </cellXfs>
  <cellStyles count="55">
    <cellStyle name="1JZirpolo" xfId="48" xr:uid="{E287996B-41C3-48CC-AD39-328F4C8529B5}"/>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Comma" xfId="1" builtinId="3" hidden="1" customBuiltin="1"/>
    <cellStyle name="Comma" xfId="52" builtinId="3"/>
    <cellStyle name="Comma [0]" xfId="2" builtinId="6" hidden="1"/>
    <cellStyle name="Currency" xfId="3" builtinId="4" hidden="1" customBuiltin="1"/>
    <cellStyle name="Currency" xfId="50" xr:uid="{AF439D19-CE39-478C-81D9-C1F9D48F407A}"/>
    <cellStyle name="Currency [0]" xfId="4" builtinId="7" hidden="1"/>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Input" xfId="14" builtinId="20" hidden="1"/>
    <cellStyle name="Linked Cell" xfId="17" builtinId="24" hidden="1"/>
    <cellStyle name="Multiple" xfId="47" xr:uid="{220C824E-8CC3-4539-B3F9-63B27ABB762A}"/>
    <cellStyle name="Neutral" xfId="13" builtinId="28" hidden="1"/>
    <cellStyle name="Normal" xfId="0" builtinId="0" customBuiltin="1"/>
    <cellStyle name="Normal 2" xfId="54" xr:uid="{AF29D5D0-8B3F-44E0-88DD-CDA4A94F9393}"/>
    <cellStyle name="Note" xfId="20" builtinId="10" hidden="1"/>
    <cellStyle name="Number" xfId="49" xr:uid="{382D8188-A895-41B4-9400-0C1F85F8EE48}"/>
    <cellStyle name="Output" xfId="15" builtinId="21" hidden="1"/>
    <cellStyle name="Percent" xfId="5" builtinId="5" hidden="1" customBuiltin="1"/>
    <cellStyle name="Percent" xfId="53" builtinId="5"/>
    <cellStyle name="Percentage" xfId="51" xr:uid="{FFA33961-33EC-4910-8CB0-6520A9F3801D}"/>
    <cellStyle name="Title" xfId="6" builtinId="15" hidden="1"/>
    <cellStyle name="Total" xfId="22" builtinId="25" hidden="1"/>
    <cellStyle name="Warning Text" xfId="19" builtinId="11" hidden="1"/>
  </cellStyles>
  <dxfs count="32">
    <dxf>
      <font>
        <color theme="1"/>
      </font>
      <fill>
        <patternFill patternType="none">
          <bgColor auto="1"/>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theme="1"/>
      </font>
      <fill>
        <patternFill patternType="none">
          <bgColor auto="1"/>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fill>
        <patternFill patternType="solid">
          <bgColor theme="0" tint="-4.9989318521683403E-2"/>
        </patternFill>
      </fill>
    </dxf>
    <dxf>
      <font>
        <color theme="1"/>
      </font>
      <fill>
        <patternFill patternType="none">
          <bgColor auto="1"/>
        </patternFill>
      </fill>
    </dxf>
    <dxf>
      <font>
        <color theme="1"/>
      </font>
      <fill>
        <patternFill patternType="none">
          <bgColor auto="1"/>
        </patternFill>
      </fill>
    </dxf>
    <dxf>
      <font>
        <color theme="1"/>
      </font>
      <fill>
        <patternFill patternType="none">
          <bgColor auto="1"/>
        </patternFill>
      </fill>
    </dxf>
    <dxf>
      <font>
        <color theme="1"/>
      </font>
    </dxf>
    <dxf>
      <font>
        <color theme="1"/>
      </font>
      <fill>
        <patternFill patternType="none">
          <bgColor auto="1"/>
        </patternFill>
      </fill>
    </dxf>
    <dxf>
      <font>
        <color theme="1"/>
      </font>
      <fill>
        <patternFill patternType="none">
          <bgColor auto="1"/>
        </patternFill>
      </fill>
    </dxf>
    <dxf>
      <font>
        <color theme="1"/>
      </font>
      <fill>
        <patternFill patternType="solid">
          <bgColor theme="0" tint="-4.9989318521683403E-2"/>
        </patternFill>
      </fill>
    </dxf>
    <dxf>
      <font>
        <color theme="1"/>
      </font>
      <fill>
        <patternFill patternType="none">
          <bgColor auto="1"/>
        </patternFill>
      </fill>
    </dxf>
    <dxf>
      <font>
        <color theme="1"/>
      </font>
      <fill>
        <patternFill patternType="none">
          <bgColor auto="1"/>
        </patternFill>
      </fill>
    </dxf>
    <dxf>
      <font>
        <color theme="1"/>
      </font>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1"/>
      </font>
      <fill>
        <patternFill patternType="none">
          <bgColor auto="1"/>
        </patternFill>
      </fill>
    </dxf>
  </dxfs>
  <tableStyles count="0" defaultTableStyle="TableStyleMedium2" defaultPivotStyle="PivotStyleLight16"/>
  <colors>
    <mruColors>
      <color rgb="FF0000FF"/>
      <color rgb="FFECF4FA"/>
      <color rgb="FF660033"/>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457202</xdr:colOff>
      <xdr:row>5</xdr:row>
      <xdr:rowOff>28576</xdr:rowOff>
    </xdr:from>
    <xdr:to>
      <xdr:col>15</xdr:col>
      <xdr:colOff>123826</xdr:colOff>
      <xdr:row>18</xdr:row>
      <xdr:rowOff>9525</xdr:rowOff>
    </xdr:to>
    <xdr:sp macro="" textlink="">
      <xdr:nvSpPr>
        <xdr:cNvPr id="2" name="Rectangle 1">
          <a:extLst>
            <a:ext uri="{FF2B5EF4-FFF2-40B4-BE49-F238E27FC236}">
              <a16:creationId xmlns:a16="http://schemas.microsoft.com/office/drawing/2014/main" id="{AC0A2FB1-8F45-4DE1-A63F-B6901B12BC05}"/>
            </a:ext>
          </a:extLst>
        </xdr:cNvPr>
        <xdr:cNvSpPr>
          <a:spLocks noChangeArrowheads="1"/>
        </xdr:cNvSpPr>
      </xdr:nvSpPr>
      <xdr:spPr bwMode="auto">
        <a:xfrm>
          <a:off x="762002" y="1247776"/>
          <a:ext cx="7888604" cy="2160269"/>
        </a:xfrm>
        <a:prstGeom prst="rect">
          <a:avLst/>
        </a:prstGeom>
        <a:noFill/>
        <a:ln w="9525">
          <a:noFill/>
          <a:miter lim="800000"/>
          <a:headEnd/>
          <a:tailEnd/>
        </a:ln>
      </xdr:spPr>
      <xdr:txBody>
        <a:bodyPr wrap="square" lIns="99204" tIns="49604" rIns="99204" bIns="49604"/>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pPr marL="6350" indent="-6350" algn="ctr" defTabSz="992188">
            <a:lnSpc>
              <a:spcPct val="90000"/>
            </a:lnSpc>
            <a:spcBef>
              <a:spcPct val="20000"/>
            </a:spcBef>
            <a:buClr>
              <a:srgbClr val="2D4F2F"/>
            </a:buClr>
          </a:pPr>
          <a:r>
            <a:rPr lang="en-US" sz="1600" i="1">
              <a:latin typeface="Arial" panose="020B0604020202020204" pitchFamily="34" charset="0"/>
              <a:cs typeface="Arial" panose="020B0604020202020204" pitchFamily="34" charset="0"/>
            </a:rPr>
            <a:t>Oakwood Solutions, Inc. (“OSI”) owns legally and beneficially all of the Intellectual Property Rights in the contents of this publication.  This publication may not be reproduced, copied or redistributed, in whole or in part, in any format or by any means without OSI’s prior written consent.  </a:t>
          </a:r>
        </a:p>
        <a:p>
          <a:pPr marL="6350" indent="-6350" algn="ctr" defTabSz="992188">
            <a:lnSpc>
              <a:spcPct val="90000"/>
            </a:lnSpc>
            <a:spcBef>
              <a:spcPct val="20000"/>
            </a:spcBef>
            <a:buClr>
              <a:srgbClr val="2D4F2F"/>
            </a:buClr>
          </a:pPr>
          <a:endParaRPr lang="en-US" sz="900" i="1">
            <a:latin typeface="Arial" panose="020B0604020202020204" pitchFamily="34" charset="0"/>
            <a:cs typeface="Arial" panose="020B0604020202020204" pitchFamily="34" charset="0"/>
          </a:endParaRPr>
        </a:p>
        <a:p>
          <a:pPr marL="6350" indent="-6350" algn="ctr" defTabSz="992188">
            <a:lnSpc>
              <a:spcPct val="90000"/>
            </a:lnSpc>
            <a:spcBef>
              <a:spcPct val="20000"/>
            </a:spcBef>
            <a:buClr>
              <a:srgbClr val="2D4F2F"/>
            </a:buClr>
          </a:pPr>
          <a:r>
            <a:rPr lang="en-US" sz="1600" i="1">
              <a:latin typeface="Arial" panose="020B0604020202020204" pitchFamily="34" charset="0"/>
              <a:cs typeface="Arial" panose="020B0604020202020204" pitchFamily="34" charset="0"/>
            </a:rPr>
            <a:t>No OSI seminar, workshop, or other instructional activity may be recorded or transmitted in any format or by any means without OSI’s prior written consent.</a:t>
          </a:r>
        </a:p>
        <a:p>
          <a:pPr marL="6350" indent="-6350" algn="ctr" defTabSz="992188">
            <a:lnSpc>
              <a:spcPct val="90000"/>
            </a:lnSpc>
            <a:spcBef>
              <a:spcPct val="20000"/>
            </a:spcBef>
            <a:buClr>
              <a:srgbClr val="2D4F2F"/>
            </a:buClr>
          </a:pPr>
          <a:endParaRPr lang="en-US" sz="1000" i="1">
            <a:latin typeface="Arial" panose="020B0604020202020204" pitchFamily="34" charset="0"/>
            <a:cs typeface="Arial" panose="020B0604020202020204" pitchFamily="34" charset="0"/>
          </a:endParaRPr>
        </a:p>
        <a:p>
          <a:pPr marL="6350" indent="-6350" algn="ctr" defTabSz="992188">
            <a:lnSpc>
              <a:spcPct val="90000"/>
            </a:lnSpc>
            <a:spcBef>
              <a:spcPct val="20000"/>
            </a:spcBef>
            <a:buClr>
              <a:srgbClr val="2D4F2F"/>
            </a:buClr>
          </a:pPr>
          <a:r>
            <a:rPr lang="en-US" sz="1600" i="1">
              <a:latin typeface="Arial" panose="020B0604020202020204" pitchFamily="34" charset="0"/>
              <a:cs typeface="Arial" panose="020B0604020202020204" pitchFamily="34" charset="0"/>
            </a:rPr>
            <a:t>Please be advised that OSI will vigorously prosecute any unauthorized use.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784860</xdr:colOff>
      <xdr:row>4</xdr:row>
      <xdr:rowOff>190500</xdr:rowOff>
    </xdr:from>
    <xdr:to>
      <xdr:col>2</xdr:col>
      <xdr:colOff>541020</xdr:colOff>
      <xdr:row>4</xdr:row>
      <xdr:rowOff>190500</xdr:rowOff>
    </xdr:to>
    <xdr:sp macro="" textlink="">
      <xdr:nvSpPr>
        <xdr:cNvPr id="2" name="Line 14">
          <a:extLst>
            <a:ext uri="{FF2B5EF4-FFF2-40B4-BE49-F238E27FC236}">
              <a16:creationId xmlns:a16="http://schemas.microsoft.com/office/drawing/2014/main" id="{D2E84E69-67E0-477F-B2CA-EAC46712FFC0}"/>
            </a:ext>
          </a:extLst>
        </xdr:cNvPr>
        <xdr:cNvSpPr>
          <a:spLocks noChangeShapeType="1"/>
        </xdr:cNvSpPr>
      </xdr:nvSpPr>
      <xdr:spPr bwMode="auto">
        <a:xfrm>
          <a:off x="1511935" y="4267200"/>
          <a:ext cx="208978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Dev G" id="{8B5D5B66-B504-4F76-AA10-07E80ECBE538}" userId="b93a79b061ca53e7" providerId="Windows Liv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2" dT="2023-03-10T17:10:29.84" personId="{8B5D5B66-B504-4F76-AA10-07E80ECBE538}" id="{E00BD597-14EB-4C8A-AC3B-844A9E48BBD1}">
    <text>This number will change after inputting "Cash" on the DCF worksheet (E79)</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3DA7E-872C-4C38-827A-57568DEE4D7B}">
  <sheetPr codeName="Sheet1">
    <tabColor theme="3" tint="0.79998168889431442"/>
    <pageSetUpPr fitToPage="1"/>
  </sheetPr>
  <dimension ref="A1:S23"/>
  <sheetViews>
    <sheetView showGridLines="0" zoomScale="80" zoomScaleNormal="80" workbookViewId="0"/>
  </sheetViews>
  <sheetFormatPr defaultColWidth="0" defaultRowHeight="13.15" customHeight="1" zeroHeight="1"/>
  <cols>
    <col min="1" max="2" width="2.26953125" customWidth="1"/>
    <col min="3" max="16" width="9.26953125" customWidth="1"/>
    <col min="17" max="19" width="1.7265625" customWidth="1"/>
    <col min="20" max="16384" width="8.7265625" hidden="1"/>
  </cols>
  <sheetData>
    <row r="1" spans="1:19" ht="12.5">
      <c r="A1" s="215"/>
      <c r="B1" s="215"/>
      <c r="C1" s="215"/>
      <c r="D1" s="215"/>
      <c r="E1" s="215"/>
      <c r="F1" s="215"/>
      <c r="G1" s="215"/>
      <c r="H1" s="215"/>
      <c r="I1" s="215"/>
      <c r="J1" s="215"/>
      <c r="K1" s="215"/>
      <c r="L1" s="215"/>
      <c r="M1" s="215"/>
      <c r="N1" s="215"/>
      <c r="O1" s="215"/>
      <c r="P1" s="215"/>
      <c r="Q1" s="215"/>
      <c r="R1" s="215"/>
      <c r="S1" s="215"/>
    </row>
    <row r="2" spans="1:19" ht="12.5">
      <c r="A2" s="215"/>
      <c r="S2" s="215"/>
    </row>
    <row r="3" spans="1:19" ht="33" thickBot="1">
      <c r="A3" s="215"/>
      <c r="C3" s="216" t="s">
        <v>168</v>
      </c>
      <c r="Q3" s="219" t="s">
        <v>170</v>
      </c>
      <c r="S3" s="215"/>
    </row>
    <row r="4" spans="1:19" ht="22.5">
      <c r="A4" s="215"/>
      <c r="C4" s="217" t="s">
        <v>169</v>
      </c>
      <c r="D4" s="218"/>
      <c r="E4" s="218"/>
      <c r="F4" s="218"/>
      <c r="G4" s="218"/>
      <c r="H4" s="218"/>
      <c r="I4" s="218"/>
      <c r="J4" s="218"/>
      <c r="K4" s="218"/>
      <c r="L4" s="218"/>
      <c r="M4" s="218"/>
      <c r="N4" s="218"/>
      <c r="O4" s="218"/>
      <c r="P4" s="218"/>
      <c r="Q4" s="218"/>
      <c r="S4" s="215"/>
    </row>
    <row r="5" spans="1:19" ht="12.5">
      <c r="A5" s="215"/>
      <c r="S5" s="215"/>
    </row>
    <row r="6" spans="1:19" ht="12.5">
      <c r="A6" s="215"/>
      <c r="S6" s="215"/>
    </row>
    <row r="7" spans="1:19" ht="12.5">
      <c r="A7" s="215"/>
      <c r="S7" s="215"/>
    </row>
    <row r="8" spans="1:19" ht="12.5">
      <c r="A8" s="215"/>
      <c r="S8" s="215"/>
    </row>
    <row r="9" spans="1:19" ht="12.5">
      <c r="A9" s="215"/>
      <c r="S9" s="215"/>
    </row>
    <row r="10" spans="1:19" ht="12.5">
      <c r="A10" s="215"/>
      <c r="S10" s="215"/>
    </row>
    <row r="11" spans="1:19" ht="12.5">
      <c r="A11" s="215"/>
      <c r="S11" s="215"/>
    </row>
    <row r="12" spans="1:19" ht="12.5">
      <c r="A12" s="215"/>
      <c r="S12" s="215"/>
    </row>
    <row r="13" spans="1:19" ht="12.5">
      <c r="A13" s="215"/>
      <c r="S13" s="215"/>
    </row>
    <row r="14" spans="1:19" ht="12.5">
      <c r="A14" s="215"/>
      <c r="S14" s="215"/>
    </row>
    <row r="15" spans="1:19" ht="12.5">
      <c r="A15" s="215"/>
      <c r="S15" s="215"/>
    </row>
    <row r="16" spans="1:19" ht="12.5">
      <c r="A16" s="215"/>
      <c r="S16" s="215"/>
    </row>
    <row r="17" spans="1:19" ht="12.5">
      <c r="A17" s="215"/>
      <c r="S17" s="215"/>
    </row>
    <row r="18" spans="1:19" ht="12.5">
      <c r="A18" s="215"/>
      <c r="S18" s="215"/>
    </row>
    <row r="19" spans="1:19" ht="12.5">
      <c r="A19" s="215"/>
      <c r="S19" s="215"/>
    </row>
    <row r="20" spans="1:19" ht="12.5">
      <c r="A20" s="215"/>
      <c r="C20" s="194" t="str">
        <f ca="1">"COPYRIGHT "&amp;YEAR(NOW())&amp;" © by Oakwood Solutions, Inc."</f>
        <v>COPYRIGHT 2024 © by Oakwood Solutions, Inc.</v>
      </c>
      <c r="D20" s="194"/>
      <c r="E20" s="194"/>
      <c r="F20" s="194"/>
      <c r="G20" s="194"/>
      <c r="H20" s="194"/>
      <c r="I20" s="194"/>
      <c r="J20" s="194"/>
      <c r="K20" s="194"/>
      <c r="L20" s="194"/>
      <c r="M20" s="194"/>
      <c r="N20" s="194"/>
      <c r="O20" s="194"/>
      <c r="P20" s="194"/>
      <c r="Q20" s="194"/>
      <c r="S20" s="215"/>
    </row>
    <row r="21" spans="1:19" ht="12.5">
      <c r="A21" s="215"/>
      <c r="S21" s="215"/>
    </row>
    <row r="22" spans="1:19" ht="12.5">
      <c r="A22" s="215"/>
      <c r="B22" s="215"/>
      <c r="C22" s="215"/>
      <c r="D22" s="215"/>
      <c r="E22" s="215"/>
      <c r="F22" s="215"/>
      <c r="G22" s="215"/>
      <c r="H22" s="215"/>
      <c r="I22" s="215"/>
      <c r="J22" s="215"/>
      <c r="K22" s="215"/>
      <c r="L22" s="215"/>
      <c r="M22" s="215"/>
      <c r="N22" s="215"/>
      <c r="O22" s="215"/>
      <c r="P22" s="215"/>
      <c r="Q22" s="215"/>
      <c r="R22" s="215"/>
      <c r="S22" s="215"/>
    </row>
    <row r="23" spans="1:19" ht="12.5">
      <c r="A23" s="215"/>
      <c r="B23" s="215"/>
      <c r="C23" s="215"/>
      <c r="D23" s="215"/>
      <c r="E23" s="215"/>
      <c r="F23" s="215"/>
      <c r="G23" s="215"/>
      <c r="H23" s="215"/>
      <c r="I23" s="215"/>
      <c r="J23" s="215"/>
      <c r="K23" s="215"/>
      <c r="L23" s="215"/>
      <c r="M23" s="215"/>
      <c r="N23" s="215"/>
      <c r="O23" s="215"/>
      <c r="P23" s="215"/>
      <c r="Q23" s="215"/>
      <c r="R23" s="215"/>
      <c r="S23" s="215"/>
    </row>
  </sheetData>
  <printOptions horizontalCentered="1"/>
  <pageMargins left="0.45" right="0.45" top="0.75" bottom="0.75" header="0.3" footer="0.3"/>
  <pageSetup scale="94" orientation="landscape" r:id="rId1"/>
  <headerFooter>
    <oddFooter>&amp;L&amp;7Oakwood Solutions, Inc.&amp;C&amp;7Professor Zirpolo&amp;R&amp;7For Training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07367-8EF9-4DB2-A8F0-729E7BC36D29}">
  <sheetPr codeName="Sheet2">
    <tabColor rgb="FFFF0000"/>
    <pageSetUpPr fitToPage="1"/>
  </sheetPr>
  <dimension ref="A1:O113"/>
  <sheetViews>
    <sheetView showGridLines="0" tabSelected="1" zoomScaleNormal="100" workbookViewId="0">
      <selection activeCell="E67" sqref="E67"/>
    </sheetView>
  </sheetViews>
  <sheetFormatPr defaultRowHeight="12.5"/>
  <cols>
    <col min="1" max="1" width="1.7265625" style="61" customWidth="1"/>
    <col min="2" max="2" width="9.7265625" bestFit="1" customWidth="1"/>
    <col min="4" max="4" width="13.453125" customWidth="1"/>
    <col min="5" max="5" width="12.81640625" bestFit="1" customWidth="1"/>
    <col min="6" max="14" width="11.7265625" customWidth="1"/>
  </cols>
  <sheetData>
    <row r="1" spans="2:14" ht="25">
      <c r="B1" s="387" t="s">
        <v>2</v>
      </c>
    </row>
    <row r="3" spans="2:14" ht="13">
      <c r="B3" s="2" t="s">
        <v>0</v>
      </c>
      <c r="C3" s="2"/>
      <c r="D3" s="2"/>
      <c r="E3" s="2"/>
      <c r="F3" s="2"/>
      <c r="G3" s="2"/>
      <c r="H3" s="1"/>
      <c r="I3" s="2" t="s">
        <v>1</v>
      </c>
      <c r="J3" s="2"/>
      <c r="K3" s="2"/>
      <c r="M3" s="2" t="s">
        <v>74</v>
      </c>
      <c r="N3" s="2"/>
    </row>
    <row r="4" spans="2:14">
      <c r="B4" s="1"/>
      <c r="C4" s="1"/>
      <c r="D4" s="1"/>
      <c r="E4" s="1"/>
      <c r="F4" s="1"/>
      <c r="G4" s="1"/>
      <c r="H4" s="1"/>
      <c r="I4" s="1"/>
      <c r="J4" s="1"/>
      <c r="K4" s="1"/>
    </row>
    <row r="5" spans="2:14" ht="13">
      <c r="B5" s="1" t="s">
        <v>2</v>
      </c>
      <c r="C5" s="1"/>
      <c r="D5" s="1"/>
      <c r="E5" s="63"/>
      <c r="F5" s="1"/>
      <c r="G5" s="1"/>
      <c r="H5" s="1"/>
      <c r="I5" s="4">
        <v>1</v>
      </c>
      <c r="J5" s="1" t="s">
        <v>3</v>
      </c>
      <c r="K5" s="1"/>
      <c r="M5" s="76" t="s">
        <v>69</v>
      </c>
      <c r="N5" t="s">
        <v>73</v>
      </c>
    </row>
    <row r="6" spans="2:14">
      <c r="B6" s="1" t="s">
        <v>4</v>
      </c>
      <c r="C6" s="1"/>
      <c r="D6" s="1"/>
      <c r="E6" s="7"/>
      <c r="F6" s="1"/>
      <c r="H6" s="1"/>
      <c r="I6" s="4">
        <v>2</v>
      </c>
      <c r="J6" s="1" t="s">
        <v>5</v>
      </c>
      <c r="K6" s="1"/>
      <c r="M6" s="124" t="s">
        <v>132</v>
      </c>
      <c r="N6" t="s">
        <v>133</v>
      </c>
    </row>
    <row r="7" spans="2:14">
      <c r="B7" s="1" t="s">
        <v>8</v>
      </c>
      <c r="C7" s="1"/>
      <c r="D7" s="1"/>
      <c r="E7" s="8">
        <v>45473</v>
      </c>
      <c r="F7" s="1"/>
      <c r="H7" s="1"/>
      <c r="I7" s="4">
        <v>3</v>
      </c>
      <c r="J7" s="1" t="s">
        <v>7</v>
      </c>
      <c r="K7" s="1"/>
      <c r="M7" s="122" t="s">
        <v>71</v>
      </c>
      <c r="N7" t="s">
        <v>72</v>
      </c>
    </row>
    <row r="8" spans="2:14" ht="13.9" customHeight="1">
      <c r="B8" s="1" t="s">
        <v>6</v>
      </c>
      <c r="C8" s="1"/>
      <c r="D8" s="1"/>
      <c r="E8" s="9"/>
      <c r="F8" s="1"/>
      <c r="H8" s="1"/>
      <c r="K8" s="1"/>
    </row>
    <row r="9" spans="2:14" ht="13">
      <c r="B9" s="6" t="s">
        <v>12</v>
      </c>
      <c r="E9" s="8"/>
      <c r="F9" s="1"/>
      <c r="H9" s="1"/>
      <c r="I9" s="58" t="s">
        <v>1</v>
      </c>
      <c r="J9" s="1"/>
      <c r="K9" s="1"/>
      <c r="M9" t="s">
        <v>161</v>
      </c>
    </row>
    <row r="10" spans="2:14" ht="13">
      <c r="B10" s="1" t="s">
        <v>11</v>
      </c>
      <c r="C10" s="1"/>
      <c r="D10" s="1"/>
      <c r="E10" s="361"/>
      <c r="F10" s="1" t="s">
        <v>311</v>
      </c>
      <c r="H10" s="1"/>
      <c r="I10" s="123">
        <v>2</v>
      </c>
      <c r="J10" s="1" t="str">
        <f>CHOOSE($I$10, J5, J6, J7)</f>
        <v>Base Case</v>
      </c>
      <c r="K10" s="1"/>
    </row>
    <row r="11" spans="2:14">
      <c r="B11" s="1" t="s">
        <v>9</v>
      </c>
      <c r="C11" s="1"/>
      <c r="D11" s="1"/>
      <c r="E11" s="7"/>
      <c r="F11" s="59" t="s">
        <v>50</v>
      </c>
      <c r="H11" s="1"/>
      <c r="I11" s="60" t="s">
        <v>52</v>
      </c>
      <c r="J11" s="1"/>
      <c r="K11" s="1"/>
    </row>
    <row r="12" spans="2:14">
      <c r="B12" s="1" t="s">
        <v>10</v>
      </c>
      <c r="C12" s="1"/>
      <c r="D12" s="1"/>
      <c r="E12" s="10">
        <v>0.22</v>
      </c>
      <c r="F12" s="59" t="s">
        <v>51</v>
      </c>
    </row>
    <row r="13" spans="2:14">
      <c r="B13" s="1"/>
      <c r="C13" s="1"/>
      <c r="D13" s="1"/>
      <c r="E13" s="1"/>
      <c r="F13" s="1"/>
    </row>
    <row r="14" spans="2:14">
      <c r="B14" t="s">
        <v>96</v>
      </c>
      <c r="E14" s="356"/>
      <c r="F14" s="59"/>
    </row>
    <row r="15" spans="2:14">
      <c r="B15" s="283" t="s">
        <v>152</v>
      </c>
      <c r="C15" s="1"/>
      <c r="D15" s="1"/>
      <c r="E15" s="356"/>
      <c r="F15" s="59"/>
    </row>
    <row r="16" spans="2:14">
      <c r="B16" s="283" t="s">
        <v>167</v>
      </c>
      <c r="C16" s="1"/>
      <c r="D16" s="1"/>
      <c r="E16" s="356"/>
    </row>
    <row r="17" spans="1:15">
      <c r="B17" s="283" t="s">
        <v>166</v>
      </c>
      <c r="E17" s="356"/>
    </row>
    <row r="18" spans="1:15">
      <c r="B18" t="s">
        <v>103</v>
      </c>
      <c r="E18" s="357">
        <f>SUM(E15:E17)</f>
        <v>0</v>
      </c>
    </row>
    <row r="19" spans="1:15">
      <c r="B19" t="s">
        <v>310</v>
      </c>
      <c r="E19" s="356"/>
    </row>
    <row r="20" spans="1:15">
      <c r="B20" s="192" t="s">
        <v>155</v>
      </c>
      <c r="E20" s="356"/>
    </row>
    <row r="23" spans="1:15" ht="18">
      <c r="B23" s="212">
        <f>$E$5</f>
        <v>0</v>
      </c>
      <c r="C23" s="1"/>
      <c r="D23" s="1"/>
      <c r="E23" s="1"/>
      <c r="F23" s="1"/>
      <c r="G23" s="1"/>
      <c r="M23" s="55" t="str">
        <f>CHOOSE(Case,J5,J6,J7)</f>
        <v>Base Case</v>
      </c>
    </row>
    <row r="24" spans="1:15" ht="6.4" customHeight="1">
      <c r="B24" s="27"/>
      <c r="J24" s="55"/>
    </row>
    <row r="25" spans="1:15" ht="13">
      <c r="B25" s="2" t="s">
        <v>23</v>
      </c>
      <c r="C25" s="3"/>
      <c r="D25" s="3"/>
      <c r="E25" s="35" t="s">
        <v>14</v>
      </c>
      <c r="F25" s="12"/>
      <c r="G25" s="12"/>
      <c r="H25" s="374" t="str">
        <f>H64</f>
        <v>LTM</v>
      </c>
      <c r="I25" s="35" t="s">
        <v>36</v>
      </c>
      <c r="J25" s="11"/>
      <c r="K25" s="35"/>
      <c r="L25" s="11"/>
      <c r="M25" s="11"/>
    </row>
    <row r="26" spans="1:15" ht="13">
      <c r="B26" s="40"/>
      <c r="C26" s="3"/>
      <c r="D26" s="3"/>
      <c r="E26" s="34">
        <f>F26-1</f>
        <v>2022</v>
      </c>
      <c r="F26" s="34">
        <f>G26-1</f>
        <v>2023</v>
      </c>
      <c r="G26" s="34">
        <f>YEAR($E$7)</f>
        <v>2024</v>
      </c>
      <c r="H26" s="375" t="str">
        <f>+H65</f>
        <v>9/30/2024</v>
      </c>
      <c r="I26" s="37">
        <f>G26+1</f>
        <v>2025</v>
      </c>
      <c r="J26" s="37">
        <f>I26+1</f>
        <v>2026</v>
      </c>
      <c r="K26" s="37">
        <f>J26+1</f>
        <v>2027</v>
      </c>
      <c r="L26" s="37">
        <f>K26+1</f>
        <v>2028</v>
      </c>
      <c r="M26" s="37">
        <f>L26+1</f>
        <v>2029</v>
      </c>
      <c r="O26" s="27" t="s">
        <v>48</v>
      </c>
    </row>
    <row r="27" spans="1:15" ht="4.1500000000000004" customHeight="1">
      <c r="B27" s="1"/>
      <c r="D27" s="1"/>
      <c r="E27" s="1"/>
      <c r="F27" s="1"/>
      <c r="G27" s="1"/>
      <c r="H27" s="140"/>
      <c r="I27" s="1"/>
      <c r="J27" s="1"/>
      <c r="K27" s="1"/>
      <c r="L27" s="1"/>
      <c r="M27" s="1"/>
    </row>
    <row r="28" spans="1:15" ht="13">
      <c r="B28" s="14" t="s">
        <v>13</v>
      </c>
      <c r="D28" s="1"/>
      <c r="E28" s="1"/>
      <c r="F28" s="1"/>
      <c r="G28" s="1"/>
      <c r="H28" s="140"/>
      <c r="I28" s="1"/>
      <c r="J28" s="1"/>
      <c r="K28" s="1"/>
      <c r="L28" s="1"/>
      <c r="M28" s="1"/>
      <c r="O28" s="56" t="s">
        <v>161</v>
      </c>
    </row>
    <row r="29" spans="1:15">
      <c r="A29" s="61" t="s">
        <v>54</v>
      </c>
      <c r="B29" s="1" t="s">
        <v>15</v>
      </c>
      <c r="C29" s="1"/>
      <c r="D29" s="1"/>
      <c r="E29" s="15">
        <v>0</v>
      </c>
      <c r="F29" s="15">
        <v>0</v>
      </c>
      <c r="G29" s="15">
        <v>0</v>
      </c>
      <c r="H29" s="126">
        <v>0</v>
      </c>
      <c r="I29" s="87">
        <f>G29 * (1 + I68)</f>
        <v>0</v>
      </c>
      <c r="J29" s="87">
        <f>I29 * (1 + J68)</f>
        <v>0</v>
      </c>
      <c r="K29" s="87">
        <f>J29 * (1 + K68)</f>
        <v>0</v>
      </c>
      <c r="L29" s="87">
        <f>K29 * (1 + L68)</f>
        <v>0</v>
      </c>
      <c r="M29" s="87">
        <f>L29 * (1 + M68)</f>
        <v>0</v>
      </c>
      <c r="O29" s="56" t="s">
        <v>47</v>
      </c>
    </row>
    <row r="30" spans="1:15">
      <c r="B30" s="1" t="s">
        <v>16</v>
      </c>
      <c r="C30" s="1"/>
      <c r="D30" s="1"/>
      <c r="E30" s="41">
        <v>0</v>
      </c>
      <c r="F30" s="41">
        <v>0</v>
      </c>
      <c r="G30" s="41">
        <v>0</v>
      </c>
      <c r="H30" s="127">
        <v>0</v>
      </c>
      <c r="I30" s="88" t="e">
        <f>I29 * (1 - I69)</f>
        <v>#DIV/0!</v>
      </c>
      <c r="J30" s="88" t="e">
        <f>J29 * (1 - J69)</f>
        <v>#DIV/0!</v>
      </c>
      <c r="K30" s="88" t="e">
        <f>K29 * (1 - K69)</f>
        <v>#DIV/0!</v>
      </c>
      <c r="L30" s="88" t="e">
        <f>L29 * (1 - L69)</f>
        <v>#DIV/0!</v>
      </c>
      <c r="M30" s="88" t="e">
        <f>M29 * (1 - M69)</f>
        <v>#DIV/0!</v>
      </c>
      <c r="O30" s="56" t="s">
        <v>53</v>
      </c>
    </row>
    <row r="31" spans="1:15">
      <c r="B31" s="5" t="s">
        <v>17</v>
      </c>
      <c r="C31" s="1"/>
      <c r="D31" s="1"/>
      <c r="E31" s="42">
        <f t="shared" ref="E31:M31" si="0">E29 - E30</f>
        <v>0</v>
      </c>
      <c r="F31" s="42">
        <f t="shared" si="0"/>
        <v>0</v>
      </c>
      <c r="G31" s="42">
        <f t="shared" si="0"/>
        <v>0</v>
      </c>
      <c r="H31" s="128">
        <f t="shared" si="0"/>
        <v>0</v>
      </c>
      <c r="I31" s="119" t="e">
        <f t="shared" si="0"/>
        <v>#DIV/0!</v>
      </c>
      <c r="J31" s="119" t="e">
        <f t="shared" si="0"/>
        <v>#DIV/0!</v>
      </c>
      <c r="K31" s="119" t="e">
        <f t="shared" si="0"/>
        <v>#DIV/0!</v>
      </c>
      <c r="L31" s="119" t="e">
        <f t="shared" si="0"/>
        <v>#DIV/0!</v>
      </c>
      <c r="M31" s="119" t="e">
        <f t="shared" si="0"/>
        <v>#DIV/0!</v>
      </c>
      <c r="O31" s="56" t="s">
        <v>173</v>
      </c>
    </row>
    <row r="32" spans="1:15" ht="4.1500000000000004" customHeight="1">
      <c r="B32" s="1"/>
      <c r="C32" s="1"/>
      <c r="D32" s="1"/>
      <c r="E32" s="43"/>
      <c r="F32" s="43"/>
      <c r="G32" s="43"/>
      <c r="H32" s="129"/>
      <c r="I32" s="44"/>
      <c r="J32" s="44"/>
      <c r="K32" s="44"/>
      <c r="L32" s="44"/>
      <c r="M32" s="44"/>
    </row>
    <row r="33" spans="1:15">
      <c r="B33" t="s">
        <v>312</v>
      </c>
      <c r="C33" s="1"/>
      <c r="D33" s="1"/>
      <c r="E33" s="41">
        <v>0</v>
      </c>
      <c r="F33" s="41">
        <v>0</v>
      </c>
      <c r="G33" s="41">
        <v>0</v>
      </c>
      <c r="H33" s="127">
        <v>0</v>
      </c>
      <c r="I33" s="88" t="e">
        <f>I70 * I29</f>
        <v>#DIV/0!</v>
      </c>
      <c r="J33" s="88" t="e">
        <f>J70 * J29</f>
        <v>#DIV/0!</v>
      </c>
      <c r="K33" s="88" t="e">
        <f>K70 * K29</f>
        <v>#DIV/0!</v>
      </c>
      <c r="L33" s="88" t="e">
        <f>L70 * L29</f>
        <v>#DIV/0!</v>
      </c>
      <c r="M33" s="88" t="e">
        <f>M70 * M29</f>
        <v>#DIV/0!</v>
      </c>
    </row>
    <row r="34" spans="1:15">
      <c r="B34" s="48" t="s">
        <v>20</v>
      </c>
      <c r="C34" s="1"/>
      <c r="D34" s="1"/>
      <c r="E34" s="43">
        <f t="shared" ref="E34:M34" si="1">E31 - E33</f>
        <v>0</v>
      </c>
      <c r="F34" s="43">
        <f t="shared" si="1"/>
        <v>0</v>
      </c>
      <c r="G34" s="43">
        <f t="shared" si="1"/>
        <v>0</v>
      </c>
      <c r="H34" s="129">
        <f t="shared" si="1"/>
        <v>0</v>
      </c>
      <c r="I34" s="119" t="e">
        <f t="shared" si="1"/>
        <v>#DIV/0!</v>
      </c>
      <c r="J34" s="119" t="e">
        <f t="shared" si="1"/>
        <v>#DIV/0!</v>
      </c>
      <c r="K34" s="119" t="e">
        <f t="shared" si="1"/>
        <v>#DIV/0!</v>
      </c>
      <c r="L34" s="119" t="e">
        <f t="shared" si="1"/>
        <v>#DIV/0!</v>
      </c>
      <c r="M34" s="119" t="e">
        <f t="shared" si="1"/>
        <v>#DIV/0!</v>
      </c>
      <c r="O34" s="56" t="s">
        <v>173</v>
      </c>
    </row>
    <row r="35" spans="1:15" ht="4.1500000000000004" customHeight="1">
      <c r="B35" s="1"/>
      <c r="C35" s="1"/>
      <c r="D35" s="1"/>
      <c r="E35" s="43"/>
      <c r="F35" s="43"/>
      <c r="G35" s="43"/>
      <c r="H35" s="129"/>
      <c r="I35" s="44"/>
      <c r="J35" s="44"/>
      <c r="K35" s="44"/>
      <c r="L35" s="44"/>
      <c r="M35" s="44"/>
    </row>
    <row r="36" spans="1:15">
      <c r="B36" s="1" t="s">
        <v>21</v>
      </c>
      <c r="C36" s="1"/>
      <c r="D36" s="1"/>
      <c r="E36" s="125">
        <v>0</v>
      </c>
      <c r="F36" s="125">
        <v>0</v>
      </c>
      <c r="G36" s="125">
        <v>0</v>
      </c>
      <c r="H36" s="376">
        <v>0</v>
      </c>
      <c r="I36" s="88" t="e">
        <f>I71 * I29</f>
        <v>#DIV/0!</v>
      </c>
      <c r="J36" s="88" t="e">
        <f>J71 * J29</f>
        <v>#DIV/0!</v>
      </c>
      <c r="K36" s="88" t="e">
        <f>K71 * K29</f>
        <v>#DIV/0!</v>
      </c>
      <c r="L36" s="88" t="e">
        <f>L71 * L29</f>
        <v>#DIV/0!</v>
      </c>
      <c r="M36" s="88" t="e">
        <f>M71 * M29</f>
        <v>#DIV/0!</v>
      </c>
    </row>
    <row r="37" spans="1:15">
      <c r="B37" s="1" t="s">
        <v>19</v>
      </c>
      <c r="C37" s="1"/>
      <c r="D37" s="1"/>
      <c r="E37" s="125">
        <v>0</v>
      </c>
      <c r="F37" s="125">
        <v>0</v>
      </c>
      <c r="G37" s="125">
        <v>0</v>
      </c>
      <c r="H37" s="376">
        <v>0</v>
      </c>
      <c r="I37" s="88" t="e">
        <f>I72 * I36</f>
        <v>#DIV/0!</v>
      </c>
      <c r="J37" s="88" t="e">
        <f>J72 * J36</f>
        <v>#DIV/0!</v>
      </c>
      <c r="K37" s="88" t="e">
        <f>K72 * K36</f>
        <v>#DIV/0!</v>
      </c>
      <c r="L37" s="88" t="e">
        <f>L72 * L36</f>
        <v>#DIV/0!</v>
      </c>
      <c r="M37" s="88" t="e">
        <f>M72 * M36</f>
        <v>#DIV/0!</v>
      </c>
    </row>
    <row r="38" spans="1:15" ht="6.4" customHeight="1">
      <c r="B38" s="1"/>
      <c r="C38" s="1"/>
      <c r="D38" s="1"/>
      <c r="E38" s="43"/>
      <c r="F38" s="43"/>
      <c r="G38" s="43"/>
      <c r="H38" s="129"/>
      <c r="I38" s="44"/>
      <c r="J38" s="44"/>
      <c r="K38" s="44"/>
      <c r="L38" s="44"/>
      <c r="M38" s="44"/>
    </row>
    <row r="39" spans="1:15">
      <c r="A39" s="61" t="s">
        <v>54</v>
      </c>
      <c r="B39" s="17" t="s">
        <v>20</v>
      </c>
      <c r="E39" s="18">
        <f t="shared" ref="E39:M39" si="2">E34</f>
        <v>0</v>
      </c>
      <c r="F39" s="18">
        <f t="shared" si="2"/>
        <v>0</v>
      </c>
      <c r="G39" s="18">
        <f t="shared" si="2"/>
        <v>0</v>
      </c>
      <c r="H39" s="170">
        <f t="shared" si="2"/>
        <v>0</v>
      </c>
      <c r="I39" s="18" t="e">
        <f t="shared" si="2"/>
        <v>#DIV/0!</v>
      </c>
      <c r="J39" s="18" t="e">
        <f t="shared" si="2"/>
        <v>#DIV/0!</v>
      </c>
      <c r="K39" s="18" t="e">
        <f t="shared" si="2"/>
        <v>#DIV/0!</v>
      </c>
      <c r="L39" s="18" t="e">
        <f t="shared" si="2"/>
        <v>#DIV/0!</v>
      </c>
      <c r="M39" s="18" t="e">
        <f t="shared" si="2"/>
        <v>#DIV/0!</v>
      </c>
    </row>
    <row r="40" spans="1:15">
      <c r="B40" s="179" t="s">
        <v>19</v>
      </c>
      <c r="E40" s="19">
        <f t="shared" ref="E40:M40" si="3">E37</f>
        <v>0</v>
      </c>
      <c r="F40" s="19">
        <f t="shared" si="3"/>
        <v>0</v>
      </c>
      <c r="G40" s="19">
        <f t="shared" si="3"/>
        <v>0</v>
      </c>
      <c r="H40" s="134">
        <f t="shared" si="3"/>
        <v>0</v>
      </c>
      <c r="I40" s="19" t="e">
        <f t="shared" si="3"/>
        <v>#DIV/0!</v>
      </c>
      <c r="J40" s="19" t="e">
        <f t="shared" si="3"/>
        <v>#DIV/0!</v>
      </c>
      <c r="K40" s="19" t="e">
        <f t="shared" si="3"/>
        <v>#DIV/0!</v>
      </c>
      <c r="L40" s="19" t="e">
        <f t="shared" si="3"/>
        <v>#DIV/0!</v>
      </c>
      <c r="M40" s="19" t="e">
        <f t="shared" si="3"/>
        <v>#DIV/0!</v>
      </c>
    </row>
    <row r="41" spans="1:15">
      <c r="B41" t="s">
        <v>18</v>
      </c>
      <c r="E41" s="171">
        <f t="shared" ref="E41:M41" si="4">E39 + E40</f>
        <v>0</v>
      </c>
      <c r="F41" s="171">
        <f t="shared" si="4"/>
        <v>0</v>
      </c>
      <c r="G41" s="171">
        <f t="shared" si="4"/>
        <v>0</v>
      </c>
      <c r="H41" s="172">
        <f t="shared" si="4"/>
        <v>0</v>
      </c>
      <c r="I41" s="171" t="e">
        <f t="shared" si="4"/>
        <v>#DIV/0!</v>
      </c>
      <c r="J41" s="171" t="e">
        <f t="shared" si="4"/>
        <v>#DIV/0!</v>
      </c>
      <c r="K41" s="171" t="e">
        <f t="shared" si="4"/>
        <v>#DIV/0!</v>
      </c>
      <c r="L41" s="171" t="e">
        <f t="shared" si="4"/>
        <v>#DIV/0!</v>
      </c>
      <c r="M41" s="171" t="e">
        <f t="shared" si="4"/>
        <v>#DIV/0!</v>
      </c>
      <c r="O41" s="56" t="s">
        <v>173</v>
      </c>
    </row>
    <row r="42" spans="1:15">
      <c r="B42" s="177" t="s">
        <v>145</v>
      </c>
      <c r="E42" s="173" t="e">
        <f t="shared" ref="E42:M42" si="5">E41 / E29</f>
        <v>#DIV/0!</v>
      </c>
      <c r="F42" s="173" t="e">
        <f t="shared" si="5"/>
        <v>#DIV/0!</v>
      </c>
      <c r="G42" s="173" t="e">
        <f t="shared" si="5"/>
        <v>#DIV/0!</v>
      </c>
      <c r="H42" s="174" t="e">
        <f t="shared" si="5"/>
        <v>#DIV/0!</v>
      </c>
      <c r="I42" s="173" t="e">
        <f t="shared" si="5"/>
        <v>#DIV/0!</v>
      </c>
      <c r="J42" s="173" t="e">
        <f t="shared" si="5"/>
        <v>#DIV/0!</v>
      </c>
      <c r="K42" s="173" t="e">
        <f t="shared" si="5"/>
        <v>#DIV/0!</v>
      </c>
      <c r="L42" s="173" t="e">
        <f t="shared" si="5"/>
        <v>#DIV/0!</v>
      </c>
      <c r="M42" s="173" t="e">
        <f t="shared" si="5"/>
        <v>#DIV/0!</v>
      </c>
      <c r="O42" s="56" t="s">
        <v>173</v>
      </c>
    </row>
    <row r="43" spans="1:15" ht="13">
      <c r="B43" s="178" t="s">
        <v>146</v>
      </c>
      <c r="F43" s="175" t="e">
        <f>(F42 - E42) * 10000</f>
        <v>#DIV/0!</v>
      </c>
      <c r="G43" s="175" t="e">
        <f>(G42 - F42) * 10000</f>
        <v>#DIV/0!</v>
      </c>
      <c r="H43" s="176" t="e">
        <f>(H42 - G42) * 10000</f>
        <v>#DIV/0!</v>
      </c>
      <c r="I43" s="175" t="e">
        <f>(I42 - G42) * 10000</f>
        <v>#DIV/0!</v>
      </c>
      <c r="J43" s="175" t="e">
        <f>(J42 - I42) * 10000</f>
        <v>#DIV/0!</v>
      </c>
      <c r="K43" s="175" t="e">
        <f>(K42 - J42) * 10000</f>
        <v>#DIV/0!</v>
      </c>
      <c r="L43" s="175" t="e">
        <f>(L42 - K42) * 10000</f>
        <v>#DIV/0!</v>
      </c>
      <c r="M43" s="175" t="e">
        <f>(M42 - L42) * 10000</f>
        <v>#DIV/0!</v>
      </c>
    </row>
    <row r="44" spans="1:15">
      <c r="E44" s="44"/>
      <c r="F44" s="44"/>
      <c r="G44" s="44"/>
      <c r="H44" s="130"/>
      <c r="I44" s="44"/>
      <c r="J44" s="44"/>
      <c r="K44" s="44"/>
      <c r="L44" s="44"/>
      <c r="M44" s="44"/>
    </row>
    <row r="45" spans="1:15" ht="13">
      <c r="B45" s="197" t="s">
        <v>34</v>
      </c>
      <c r="C45" s="197"/>
      <c r="D45" s="198"/>
      <c r="E45" s="44"/>
      <c r="F45" s="44"/>
      <c r="G45" s="44"/>
      <c r="H45" s="130"/>
      <c r="I45" s="44"/>
      <c r="J45" s="44"/>
      <c r="K45" s="44"/>
      <c r="L45" s="44"/>
      <c r="M45" s="44"/>
    </row>
    <row r="46" spans="1:15">
      <c r="B46" s="16" t="s">
        <v>27</v>
      </c>
      <c r="C46" s="17"/>
      <c r="E46" s="44"/>
      <c r="F46" s="44"/>
      <c r="G46" s="44"/>
      <c r="H46" s="130"/>
      <c r="I46" s="44"/>
      <c r="J46" s="44"/>
      <c r="K46" s="44"/>
      <c r="L46" s="44"/>
      <c r="M46" s="44"/>
    </row>
    <row r="47" spans="1:15">
      <c r="B47" s="25" t="s">
        <v>24</v>
      </c>
      <c r="C47" s="18"/>
      <c r="D47" s="18"/>
      <c r="E47" s="28">
        <v>0</v>
      </c>
      <c r="F47" s="28">
        <v>0</v>
      </c>
      <c r="G47" s="28">
        <v>0</v>
      </c>
      <c r="H47" s="131">
        <v>0</v>
      </c>
      <c r="I47" s="87" t="e">
        <f t="shared" ref="I47:M48" si="6">I102/Days*I29</f>
        <v>#DIV/0!</v>
      </c>
      <c r="J47" s="87" t="e">
        <f t="shared" si="6"/>
        <v>#DIV/0!</v>
      </c>
      <c r="K47" s="87" t="e">
        <f t="shared" si="6"/>
        <v>#DIV/0!</v>
      </c>
      <c r="L47" s="87" t="e">
        <f t="shared" si="6"/>
        <v>#DIV/0!</v>
      </c>
      <c r="M47" s="87" t="e">
        <f t="shared" si="6"/>
        <v>#DIV/0!</v>
      </c>
      <c r="O47" s="56" t="s">
        <v>173</v>
      </c>
    </row>
    <row r="48" spans="1:15">
      <c r="B48" s="25" t="s">
        <v>25</v>
      </c>
      <c r="C48" s="19"/>
      <c r="D48" s="19"/>
      <c r="E48" s="29">
        <v>0</v>
      </c>
      <c r="F48" s="29">
        <v>0</v>
      </c>
      <c r="G48" s="29">
        <v>0</v>
      </c>
      <c r="H48" s="132">
        <v>0</v>
      </c>
      <c r="I48" s="88" t="e">
        <f t="shared" si="6"/>
        <v>#DIV/0!</v>
      </c>
      <c r="J48" s="88" t="e">
        <f t="shared" si="6"/>
        <v>#DIV/0!</v>
      </c>
      <c r="K48" s="88" t="e">
        <f t="shared" si="6"/>
        <v>#DIV/0!</v>
      </c>
      <c r="L48" s="88" t="e">
        <f t="shared" si="6"/>
        <v>#DIV/0!</v>
      </c>
      <c r="M48" s="88" t="e">
        <f t="shared" si="6"/>
        <v>#DIV/0!</v>
      </c>
      <c r="O48" s="56" t="s">
        <v>173</v>
      </c>
    </row>
    <row r="49" spans="1:15">
      <c r="B49" s="25" t="s">
        <v>26</v>
      </c>
      <c r="C49" s="19"/>
      <c r="D49" s="19"/>
      <c r="E49" s="29">
        <v>0</v>
      </c>
      <c r="F49" s="29">
        <v>0</v>
      </c>
      <c r="G49" s="29">
        <v>0</v>
      </c>
      <c r="H49" s="132">
        <v>0</v>
      </c>
      <c r="I49" s="88" t="e">
        <f>I104*I29</f>
        <v>#DIV/0!</v>
      </c>
      <c r="J49" s="88" t="e">
        <f>J104*J29</f>
        <v>#DIV/0!</v>
      </c>
      <c r="K49" s="88" t="e">
        <f>K104*K29</f>
        <v>#DIV/0!</v>
      </c>
      <c r="L49" s="88" t="e">
        <f>L104*L29</f>
        <v>#DIV/0!</v>
      </c>
      <c r="M49" s="88" t="e">
        <f>M104*M29</f>
        <v>#DIV/0!</v>
      </c>
      <c r="O49" s="56" t="s">
        <v>173</v>
      </c>
    </row>
    <row r="50" spans="1:15">
      <c r="B50" s="26" t="s">
        <v>28</v>
      </c>
      <c r="C50" s="20"/>
      <c r="D50" s="20"/>
      <c r="E50" s="31">
        <f t="shared" ref="E50:M50" si="7">SUM(E47:E49)</f>
        <v>0</v>
      </c>
      <c r="F50" s="31">
        <f t="shared" si="7"/>
        <v>0</v>
      </c>
      <c r="G50" s="31">
        <f t="shared" si="7"/>
        <v>0</v>
      </c>
      <c r="H50" s="133">
        <f t="shared" si="7"/>
        <v>0</v>
      </c>
      <c r="I50" s="120" t="e">
        <f t="shared" si="7"/>
        <v>#DIV/0!</v>
      </c>
      <c r="J50" s="120" t="e">
        <f t="shared" si="7"/>
        <v>#DIV/0!</v>
      </c>
      <c r="K50" s="120" t="e">
        <f t="shared" si="7"/>
        <v>#DIV/0!</v>
      </c>
      <c r="L50" s="120" t="e">
        <f t="shared" si="7"/>
        <v>#DIV/0!</v>
      </c>
      <c r="M50" s="120" t="e">
        <f t="shared" si="7"/>
        <v>#DIV/0!</v>
      </c>
    </row>
    <row r="51" spans="1:15">
      <c r="C51" s="21"/>
      <c r="H51" s="135"/>
      <c r="I51" s="44"/>
      <c r="J51" s="44"/>
      <c r="K51" s="44"/>
      <c r="L51" s="44"/>
      <c r="M51" s="44"/>
    </row>
    <row r="52" spans="1:15">
      <c r="B52" s="16" t="s">
        <v>29</v>
      </c>
      <c r="H52" s="135"/>
      <c r="I52" s="44"/>
      <c r="J52" s="44"/>
      <c r="K52" s="44"/>
      <c r="L52" s="44"/>
      <c r="M52" s="44"/>
    </row>
    <row r="53" spans="1:15">
      <c r="B53" s="25" t="s">
        <v>136</v>
      </c>
      <c r="E53" s="28">
        <v>0</v>
      </c>
      <c r="F53" s="28">
        <v>0</v>
      </c>
      <c r="G53" s="28">
        <v>0</v>
      </c>
      <c r="H53" s="131">
        <v>0</v>
      </c>
      <c r="I53" s="87" t="e">
        <f>I107/Days*I30</f>
        <v>#DIV/0!</v>
      </c>
      <c r="J53" s="87" t="e">
        <f>J107/Days*J30</f>
        <v>#DIV/0!</v>
      </c>
      <c r="K53" s="87" t="e">
        <f>K107/Days*K30</f>
        <v>#DIV/0!</v>
      </c>
      <c r="L53" s="87" t="e">
        <f>L107/Days*L30</f>
        <v>#DIV/0!</v>
      </c>
      <c r="M53" s="87" t="e">
        <f>M107/Days*M30</f>
        <v>#DIV/0!</v>
      </c>
      <c r="O53" s="56" t="s">
        <v>173</v>
      </c>
    </row>
    <row r="54" spans="1:15">
      <c r="B54" s="25" t="s">
        <v>137</v>
      </c>
      <c r="E54" s="29">
        <v>0</v>
      </c>
      <c r="F54" s="29">
        <v>0</v>
      </c>
      <c r="G54" s="29">
        <v>0</v>
      </c>
      <c r="H54" s="132">
        <v>0</v>
      </c>
      <c r="I54" s="88" t="e">
        <f>I108*I29</f>
        <v>#DIV/0!</v>
      </c>
      <c r="J54" s="88" t="e">
        <f>J108*J29</f>
        <v>#DIV/0!</v>
      </c>
      <c r="K54" s="88" t="e">
        <f>K108*K29</f>
        <v>#DIV/0!</v>
      </c>
      <c r="L54" s="88" t="e">
        <f>L108*L29</f>
        <v>#DIV/0!</v>
      </c>
      <c r="M54" s="88" t="e">
        <f>M108*M29</f>
        <v>#DIV/0!</v>
      </c>
      <c r="O54" s="56" t="s">
        <v>173</v>
      </c>
    </row>
    <row r="55" spans="1:15">
      <c r="B55" s="25" t="s">
        <v>138</v>
      </c>
      <c r="C55" s="19"/>
      <c r="D55" s="19"/>
      <c r="E55" s="29">
        <v>0</v>
      </c>
      <c r="F55" s="29">
        <v>0</v>
      </c>
      <c r="G55" s="29">
        <v>0</v>
      </c>
      <c r="H55" s="132">
        <v>0</v>
      </c>
      <c r="I55" s="88" t="e">
        <f>I109*I29</f>
        <v>#DIV/0!</v>
      </c>
      <c r="J55" s="88" t="e">
        <f>J109*J29</f>
        <v>#DIV/0!</v>
      </c>
      <c r="K55" s="88" t="e">
        <f>K109*K29</f>
        <v>#DIV/0!</v>
      </c>
      <c r="L55" s="88" t="e">
        <f>L109*L29</f>
        <v>#DIV/0!</v>
      </c>
      <c r="M55" s="88" t="e">
        <f>M109*M29</f>
        <v>#DIV/0!</v>
      </c>
      <c r="O55" s="56" t="s">
        <v>173</v>
      </c>
    </row>
    <row r="56" spans="1:15">
      <c r="B56" s="26" t="s">
        <v>30</v>
      </c>
      <c r="C56" s="20"/>
      <c r="D56" s="20"/>
      <c r="E56" s="30">
        <f t="shared" ref="E56:M56" si="8">SUM(E53:E55)</f>
        <v>0</v>
      </c>
      <c r="F56" s="30">
        <f t="shared" si="8"/>
        <v>0</v>
      </c>
      <c r="G56" s="30">
        <f t="shared" si="8"/>
        <v>0</v>
      </c>
      <c r="H56" s="136">
        <f t="shared" si="8"/>
        <v>0</v>
      </c>
      <c r="I56" s="120" t="e">
        <f t="shared" si="8"/>
        <v>#DIV/0!</v>
      </c>
      <c r="J56" s="120" t="e">
        <f t="shared" si="8"/>
        <v>#DIV/0!</v>
      </c>
      <c r="K56" s="120" t="e">
        <f t="shared" si="8"/>
        <v>#DIV/0!</v>
      </c>
      <c r="L56" s="120" t="e">
        <f t="shared" si="8"/>
        <v>#DIV/0!</v>
      </c>
      <c r="M56" s="120" t="e">
        <f t="shared" si="8"/>
        <v>#DIV/0!</v>
      </c>
    </row>
    <row r="57" spans="1:15">
      <c r="H57" s="135"/>
      <c r="I57" s="44"/>
      <c r="J57" s="44"/>
      <c r="K57" s="44"/>
      <c r="L57" s="44"/>
      <c r="M57" s="44"/>
    </row>
    <row r="58" spans="1:15">
      <c r="B58" s="22" t="s">
        <v>31</v>
      </c>
      <c r="E58" s="32">
        <f t="shared" ref="E58:M58" si="9">E50 - E56</f>
        <v>0</v>
      </c>
      <c r="F58" s="32">
        <f t="shared" si="9"/>
        <v>0</v>
      </c>
      <c r="G58" s="32">
        <f t="shared" si="9"/>
        <v>0</v>
      </c>
      <c r="H58" s="137">
        <f t="shared" si="9"/>
        <v>0</v>
      </c>
      <c r="I58" s="87" t="e">
        <f t="shared" si="9"/>
        <v>#DIV/0!</v>
      </c>
      <c r="J58" s="87" t="e">
        <f t="shared" si="9"/>
        <v>#DIV/0!</v>
      </c>
      <c r="K58" s="87" t="e">
        <f t="shared" si="9"/>
        <v>#DIV/0!</v>
      </c>
      <c r="L58" s="87" t="e">
        <f t="shared" si="9"/>
        <v>#DIV/0!</v>
      </c>
      <c r="M58" s="87" t="e">
        <f t="shared" si="9"/>
        <v>#DIV/0!</v>
      </c>
    </row>
    <row r="59" spans="1:15">
      <c r="C59" s="21"/>
      <c r="H59" s="135"/>
      <c r="I59" s="44"/>
      <c r="J59" s="44"/>
      <c r="K59" s="44"/>
      <c r="L59" s="44"/>
      <c r="M59" s="44"/>
    </row>
    <row r="60" spans="1:15" ht="13">
      <c r="B60" s="23" t="s">
        <v>32</v>
      </c>
      <c r="F60" s="33">
        <f>E58 - F58</f>
        <v>0</v>
      </c>
      <c r="G60" s="33">
        <f>F58 - G58</f>
        <v>0</v>
      </c>
      <c r="H60" s="138">
        <f>G58 - H58</f>
        <v>0</v>
      </c>
      <c r="I60" s="121" t="e">
        <f>G58 - I58</f>
        <v>#DIV/0!</v>
      </c>
      <c r="J60" s="121" t="e">
        <f>I58 - J58</f>
        <v>#DIV/0!</v>
      </c>
      <c r="K60" s="121" t="e">
        <f>J58 - K58</f>
        <v>#DIV/0!</v>
      </c>
      <c r="L60" s="121" t="e">
        <f>K58 - L58</f>
        <v>#DIV/0!</v>
      </c>
      <c r="M60" s="121" t="e">
        <f>L58 - M58</f>
        <v>#DIV/0!</v>
      </c>
    </row>
    <row r="61" spans="1:15" ht="13">
      <c r="B61" s="13" t="s">
        <v>33</v>
      </c>
      <c r="C61" s="14"/>
      <c r="D61" s="14"/>
      <c r="E61" s="14"/>
      <c r="F61" s="168" t="str">
        <f t="shared" ref="F61:M61" si="10">IFERROR(F60 / F29,"NA ")</f>
        <v xml:space="preserve">NA </v>
      </c>
      <c r="G61" s="168" t="str">
        <f t="shared" si="10"/>
        <v xml:space="preserve">NA </v>
      </c>
      <c r="H61" s="169" t="str">
        <f t="shared" si="10"/>
        <v xml:space="preserve">NA </v>
      </c>
      <c r="I61" s="66" t="str">
        <f t="shared" si="10"/>
        <v xml:space="preserve">NA </v>
      </c>
      <c r="J61" s="66" t="str">
        <f t="shared" si="10"/>
        <v xml:space="preserve">NA </v>
      </c>
      <c r="K61" s="66" t="str">
        <f t="shared" si="10"/>
        <v xml:space="preserve">NA </v>
      </c>
      <c r="L61" s="66" t="str">
        <f t="shared" si="10"/>
        <v xml:space="preserve">NA </v>
      </c>
      <c r="M61" s="66" t="str">
        <f t="shared" si="10"/>
        <v xml:space="preserve">NA </v>
      </c>
    </row>
    <row r="63" spans="1:15" ht="13">
      <c r="B63" s="27">
        <f>$E$5</f>
        <v>0</v>
      </c>
      <c r="C63" s="1"/>
      <c r="D63" s="1"/>
      <c r="E63" s="1"/>
      <c r="F63" s="1"/>
      <c r="G63" s="1"/>
      <c r="I63" s="1"/>
      <c r="J63" s="1"/>
      <c r="K63" s="1"/>
      <c r="L63" s="1"/>
      <c r="M63" s="55" t="str">
        <f>M23</f>
        <v>Base Case</v>
      </c>
    </row>
    <row r="64" spans="1:15" ht="13">
      <c r="A64" s="61" t="s">
        <v>54</v>
      </c>
      <c r="B64" s="2" t="s">
        <v>35</v>
      </c>
      <c r="C64" s="3"/>
      <c r="D64" s="3"/>
      <c r="E64" s="35" t="s">
        <v>328</v>
      </c>
      <c r="F64" s="35"/>
      <c r="G64" s="35"/>
      <c r="H64" s="371" t="s">
        <v>164</v>
      </c>
      <c r="I64" s="35" t="s">
        <v>36</v>
      </c>
      <c r="J64" s="11"/>
      <c r="K64" s="35"/>
      <c r="L64" s="11"/>
      <c r="M64" s="11"/>
    </row>
    <row r="65" spans="1:15" ht="13">
      <c r="B65" s="3"/>
      <c r="C65" s="3"/>
      <c r="D65" s="3"/>
      <c r="E65" s="36">
        <f>$E$26</f>
        <v>2022</v>
      </c>
      <c r="F65" s="36">
        <f>$F$26</f>
        <v>2023</v>
      </c>
      <c r="G65" s="36">
        <f>$G$26</f>
        <v>2024</v>
      </c>
      <c r="H65" s="372" t="s">
        <v>327</v>
      </c>
      <c r="I65" s="37">
        <f>$I$26</f>
        <v>2025</v>
      </c>
      <c r="J65" s="37">
        <f>$J$26</f>
        <v>2026</v>
      </c>
      <c r="K65" s="37">
        <f>$K$26</f>
        <v>2027</v>
      </c>
      <c r="L65" s="37">
        <f>$L$26</f>
        <v>2028</v>
      </c>
      <c r="M65" s="37">
        <f>$M$26</f>
        <v>2029</v>
      </c>
    </row>
    <row r="66" spans="1:15" ht="4.1500000000000004" customHeight="1">
      <c r="B66" s="1"/>
      <c r="D66" s="1"/>
      <c r="E66" s="1"/>
      <c r="F66" s="1"/>
      <c r="G66" s="1"/>
      <c r="H66" s="135"/>
      <c r="I66" s="1"/>
      <c r="J66" s="1"/>
      <c r="K66" s="1"/>
      <c r="L66" s="1"/>
      <c r="M66" s="1"/>
    </row>
    <row r="67" spans="1:15" ht="13">
      <c r="B67" s="14" t="str">
        <f>$B$28</f>
        <v>USD in millions</v>
      </c>
      <c r="D67" s="1"/>
      <c r="E67" s="1"/>
      <c r="F67" s="1"/>
      <c r="G67" s="1"/>
      <c r="H67" s="135"/>
      <c r="I67" s="1"/>
      <c r="J67" s="1"/>
      <c r="K67" s="1"/>
      <c r="L67" s="1"/>
      <c r="M67" s="1"/>
    </row>
    <row r="68" spans="1:15">
      <c r="B68" s="5" t="s">
        <v>37</v>
      </c>
      <c r="D68" s="1"/>
      <c r="E68" s="24"/>
      <c r="F68" s="24" t="e">
        <f>F29/E29-1</f>
        <v>#DIV/0!</v>
      </c>
      <c r="G68" s="24" t="e">
        <f>G29/F29-1</f>
        <v>#DIV/0!</v>
      </c>
      <c r="H68" s="139" t="e">
        <f>H29/G29-1</f>
        <v>#DIV/0!</v>
      </c>
      <c r="I68" s="38">
        <f>I74</f>
        <v>0</v>
      </c>
      <c r="J68" s="38">
        <f>J74</f>
        <v>0</v>
      </c>
      <c r="K68" s="38">
        <f>K74</f>
        <v>0</v>
      </c>
      <c r="L68" s="38">
        <f>L74</f>
        <v>0</v>
      </c>
      <c r="M68" s="38">
        <f>M74</f>
        <v>0</v>
      </c>
    </row>
    <row r="69" spans="1:15">
      <c r="B69" s="5" t="s">
        <v>38</v>
      </c>
      <c r="D69" s="1"/>
      <c r="E69" s="24" t="e">
        <f>E31 / E$29</f>
        <v>#DIV/0!</v>
      </c>
      <c r="F69" s="24" t="e">
        <f>F31 / F$29</f>
        <v>#DIV/0!</v>
      </c>
      <c r="G69" s="24" t="e">
        <f>G31 / G$29</f>
        <v>#DIV/0!</v>
      </c>
      <c r="H69" s="139" t="e">
        <f>H31 / H$29</f>
        <v>#DIV/0!</v>
      </c>
      <c r="I69" s="38" t="e">
        <f>I80</f>
        <v>#DIV/0!</v>
      </c>
      <c r="J69" s="38" t="e">
        <f>J80</f>
        <v>#DIV/0!</v>
      </c>
      <c r="K69" s="38" t="e">
        <f>K80</f>
        <v>#DIV/0!</v>
      </c>
      <c r="L69" s="38" t="e">
        <f>L80</f>
        <v>#DIV/0!</v>
      </c>
      <c r="M69" s="38" t="e">
        <f>M80</f>
        <v>#DIV/0!</v>
      </c>
    </row>
    <row r="70" spans="1:15">
      <c r="B70" s="48" t="s">
        <v>134</v>
      </c>
      <c r="D70" s="1"/>
      <c r="E70" s="24" t="e">
        <f>E33 / E$29</f>
        <v>#DIV/0!</v>
      </c>
      <c r="F70" s="24" t="e">
        <f>F33 / F$29</f>
        <v>#DIV/0!</v>
      </c>
      <c r="G70" s="24" t="e">
        <f>G33 / G$29</f>
        <v>#DIV/0!</v>
      </c>
      <c r="H70" s="139" t="e">
        <f>H33 / H$29</f>
        <v>#DIV/0!</v>
      </c>
      <c r="I70" s="38" t="e">
        <f>I86</f>
        <v>#DIV/0!</v>
      </c>
      <c r="J70" s="38" t="e">
        <f>J86</f>
        <v>#DIV/0!</v>
      </c>
      <c r="K70" s="38" t="e">
        <f>K86</f>
        <v>#DIV/0!</v>
      </c>
      <c r="L70" s="38" t="e">
        <f>L86</f>
        <v>#DIV/0!</v>
      </c>
      <c r="M70" s="38" t="e">
        <f>M86</f>
        <v>#DIV/0!</v>
      </c>
    </row>
    <row r="71" spans="1:15">
      <c r="B71" s="48" t="s">
        <v>39</v>
      </c>
      <c r="D71" s="1"/>
      <c r="E71" s="24" t="e">
        <f>E36 / E$29</f>
        <v>#DIV/0!</v>
      </c>
      <c r="F71" s="24" t="e">
        <f>F36 / F$29</f>
        <v>#DIV/0!</v>
      </c>
      <c r="G71" s="24" t="e">
        <f>G36 / G$29</f>
        <v>#DIV/0!</v>
      </c>
      <c r="H71" s="139" t="e">
        <f>H36 / H$29</f>
        <v>#DIV/0!</v>
      </c>
      <c r="I71" s="38" t="e">
        <f>I92</f>
        <v>#DIV/0!</v>
      </c>
      <c r="J71" s="38" t="e">
        <f>J92</f>
        <v>#DIV/0!</v>
      </c>
      <c r="K71" s="38" t="e">
        <f>K92</f>
        <v>#DIV/0!</v>
      </c>
      <c r="L71" s="38" t="e">
        <f>L92</f>
        <v>#DIV/0!</v>
      </c>
      <c r="M71" s="38" t="e">
        <f>M92</f>
        <v>#DIV/0!</v>
      </c>
    </row>
    <row r="72" spans="1:15">
      <c r="B72" s="5" t="s">
        <v>40</v>
      </c>
      <c r="D72" s="1"/>
      <c r="E72" s="24" t="e">
        <f>E37 / E36</f>
        <v>#DIV/0!</v>
      </c>
      <c r="F72" s="24" t="e">
        <f>F37 / F36</f>
        <v>#DIV/0!</v>
      </c>
      <c r="G72" s="24" t="e">
        <f>G37 / G36</f>
        <v>#DIV/0!</v>
      </c>
      <c r="H72" s="139" t="e">
        <f>H37 / H36</f>
        <v>#DIV/0!</v>
      </c>
      <c r="I72" s="38" t="e">
        <f>I95</f>
        <v>#DIV/0!</v>
      </c>
      <c r="J72" s="38" t="e">
        <f>J95</f>
        <v>#DIV/0!</v>
      </c>
      <c r="K72" s="38" t="e">
        <f>K95</f>
        <v>#DIV/0!</v>
      </c>
      <c r="L72" s="38" t="e">
        <f>L95</f>
        <v>#DIV/0!</v>
      </c>
      <c r="M72" s="38" t="e">
        <f>M95</f>
        <v>#DIV/0!</v>
      </c>
    </row>
    <row r="73" spans="1:15">
      <c r="B73" s="1"/>
      <c r="D73" s="1"/>
      <c r="E73" s="1"/>
      <c r="F73" s="1"/>
      <c r="G73" s="1"/>
      <c r="H73" s="140"/>
      <c r="I73" s="1"/>
      <c r="J73" s="1"/>
      <c r="K73" s="1"/>
      <c r="L73" s="1"/>
      <c r="M73" s="1"/>
    </row>
    <row r="74" spans="1:15" ht="13">
      <c r="B74" s="142" t="s">
        <v>37</v>
      </c>
      <c r="C74" s="143"/>
      <c r="D74" s="143"/>
      <c r="E74" s="144"/>
      <c r="F74" s="145" t="e">
        <f>F68</f>
        <v>#DIV/0!</v>
      </c>
      <c r="G74" s="145" t="e">
        <f>G68</f>
        <v>#DIV/0!</v>
      </c>
      <c r="H74" s="146" t="e">
        <f>H68</f>
        <v>#DIV/0!</v>
      </c>
      <c r="I74" s="147">
        <f>CHOOSE(Case,I76,I77,I78)</f>
        <v>0</v>
      </c>
      <c r="J74" s="147">
        <f>CHOOSE(Case,J76,J77,J78)</f>
        <v>0</v>
      </c>
      <c r="K74" s="147">
        <f>CHOOSE(Case,K76,K77,K78)</f>
        <v>0</v>
      </c>
      <c r="L74" s="147">
        <f>CHOOSE(Case,L76,L77,L78)</f>
        <v>0</v>
      </c>
      <c r="M74" s="147">
        <f>CHOOSE(Case,M76,M77,M78)</f>
        <v>0</v>
      </c>
      <c r="O74" s="27" t="s">
        <v>48</v>
      </c>
    </row>
    <row r="75" spans="1:15" ht="4.1500000000000004" customHeight="1">
      <c r="B75" s="1"/>
      <c r="D75" s="1"/>
      <c r="E75" s="1"/>
      <c r="F75" s="38"/>
      <c r="G75" s="38"/>
      <c r="H75" s="141"/>
      <c r="I75" s="38"/>
      <c r="J75" s="38"/>
      <c r="K75" s="38"/>
      <c r="L75" s="38"/>
      <c r="M75" s="38"/>
    </row>
    <row r="76" spans="1:15">
      <c r="A76" s="61" t="s">
        <v>54</v>
      </c>
      <c r="D76" s="1"/>
      <c r="E76" s="1"/>
      <c r="F76" s="38"/>
      <c r="G76" s="38" t="str">
        <f>$J$5</f>
        <v>Upside Case</v>
      </c>
      <c r="H76" s="141"/>
      <c r="I76" s="45">
        <v>0</v>
      </c>
      <c r="J76" s="45">
        <v>0</v>
      </c>
      <c r="K76" s="45">
        <v>0</v>
      </c>
      <c r="L76" s="45">
        <v>0</v>
      </c>
      <c r="M76" s="45">
        <v>0</v>
      </c>
      <c r="N76" s="222" t="s">
        <v>324</v>
      </c>
      <c r="O76" s="56" t="s">
        <v>49</v>
      </c>
    </row>
    <row r="77" spans="1:15">
      <c r="D77" s="1"/>
      <c r="E77" s="1"/>
      <c r="F77" s="38"/>
      <c r="G77" s="38" t="str">
        <f>$J$6</f>
        <v>Base Case</v>
      </c>
      <c r="H77" s="141"/>
      <c r="I77" s="45">
        <v>0</v>
      </c>
      <c r="J77" s="45">
        <v>0</v>
      </c>
      <c r="K77" s="45">
        <v>0</v>
      </c>
      <c r="L77" s="45">
        <v>0</v>
      </c>
      <c r="M77" s="45">
        <v>0</v>
      </c>
      <c r="N77" s="220" t="s">
        <v>323</v>
      </c>
    </row>
    <row r="78" spans="1:15">
      <c r="D78" s="1"/>
      <c r="E78" s="1"/>
      <c r="F78" s="38"/>
      <c r="G78" s="38" t="str">
        <f>$J$7</f>
        <v>Downside Case</v>
      </c>
      <c r="H78" s="141"/>
      <c r="I78" s="45">
        <v>0</v>
      </c>
      <c r="J78" s="45">
        <v>0</v>
      </c>
      <c r="K78" s="45">
        <v>0</v>
      </c>
      <c r="L78" s="45">
        <v>0</v>
      </c>
      <c r="M78" s="45">
        <v>0</v>
      </c>
      <c r="N78" s="220" t="s">
        <v>177</v>
      </c>
    </row>
    <row r="79" spans="1:15">
      <c r="B79" s="1"/>
      <c r="D79" s="1"/>
      <c r="E79" s="1"/>
      <c r="F79" s="38"/>
      <c r="G79" s="38"/>
      <c r="H79" s="141"/>
      <c r="I79" s="38"/>
      <c r="J79" s="38"/>
      <c r="K79" s="38"/>
      <c r="L79" s="38"/>
      <c r="M79" s="38"/>
      <c r="N79" s="220"/>
    </row>
    <row r="80" spans="1:15">
      <c r="B80" s="142" t="str">
        <f>B69</f>
        <v>Gross Profit Margin</v>
      </c>
      <c r="C80" s="143"/>
      <c r="D80" s="143"/>
      <c r="E80" s="148" t="e">
        <f>E69</f>
        <v>#DIV/0!</v>
      </c>
      <c r="F80" s="145" t="e">
        <f>F69</f>
        <v>#DIV/0!</v>
      </c>
      <c r="G80" s="145" t="e">
        <f>G69</f>
        <v>#DIV/0!</v>
      </c>
      <c r="H80" s="146" t="e">
        <f>H69</f>
        <v>#DIV/0!</v>
      </c>
      <c r="I80" s="147" t="e">
        <f>CHOOSE(Case,I82,I83,I84)</f>
        <v>#DIV/0!</v>
      </c>
      <c r="J80" s="147" t="e">
        <f>CHOOSE(Case,J82,J83,J84)</f>
        <v>#DIV/0!</v>
      </c>
      <c r="K80" s="147" t="e">
        <f>CHOOSE(Case,K82,K83,K84)</f>
        <v>#DIV/0!</v>
      </c>
      <c r="L80" s="147" t="e">
        <f>CHOOSE(Case,L82,L83,L84)</f>
        <v>#DIV/0!</v>
      </c>
      <c r="M80" s="147" t="e">
        <f>CHOOSE(Case,M82,M83,M84)</f>
        <v>#DIV/0!</v>
      </c>
    </row>
    <row r="81" spans="2:14" ht="4.1500000000000004" customHeight="1">
      <c r="B81" s="1"/>
      <c r="D81" s="1"/>
      <c r="E81" s="1"/>
      <c r="F81" s="38"/>
      <c r="G81" s="38"/>
      <c r="H81" s="141"/>
      <c r="I81" s="38"/>
      <c r="J81" s="38"/>
      <c r="K81" s="38"/>
      <c r="L81" s="38"/>
      <c r="M81" s="38"/>
    </row>
    <row r="82" spans="2:14">
      <c r="D82" s="1"/>
      <c r="E82" s="1"/>
      <c r="F82" s="38"/>
      <c r="G82" s="38" t="str">
        <f>$J$5</f>
        <v>Upside Case</v>
      </c>
      <c r="H82" s="141"/>
      <c r="I82" s="39">
        <v>0</v>
      </c>
      <c r="J82" s="45">
        <v>0</v>
      </c>
      <c r="K82" s="45">
        <v>0</v>
      </c>
      <c r="L82" s="45">
        <v>0</v>
      </c>
      <c r="M82" s="45">
        <v>0</v>
      </c>
      <c r="N82" s="222" t="s">
        <v>175</v>
      </c>
    </row>
    <row r="83" spans="2:14">
      <c r="D83" s="1"/>
      <c r="E83" s="1"/>
      <c r="F83" s="38"/>
      <c r="G83" s="38" t="str">
        <f>$J$6</f>
        <v>Base Case</v>
      </c>
      <c r="H83" s="141"/>
      <c r="I83" s="39" t="e">
        <f>AVERAGE(E80:H80)</f>
        <v>#DIV/0!</v>
      </c>
      <c r="J83" s="39" t="e">
        <f>I83</f>
        <v>#DIV/0!</v>
      </c>
      <c r="K83" s="39" t="e">
        <f t="shared" ref="K83:M84" si="11">J83</f>
        <v>#DIV/0!</v>
      </c>
      <c r="L83" s="39" t="e">
        <f t="shared" si="11"/>
        <v>#DIV/0!</v>
      </c>
      <c r="M83" s="39" t="e">
        <f t="shared" si="11"/>
        <v>#DIV/0!</v>
      </c>
      <c r="N83" s="220" t="s">
        <v>174</v>
      </c>
    </row>
    <row r="84" spans="2:14">
      <c r="D84" s="1"/>
      <c r="E84" s="1"/>
      <c r="F84" s="38"/>
      <c r="G84" s="38" t="str">
        <f>$J$7</f>
        <v>Downside Case</v>
      </c>
      <c r="H84" s="141"/>
      <c r="I84" s="39" t="e">
        <f>I83-1%</f>
        <v>#DIV/0!</v>
      </c>
      <c r="J84" s="39" t="e">
        <f>I84</f>
        <v>#DIV/0!</v>
      </c>
      <c r="K84" s="39" t="e">
        <f t="shared" si="11"/>
        <v>#DIV/0!</v>
      </c>
      <c r="L84" s="39" t="e">
        <f t="shared" si="11"/>
        <v>#DIV/0!</v>
      </c>
      <c r="M84" s="39" t="e">
        <f t="shared" si="11"/>
        <v>#DIV/0!</v>
      </c>
      <c r="N84" s="222" t="s">
        <v>176</v>
      </c>
    </row>
    <row r="85" spans="2:14">
      <c r="B85" s="1"/>
      <c r="D85" s="1"/>
      <c r="E85" s="1"/>
      <c r="F85" s="38"/>
      <c r="G85" s="38"/>
      <c r="H85" s="141"/>
      <c r="I85" s="38"/>
      <c r="J85" s="38"/>
      <c r="K85" s="38"/>
      <c r="L85" s="38"/>
      <c r="M85" s="38"/>
    </row>
    <row r="86" spans="2:14">
      <c r="B86" s="142" t="str">
        <f>B70</f>
        <v>SG&amp;A (as a % of Sales)</v>
      </c>
      <c r="C86" s="143"/>
      <c r="D86" s="143"/>
      <c r="E86" s="148" t="e">
        <f>E70</f>
        <v>#DIV/0!</v>
      </c>
      <c r="F86" s="145" t="e">
        <f>F70</f>
        <v>#DIV/0!</v>
      </c>
      <c r="G86" s="145" t="e">
        <f>G70</f>
        <v>#DIV/0!</v>
      </c>
      <c r="H86" s="146" t="e">
        <f>H70</f>
        <v>#DIV/0!</v>
      </c>
      <c r="I86" s="147" t="e">
        <f>CHOOSE(Case,I88,I89,I90)</f>
        <v>#DIV/0!</v>
      </c>
      <c r="J86" s="147" t="e">
        <f>CHOOSE(Case,J88,J89,J90)</f>
        <v>#DIV/0!</v>
      </c>
      <c r="K86" s="147" t="e">
        <f>CHOOSE(Case,K88,K89,K90)</f>
        <v>#DIV/0!</v>
      </c>
      <c r="L86" s="147" t="e">
        <f>CHOOSE(Case,L88,L89,L90)</f>
        <v>#DIV/0!</v>
      </c>
      <c r="M86" s="147" t="e">
        <f>CHOOSE(Case,M88,M89,M90)</f>
        <v>#DIV/0!</v>
      </c>
    </row>
    <row r="87" spans="2:14" ht="4.1500000000000004" customHeight="1">
      <c r="B87" s="1"/>
      <c r="D87" s="1"/>
      <c r="E87" s="38"/>
      <c r="F87" s="38"/>
      <c r="G87" s="38"/>
      <c r="H87" s="141"/>
      <c r="I87" s="38"/>
      <c r="J87" s="38"/>
      <c r="K87" s="38"/>
      <c r="L87" s="38"/>
      <c r="M87" s="38"/>
    </row>
    <row r="88" spans="2:14">
      <c r="B88" s="1"/>
      <c r="D88" s="1"/>
      <c r="E88" s="1"/>
      <c r="F88" s="38"/>
      <c r="G88" s="38" t="str">
        <f>$J$5</f>
        <v>Upside Case</v>
      </c>
      <c r="H88" s="141"/>
      <c r="I88" s="39" t="e">
        <f>+I89-1%</f>
        <v>#DIV/0!</v>
      </c>
      <c r="J88" s="45" t="e">
        <f>+I88</f>
        <v>#DIV/0!</v>
      </c>
      <c r="K88" s="45" t="e">
        <f>+J88</f>
        <v>#DIV/0!</v>
      </c>
      <c r="L88" s="45" t="e">
        <f>+K88</f>
        <v>#DIV/0!</v>
      </c>
      <c r="M88" s="45" t="e">
        <f>+L88</f>
        <v>#DIV/0!</v>
      </c>
      <c r="N88" s="221" t="s">
        <v>176</v>
      </c>
    </row>
    <row r="89" spans="2:14">
      <c r="B89" s="1"/>
      <c r="D89" s="1"/>
      <c r="E89" s="1"/>
      <c r="F89" s="38"/>
      <c r="G89" s="38" t="str">
        <f>$J$6</f>
        <v>Base Case</v>
      </c>
      <c r="H89" s="141"/>
      <c r="I89" s="39" t="e">
        <f>AVERAGE(E86:H86)</f>
        <v>#DIV/0!</v>
      </c>
      <c r="J89" s="39" t="e">
        <f>I89</f>
        <v>#DIV/0!</v>
      </c>
      <c r="K89" s="39" t="e">
        <f>J89</f>
        <v>#DIV/0!</v>
      </c>
      <c r="L89" s="39" t="e">
        <f>K89</f>
        <v>#DIV/0!</v>
      </c>
      <c r="M89" s="39" t="e">
        <f>L89</f>
        <v>#DIV/0!</v>
      </c>
      <c r="N89" s="220" t="s">
        <v>174</v>
      </c>
    </row>
    <row r="90" spans="2:14">
      <c r="B90" s="1"/>
      <c r="D90" s="1"/>
      <c r="E90" s="1"/>
      <c r="F90" s="38"/>
      <c r="G90" s="38" t="str">
        <f>$J$7</f>
        <v>Downside Case</v>
      </c>
      <c r="H90" s="141"/>
      <c r="I90" s="223" t="e">
        <f>I89+1%</f>
        <v>#DIV/0!</v>
      </c>
      <c r="J90" s="45" t="e">
        <f>+I90</f>
        <v>#DIV/0!</v>
      </c>
      <c r="K90" s="45" t="e">
        <f>+J90</f>
        <v>#DIV/0!</v>
      </c>
      <c r="L90" s="45" t="e">
        <f>+K90</f>
        <v>#DIV/0!</v>
      </c>
      <c r="M90" s="45" t="e">
        <f>+L90</f>
        <v>#DIV/0!</v>
      </c>
      <c r="N90" s="221" t="s">
        <v>175</v>
      </c>
    </row>
    <row r="91" spans="2:14">
      <c r="B91" s="1"/>
      <c r="D91" s="1"/>
      <c r="E91" s="1"/>
      <c r="F91" s="38"/>
      <c r="G91" s="38"/>
      <c r="H91" s="141"/>
      <c r="I91" s="38"/>
      <c r="J91" s="38"/>
      <c r="K91" s="38"/>
      <c r="L91" s="38"/>
      <c r="M91" s="38"/>
    </row>
    <row r="92" spans="2:14">
      <c r="B92" s="142" t="str">
        <f>B71</f>
        <v>CapEx (as a % of Sales)</v>
      </c>
      <c r="C92" s="143"/>
      <c r="D92" s="143"/>
      <c r="E92" s="148" t="e">
        <f>E71</f>
        <v>#DIV/0!</v>
      </c>
      <c r="F92" s="145" t="e">
        <f>F71</f>
        <v>#DIV/0!</v>
      </c>
      <c r="G92" s="145" t="e">
        <f>G71</f>
        <v>#DIV/0!</v>
      </c>
      <c r="H92" s="146" t="e">
        <f>H71</f>
        <v>#DIV/0!</v>
      </c>
      <c r="I92" s="167" t="e">
        <f>AVERAGE(E92:G92)</f>
        <v>#DIV/0!</v>
      </c>
      <c r="J92" s="167" t="e">
        <f>+I92</f>
        <v>#DIV/0!</v>
      </c>
      <c r="K92" s="167" t="e">
        <f>+J92</f>
        <v>#DIV/0!</v>
      </c>
      <c r="L92" s="167" t="e">
        <f>+K92</f>
        <v>#DIV/0!</v>
      </c>
      <c r="M92" s="167" t="e">
        <f>+L92</f>
        <v>#DIV/0!</v>
      </c>
      <c r="N92" s="220" t="s">
        <v>174</v>
      </c>
    </row>
    <row r="93" spans="2:14">
      <c r="B93" s="1"/>
      <c r="D93" s="1"/>
      <c r="E93" s="1"/>
      <c r="F93" s="38"/>
      <c r="G93" s="38"/>
      <c r="H93" s="141"/>
      <c r="I93" s="38"/>
      <c r="J93" s="38"/>
      <c r="K93" s="38"/>
      <c r="L93" s="38"/>
      <c r="M93" s="38"/>
    </row>
    <row r="94" spans="2:14">
      <c r="B94" s="1"/>
      <c r="D94" s="1"/>
      <c r="E94" s="1"/>
      <c r="F94" s="38"/>
      <c r="G94" s="38"/>
      <c r="H94" s="141"/>
      <c r="I94" s="38"/>
      <c r="J94" s="38"/>
      <c r="K94" s="38"/>
      <c r="L94" s="38"/>
      <c r="M94" s="38"/>
    </row>
    <row r="95" spans="2:14">
      <c r="B95" s="142" t="str">
        <f>B72</f>
        <v>D&amp;A (as a % of CapEx)</v>
      </c>
      <c r="C95" s="143"/>
      <c r="D95" s="143"/>
      <c r="E95" s="148" t="e">
        <f>E72</f>
        <v>#DIV/0!</v>
      </c>
      <c r="F95" s="145" t="e">
        <f>F72</f>
        <v>#DIV/0!</v>
      </c>
      <c r="G95" s="145" t="e">
        <f>G72</f>
        <v>#DIV/0!</v>
      </c>
      <c r="H95" s="146" t="e">
        <f>H72</f>
        <v>#DIV/0!</v>
      </c>
      <c r="I95" s="167" t="e">
        <f>AVERAGE(E95:G95)</f>
        <v>#DIV/0!</v>
      </c>
      <c r="J95" s="167" t="e">
        <f>+I95</f>
        <v>#DIV/0!</v>
      </c>
      <c r="K95" s="167" t="e">
        <f>+J95</f>
        <v>#DIV/0!</v>
      </c>
      <c r="L95" s="167" t="e">
        <f>+K95</f>
        <v>#DIV/0!</v>
      </c>
      <c r="M95" s="167" t="e">
        <f>+L95</f>
        <v>#DIV/0!</v>
      </c>
      <c r="N95" s="220" t="s">
        <v>174</v>
      </c>
    </row>
    <row r="96" spans="2:14" ht="4.1500000000000004" customHeight="1">
      <c r="B96" s="1"/>
      <c r="D96" s="1"/>
      <c r="E96" s="38"/>
      <c r="F96" s="38"/>
      <c r="G96" s="38"/>
      <c r="H96" s="38"/>
      <c r="I96" s="38"/>
      <c r="J96" s="38"/>
      <c r="K96" s="38"/>
      <c r="L96" s="38"/>
      <c r="M96" s="38"/>
    </row>
    <row r="97" spans="1:15">
      <c r="E97" s="24"/>
      <c r="F97" s="24"/>
      <c r="G97" s="24"/>
      <c r="H97" s="24"/>
      <c r="I97" s="24"/>
      <c r="J97" s="24"/>
      <c r="K97" s="24"/>
      <c r="L97" s="24"/>
      <c r="M97" s="24"/>
    </row>
    <row r="98" spans="1:15" ht="13">
      <c r="A98" s="61" t="s">
        <v>54</v>
      </c>
      <c r="B98" s="2" t="s">
        <v>44</v>
      </c>
      <c r="C98" s="3"/>
      <c r="D98" s="3"/>
      <c r="E98" s="35" t="s">
        <v>14</v>
      </c>
      <c r="F98" s="35"/>
      <c r="G98" s="35"/>
      <c r="H98" s="371" t="str">
        <f>+H64</f>
        <v>LTM</v>
      </c>
      <c r="I98" s="35" t="s">
        <v>36</v>
      </c>
      <c r="J98" s="11"/>
      <c r="K98" s="35"/>
      <c r="L98" s="11"/>
      <c r="M98" s="11"/>
    </row>
    <row r="99" spans="1:15" ht="13">
      <c r="B99" s="3"/>
      <c r="C99" s="3"/>
      <c r="D99" s="3"/>
      <c r="E99" s="36">
        <f>$E$26</f>
        <v>2022</v>
      </c>
      <c r="F99" s="36">
        <f>$F$26</f>
        <v>2023</v>
      </c>
      <c r="G99" s="36">
        <f>$G$26</f>
        <v>2024</v>
      </c>
      <c r="H99" s="373" t="str">
        <f>+H65</f>
        <v>9/30/2024</v>
      </c>
      <c r="I99" s="37">
        <f>$I$26</f>
        <v>2025</v>
      </c>
      <c r="J99" s="37">
        <f>$J$26</f>
        <v>2026</v>
      </c>
      <c r="K99" s="37">
        <f>$K$26</f>
        <v>2027</v>
      </c>
      <c r="L99" s="37">
        <f>$L$26</f>
        <v>2028</v>
      </c>
      <c r="M99" s="37">
        <f>$M$26</f>
        <v>2029</v>
      </c>
      <c r="O99" s="27" t="s">
        <v>48</v>
      </c>
    </row>
    <row r="100" spans="1:15" ht="4.1500000000000004" customHeight="1">
      <c r="B100" s="1"/>
      <c r="D100" s="1"/>
      <c r="E100" s="1"/>
      <c r="F100" s="1"/>
      <c r="G100" s="1"/>
      <c r="H100" s="140"/>
      <c r="I100" s="1"/>
      <c r="J100" s="1"/>
      <c r="K100" s="1"/>
      <c r="L100" s="1"/>
      <c r="M100" s="1"/>
    </row>
    <row r="101" spans="1:15">
      <c r="B101" s="50" t="s">
        <v>45</v>
      </c>
      <c r="E101" s="1"/>
      <c r="F101" s="1"/>
      <c r="G101" s="1"/>
      <c r="H101" s="140"/>
      <c r="I101" s="1"/>
      <c r="J101" s="1"/>
      <c r="K101" s="1"/>
      <c r="L101" s="1"/>
      <c r="M101" s="1"/>
      <c r="O101" s="56"/>
    </row>
    <row r="102" spans="1:15">
      <c r="B102" s="48" t="s">
        <v>41</v>
      </c>
      <c r="E102" s="52" t="e">
        <f t="shared" ref="E102:H103" si="12">E47 / E29 * Days</f>
        <v>#DIV/0!</v>
      </c>
      <c r="F102" s="52" t="e">
        <f t="shared" si="12"/>
        <v>#DIV/0!</v>
      </c>
      <c r="G102" s="52" t="e">
        <f t="shared" si="12"/>
        <v>#DIV/0!</v>
      </c>
      <c r="H102" s="149" t="e">
        <f t="shared" si="12"/>
        <v>#DIV/0!</v>
      </c>
      <c r="I102" s="46" t="e">
        <f>AVERAGE(E102:G102)</f>
        <v>#DIV/0!</v>
      </c>
      <c r="J102" s="46" t="e">
        <f t="shared" ref="J102:M104" si="13">+I102</f>
        <v>#DIV/0!</v>
      </c>
      <c r="K102" s="46" t="e">
        <f t="shared" si="13"/>
        <v>#DIV/0!</v>
      </c>
      <c r="L102" s="46" t="e">
        <f t="shared" si="13"/>
        <v>#DIV/0!</v>
      </c>
      <c r="M102" s="46" t="e">
        <f t="shared" si="13"/>
        <v>#DIV/0!</v>
      </c>
      <c r="N102" s="220" t="s">
        <v>174</v>
      </c>
      <c r="O102" s="56" t="s">
        <v>131</v>
      </c>
    </row>
    <row r="103" spans="1:15">
      <c r="B103" s="48" t="s">
        <v>42</v>
      </c>
      <c r="E103" s="52" t="e">
        <f t="shared" si="12"/>
        <v>#DIV/0!</v>
      </c>
      <c r="F103" s="52" t="e">
        <f t="shared" si="12"/>
        <v>#DIV/0!</v>
      </c>
      <c r="G103" s="52" t="e">
        <f t="shared" si="12"/>
        <v>#DIV/0!</v>
      </c>
      <c r="H103" s="149" t="e">
        <f t="shared" si="12"/>
        <v>#DIV/0!</v>
      </c>
      <c r="I103" s="46" t="e">
        <f>AVERAGE(E103:G103)</f>
        <v>#DIV/0!</v>
      </c>
      <c r="J103" s="46" t="e">
        <f t="shared" si="13"/>
        <v>#DIV/0!</v>
      </c>
      <c r="K103" s="46" t="e">
        <f t="shared" si="13"/>
        <v>#DIV/0!</v>
      </c>
      <c r="L103" s="46" t="e">
        <f t="shared" si="13"/>
        <v>#DIV/0!</v>
      </c>
      <c r="M103" s="46" t="e">
        <f t="shared" si="13"/>
        <v>#DIV/0!</v>
      </c>
      <c r="N103" s="220" t="s">
        <v>174</v>
      </c>
    </row>
    <row r="104" spans="1:15">
      <c r="B104" s="48" t="str">
        <f>B49&amp;" (% of Sales)"</f>
        <v>Prepaid expenses and other (% of Sales)</v>
      </c>
      <c r="E104" s="54" t="e">
        <f>E49 / E$29</f>
        <v>#DIV/0!</v>
      </c>
      <c r="F104" s="54" t="e">
        <f>F49 / F$29</f>
        <v>#DIV/0!</v>
      </c>
      <c r="G104" s="54" t="e">
        <f>G49 / G$29</f>
        <v>#DIV/0!</v>
      </c>
      <c r="H104" s="150" t="e">
        <f>H49 / H$29</f>
        <v>#DIV/0!</v>
      </c>
      <c r="I104" s="53" t="e">
        <f>AVERAGE(E104:G104)</f>
        <v>#DIV/0!</v>
      </c>
      <c r="J104" s="53" t="e">
        <f t="shared" si="13"/>
        <v>#DIV/0!</v>
      </c>
      <c r="K104" s="53" t="e">
        <f t="shared" si="13"/>
        <v>#DIV/0!</v>
      </c>
      <c r="L104" s="53" t="e">
        <f t="shared" si="13"/>
        <v>#DIV/0!</v>
      </c>
      <c r="M104" s="53" t="e">
        <f t="shared" si="13"/>
        <v>#DIV/0!</v>
      </c>
      <c r="N104" s="220" t="s">
        <v>174</v>
      </c>
    </row>
    <row r="105" spans="1:15">
      <c r="B105" s="49"/>
      <c r="E105" s="1"/>
      <c r="F105" s="47"/>
      <c r="G105" s="47"/>
      <c r="H105" s="151"/>
      <c r="I105" s="47"/>
      <c r="J105" s="47"/>
      <c r="K105" s="47"/>
      <c r="L105" s="47"/>
      <c r="M105" s="47"/>
      <c r="N105" s="220"/>
    </row>
    <row r="106" spans="1:15">
      <c r="B106" s="51" t="s">
        <v>46</v>
      </c>
      <c r="E106" s="1"/>
      <c r="F106" s="47"/>
      <c r="G106" s="47"/>
      <c r="H106" s="151"/>
      <c r="I106" s="47"/>
      <c r="J106" s="47"/>
      <c r="K106" s="47"/>
      <c r="L106" s="47"/>
      <c r="M106" s="47"/>
      <c r="N106" s="220"/>
    </row>
    <row r="107" spans="1:15">
      <c r="B107" s="48" t="s">
        <v>43</v>
      </c>
      <c r="C107" s="1"/>
      <c r="D107" s="1"/>
      <c r="E107" s="52" t="e">
        <f>E53 / E30 * Days</f>
        <v>#DIV/0!</v>
      </c>
      <c r="F107" s="52" t="e">
        <f>F53 / F30 * Days</f>
        <v>#DIV/0!</v>
      </c>
      <c r="G107" s="52" t="e">
        <f>G53 / G30 * Days</f>
        <v>#DIV/0!</v>
      </c>
      <c r="H107" s="149" t="e">
        <f>H53 / H30 * Days</f>
        <v>#DIV/0!</v>
      </c>
      <c r="I107" s="46" t="e">
        <f>AVERAGE(E107:G107)</f>
        <v>#DIV/0!</v>
      </c>
      <c r="J107" s="46" t="e">
        <f t="shared" ref="J107:M109" si="14">+I107</f>
        <v>#DIV/0!</v>
      </c>
      <c r="K107" s="46" t="e">
        <f t="shared" si="14"/>
        <v>#DIV/0!</v>
      </c>
      <c r="L107" s="46" t="e">
        <f t="shared" si="14"/>
        <v>#DIV/0!</v>
      </c>
      <c r="M107" s="46" t="e">
        <f t="shared" si="14"/>
        <v>#DIV/0!</v>
      </c>
      <c r="N107" s="220" t="s">
        <v>174</v>
      </c>
    </row>
    <row r="108" spans="1:15">
      <c r="B108" s="48" t="str">
        <f>B54&amp;" (% of Sales)"</f>
        <v>Accrued liabilities (% of Sales)</v>
      </c>
      <c r="C108" s="1"/>
      <c r="D108" s="1"/>
      <c r="E108" s="38" t="e">
        <f t="shared" ref="E108:H109" si="15">E54 / E$29</f>
        <v>#DIV/0!</v>
      </c>
      <c r="F108" s="38" t="e">
        <f t="shared" si="15"/>
        <v>#DIV/0!</v>
      </c>
      <c r="G108" s="38" t="e">
        <f t="shared" si="15"/>
        <v>#DIV/0!</v>
      </c>
      <c r="H108" s="141" t="e">
        <f t="shared" si="15"/>
        <v>#DIV/0!</v>
      </c>
      <c r="I108" s="53" t="e">
        <f>AVERAGE(E108:G108)</f>
        <v>#DIV/0!</v>
      </c>
      <c r="J108" s="53" t="e">
        <f t="shared" si="14"/>
        <v>#DIV/0!</v>
      </c>
      <c r="K108" s="53" t="e">
        <f t="shared" si="14"/>
        <v>#DIV/0!</v>
      </c>
      <c r="L108" s="53" t="e">
        <f t="shared" si="14"/>
        <v>#DIV/0!</v>
      </c>
      <c r="M108" s="53" t="e">
        <f t="shared" si="14"/>
        <v>#DIV/0!</v>
      </c>
      <c r="N108" s="220" t="s">
        <v>174</v>
      </c>
    </row>
    <row r="109" spans="1:15">
      <c r="A109" s="61" t="s">
        <v>54</v>
      </c>
      <c r="B109" s="48" t="str">
        <f>B55&amp;" (% of Sales)"</f>
        <v>Other current liabilities (% of Sales)</v>
      </c>
      <c r="C109" s="1"/>
      <c r="D109" s="1"/>
      <c r="E109" s="38" t="e">
        <f t="shared" si="15"/>
        <v>#DIV/0!</v>
      </c>
      <c r="F109" s="38" t="e">
        <f t="shared" si="15"/>
        <v>#DIV/0!</v>
      </c>
      <c r="G109" s="38" t="e">
        <f t="shared" si="15"/>
        <v>#DIV/0!</v>
      </c>
      <c r="H109" s="141" t="e">
        <f t="shared" si="15"/>
        <v>#DIV/0!</v>
      </c>
      <c r="I109" s="53" t="e">
        <f>AVERAGE(E109:G109)</f>
        <v>#DIV/0!</v>
      </c>
      <c r="J109" s="53" t="e">
        <f t="shared" si="14"/>
        <v>#DIV/0!</v>
      </c>
      <c r="K109" s="53" t="e">
        <f t="shared" si="14"/>
        <v>#DIV/0!</v>
      </c>
      <c r="L109" s="53" t="e">
        <f t="shared" si="14"/>
        <v>#DIV/0!</v>
      </c>
      <c r="M109" s="53" t="e">
        <f t="shared" si="14"/>
        <v>#DIV/0!</v>
      </c>
      <c r="N109" s="220" t="s">
        <v>174</v>
      </c>
    </row>
    <row r="113" spans="1:2">
      <c r="A113" s="61" t="s">
        <v>54</v>
      </c>
      <c r="B113" s="61" t="s">
        <v>55</v>
      </c>
    </row>
  </sheetData>
  <conditionalFormatting sqref="B20:D20">
    <cfRule type="expression" dxfId="31" priority="4">
      <formula>$C$5=0</formula>
    </cfRule>
  </conditionalFormatting>
  <conditionalFormatting sqref="E50:H50">
    <cfRule type="containsText" dxfId="30" priority="12" operator="containsText" text="xxx">
      <formula>NOT(ISERROR(SEARCH("xxx",E50)))</formula>
    </cfRule>
  </conditionalFormatting>
  <conditionalFormatting sqref="E55:H55">
    <cfRule type="containsText" dxfId="29" priority="7" operator="containsText" text="xxx">
      <formula>NOT(ISERROR(SEARCH("xxx",E55)))</formula>
    </cfRule>
  </conditionalFormatting>
  <conditionalFormatting sqref="F57:H57">
    <cfRule type="containsText" dxfId="28" priority="11" operator="containsText" text="xxx">
      <formula>NOT(ISERROR(SEARCH("xxx",F57)))</formula>
    </cfRule>
  </conditionalFormatting>
  <conditionalFormatting sqref="F60:H60">
    <cfRule type="containsText" dxfId="27" priority="10" operator="containsText" text="xxx">
      <formula>NOT(ISERROR(SEARCH("xxx",F60)))</formula>
    </cfRule>
  </conditionalFormatting>
  <conditionalFormatting sqref="I29:M31 I33:M34 I36:M37">
    <cfRule type="expression" dxfId="26" priority="13">
      <formula>I29&lt;&gt;""</formula>
    </cfRule>
  </conditionalFormatting>
  <conditionalFormatting sqref="I47:M50 I53:M56 I58:M58">
    <cfRule type="expression" dxfId="25" priority="21">
      <formula>I47&lt;&gt;""</formula>
    </cfRule>
  </conditionalFormatting>
  <conditionalFormatting sqref="I60:M61">
    <cfRule type="expression" dxfId="24" priority="18">
      <formula>I60&lt;&gt;""</formula>
    </cfRule>
  </conditionalFormatting>
  <printOptions horizontalCentered="1"/>
  <pageMargins left="0.3" right="0.3" top="0.4" bottom="0.4" header="0.3" footer="0.2"/>
  <pageSetup scale="74" orientation="portrait" r:id="rId1"/>
  <headerFooter>
    <oddFooter>&amp;L&amp;7Invetment Banking Society at Fordham&amp;C&amp;7fordhamibs@gmail.com&amp;R&amp;7For training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093A1-EE5B-4F39-832B-B952F3128536}">
  <sheetPr codeName="Sheet4">
    <pageSetUpPr fitToPage="1"/>
  </sheetPr>
  <dimension ref="A2:P33"/>
  <sheetViews>
    <sheetView showGridLines="0" zoomScale="48" zoomScaleNormal="85" workbookViewId="0">
      <selection activeCell="C14" sqref="C14:C21"/>
    </sheetView>
  </sheetViews>
  <sheetFormatPr defaultRowHeight="12.5"/>
  <cols>
    <col min="1" max="1" width="1.7265625" style="61" customWidth="1"/>
    <col min="2" max="2" width="39.453125" customWidth="1"/>
    <col min="3" max="3" width="15.54296875" customWidth="1"/>
    <col min="4" max="5" width="11" bestFit="1" customWidth="1"/>
    <col min="6" max="6" width="15" bestFit="1" customWidth="1"/>
    <col min="7" max="10" width="11.7265625" customWidth="1"/>
    <col min="11" max="11" width="0.7265625" customWidth="1"/>
    <col min="12" max="13" width="16.7265625" customWidth="1"/>
    <col min="14" max="14" width="0.7265625" customWidth="1"/>
  </cols>
  <sheetData>
    <row r="2" spans="1:16">
      <c r="C2" s="57" t="s">
        <v>64</v>
      </c>
    </row>
    <row r="3" spans="1:16" ht="13">
      <c r="C3" s="63">
        <v>1</v>
      </c>
      <c r="H3" s="72" t="s">
        <v>68</v>
      </c>
      <c r="I3" t="s">
        <v>65</v>
      </c>
    </row>
    <row r="4" spans="1:16">
      <c r="C4" t="s">
        <v>62</v>
      </c>
      <c r="D4" s="48" t="s">
        <v>162</v>
      </c>
      <c r="H4" s="81" t="s">
        <v>71</v>
      </c>
      <c r="I4" t="s">
        <v>86</v>
      </c>
    </row>
    <row r="5" spans="1:16">
      <c r="C5" t="s">
        <v>63</v>
      </c>
      <c r="D5" s="48" t="s">
        <v>160</v>
      </c>
      <c r="H5" s="76" t="s">
        <v>69</v>
      </c>
      <c r="I5" t="s">
        <v>66</v>
      </c>
    </row>
    <row r="7" spans="1:16" ht="18">
      <c r="B7" s="213">
        <f>'Input &amp; Projections'!E5</f>
        <v>0</v>
      </c>
    </row>
    <row r="8" spans="1:16" ht="13">
      <c r="B8" s="14" t="s">
        <v>111</v>
      </c>
    </row>
    <row r="9" spans="1:16" ht="6.4" customHeight="1"/>
    <row r="10" spans="1:16" ht="13.5" thickBot="1">
      <c r="B10" s="96"/>
      <c r="C10" s="97"/>
      <c r="D10" s="98" t="s">
        <v>112</v>
      </c>
      <c r="E10" s="98" t="s">
        <v>141</v>
      </c>
      <c r="F10" s="98" t="s">
        <v>164</v>
      </c>
      <c r="G10" s="98" t="s">
        <v>141</v>
      </c>
      <c r="H10" s="98" t="s">
        <v>113</v>
      </c>
      <c r="I10" s="98" t="s">
        <v>141</v>
      </c>
      <c r="J10" s="99" t="s">
        <v>141</v>
      </c>
      <c r="K10" s="2"/>
      <c r="L10" s="35" t="s">
        <v>113</v>
      </c>
      <c r="M10" s="35"/>
      <c r="N10" s="2"/>
    </row>
    <row r="11" spans="1:16" ht="13.15" customHeight="1">
      <c r="B11" s="101" t="s">
        <v>2</v>
      </c>
      <c r="C11" s="98" t="s">
        <v>4</v>
      </c>
      <c r="D11" s="100" t="s">
        <v>114</v>
      </c>
      <c r="E11" s="100" t="s">
        <v>163</v>
      </c>
      <c r="F11" s="100" t="s">
        <v>165</v>
      </c>
      <c r="G11" s="100" t="s">
        <v>142</v>
      </c>
      <c r="H11" s="100" t="s">
        <v>114</v>
      </c>
      <c r="I11" s="214" t="s">
        <v>115</v>
      </c>
      <c r="J11" s="100" t="s">
        <v>18</v>
      </c>
      <c r="K11" s="2"/>
      <c r="L11" s="102" t="s">
        <v>139</v>
      </c>
      <c r="M11" s="102" t="s">
        <v>140</v>
      </c>
      <c r="N11" s="2"/>
      <c r="P11" s="27" t="s">
        <v>48</v>
      </c>
    </row>
    <row r="12" spans="1:16" ht="6.4" customHeight="1">
      <c r="B12" s="90"/>
      <c r="C12" s="90"/>
      <c r="D12" s="91"/>
      <c r="E12" s="91"/>
      <c r="F12" s="91"/>
      <c r="G12" s="91"/>
      <c r="H12" s="91"/>
      <c r="I12" s="91"/>
    </row>
    <row r="13" spans="1:16" ht="13">
      <c r="B13" s="14" t="str">
        <f>'Input &amp; Projections'!$B$28</f>
        <v>USD in millions</v>
      </c>
      <c r="C13" s="90"/>
      <c r="D13" s="91"/>
      <c r="E13" s="91"/>
      <c r="F13" s="91"/>
      <c r="G13" s="91"/>
      <c r="H13" s="91"/>
      <c r="I13" s="91"/>
    </row>
    <row r="14" spans="1:16">
      <c r="A14" s="61" t="s">
        <v>54</v>
      </c>
      <c r="B14" s="116" t="s">
        <v>116</v>
      </c>
      <c r="C14" s="113" t="s">
        <v>128</v>
      </c>
      <c r="D14" s="110">
        <v>0</v>
      </c>
      <c r="E14" s="110">
        <v>0</v>
      </c>
      <c r="F14" s="110">
        <v>0</v>
      </c>
      <c r="G14" s="110">
        <v>0</v>
      </c>
      <c r="H14" s="153" t="s">
        <v>159</v>
      </c>
      <c r="I14" s="110">
        <v>0</v>
      </c>
      <c r="J14" s="110">
        <v>0</v>
      </c>
      <c r="K14" s="110"/>
      <c r="L14" s="159" t="s">
        <v>159</v>
      </c>
      <c r="M14" s="112" t="s">
        <v>159</v>
      </c>
      <c r="P14" s="56" t="s">
        <v>129</v>
      </c>
    </row>
    <row r="15" spans="1:16">
      <c r="B15" s="116" t="s">
        <v>117</v>
      </c>
      <c r="C15" s="113" t="s">
        <v>128</v>
      </c>
      <c r="D15" s="111">
        <v>0</v>
      </c>
      <c r="E15" s="111">
        <v>0</v>
      </c>
      <c r="F15" s="111">
        <v>0</v>
      </c>
      <c r="G15" s="111">
        <v>0</v>
      </c>
      <c r="H15" s="152" t="s">
        <v>159</v>
      </c>
      <c r="I15" s="111">
        <v>0</v>
      </c>
      <c r="J15" s="111">
        <v>0</v>
      </c>
      <c r="K15" s="111"/>
      <c r="L15" s="159" t="s">
        <v>159</v>
      </c>
      <c r="M15" s="112" t="s">
        <v>159</v>
      </c>
    </row>
    <row r="16" spans="1:16">
      <c r="B16" s="116" t="s">
        <v>118</v>
      </c>
      <c r="C16" s="113" t="s">
        <v>128</v>
      </c>
      <c r="D16" s="111">
        <v>0</v>
      </c>
      <c r="E16" s="111">
        <v>0</v>
      </c>
      <c r="F16" s="111">
        <v>0</v>
      </c>
      <c r="G16" s="111">
        <v>0</v>
      </c>
      <c r="H16" s="152" t="s">
        <v>159</v>
      </c>
      <c r="I16" s="111">
        <v>0</v>
      </c>
      <c r="J16" s="111">
        <v>0</v>
      </c>
      <c r="K16" s="111"/>
      <c r="L16" s="159" t="s">
        <v>159</v>
      </c>
      <c r="M16" s="112" t="s">
        <v>159</v>
      </c>
    </row>
    <row r="17" spans="1:16">
      <c r="B17" s="116" t="s">
        <v>119</v>
      </c>
      <c r="C17" s="113" t="s">
        <v>128</v>
      </c>
      <c r="D17" s="111">
        <v>0</v>
      </c>
      <c r="E17" s="111">
        <v>0</v>
      </c>
      <c r="F17" s="111">
        <v>0</v>
      </c>
      <c r="G17" s="111">
        <v>0</v>
      </c>
      <c r="H17" s="152" t="s">
        <v>159</v>
      </c>
      <c r="I17" s="111">
        <v>0</v>
      </c>
      <c r="J17" s="111">
        <v>0</v>
      </c>
      <c r="K17" s="111"/>
      <c r="L17" s="159" t="s">
        <v>159</v>
      </c>
      <c r="M17" s="112" t="s">
        <v>159</v>
      </c>
    </row>
    <row r="18" spans="1:16">
      <c r="B18" s="116" t="s">
        <v>120</v>
      </c>
      <c r="C18" s="113" t="s">
        <v>128</v>
      </c>
      <c r="D18" s="111">
        <v>0</v>
      </c>
      <c r="E18" s="111">
        <v>0</v>
      </c>
      <c r="F18" s="111">
        <v>0</v>
      </c>
      <c r="G18" s="111">
        <v>0</v>
      </c>
      <c r="H18" s="152" t="s">
        <v>159</v>
      </c>
      <c r="I18" s="111">
        <v>0</v>
      </c>
      <c r="J18" s="111">
        <v>0</v>
      </c>
      <c r="K18" s="111"/>
      <c r="L18" s="159" t="s">
        <v>159</v>
      </c>
      <c r="M18" s="112" t="s">
        <v>159</v>
      </c>
    </row>
    <row r="19" spans="1:16">
      <c r="B19" s="116" t="s">
        <v>121</v>
      </c>
      <c r="C19" s="113" t="s">
        <v>128</v>
      </c>
      <c r="D19" s="111">
        <v>0</v>
      </c>
      <c r="E19" s="111">
        <v>0</v>
      </c>
      <c r="F19" s="111">
        <v>0</v>
      </c>
      <c r="G19" s="111">
        <v>0</v>
      </c>
      <c r="H19" s="152" t="s">
        <v>159</v>
      </c>
      <c r="I19" s="111">
        <v>0</v>
      </c>
      <c r="J19" s="111">
        <v>0</v>
      </c>
      <c r="K19" s="111"/>
      <c r="L19" s="159" t="s">
        <v>159</v>
      </c>
      <c r="M19" s="112" t="s">
        <v>159</v>
      </c>
    </row>
    <row r="20" spans="1:16">
      <c r="B20" s="116" t="s">
        <v>122</v>
      </c>
      <c r="C20" s="113" t="s">
        <v>128</v>
      </c>
      <c r="D20" s="111">
        <v>0</v>
      </c>
      <c r="E20" s="111">
        <v>0</v>
      </c>
      <c r="F20" s="111">
        <v>0</v>
      </c>
      <c r="G20" s="111">
        <v>0</v>
      </c>
      <c r="H20" s="152" t="s">
        <v>159</v>
      </c>
      <c r="I20" s="111">
        <v>0</v>
      </c>
      <c r="J20" s="111">
        <v>0</v>
      </c>
      <c r="K20" s="111"/>
      <c r="L20" s="159" t="s">
        <v>159</v>
      </c>
      <c r="M20" s="112" t="s">
        <v>159</v>
      </c>
    </row>
    <row r="21" spans="1:16">
      <c r="B21" s="116" t="s">
        <v>123</v>
      </c>
      <c r="C21" s="113" t="s">
        <v>128</v>
      </c>
      <c r="D21" s="111">
        <v>0</v>
      </c>
      <c r="E21" s="111">
        <v>0</v>
      </c>
      <c r="F21" s="111">
        <v>0</v>
      </c>
      <c r="G21" s="111">
        <v>0</v>
      </c>
      <c r="H21" s="152" t="s">
        <v>159</v>
      </c>
      <c r="I21" s="111">
        <v>0</v>
      </c>
      <c r="J21" s="111">
        <v>0</v>
      </c>
      <c r="K21" s="111"/>
      <c r="L21" s="159" t="s">
        <v>159</v>
      </c>
      <c r="M21" s="112" t="s">
        <v>159</v>
      </c>
    </row>
    <row r="22" spans="1:16" ht="13">
      <c r="B22" s="117"/>
      <c r="C22" s="114"/>
      <c r="D22" s="94"/>
      <c r="E22" s="94"/>
      <c r="F22" s="94"/>
      <c r="G22" s="94"/>
      <c r="H22" s="94"/>
      <c r="I22" s="94"/>
      <c r="J22" s="94"/>
      <c r="L22" s="160"/>
      <c r="M22" s="95"/>
    </row>
    <row r="23" spans="1:16">
      <c r="B23" s="118">
        <f>'Input &amp; Projections'!E5</f>
        <v>0</v>
      </c>
      <c r="C23" s="115">
        <f>'Input &amp; Projections'!E6</f>
        <v>0</v>
      </c>
      <c r="D23" s="155">
        <f>'DCF Valuation'!E21</f>
        <v>0</v>
      </c>
      <c r="E23" s="155">
        <f>'DCF Valuation'!E29</f>
        <v>0</v>
      </c>
      <c r="F23" s="154">
        <v>0</v>
      </c>
      <c r="G23" s="154">
        <v>0</v>
      </c>
      <c r="H23" s="156">
        <f>SUM(D23:G23)</f>
        <v>0</v>
      </c>
      <c r="I23" s="164">
        <v>0</v>
      </c>
      <c r="J23" s="164">
        <v>0</v>
      </c>
      <c r="L23" s="165" t="str">
        <f>IFERROR($H$23 / I23, "N/A ")</f>
        <v xml:space="preserve">N/A </v>
      </c>
      <c r="M23" s="166" t="str">
        <f>IFERROR($H$23 / J23, "N/A ")</f>
        <v xml:space="preserve">N/A </v>
      </c>
      <c r="P23" s="56" t="s">
        <v>130</v>
      </c>
    </row>
    <row r="24" spans="1:16">
      <c r="B24" s="92"/>
      <c r="C24" s="93"/>
      <c r="D24" s="94"/>
      <c r="E24" s="94"/>
      <c r="F24" s="94"/>
      <c r="G24" s="94"/>
      <c r="H24" s="94"/>
      <c r="I24" s="94"/>
      <c r="J24" s="94"/>
      <c r="L24" s="160"/>
      <c r="M24" s="95"/>
    </row>
    <row r="25" spans="1:16" ht="4.1500000000000004" customHeight="1">
      <c r="C25" s="208"/>
      <c r="D25" s="210"/>
      <c r="E25" s="210"/>
      <c r="F25" s="210"/>
      <c r="G25" s="210"/>
      <c r="H25" s="210"/>
      <c r="I25" s="210"/>
      <c r="J25" s="210"/>
      <c r="L25" s="161"/>
      <c r="M25" s="105"/>
    </row>
    <row r="26" spans="1:16">
      <c r="C26" s="103" t="s">
        <v>124</v>
      </c>
      <c r="D26" s="207">
        <v>0</v>
      </c>
      <c r="E26" s="207">
        <v>0</v>
      </c>
      <c r="F26" s="207">
        <v>0</v>
      </c>
      <c r="G26" s="207">
        <v>0</v>
      </c>
      <c r="H26" s="207">
        <v>0</v>
      </c>
      <c r="I26" s="207">
        <v>0</v>
      </c>
      <c r="J26" s="207">
        <v>0</v>
      </c>
      <c r="L26" s="162">
        <v>0</v>
      </c>
      <c r="M26" s="107">
        <v>0</v>
      </c>
    </row>
    <row r="27" spans="1:16">
      <c r="C27" s="103" t="s">
        <v>125</v>
      </c>
      <c r="D27" s="106">
        <v>0</v>
      </c>
      <c r="E27" s="106">
        <v>0</v>
      </c>
      <c r="F27" s="106">
        <v>0</v>
      </c>
      <c r="G27" s="106">
        <v>0</v>
      </c>
      <c r="H27" s="106">
        <v>0</v>
      </c>
      <c r="I27" s="106">
        <v>0</v>
      </c>
      <c r="J27" s="106">
        <v>0</v>
      </c>
      <c r="L27" s="162">
        <v>0</v>
      </c>
      <c r="M27" s="107">
        <v>0</v>
      </c>
    </row>
    <row r="28" spans="1:16">
      <c r="C28" s="103" t="s">
        <v>126</v>
      </c>
      <c r="D28" s="106">
        <v>0</v>
      </c>
      <c r="E28" s="106">
        <v>0</v>
      </c>
      <c r="F28" s="106">
        <v>0</v>
      </c>
      <c r="G28" s="106">
        <v>0</v>
      </c>
      <c r="H28" s="106">
        <v>0</v>
      </c>
      <c r="I28" s="106">
        <v>0</v>
      </c>
      <c r="J28" s="106">
        <v>0</v>
      </c>
      <c r="L28" s="162">
        <v>0</v>
      </c>
      <c r="M28" s="107">
        <v>0</v>
      </c>
    </row>
    <row r="29" spans="1:16">
      <c r="A29" s="61" t="s">
        <v>54</v>
      </c>
      <c r="C29" s="103" t="s">
        <v>127</v>
      </c>
      <c r="D29" s="106">
        <v>0</v>
      </c>
      <c r="E29" s="106">
        <v>0</v>
      </c>
      <c r="F29" s="106">
        <v>0</v>
      </c>
      <c r="G29" s="106">
        <v>0</v>
      </c>
      <c r="H29" s="106">
        <v>0</v>
      </c>
      <c r="I29" s="106">
        <v>0</v>
      </c>
      <c r="J29" s="106">
        <v>0</v>
      </c>
      <c r="L29" s="162">
        <v>0</v>
      </c>
      <c r="M29" s="107">
        <v>0</v>
      </c>
    </row>
    <row r="30" spans="1:16" ht="4.1500000000000004" customHeight="1">
      <c r="C30" s="209"/>
      <c r="D30" s="108"/>
      <c r="E30" s="108"/>
      <c r="F30" s="108"/>
      <c r="G30" s="108"/>
      <c r="H30" s="108"/>
      <c r="I30" s="108"/>
      <c r="J30" s="108"/>
      <c r="L30" s="163"/>
      <c r="M30" s="109"/>
    </row>
    <row r="33" spans="1:2">
      <c r="A33" s="61" t="s">
        <v>54</v>
      </c>
      <c r="B33" s="61" t="s">
        <v>55</v>
      </c>
    </row>
  </sheetData>
  <conditionalFormatting sqref="B23:G23 I23:J23">
    <cfRule type="expression" dxfId="23" priority="9">
      <formula>$C$3=0</formula>
    </cfRule>
  </conditionalFormatting>
  <conditionalFormatting sqref="B14:J21 L14:M21">
    <cfRule type="expression" dxfId="22" priority="10">
      <formula>$C$3=0</formula>
    </cfRule>
  </conditionalFormatting>
  <conditionalFormatting sqref="D25:J30 L25:M30">
    <cfRule type="expression" dxfId="21" priority="2">
      <formula>$C$3=0</formula>
    </cfRule>
  </conditionalFormatting>
  <conditionalFormatting sqref="H23 L23:M23">
    <cfRule type="expression" dxfId="20" priority="5">
      <formula>$C$3=1</formula>
    </cfRule>
  </conditionalFormatting>
  <conditionalFormatting sqref="K14:K21">
    <cfRule type="expression" dxfId="19" priority="1">
      <formula>#REF!=0</formula>
    </cfRule>
  </conditionalFormatting>
  <printOptions horizontalCentered="1"/>
  <pageMargins left="0.2" right="0.2" top="0.75" bottom="0.75" header="0.3" footer="0.3"/>
  <pageSetup scale="79" orientation="landscape" r:id="rId1"/>
  <headerFooter>
    <oddFooter>&amp;L&amp;7Invetment Banking Society at Fordham&amp;C&amp;7fordhamibs@gmail.com&amp;R&amp;7For training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48B1A-D013-4386-A008-4B875E05A509}">
  <sheetPr>
    <tabColor rgb="FF0000FF"/>
  </sheetPr>
  <dimension ref="A1:H15"/>
  <sheetViews>
    <sheetView showGridLines="0" workbookViewId="0">
      <selection activeCell="I6" sqref="I6"/>
    </sheetView>
  </sheetViews>
  <sheetFormatPr defaultRowHeight="12.5"/>
  <cols>
    <col min="1" max="1" width="3.7265625" customWidth="1"/>
    <col min="2" max="2" width="10" style="57" customWidth="1"/>
    <col min="3" max="3" width="46.453125" customWidth="1"/>
    <col min="4" max="4" width="9.453125" customWidth="1"/>
  </cols>
  <sheetData>
    <row r="1" spans="1:8" ht="25">
      <c r="A1" s="61"/>
      <c r="B1" s="327" t="str">
        <f>'Input &amp; Projections'!$B$1</f>
        <v>Company Name</v>
      </c>
    </row>
    <row r="2" spans="1:8" ht="13">
      <c r="B2" s="328" t="s">
        <v>293</v>
      </c>
    </row>
    <row r="4" spans="1:8" s="326" customFormat="1" ht="35.5" customHeight="1">
      <c r="B4" s="335" t="s">
        <v>307</v>
      </c>
      <c r="C4" s="336" t="s">
        <v>294</v>
      </c>
      <c r="D4" s="337" t="s">
        <v>303</v>
      </c>
      <c r="E4"/>
      <c r="F4"/>
      <c r="G4"/>
      <c r="H4"/>
    </row>
    <row r="5" spans="1:8" ht="16" customHeight="1" thickBot="1">
      <c r="B5" s="338">
        <v>1</v>
      </c>
      <c r="C5" s="325" t="s">
        <v>295</v>
      </c>
      <c r="D5" s="339">
        <f>'Technical Valuation'!D8</f>
        <v>0</v>
      </c>
    </row>
    <row r="6" spans="1:8" ht="16" customHeight="1" thickTop="1">
      <c r="B6" s="329"/>
      <c r="D6" s="330"/>
    </row>
    <row r="7" spans="1:8" ht="16" customHeight="1">
      <c r="B7" s="340">
        <v>2</v>
      </c>
      <c r="C7" s="286" t="s">
        <v>296</v>
      </c>
      <c r="D7" s="341" t="e">
        <f>'Technical Valuation'!F17</f>
        <v>#DIV/0!</v>
      </c>
    </row>
    <row r="8" spans="1:8" ht="16" customHeight="1">
      <c r="B8" s="342">
        <v>3</v>
      </c>
      <c r="C8" s="343" t="s">
        <v>297</v>
      </c>
      <c r="D8" s="344" t="e">
        <f>'Technical Valuation'!C25</f>
        <v>#DIV/0!</v>
      </c>
    </row>
    <row r="9" spans="1:8" ht="16" customHeight="1">
      <c r="B9" s="342">
        <v>4</v>
      </c>
      <c r="C9" s="343" t="s">
        <v>298</v>
      </c>
      <c r="D9" s="344" t="e">
        <f>'Comps Valuation'!K36</f>
        <v>#DIV/0!</v>
      </c>
    </row>
    <row r="10" spans="1:8" ht="16" customHeight="1">
      <c r="B10" s="342">
        <v>5</v>
      </c>
      <c r="C10" s="343" t="s">
        <v>299</v>
      </c>
      <c r="D10" s="344"/>
    </row>
    <row r="11" spans="1:8" ht="16" customHeight="1">
      <c r="B11" s="329">
        <v>6</v>
      </c>
      <c r="C11" t="s">
        <v>300</v>
      </c>
      <c r="D11" s="330" t="e">
        <f>+'DCF Valuation'!E84</f>
        <v>#DIV/0!</v>
      </c>
    </row>
    <row r="12" spans="1:8" ht="16" customHeight="1">
      <c r="B12" s="340"/>
      <c r="C12" s="286" t="s">
        <v>301</v>
      </c>
      <c r="D12" s="341" t="e">
        <f>+'DCF Valuation'!J84</f>
        <v>#DIV/0!</v>
      </c>
    </row>
    <row r="13" spans="1:8" ht="16" customHeight="1">
      <c r="B13" s="342">
        <v>7</v>
      </c>
      <c r="C13" s="343" t="s">
        <v>302</v>
      </c>
      <c r="D13" s="344">
        <f>'LBO Valuation'!F73</f>
        <v>0</v>
      </c>
    </row>
    <row r="14" spans="1:8" ht="13" thickBot="1">
      <c r="B14" s="329"/>
      <c r="D14" s="330"/>
    </row>
    <row r="15" spans="1:8" s="261" customFormat="1" ht="18.5" customHeight="1" thickBot="1">
      <c r="B15" s="345"/>
      <c r="C15" s="346" t="s">
        <v>126</v>
      </c>
      <c r="D15" s="347" t="e">
        <f>AVERAGE(D7:D13)</f>
        <v>#DIV/0!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9C79-3830-431B-A6EE-005C4AB7B0C9}">
  <dimension ref="A1:I25"/>
  <sheetViews>
    <sheetView showGridLines="0" zoomScaleNormal="100" workbookViewId="0">
      <selection activeCell="F1" sqref="F1"/>
    </sheetView>
  </sheetViews>
  <sheetFormatPr defaultRowHeight="12.5"/>
  <cols>
    <col min="1" max="1" width="3.54296875" customWidth="1"/>
    <col min="2" max="2" width="33.453125" customWidth="1"/>
    <col min="3" max="5" width="12" customWidth="1"/>
    <col min="6" max="6" width="15.36328125" customWidth="1"/>
    <col min="7" max="8" width="12" customWidth="1"/>
    <col min="9" max="9" width="15.54296875" customWidth="1"/>
  </cols>
  <sheetData>
    <row r="1" spans="1:9" ht="25">
      <c r="A1" s="61"/>
      <c r="B1" s="324" t="str">
        <f>'Input &amp; Projections'!$B$1</f>
        <v>Company Name</v>
      </c>
    </row>
    <row r="3" spans="1:9" s="261" customFormat="1" ht="27.5" customHeight="1">
      <c r="B3" s="323" t="s">
        <v>197</v>
      </c>
      <c r="C3" s="264"/>
      <c r="D3" s="264"/>
      <c r="E3" s="264"/>
      <c r="F3" s="264"/>
      <c r="G3" s="264"/>
      <c r="H3" s="264"/>
      <c r="I3" s="264"/>
    </row>
    <row r="5" spans="1:9" ht="13">
      <c r="B5" t="s">
        <v>198</v>
      </c>
      <c r="D5" s="248" t="s">
        <v>199</v>
      </c>
      <c r="E5" s="248" t="s">
        <v>200</v>
      </c>
      <c r="F5" s="248" t="s">
        <v>201</v>
      </c>
      <c r="G5" s="248" t="s">
        <v>202</v>
      </c>
      <c r="H5" s="248" t="s">
        <v>203</v>
      </c>
      <c r="I5" s="249" t="s">
        <v>204</v>
      </c>
    </row>
    <row r="6" spans="1:9" ht="13" thickBot="1">
      <c r="D6" s="57"/>
      <c r="E6" s="57"/>
      <c r="F6" s="57"/>
      <c r="G6" s="57"/>
      <c r="H6" s="57"/>
      <c r="I6" s="250"/>
    </row>
    <row r="7" spans="1:9" ht="39.5" thickBot="1">
      <c r="B7" s="238" t="s">
        <v>205</v>
      </c>
      <c r="C7" s="239" t="s">
        <v>206</v>
      </c>
      <c r="D7" s="240" t="s">
        <v>207</v>
      </c>
      <c r="E7" s="240" t="s">
        <v>208</v>
      </c>
      <c r="F7" s="240" t="s">
        <v>209</v>
      </c>
      <c r="G7" s="241" t="s">
        <v>210</v>
      </c>
      <c r="H7" s="242" t="s">
        <v>211</v>
      </c>
      <c r="I7" s="231" t="s">
        <v>212</v>
      </c>
    </row>
    <row r="8" spans="1:9" ht="13">
      <c r="B8" s="251">
        <f>+'Input &amp; Projections'!E5</f>
        <v>0</v>
      </c>
      <c r="C8" s="252">
        <f>+'Input &amp; Projections'!E6</f>
        <v>0</v>
      </c>
      <c r="D8" s="263">
        <f>+'Input &amp; Projections'!E8</f>
        <v>0</v>
      </c>
      <c r="E8" s="253">
        <f>+'Input &amp; Projections'!E10</f>
        <v>0</v>
      </c>
      <c r="F8" s="254">
        <f>+E8*D8</f>
        <v>0</v>
      </c>
      <c r="G8" s="255">
        <f>+'DCF Valuation'!E28</f>
        <v>0</v>
      </c>
      <c r="H8" s="255">
        <f>+'DCF Valuation'!E81</f>
        <v>0</v>
      </c>
      <c r="I8" s="256">
        <f>+F8+G8-H8</f>
        <v>0</v>
      </c>
    </row>
    <row r="10" spans="1:9" s="261" customFormat="1" ht="27.5" customHeight="1">
      <c r="B10" s="323" t="s">
        <v>213</v>
      </c>
      <c r="C10" s="264"/>
      <c r="D10" s="264"/>
      <c r="E10" s="264"/>
      <c r="F10" s="264"/>
      <c r="G10" s="264"/>
      <c r="H10" s="264"/>
      <c r="I10" s="264"/>
    </row>
    <row r="11" spans="1:9" ht="13">
      <c r="B11" s="257"/>
      <c r="I11" s="23"/>
    </row>
    <row r="12" spans="1:9" ht="16" customHeight="1">
      <c r="B12" s="232" t="s">
        <v>214</v>
      </c>
      <c r="C12" s="21"/>
      <c r="E12" s="232" t="s">
        <v>215</v>
      </c>
      <c r="F12" s="21"/>
    </row>
    <row r="13" spans="1:9" ht="16" customHeight="1">
      <c r="B13" s="21" t="s">
        <v>216</v>
      </c>
      <c r="C13" s="233">
        <f>+'DCF Valuation'!E37</f>
        <v>0.04</v>
      </c>
      <c r="E13" s="21" t="s">
        <v>217</v>
      </c>
      <c r="F13" s="244">
        <v>0</v>
      </c>
    </row>
    <row r="14" spans="1:9" ht="16" customHeight="1">
      <c r="B14" s="21" t="s">
        <v>235</v>
      </c>
      <c r="C14" s="245" t="e">
        <f>+'DCF Valuation'!E38</f>
        <v>#DIV/0!</v>
      </c>
      <c r="E14" s="21"/>
      <c r="F14" s="244"/>
      <c r="G14" s="258"/>
    </row>
    <row r="15" spans="1:9" ht="16" customHeight="1">
      <c r="B15" s="21" t="s">
        <v>218</v>
      </c>
      <c r="C15" s="201">
        <f>+'DCF Valuation'!E39</f>
        <v>0.06</v>
      </c>
      <c r="E15" s="21" t="s">
        <v>219</v>
      </c>
      <c r="F15" s="244">
        <v>0</v>
      </c>
      <c r="G15" s="258" t="s">
        <v>237</v>
      </c>
    </row>
    <row r="16" spans="1:9" ht="16" customHeight="1">
      <c r="B16" s="21" t="s">
        <v>220</v>
      </c>
      <c r="C16" s="234">
        <f>+C15+C13</f>
        <v>0.1</v>
      </c>
      <c r="E16" s="21" t="s">
        <v>221</v>
      </c>
      <c r="F16" s="233" t="e">
        <f>+C17</f>
        <v>#DIV/0!</v>
      </c>
    </row>
    <row r="17" spans="2:9" ht="16" customHeight="1">
      <c r="B17" s="6" t="s">
        <v>222</v>
      </c>
      <c r="C17" s="235" t="e">
        <f>+C13+C14*C15</f>
        <v>#DIV/0!</v>
      </c>
      <c r="E17" s="246" t="s">
        <v>223</v>
      </c>
      <c r="F17" s="247" t="e">
        <f>+(F15+F13)/(1+(F16))</f>
        <v>#DIV/0!</v>
      </c>
      <c r="G17" s="258"/>
    </row>
    <row r="18" spans="2:9">
      <c r="B18" s="57"/>
      <c r="C18" s="57"/>
    </row>
    <row r="19" spans="2:9" s="261" customFormat="1" ht="27.5" customHeight="1">
      <c r="B19" s="323" t="s">
        <v>224</v>
      </c>
      <c r="C19" s="264"/>
      <c r="D19" s="264"/>
      <c r="E19" s="264"/>
      <c r="F19" s="264"/>
      <c r="G19" s="264"/>
      <c r="H19" s="264"/>
      <c r="I19" s="264"/>
    </row>
    <row r="21" spans="2:9" ht="13">
      <c r="B21" s="232" t="s">
        <v>225</v>
      </c>
      <c r="C21" s="21"/>
      <c r="E21" s="232" t="s">
        <v>226</v>
      </c>
      <c r="F21" s="21"/>
    </row>
    <row r="22" spans="2:9" ht="16" customHeight="1">
      <c r="B22" s="21" t="s">
        <v>227</v>
      </c>
      <c r="C22" s="236">
        <f>+G22</f>
        <v>0</v>
      </c>
      <c r="E22" s="21" t="s">
        <v>228</v>
      </c>
      <c r="G22" s="259">
        <f>+F13</f>
        <v>0</v>
      </c>
      <c r="H22" s="221" t="s">
        <v>229</v>
      </c>
    </row>
    <row r="23" spans="2:9" ht="16" customHeight="1">
      <c r="B23" s="21" t="s">
        <v>230</v>
      </c>
      <c r="C23" s="233" t="e">
        <f>+C17</f>
        <v>#DIV/0!</v>
      </c>
      <c r="E23" s="21" t="s">
        <v>231</v>
      </c>
      <c r="G23" s="236">
        <f>+G24+G22</f>
        <v>0</v>
      </c>
    </row>
    <row r="24" spans="2:9" ht="16" customHeight="1">
      <c r="B24" s="21" t="s">
        <v>232</v>
      </c>
      <c r="C24" s="262">
        <v>7.0000000000000007E-2</v>
      </c>
      <c r="E24" s="21" t="s">
        <v>233</v>
      </c>
      <c r="G24" s="260">
        <f>+D8</f>
        <v>0</v>
      </c>
    </row>
    <row r="25" spans="2:9" ht="16" customHeight="1">
      <c r="B25" s="246" t="s">
        <v>223</v>
      </c>
      <c r="C25" s="247" t="e">
        <f>+(C22*(1+C24))/(C23-C24)</f>
        <v>#DIV/0!</v>
      </c>
      <c r="E25" s="23" t="s">
        <v>234</v>
      </c>
      <c r="G25" s="237" t="e">
        <f>+(G22+(G23-G24))/G24</f>
        <v>#DIV/0!</v>
      </c>
    </row>
  </sheetData>
  <conditionalFormatting sqref="C15">
    <cfRule type="expression" dxfId="18" priority="1">
      <formula>$C$4=0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E10B4-57D3-4A5F-A72D-29DC5D533D63}">
  <sheetPr>
    <pageSetUpPr fitToPage="1"/>
  </sheetPr>
  <dimension ref="A1:N64"/>
  <sheetViews>
    <sheetView showGridLines="0" topLeftCell="A27" zoomScaleNormal="100" workbookViewId="0">
      <selection activeCell="B30" sqref="B30"/>
    </sheetView>
  </sheetViews>
  <sheetFormatPr defaultRowHeight="12.5"/>
  <cols>
    <col min="1" max="1" width="1.7265625" style="61" customWidth="1"/>
    <col min="2" max="2" width="39.453125" customWidth="1"/>
    <col min="3" max="3" width="15.54296875" customWidth="1"/>
    <col min="4" max="4" width="12.90625" customWidth="1"/>
    <col min="5" max="5" width="11" bestFit="1" customWidth="1"/>
    <col min="6" max="8" width="11.7265625" customWidth="1"/>
    <col min="9" max="9" width="0.7265625" customWidth="1"/>
    <col min="10" max="10" width="16.36328125" customWidth="1"/>
    <col min="11" max="11" width="12.08984375" customWidth="1"/>
    <col min="12" max="12" width="0.7265625" customWidth="1"/>
  </cols>
  <sheetData>
    <row r="1" spans="1:14" ht="25">
      <c r="B1" s="324" t="str">
        <f>'Input &amp; Projections'!$B$1</f>
        <v>Company Name</v>
      </c>
    </row>
    <row r="2" spans="1:14" ht="7.5" customHeight="1">
      <c r="B2" s="324"/>
    </row>
    <row r="3" spans="1:14" ht="21.5" customHeight="1">
      <c r="B3" s="323" t="s">
        <v>236</v>
      </c>
      <c r="C3" s="264"/>
      <c r="D3" s="264"/>
      <c r="E3" s="264"/>
      <c r="F3" s="264"/>
      <c r="G3" s="264"/>
      <c r="H3" s="264"/>
      <c r="I3" s="264"/>
      <c r="J3" s="264"/>
      <c r="K3" s="264"/>
    </row>
    <row r="4" spans="1:14">
      <c r="C4" s="57" t="s">
        <v>64</v>
      </c>
    </row>
    <row r="5" spans="1:14" ht="13">
      <c r="C5" s="63">
        <v>1</v>
      </c>
      <c r="F5" s="72" t="s">
        <v>68</v>
      </c>
      <c r="G5" t="s">
        <v>65</v>
      </c>
    </row>
    <row r="6" spans="1:14">
      <c r="C6" t="s">
        <v>62</v>
      </c>
      <c r="D6" s="48"/>
      <c r="F6" s="81" t="s">
        <v>71</v>
      </c>
      <c r="G6" t="s">
        <v>86</v>
      </c>
    </row>
    <row r="7" spans="1:14">
      <c r="C7" t="s">
        <v>63</v>
      </c>
      <c r="D7" s="48"/>
      <c r="F7" s="76" t="s">
        <v>69</v>
      </c>
      <c r="G7" t="s">
        <v>66</v>
      </c>
    </row>
    <row r="8" spans="1:14" ht="11.5" customHeight="1"/>
    <row r="9" spans="1:14" ht="17.5" customHeight="1" thickBot="1">
      <c r="B9" s="366" t="s">
        <v>111</v>
      </c>
      <c r="C9" s="97"/>
      <c r="D9" s="98" t="s">
        <v>112</v>
      </c>
      <c r="E9" s="98" t="s">
        <v>141</v>
      </c>
      <c r="F9" s="98" t="s">
        <v>113</v>
      </c>
      <c r="G9" s="98" t="s">
        <v>141</v>
      </c>
      <c r="H9" s="99" t="s">
        <v>141</v>
      </c>
      <c r="I9" s="2"/>
      <c r="J9" s="35" t="s">
        <v>245</v>
      </c>
      <c r="K9" s="35"/>
    </row>
    <row r="10" spans="1:14" ht="17.5" customHeight="1">
      <c r="B10" s="101" t="s">
        <v>2</v>
      </c>
      <c r="C10" s="98" t="s">
        <v>4</v>
      </c>
      <c r="D10" s="100" t="s">
        <v>114</v>
      </c>
      <c r="E10" s="100" t="s">
        <v>163</v>
      </c>
      <c r="F10" s="100" t="s">
        <v>114</v>
      </c>
      <c r="G10" s="214" t="s">
        <v>115</v>
      </c>
      <c r="H10" s="100" t="s">
        <v>18</v>
      </c>
      <c r="I10" s="2"/>
      <c r="J10" s="102" t="s">
        <v>139</v>
      </c>
      <c r="K10" s="102" t="s">
        <v>140</v>
      </c>
      <c r="N10" s="27" t="s">
        <v>48</v>
      </c>
    </row>
    <row r="11" spans="1:14" ht="6.4" customHeight="1">
      <c r="B11" s="90"/>
      <c r="C11" s="90"/>
      <c r="D11" s="91"/>
      <c r="E11" s="91"/>
      <c r="F11" s="91"/>
      <c r="G11" s="91"/>
    </row>
    <row r="12" spans="1:14" ht="13">
      <c r="B12" s="14" t="str">
        <f>'Input &amp; Projections'!B28</f>
        <v>USD in millions</v>
      </c>
      <c r="C12" s="90"/>
      <c r="D12" s="91"/>
      <c r="E12" s="91"/>
      <c r="F12" s="91"/>
      <c r="G12" s="91"/>
    </row>
    <row r="13" spans="1:14">
      <c r="A13" s="61" t="s">
        <v>54</v>
      </c>
      <c r="B13" s="116" t="s">
        <v>181</v>
      </c>
      <c r="C13" s="113" t="s">
        <v>182</v>
      </c>
      <c r="D13" s="110">
        <v>25600</v>
      </c>
      <c r="E13" s="110">
        <f>3300-617.58</f>
        <v>2682.42</v>
      </c>
      <c r="F13" s="153">
        <f t="shared" ref="F13:F20" si="0">SUM(D13:E13)</f>
        <v>28282.42</v>
      </c>
      <c r="G13" s="110">
        <v>12390</v>
      </c>
      <c r="H13" s="110">
        <v>1520</v>
      </c>
      <c r="I13" s="110"/>
      <c r="J13" s="159">
        <f>IFERROR($F13 / G13,"N/A ")</f>
        <v>2.2826811945117029</v>
      </c>
      <c r="K13" s="112">
        <f>IFERROR($F13 / H13,"N/A ")</f>
        <v>18.606855263157893</v>
      </c>
      <c r="N13" s="56" t="s">
        <v>244</v>
      </c>
    </row>
    <row r="14" spans="1:14">
      <c r="B14" s="116" t="s">
        <v>183</v>
      </c>
      <c r="C14" s="113" t="s">
        <v>184</v>
      </c>
      <c r="D14" s="111">
        <v>17740</v>
      </c>
      <c r="E14" s="111">
        <f>9650-3970</f>
        <v>5680</v>
      </c>
      <c r="F14" s="152">
        <f t="shared" si="0"/>
        <v>23420</v>
      </c>
      <c r="G14" s="111">
        <v>12040</v>
      </c>
      <c r="H14" s="111">
        <v>2140</v>
      </c>
      <c r="I14" s="111"/>
      <c r="J14" s="159">
        <f t="shared" ref="J14:K20" si="1">IFERROR($F14 / G14,"N/A ")</f>
        <v>1.9451827242524917</v>
      </c>
      <c r="K14" s="112">
        <f t="shared" si="1"/>
        <v>10.94392523364486</v>
      </c>
    </row>
    <row r="15" spans="1:14">
      <c r="B15" s="116" t="s">
        <v>185</v>
      </c>
      <c r="C15" s="113" t="s">
        <v>187</v>
      </c>
      <c r="D15" s="111">
        <v>15910</v>
      </c>
      <c r="E15" s="111">
        <f>4800-158</f>
        <v>4642</v>
      </c>
      <c r="F15" s="152">
        <f t="shared" si="0"/>
        <v>20552</v>
      </c>
      <c r="G15" s="111">
        <v>9180</v>
      </c>
      <c r="H15" s="111">
        <v>1640</v>
      </c>
      <c r="I15" s="111"/>
      <c r="J15" s="159">
        <f t="shared" si="1"/>
        <v>2.2387799564270154</v>
      </c>
      <c r="K15" s="112">
        <f t="shared" si="1"/>
        <v>12.53170731707317</v>
      </c>
    </row>
    <row r="16" spans="1:14">
      <c r="B16" s="116" t="s">
        <v>186</v>
      </c>
      <c r="C16" s="113" t="s">
        <v>188</v>
      </c>
      <c r="D16" s="111">
        <v>22430</v>
      </c>
      <c r="E16" s="111">
        <f>7280-348</f>
        <v>6932</v>
      </c>
      <c r="F16" s="152">
        <f t="shared" si="0"/>
        <v>29362</v>
      </c>
      <c r="G16" s="111">
        <v>15320</v>
      </c>
      <c r="H16" s="111">
        <v>2090</v>
      </c>
      <c r="I16" s="111"/>
      <c r="J16" s="159">
        <f t="shared" si="1"/>
        <v>1.9165796344647519</v>
      </c>
      <c r="K16" s="112">
        <f t="shared" si="1"/>
        <v>14.048803827751197</v>
      </c>
    </row>
    <row r="17" spans="1:14">
      <c r="B17" s="116" t="s">
        <v>189</v>
      </c>
      <c r="C17" s="113" t="s">
        <v>190</v>
      </c>
      <c r="D17" s="111">
        <v>49810</v>
      </c>
      <c r="E17" s="111">
        <f>11590-618.7</f>
        <v>10971.3</v>
      </c>
      <c r="F17" s="152">
        <f t="shared" si="0"/>
        <v>60781.3</v>
      </c>
      <c r="G17" s="111">
        <v>19960</v>
      </c>
      <c r="H17" s="111">
        <v>3820</v>
      </c>
      <c r="I17" s="111"/>
      <c r="J17" s="159">
        <f t="shared" si="1"/>
        <v>3.0451553106212428</v>
      </c>
      <c r="K17" s="112">
        <f t="shared" si="1"/>
        <v>15.911335078534032</v>
      </c>
    </row>
    <row r="18" spans="1:14">
      <c r="B18" s="116" t="s">
        <v>195</v>
      </c>
      <c r="C18" s="113" t="s">
        <v>196</v>
      </c>
      <c r="D18" s="111">
        <v>50570</v>
      </c>
      <c r="E18" s="111">
        <f>5120-463.89</f>
        <v>4656.1099999999997</v>
      </c>
      <c r="F18" s="152">
        <f t="shared" si="0"/>
        <v>55226.11</v>
      </c>
      <c r="G18" s="111">
        <v>10420</v>
      </c>
      <c r="H18" s="111">
        <v>2630</v>
      </c>
      <c r="I18" s="111"/>
      <c r="J18" s="159">
        <f t="shared" si="1"/>
        <v>5.3000105566218814</v>
      </c>
      <c r="K18" s="112">
        <f t="shared" si="1"/>
        <v>20.99852091254753</v>
      </c>
    </row>
    <row r="19" spans="1:14">
      <c r="B19" s="116" t="s">
        <v>191</v>
      </c>
      <c r="C19" s="113" t="s">
        <v>192</v>
      </c>
      <c r="D19" s="111">
        <v>45720</v>
      </c>
      <c r="E19" s="111">
        <f>20870-1040</f>
        <v>19830</v>
      </c>
      <c r="F19" s="152">
        <f t="shared" si="0"/>
        <v>65550</v>
      </c>
      <c r="G19" s="111">
        <v>26490</v>
      </c>
      <c r="H19" s="111">
        <v>6010</v>
      </c>
      <c r="I19" s="111"/>
      <c r="J19" s="159">
        <f t="shared" si="1"/>
        <v>2.4745186862967157</v>
      </c>
      <c r="K19" s="112">
        <f t="shared" si="1"/>
        <v>10.906821963394343</v>
      </c>
    </row>
    <row r="20" spans="1:14">
      <c r="B20" s="116" t="s">
        <v>193</v>
      </c>
      <c r="C20" s="113" t="s">
        <v>194</v>
      </c>
      <c r="D20" s="111">
        <v>94120</v>
      </c>
      <c r="E20" s="111">
        <f>23610-1920</f>
        <v>21690</v>
      </c>
      <c r="F20" s="152">
        <f t="shared" si="0"/>
        <v>115810</v>
      </c>
      <c r="G20" s="111">
        <v>31500</v>
      </c>
      <c r="H20" s="111">
        <v>5980</v>
      </c>
      <c r="I20" s="111"/>
      <c r="J20" s="159">
        <f t="shared" si="1"/>
        <v>3.6765079365079365</v>
      </c>
      <c r="K20" s="112">
        <f t="shared" si="1"/>
        <v>19.366220735785951</v>
      </c>
    </row>
    <row r="21" spans="1:14" ht="13">
      <c r="B21" s="117"/>
      <c r="C21" s="114"/>
      <c r="D21" s="94"/>
      <c r="E21" s="94"/>
      <c r="F21" s="94"/>
      <c r="G21" s="94"/>
      <c r="H21" s="94"/>
      <c r="J21" s="160"/>
      <c r="K21" s="95"/>
    </row>
    <row r="22" spans="1:14">
      <c r="B22" s="118">
        <f>'Input &amp; Projections'!E5</f>
        <v>0</v>
      </c>
      <c r="C22" s="115">
        <f>'Input &amp; Projections'!E6</f>
        <v>0</v>
      </c>
      <c r="D22" s="155">
        <f>'Input &amp; Projections'!E14</f>
        <v>0</v>
      </c>
      <c r="E22" s="155">
        <f xml:space="preserve"> - SUM('DCF Valuation'!E80:E81)</f>
        <v>0</v>
      </c>
      <c r="F22" s="156">
        <f>SUM(D22:E22)</f>
        <v>0</v>
      </c>
      <c r="G22" s="164">
        <v>53609</v>
      </c>
      <c r="H22" s="164">
        <v>4622</v>
      </c>
      <c r="J22" s="165">
        <f>IFERROR($F$22 / G22, "N/A ")</f>
        <v>0</v>
      </c>
      <c r="K22" s="166">
        <f>IFERROR($F$22 / H22, "N/A ")</f>
        <v>0</v>
      </c>
      <c r="N22" s="56" t="s">
        <v>130</v>
      </c>
    </row>
    <row r="23" spans="1:14">
      <c r="B23" s="92"/>
      <c r="C23" s="93"/>
      <c r="D23" s="94"/>
      <c r="E23" s="94"/>
      <c r="F23" s="94"/>
      <c r="G23" s="94"/>
      <c r="H23" s="94"/>
      <c r="J23" s="160"/>
      <c r="K23" s="95"/>
    </row>
    <row r="24" spans="1:14" ht="4.1500000000000004" customHeight="1">
      <c r="C24" s="208"/>
      <c r="D24" s="104"/>
      <c r="E24" s="104"/>
      <c r="F24" s="104"/>
      <c r="G24" s="104"/>
      <c r="H24" s="104"/>
      <c r="J24" s="161"/>
      <c r="K24" s="105"/>
    </row>
    <row r="25" spans="1:14">
      <c r="C25" s="103" t="s">
        <v>124</v>
      </c>
      <c r="D25" s="207">
        <f t="shared" ref="D25:K25" si="2">MIN(D$13:D$20)</f>
        <v>15910</v>
      </c>
      <c r="E25" s="207">
        <f t="shared" si="2"/>
        <v>2682.42</v>
      </c>
      <c r="F25" s="207">
        <f t="shared" si="2"/>
        <v>20552</v>
      </c>
      <c r="G25" s="207">
        <f t="shared" si="2"/>
        <v>9180</v>
      </c>
      <c r="H25" s="207">
        <f t="shared" si="2"/>
        <v>1520</v>
      </c>
      <c r="J25" s="162">
        <f t="shared" si="2"/>
        <v>1.9165796344647519</v>
      </c>
      <c r="K25" s="107">
        <f t="shared" si="2"/>
        <v>10.906821963394343</v>
      </c>
    </row>
    <row r="26" spans="1:14">
      <c r="C26" s="103" t="s">
        <v>125</v>
      </c>
      <c r="D26" s="106">
        <f t="shared" ref="D26:K26" si="3">MEDIAN(D$13:D$20)</f>
        <v>35660</v>
      </c>
      <c r="E26" s="106">
        <f t="shared" si="3"/>
        <v>6306</v>
      </c>
      <c r="F26" s="106">
        <f t="shared" si="3"/>
        <v>42294.055</v>
      </c>
      <c r="G26" s="106">
        <f t="shared" si="3"/>
        <v>13855</v>
      </c>
      <c r="H26" s="106">
        <f t="shared" si="3"/>
        <v>2385</v>
      </c>
      <c r="J26" s="162">
        <f t="shared" si="3"/>
        <v>2.3785999404042091</v>
      </c>
      <c r="K26" s="107">
        <f t="shared" si="3"/>
        <v>14.980069453142615</v>
      </c>
    </row>
    <row r="27" spans="1:14">
      <c r="C27" s="103" t="s">
        <v>126</v>
      </c>
      <c r="D27" s="106">
        <f t="shared" ref="D27:K27" si="4">AVERAGE(D$13:D$20)</f>
        <v>40237.5</v>
      </c>
      <c r="E27" s="106">
        <f t="shared" si="4"/>
        <v>9635.4787499999984</v>
      </c>
      <c r="F27" s="106">
        <f t="shared" si="4"/>
        <v>49872.978750000002</v>
      </c>
      <c r="G27" s="106">
        <f t="shared" si="4"/>
        <v>17162.5</v>
      </c>
      <c r="H27" s="106">
        <f t="shared" si="4"/>
        <v>3228.75</v>
      </c>
      <c r="J27" s="162">
        <f t="shared" si="4"/>
        <v>2.8599269999629668</v>
      </c>
      <c r="K27" s="107">
        <f t="shared" si="4"/>
        <v>15.414273791486124</v>
      </c>
    </row>
    <row r="28" spans="1:14">
      <c r="A28" s="61" t="s">
        <v>54</v>
      </c>
      <c r="C28" s="103" t="s">
        <v>127</v>
      </c>
      <c r="D28" s="106">
        <f t="shared" ref="D28:K28" si="5">MAX(D$13:D$20)</f>
        <v>94120</v>
      </c>
      <c r="E28" s="106">
        <f t="shared" si="5"/>
        <v>21690</v>
      </c>
      <c r="F28" s="106">
        <f t="shared" si="5"/>
        <v>115810</v>
      </c>
      <c r="G28" s="106">
        <f t="shared" si="5"/>
        <v>31500</v>
      </c>
      <c r="H28" s="106">
        <f t="shared" si="5"/>
        <v>6010</v>
      </c>
      <c r="J28" s="162">
        <f t="shared" si="5"/>
        <v>5.3000105566218814</v>
      </c>
      <c r="K28" s="107">
        <f t="shared" si="5"/>
        <v>20.99852091254753</v>
      </c>
    </row>
    <row r="29" spans="1:14" ht="4.1500000000000004" customHeight="1">
      <c r="C29" s="209"/>
      <c r="D29" s="108"/>
      <c r="E29" s="108"/>
      <c r="F29" s="108"/>
      <c r="G29" s="108"/>
      <c r="H29" s="108"/>
      <c r="J29" s="163"/>
      <c r="K29" s="109"/>
    </row>
    <row r="31" spans="1:14">
      <c r="J31" t="s">
        <v>304</v>
      </c>
      <c r="K31" s="270">
        <f>+K26*'Input &amp; Projections'!G41</f>
        <v>0</v>
      </c>
    </row>
    <row r="32" spans="1:14">
      <c r="J32" t="s">
        <v>284</v>
      </c>
      <c r="K32" s="270">
        <f>-'DCF Valuation'!E29</f>
        <v>0</v>
      </c>
    </row>
    <row r="33" spans="1:14">
      <c r="J33" t="s">
        <v>305</v>
      </c>
      <c r="K33" s="270">
        <f>'DCF Valuation'!E81</f>
        <v>0</v>
      </c>
    </row>
    <row r="34" spans="1:14" ht="13" thickBot="1">
      <c r="J34" t="s">
        <v>306</v>
      </c>
      <c r="K34" s="271">
        <f>SUM(K31:K33)</f>
        <v>0</v>
      </c>
    </row>
    <row r="35" spans="1:14" ht="13.5" thickTop="1" thickBot="1">
      <c r="J35" t="s">
        <v>291</v>
      </c>
      <c r="K35">
        <f>'DCF Valuation'!E83</f>
        <v>0</v>
      </c>
    </row>
    <row r="36" spans="1:14" ht="20.5" customHeight="1" thickBot="1">
      <c r="J36" s="331" t="s">
        <v>6</v>
      </c>
      <c r="K36" s="332" t="e">
        <f>+K34/K35</f>
        <v>#DIV/0!</v>
      </c>
    </row>
    <row r="38" spans="1:14" ht="21.5" customHeight="1">
      <c r="B38" s="323" t="s">
        <v>239</v>
      </c>
      <c r="C38" s="264"/>
      <c r="D38" s="264"/>
      <c r="E38" s="264"/>
      <c r="F38" s="264"/>
      <c r="G38" s="264"/>
      <c r="H38" s="264"/>
      <c r="I38" s="264"/>
      <c r="J38" s="264"/>
      <c r="K38" s="264"/>
    </row>
    <row r="39" spans="1:14" ht="21.5" customHeight="1">
      <c r="A39" s="243"/>
      <c r="B39" s="265"/>
      <c r="C39" s="265"/>
      <c r="D39" s="265"/>
      <c r="E39" s="265"/>
      <c r="F39" s="265"/>
      <c r="G39" s="265"/>
      <c r="H39" s="265"/>
      <c r="I39" s="265"/>
    </row>
    <row r="40" spans="1:14" ht="17.5" customHeight="1" thickBot="1">
      <c r="A40" s="243"/>
      <c r="B40" s="96"/>
      <c r="C40" s="97"/>
      <c r="D40" s="98" t="s">
        <v>240</v>
      </c>
      <c r="E40" s="98" t="s">
        <v>141</v>
      </c>
      <c r="F40" s="98" t="s">
        <v>113</v>
      </c>
      <c r="G40" s="98" t="s">
        <v>141</v>
      </c>
      <c r="H40" s="99" t="s">
        <v>141</v>
      </c>
      <c r="I40" s="2"/>
      <c r="J40" s="35" t="s">
        <v>242</v>
      </c>
      <c r="K40" s="35"/>
    </row>
    <row r="41" spans="1:14" ht="17.5" customHeight="1">
      <c r="A41" s="243"/>
      <c r="B41" s="101" t="s">
        <v>2</v>
      </c>
      <c r="C41" s="98" t="s">
        <v>4</v>
      </c>
      <c r="D41" s="100" t="s">
        <v>241</v>
      </c>
      <c r="E41" s="100" t="s">
        <v>163</v>
      </c>
      <c r="F41" s="100" t="s">
        <v>114</v>
      </c>
      <c r="G41" s="214" t="s">
        <v>115</v>
      </c>
      <c r="H41" s="100" t="s">
        <v>18</v>
      </c>
      <c r="I41" s="2"/>
      <c r="J41" s="102" t="s">
        <v>139</v>
      </c>
      <c r="K41" s="102" t="s">
        <v>140</v>
      </c>
    </row>
    <row r="42" spans="1:14" ht="21.5" customHeight="1">
      <c r="A42" s="243"/>
      <c r="B42" s="14" t="s">
        <v>243</v>
      </c>
      <c r="C42" s="90"/>
      <c r="D42" s="91"/>
      <c r="E42" s="91"/>
      <c r="F42" s="91"/>
      <c r="G42" s="91"/>
    </row>
    <row r="43" spans="1:14">
      <c r="B43" s="116" t="s">
        <v>116</v>
      </c>
      <c r="C43" s="113"/>
      <c r="D43" s="110"/>
      <c r="E43" s="110"/>
      <c r="F43" s="153">
        <f t="shared" ref="F43:F50" si="6">SUM(D43:E43)</f>
        <v>0</v>
      </c>
      <c r="G43" s="110"/>
      <c r="H43" s="110"/>
      <c r="I43" s="110"/>
      <c r="J43" s="159" t="str">
        <f>IFERROR($F43 / G43,"N/A ")</f>
        <v xml:space="preserve">N/A </v>
      </c>
      <c r="K43" s="112" t="str">
        <f>IFERROR($F43 / H43,"N/A ")</f>
        <v xml:space="preserve">N/A </v>
      </c>
      <c r="N43" s="56"/>
    </row>
    <row r="44" spans="1:14">
      <c r="B44" s="116" t="s">
        <v>117</v>
      </c>
      <c r="C44" s="113"/>
      <c r="D44" s="111"/>
      <c r="E44" s="111"/>
      <c r="F44" s="152">
        <f t="shared" si="6"/>
        <v>0</v>
      </c>
      <c r="G44" s="111"/>
      <c r="H44" s="111"/>
      <c r="I44" s="111"/>
      <c r="J44" s="159" t="str">
        <f t="shared" ref="J44:J50" si="7">IFERROR($F44 / G44,"N/A ")</f>
        <v xml:space="preserve">N/A </v>
      </c>
      <c r="K44" s="112" t="str">
        <f t="shared" ref="K44:K50" si="8">IFERROR($F44 / H44,"N/A ")</f>
        <v xml:space="preserve">N/A </v>
      </c>
    </row>
    <row r="45" spans="1:14">
      <c r="B45" s="116" t="s">
        <v>118</v>
      </c>
      <c r="C45" s="113"/>
      <c r="D45" s="111"/>
      <c r="E45" s="111"/>
      <c r="F45" s="152">
        <f t="shared" si="6"/>
        <v>0</v>
      </c>
      <c r="G45" s="111"/>
      <c r="H45" s="111"/>
      <c r="I45" s="111"/>
      <c r="J45" s="159" t="str">
        <f t="shared" si="7"/>
        <v xml:space="preserve">N/A </v>
      </c>
      <c r="K45" s="112" t="str">
        <f t="shared" si="8"/>
        <v xml:space="preserve">N/A </v>
      </c>
    </row>
    <row r="46" spans="1:14">
      <c r="B46" s="116" t="s">
        <v>119</v>
      </c>
      <c r="C46" s="113"/>
      <c r="D46" s="111"/>
      <c r="E46" s="111"/>
      <c r="F46" s="152">
        <f t="shared" si="6"/>
        <v>0</v>
      </c>
      <c r="G46" s="111"/>
      <c r="H46" s="111"/>
      <c r="I46" s="111"/>
      <c r="J46" s="159" t="str">
        <f t="shared" si="7"/>
        <v xml:space="preserve">N/A </v>
      </c>
      <c r="K46" s="112" t="str">
        <f t="shared" si="8"/>
        <v xml:space="preserve">N/A </v>
      </c>
    </row>
    <row r="47" spans="1:14">
      <c r="B47" s="116" t="s">
        <v>120</v>
      </c>
      <c r="C47" s="113"/>
      <c r="D47" s="111"/>
      <c r="E47" s="111"/>
      <c r="F47" s="152">
        <f t="shared" si="6"/>
        <v>0</v>
      </c>
      <c r="G47" s="111"/>
      <c r="H47" s="111"/>
      <c r="I47" s="111"/>
      <c r="J47" s="159" t="str">
        <f t="shared" si="7"/>
        <v xml:space="preserve">N/A </v>
      </c>
      <c r="K47" s="112" t="str">
        <f t="shared" si="8"/>
        <v xml:space="preserve">N/A </v>
      </c>
    </row>
    <row r="48" spans="1:14">
      <c r="B48" s="116" t="s">
        <v>121</v>
      </c>
      <c r="C48" s="113"/>
      <c r="D48" s="111"/>
      <c r="E48" s="111"/>
      <c r="F48" s="152">
        <f t="shared" si="6"/>
        <v>0</v>
      </c>
      <c r="G48" s="111"/>
      <c r="H48" s="111"/>
      <c r="I48" s="111"/>
      <c r="J48" s="159" t="str">
        <f t="shared" si="7"/>
        <v xml:space="preserve">N/A </v>
      </c>
      <c r="K48" s="112" t="str">
        <f t="shared" si="8"/>
        <v xml:space="preserve">N/A </v>
      </c>
    </row>
    <row r="49" spans="1:11">
      <c r="B49" s="116" t="s">
        <v>122</v>
      </c>
      <c r="C49" s="113"/>
      <c r="D49" s="111"/>
      <c r="E49" s="111"/>
      <c r="F49" s="152">
        <f t="shared" si="6"/>
        <v>0</v>
      </c>
      <c r="G49" s="111"/>
      <c r="H49" s="111"/>
      <c r="I49" s="111"/>
      <c r="J49" s="159" t="str">
        <f t="shared" si="7"/>
        <v xml:space="preserve">N/A </v>
      </c>
      <c r="K49" s="112" t="str">
        <f t="shared" si="8"/>
        <v xml:space="preserve">N/A </v>
      </c>
    </row>
    <row r="50" spans="1:11">
      <c r="B50" s="116" t="s">
        <v>123</v>
      </c>
      <c r="C50" s="113"/>
      <c r="D50" s="111"/>
      <c r="E50" s="111"/>
      <c r="F50" s="152">
        <f t="shared" si="6"/>
        <v>0</v>
      </c>
      <c r="G50" s="111"/>
      <c r="H50" s="111"/>
      <c r="I50" s="111"/>
      <c r="J50" s="159" t="str">
        <f t="shared" si="7"/>
        <v xml:space="preserve">N/A </v>
      </c>
      <c r="K50" s="112" t="str">
        <f t="shared" si="8"/>
        <v xml:space="preserve">N/A </v>
      </c>
    </row>
    <row r="51" spans="1:11">
      <c r="B51" s="92"/>
      <c r="C51" s="93"/>
      <c r="D51" s="94"/>
      <c r="E51" s="94"/>
      <c r="F51" s="94"/>
      <c r="G51" s="94"/>
      <c r="H51" s="94"/>
      <c r="J51" s="160"/>
      <c r="K51" s="95"/>
    </row>
    <row r="52" spans="1:11" ht="4.1500000000000004" customHeight="1">
      <c r="C52" s="208"/>
      <c r="D52" s="104"/>
      <c r="E52" s="104"/>
      <c r="F52" s="104"/>
      <c r="G52" s="104"/>
      <c r="H52" s="104"/>
      <c r="J52" s="161"/>
      <c r="K52" s="105"/>
    </row>
    <row r="53" spans="1:11">
      <c r="C53" s="103" t="s">
        <v>124</v>
      </c>
      <c r="D53" s="207">
        <f>MIN(D$43:D$50)</f>
        <v>0</v>
      </c>
      <c r="E53" s="207">
        <f>MIN(E$43:E$50)</f>
        <v>0</v>
      </c>
      <c r="F53" s="207">
        <f>MIN(F$43:F$50)</f>
        <v>0</v>
      </c>
      <c r="G53" s="207">
        <f>MIN(G$43:G$50)</f>
        <v>0</v>
      </c>
      <c r="H53" s="207">
        <f>MIN(H$43:H$50)</f>
        <v>0</v>
      </c>
      <c r="J53" s="162">
        <f>MIN(J$43:J$50)</f>
        <v>0</v>
      </c>
      <c r="K53" s="107">
        <f>MIN(K$43:K$50)</f>
        <v>0</v>
      </c>
    </row>
    <row r="54" spans="1:11">
      <c r="C54" s="103" t="s">
        <v>125</v>
      </c>
      <c r="D54" s="106" t="e">
        <f>MEDIAN(D$43:D$50)</f>
        <v>#NUM!</v>
      </c>
      <c r="E54" s="106" t="e">
        <f>MEDIAN(E$43:E$50)</f>
        <v>#NUM!</v>
      </c>
      <c r="F54" s="106">
        <f>MEDIAN(F$43:F$50)</f>
        <v>0</v>
      </c>
      <c r="G54" s="106" t="e">
        <f>MEDIAN(G$43:G$50)</f>
        <v>#NUM!</v>
      </c>
      <c r="H54" s="106" t="e">
        <f>MEDIAN(H$43:H$50)</f>
        <v>#NUM!</v>
      </c>
      <c r="J54" s="162" t="e">
        <f>MEDIAN(J$43:J$50)</f>
        <v>#NUM!</v>
      </c>
      <c r="K54" s="107" t="e">
        <f>MEDIAN(K$43:K$50)</f>
        <v>#NUM!</v>
      </c>
    </row>
    <row r="55" spans="1:11">
      <c r="C55" s="103" t="s">
        <v>126</v>
      </c>
      <c r="D55" s="106" t="e">
        <f>AVERAGE(D$43:D$50)</f>
        <v>#DIV/0!</v>
      </c>
      <c r="E55" s="106" t="e">
        <f>AVERAGE(E$43:E$50)</f>
        <v>#DIV/0!</v>
      </c>
      <c r="F55" s="106">
        <f>AVERAGE(F$43:F$50)</f>
        <v>0</v>
      </c>
      <c r="G55" s="106" t="e">
        <f>AVERAGE(G$43:G$50)</f>
        <v>#DIV/0!</v>
      </c>
      <c r="H55" s="106" t="e">
        <f>AVERAGE(H$43:H$50)</f>
        <v>#DIV/0!</v>
      </c>
      <c r="J55" s="162" t="e">
        <f>AVERAGE(J$43:J$50)</f>
        <v>#DIV/0!</v>
      </c>
      <c r="K55" s="107" t="e">
        <f>AVERAGE(K$43:K$50)</f>
        <v>#DIV/0!</v>
      </c>
    </row>
    <row r="56" spans="1:11">
      <c r="C56" s="103" t="s">
        <v>127</v>
      </c>
      <c r="D56" s="106">
        <f>MAX(D$43:D$50)</f>
        <v>0</v>
      </c>
      <c r="E56" s="106">
        <f>MAX(E$43:E$50)</f>
        <v>0</v>
      </c>
      <c r="F56" s="106">
        <f>MAX(F$43:F$50)</f>
        <v>0</v>
      </c>
      <c r="G56" s="106">
        <f>MAX(G$43:G$50)</f>
        <v>0</v>
      </c>
      <c r="H56" s="106">
        <f>MAX(H$43:H$50)</f>
        <v>0</v>
      </c>
      <c r="J56" s="162">
        <f>MAX(J$43:J$50)</f>
        <v>0</v>
      </c>
      <c r="K56" s="107">
        <f>MAX(K$43:K$50)</f>
        <v>0</v>
      </c>
    </row>
    <row r="57" spans="1:11" ht="4.1500000000000004" customHeight="1">
      <c r="C57" s="209"/>
      <c r="D57" s="108"/>
      <c r="E57" s="108"/>
      <c r="F57" s="108"/>
      <c r="G57" s="108"/>
      <c r="H57" s="108"/>
      <c r="J57" s="163"/>
      <c r="K57" s="109"/>
    </row>
    <row r="58" spans="1:11">
      <c r="A58" s="61" t="s">
        <v>54</v>
      </c>
    </row>
    <row r="59" spans="1:11">
      <c r="J59" t="s">
        <v>304</v>
      </c>
      <c r="K59" s="270"/>
    </row>
    <row r="60" spans="1:11">
      <c r="J60" t="s">
        <v>284</v>
      </c>
      <c r="K60" s="270">
        <f>-'DCF Valuation'!E57</f>
        <v>0</v>
      </c>
    </row>
    <row r="61" spans="1:11">
      <c r="J61" t="s">
        <v>305</v>
      </c>
      <c r="K61" s="270">
        <f>'DCF Valuation'!E109</f>
        <v>0</v>
      </c>
    </row>
    <row r="62" spans="1:11" ht="13" thickBot="1">
      <c r="J62" t="s">
        <v>306</v>
      </c>
      <c r="K62" s="271">
        <f>SUM(K59:K61)</f>
        <v>0</v>
      </c>
    </row>
    <row r="63" spans="1:11" ht="13.5" thickTop="1" thickBot="1">
      <c r="J63" t="s">
        <v>291</v>
      </c>
      <c r="K63">
        <f>'DCF Valuation'!E111</f>
        <v>0</v>
      </c>
    </row>
    <row r="64" spans="1:11" ht="17.5" customHeight="1" thickBot="1">
      <c r="J64" s="331" t="s">
        <v>6</v>
      </c>
      <c r="K64" s="332"/>
    </row>
  </sheetData>
  <phoneticPr fontId="50" type="noConversion"/>
  <conditionalFormatting sqref="B22:E22 G22:H22">
    <cfRule type="expression" dxfId="17" priority="19">
      <formula>$C$5=0</formula>
    </cfRule>
  </conditionalFormatting>
  <conditionalFormatting sqref="B13:K20">
    <cfRule type="expression" dxfId="16" priority="14">
      <formula>$C$5=0</formula>
    </cfRule>
  </conditionalFormatting>
  <conditionalFormatting sqref="B43:K50">
    <cfRule type="expression" dxfId="15" priority="4">
      <formula>$C$5=0</formula>
    </cfRule>
  </conditionalFormatting>
  <conditionalFormatting sqref="D24:H29 D52:H57">
    <cfRule type="expression" dxfId="14" priority="20">
      <formula>$C$5=0</formula>
    </cfRule>
  </conditionalFormatting>
  <conditionalFormatting sqref="F22 J22:K22">
    <cfRule type="expression" dxfId="13" priority="18">
      <formula>$C$5=1</formula>
    </cfRule>
  </conditionalFormatting>
  <conditionalFormatting sqref="J24:K29">
    <cfRule type="expression" dxfId="12" priority="16">
      <formula>$C$5=0</formula>
    </cfRule>
  </conditionalFormatting>
  <conditionalFormatting sqref="J52:K57">
    <cfRule type="expression" dxfId="11" priority="1">
      <formula>$C$5=0</formula>
    </cfRule>
  </conditionalFormatting>
  <printOptions horizontalCentered="1"/>
  <pageMargins left="0.2" right="0.2" top="0.75" bottom="0.75" header="0.3" footer="0.3"/>
  <pageSetup scale="79" orientation="landscape" r:id="rId1"/>
  <headerFooter>
    <oddFooter>&amp;L&amp;7Invetment Banking Society at Fordham&amp;C&amp;7fordhamibs@gmail.com&amp;R&amp;7For training only</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02DE-C2C4-4795-A61B-386B8C142ADD}">
  <sheetPr codeName="Sheet3"/>
  <dimension ref="A1:L89"/>
  <sheetViews>
    <sheetView showGridLines="0" zoomScaleNormal="100" workbookViewId="0">
      <selection activeCell="J37" sqref="J37"/>
    </sheetView>
  </sheetViews>
  <sheetFormatPr defaultRowHeight="12.5"/>
  <cols>
    <col min="1" max="1" width="1.7265625" style="61" customWidth="1"/>
    <col min="2" max="10" width="11.7265625" customWidth="1"/>
  </cols>
  <sheetData>
    <row r="1" spans="2:12" ht="25">
      <c r="B1" s="324" t="str">
        <f>'Input &amp; Projections'!$B$1</f>
        <v>Company Name</v>
      </c>
    </row>
    <row r="2" spans="2:12" ht="12.5" customHeight="1">
      <c r="B2" s="324"/>
    </row>
    <row r="3" spans="2:12" s="261" customFormat="1" ht="17.5" customHeight="1">
      <c r="B3" s="323" t="s">
        <v>238</v>
      </c>
      <c r="C3" s="264"/>
      <c r="D3" s="264"/>
      <c r="E3" s="264"/>
      <c r="F3" s="264"/>
      <c r="G3" s="264"/>
      <c r="H3" s="264"/>
      <c r="I3" s="264"/>
      <c r="J3" s="264"/>
      <c r="K3" s="264"/>
    </row>
    <row r="4" spans="2:12">
      <c r="C4" s="57" t="s">
        <v>64</v>
      </c>
      <c r="F4" s="72" t="s">
        <v>68</v>
      </c>
      <c r="G4" t="s">
        <v>65</v>
      </c>
    </row>
    <row r="5" spans="2:12" ht="13">
      <c r="C5" s="63">
        <v>1</v>
      </c>
      <c r="D5" t="s">
        <v>62</v>
      </c>
      <c r="F5" s="81" t="s">
        <v>71</v>
      </c>
      <c r="G5" t="s">
        <v>86</v>
      </c>
    </row>
    <row r="6" spans="2:12">
      <c r="D6" t="s">
        <v>63</v>
      </c>
      <c r="F6" s="76" t="s">
        <v>69</v>
      </c>
      <c r="G6" t="s">
        <v>66</v>
      </c>
    </row>
    <row r="8" spans="2:12" ht="13">
      <c r="B8" s="27" t="s">
        <v>83</v>
      </c>
      <c r="D8" s="82">
        <v>0.03</v>
      </c>
      <c r="E8" t="s">
        <v>88</v>
      </c>
    </row>
    <row r="9" spans="2:12" ht="13">
      <c r="B9" s="27" t="s">
        <v>85</v>
      </c>
      <c r="D9" s="83">
        <f>'Comps Valuation'!K22</f>
        <v>0</v>
      </c>
      <c r="E9" t="s">
        <v>88</v>
      </c>
    </row>
    <row r="10" spans="2:12" ht="13">
      <c r="B10" s="27" t="s">
        <v>87</v>
      </c>
      <c r="D10" s="211" t="e">
        <f>G44</f>
        <v>#DIV/0!</v>
      </c>
      <c r="E10" t="s">
        <v>144</v>
      </c>
    </row>
    <row r="12" spans="2:12" ht="13">
      <c r="B12" s="27"/>
    </row>
    <row r="13" spans="2:12" ht="13">
      <c r="B13" s="2" t="s">
        <v>89</v>
      </c>
      <c r="C13" s="2"/>
      <c r="D13" s="2"/>
      <c r="E13" s="2"/>
      <c r="F13" s="2"/>
      <c r="G13" s="2"/>
      <c r="H13" s="2"/>
      <c r="I13" s="2"/>
      <c r="J13" s="2"/>
      <c r="K13" s="2"/>
    </row>
    <row r="14" spans="2:12" ht="13">
      <c r="B14" s="2"/>
      <c r="C14" s="2"/>
      <c r="D14" s="2"/>
      <c r="E14" s="2"/>
      <c r="F14" s="2"/>
      <c r="G14" s="2"/>
      <c r="H14" s="2"/>
      <c r="I14" s="2"/>
      <c r="J14" s="2"/>
      <c r="K14" s="2"/>
    </row>
    <row r="15" spans="2:12" ht="4.1500000000000004" customHeight="1">
      <c r="B15" s="1"/>
      <c r="D15" s="1"/>
      <c r="E15" s="1"/>
      <c r="F15" s="1"/>
      <c r="G15" s="1"/>
      <c r="H15" s="1"/>
      <c r="I15" s="1"/>
      <c r="J15" s="1"/>
      <c r="K15" s="1"/>
      <c r="L15" s="1"/>
    </row>
    <row r="16" spans="2:12" ht="13">
      <c r="B16" s="14" t="str">
        <f>'Input &amp; Projections'!$B$28</f>
        <v>USD in millions</v>
      </c>
    </row>
    <row r="17" spans="1:12" ht="4.1500000000000004" customHeight="1">
      <c r="B17" s="2"/>
      <c r="C17" s="2"/>
      <c r="D17" s="2"/>
      <c r="E17" s="2"/>
      <c r="F17" s="2"/>
      <c r="G17" s="2"/>
      <c r="H17" s="1"/>
      <c r="I17" s="1"/>
      <c r="J17" s="1"/>
      <c r="K17" s="1"/>
      <c r="L17" s="1"/>
    </row>
    <row r="18" spans="1:12" ht="17.5" customHeight="1">
      <c r="B18" s="264" t="s">
        <v>94</v>
      </c>
      <c r="C18" s="264"/>
      <c r="D18" s="264"/>
      <c r="E18" s="264" t="s">
        <v>100</v>
      </c>
      <c r="F18" s="264"/>
      <c r="G18" s="264"/>
      <c r="L18" s="27" t="s">
        <v>48</v>
      </c>
    </row>
    <row r="19" spans="1:12" ht="4.1500000000000004" customHeight="1">
      <c r="L19" s="56"/>
    </row>
    <row r="20" spans="1:12">
      <c r="B20" s="48" t="s">
        <v>95</v>
      </c>
      <c r="E20" s="157">
        <f>E29</f>
        <v>0</v>
      </c>
      <c r="F20" s="204" t="str">
        <f>IFERROR(E20 / $E$22," - - ")</f>
        <v xml:space="preserve"> - - </v>
      </c>
    </row>
    <row r="21" spans="1:12">
      <c r="B21" s="48" t="s">
        <v>96</v>
      </c>
      <c r="E21" s="368">
        <f>'Input &amp; Projections'!E14</f>
        <v>0</v>
      </c>
      <c r="F21" s="204" t="str">
        <f>IFERROR(E21 / $E$22," - - ")</f>
        <v xml:space="preserve"> - - </v>
      </c>
      <c r="L21" s="56" t="s">
        <v>105</v>
      </c>
    </row>
    <row r="22" spans="1:12" ht="13">
      <c r="B22" s="84" t="s">
        <v>97</v>
      </c>
      <c r="C22" s="20"/>
      <c r="D22" s="20"/>
      <c r="E22" s="158">
        <f>SUM(E20:E21)</f>
        <v>0</v>
      </c>
      <c r="F22" s="205" t="str">
        <f>IFERROR(E22 / $E$22," - - ")</f>
        <v xml:space="preserve"> - - </v>
      </c>
      <c r="L22" s="56"/>
    </row>
    <row r="23" spans="1:12">
      <c r="L23" s="56"/>
    </row>
    <row r="24" spans="1:12" s="261" customFormat="1" ht="16" customHeight="1">
      <c r="A24" s="363"/>
      <c r="B24" s="264" t="s">
        <v>151</v>
      </c>
      <c r="C24" s="264"/>
      <c r="D24" s="264"/>
      <c r="E24" s="264"/>
      <c r="F24" s="264"/>
      <c r="G24" s="264"/>
      <c r="L24" s="364"/>
    </row>
    <row r="25" spans="1:12" ht="4.1500000000000004" customHeight="1">
      <c r="L25" s="56"/>
    </row>
    <row r="26" spans="1:12">
      <c r="B26" s="192" t="str">
        <f>'Input &amp; Projections'!B15</f>
        <v>Notes and loans payable</v>
      </c>
      <c r="C26" s="21"/>
      <c r="D26" s="21"/>
      <c r="E26" s="359">
        <f>'Input &amp; Projections'!E15</f>
        <v>0</v>
      </c>
      <c r="L26" s="56" t="s">
        <v>157</v>
      </c>
    </row>
    <row r="27" spans="1:12">
      <c r="B27" s="192" t="str">
        <f>'Input &amp; Projections'!B16</f>
        <v>Current portion of LT debt</v>
      </c>
      <c r="C27" s="21"/>
      <c r="D27" s="21"/>
      <c r="E27" s="360">
        <f>'Input &amp; Projections'!E16</f>
        <v>0</v>
      </c>
      <c r="L27" s="56"/>
    </row>
    <row r="28" spans="1:12">
      <c r="B28" s="192" t="str">
        <f>'Input &amp; Projections'!B17</f>
        <v>Long-term debt</v>
      </c>
      <c r="C28" s="21"/>
      <c r="D28" s="21"/>
      <c r="E28" s="360">
        <f>'Input &amp; Projections'!E17</f>
        <v>0</v>
      </c>
      <c r="L28" s="56"/>
    </row>
    <row r="29" spans="1:12" ht="13">
      <c r="B29" s="189" t="s">
        <v>103</v>
      </c>
      <c r="C29" s="85"/>
      <c r="D29" s="85"/>
      <c r="E29" s="206">
        <f>SUM(E26:E28)</f>
        <v>0</v>
      </c>
      <c r="L29" s="56"/>
    </row>
    <row r="30" spans="1:12">
      <c r="B30" s="192" t="s">
        <v>155</v>
      </c>
      <c r="E30" s="367">
        <f>'Input &amp; Projections'!E20</f>
        <v>0</v>
      </c>
      <c r="L30" s="56" t="s">
        <v>158</v>
      </c>
    </row>
    <row r="31" spans="1:12" ht="13">
      <c r="B31" s="193" t="s">
        <v>153</v>
      </c>
      <c r="C31" s="194"/>
      <c r="D31" s="194"/>
      <c r="E31" s="203" t="e">
        <f>E30/E29</f>
        <v>#DIV/0!</v>
      </c>
      <c r="F31" s="27"/>
      <c r="G31" s="195" t="s">
        <v>101</v>
      </c>
      <c r="L31" s="56"/>
    </row>
    <row r="32" spans="1:12" ht="13">
      <c r="B32" t="s">
        <v>92</v>
      </c>
      <c r="E32" s="199">
        <f>TaxRate</f>
        <v>0.22</v>
      </c>
      <c r="F32" s="202" t="s">
        <v>156</v>
      </c>
      <c r="G32" s="196" t="s">
        <v>102</v>
      </c>
      <c r="L32" s="56"/>
    </row>
    <row r="33" spans="1:12" ht="13">
      <c r="B33" s="84" t="s">
        <v>93</v>
      </c>
      <c r="C33" s="85"/>
      <c r="D33" s="85"/>
      <c r="E33" s="200" t="e">
        <f>E31 * (1-E32)</f>
        <v>#DIV/0!</v>
      </c>
      <c r="F33" s="191" t="str">
        <f>F20</f>
        <v xml:space="preserve"> - - </v>
      </c>
      <c r="G33" s="190" t="e">
        <f>E33 * F33</f>
        <v>#DIV/0!</v>
      </c>
      <c r="L33" s="56"/>
    </row>
    <row r="34" spans="1:12">
      <c r="L34" s="56"/>
    </row>
    <row r="35" spans="1:12" s="261" customFormat="1" ht="18.5" customHeight="1">
      <c r="A35" s="363"/>
      <c r="B35" s="264" t="s">
        <v>104</v>
      </c>
      <c r="C35" s="264"/>
      <c r="D35" s="264"/>
      <c r="E35" s="264"/>
      <c r="F35" s="264"/>
      <c r="G35" s="264"/>
      <c r="I35" s="264" t="s">
        <v>178</v>
      </c>
      <c r="J35" s="264"/>
      <c r="L35" s="364"/>
    </row>
    <row r="36" spans="1:12" ht="4.1500000000000004" customHeight="1">
      <c r="L36" s="56"/>
    </row>
    <row r="37" spans="1:12" ht="13.15" customHeight="1">
      <c r="B37" t="s">
        <v>99</v>
      </c>
      <c r="E37" s="201">
        <v>0.04</v>
      </c>
      <c r="I37" t="s">
        <v>179</v>
      </c>
      <c r="J37" s="370">
        <v>0.74</v>
      </c>
      <c r="L37" s="56"/>
    </row>
    <row r="38" spans="1:12">
      <c r="B38" t="s">
        <v>90</v>
      </c>
      <c r="E38" s="369" t="e">
        <f>+J40</f>
        <v>#DIV/0!</v>
      </c>
      <c r="I38" t="s">
        <v>10</v>
      </c>
      <c r="J38" s="230">
        <f>TaxRate</f>
        <v>0.22</v>
      </c>
      <c r="L38" s="56" t="s">
        <v>143</v>
      </c>
    </row>
    <row r="39" spans="1:12" ht="13">
      <c r="B39" t="s">
        <v>171</v>
      </c>
      <c r="E39" s="201">
        <v>0.06</v>
      </c>
      <c r="F39" s="27"/>
      <c r="G39" s="195" t="s">
        <v>101</v>
      </c>
      <c r="I39" t="s">
        <v>180</v>
      </c>
      <c r="J39" s="230" t="e">
        <f>+E20/E21</f>
        <v>#DIV/0!</v>
      </c>
    </row>
    <row r="40" spans="1:12" ht="13.5" thickBot="1">
      <c r="B40" t="s">
        <v>172</v>
      </c>
      <c r="E40" s="201">
        <v>4.3E-3</v>
      </c>
      <c r="F40" s="202" t="s">
        <v>154</v>
      </c>
      <c r="G40" s="196" t="s">
        <v>102</v>
      </c>
      <c r="I40" t="s">
        <v>178</v>
      </c>
      <c r="J40" s="362" t="e">
        <f>+J37*(1+(1-J38)*J39)</f>
        <v>#DIV/0!</v>
      </c>
    </row>
    <row r="41" spans="1:12" ht="13.5" thickTop="1">
      <c r="B41" s="84" t="s">
        <v>91</v>
      </c>
      <c r="C41" s="20"/>
      <c r="D41" s="20"/>
      <c r="E41" s="200" t="e">
        <f>E37 + E38*E39 + E40</f>
        <v>#DIV/0!</v>
      </c>
      <c r="F41" s="191" t="str">
        <f>F21</f>
        <v xml:space="preserve"> - - </v>
      </c>
      <c r="G41" s="190" t="e">
        <f>E41 * F41</f>
        <v>#DIV/0!</v>
      </c>
    </row>
    <row r="43" spans="1:12" ht="4.1500000000000004" customHeight="1"/>
    <row r="44" spans="1:12" ht="13">
      <c r="A44" s="61" t="s">
        <v>54</v>
      </c>
      <c r="B44" s="74" t="s">
        <v>98</v>
      </c>
      <c r="C44" s="75"/>
      <c r="D44" s="75"/>
      <c r="E44" s="75"/>
      <c r="F44" s="75"/>
      <c r="G44" s="86" t="e">
        <f>G41+G33</f>
        <v>#DIV/0!</v>
      </c>
    </row>
    <row r="46" spans="1:12" ht="18">
      <c r="B46" s="212">
        <f>'Input &amp; Projections'!$E$5</f>
        <v>0</v>
      </c>
      <c r="J46" s="55" t="str">
        <f>'Input &amp; Projections'!M23</f>
        <v>Base Case</v>
      </c>
    </row>
    <row r="47" spans="1:12" ht="6.4" customHeight="1">
      <c r="B47" s="27"/>
      <c r="J47" s="55"/>
    </row>
    <row r="48" spans="1:12" s="261" customFormat="1" ht="22" customHeight="1">
      <c r="A48" s="363"/>
      <c r="B48" s="264" t="s">
        <v>56</v>
      </c>
      <c r="C48" s="365"/>
      <c r="D48" s="365"/>
      <c r="E48" s="365"/>
      <c r="F48" s="35" t="s">
        <v>36</v>
      </c>
      <c r="G48" s="11"/>
      <c r="H48" s="35"/>
      <c r="I48" s="11"/>
      <c r="J48" s="11"/>
    </row>
    <row r="49" spans="2:12" ht="13">
      <c r="B49" s="40"/>
      <c r="C49" s="73"/>
      <c r="D49" s="73"/>
      <c r="E49" s="73"/>
      <c r="F49" s="37">
        <f>'Input &amp; Projections'!I26</f>
        <v>2025</v>
      </c>
      <c r="G49" s="37">
        <f>'Input &amp; Projections'!J26</f>
        <v>2026</v>
      </c>
      <c r="H49" s="37">
        <f>'Input &amp; Projections'!K26</f>
        <v>2027</v>
      </c>
      <c r="I49" s="37">
        <f>'Input &amp; Projections'!L26</f>
        <v>2028</v>
      </c>
      <c r="J49" s="37">
        <f>'Input &amp; Projections'!M26</f>
        <v>2029</v>
      </c>
      <c r="L49" s="27" t="s">
        <v>48</v>
      </c>
    </row>
    <row r="50" spans="2:12" ht="4.1500000000000004" customHeight="1"/>
    <row r="51" spans="2:12" ht="13">
      <c r="B51" s="14" t="s">
        <v>13</v>
      </c>
      <c r="L51" s="56" t="s">
        <v>70</v>
      </c>
    </row>
    <row r="52" spans="2:12">
      <c r="B52" t="str">
        <f>'Input &amp; Projections'!B29</f>
        <v>Revenues</v>
      </c>
      <c r="F52" s="68">
        <f>'Input &amp; Projections'!I29</f>
        <v>0</v>
      </c>
      <c r="G52" s="68">
        <f>'Input &amp; Projections'!J29</f>
        <v>0</v>
      </c>
      <c r="H52" s="68">
        <f>'Input &amp; Projections'!K29</f>
        <v>0</v>
      </c>
      <c r="I52" s="68">
        <f>'Input &amp; Projections'!L29</f>
        <v>0</v>
      </c>
      <c r="J52" s="68">
        <f>'Input &amp; Projections'!M29</f>
        <v>0</v>
      </c>
      <c r="L52" s="56" t="s">
        <v>67</v>
      </c>
    </row>
    <row r="53" spans="2:12">
      <c r="B53" t="str">
        <f>'Input &amp; Projections'!B30</f>
        <v>Cost of goods sold</v>
      </c>
      <c r="F53" s="69" t="e">
        <f>-'Input &amp; Projections'!I30</f>
        <v>#DIV/0!</v>
      </c>
      <c r="G53" s="69" t="e">
        <f>-'Input &amp; Projections'!J30</f>
        <v>#DIV/0!</v>
      </c>
      <c r="H53" s="69" t="e">
        <f>-'Input &amp; Projections'!K30</f>
        <v>#DIV/0!</v>
      </c>
      <c r="I53" s="69" t="e">
        <f>-'Input &amp; Projections'!L30</f>
        <v>#DIV/0!</v>
      </c>
      <c r="J53" s="69" t="e">
        <f>-'Input &amp; Projections'!M30</f>
        <v>#DIV/0!</v>
      </c>
      <c r="L53" s="56" t="s">
        <v>67</v>
      </c>
    </row>
    <row r="54" spans="2:12">
      <c r="B54" s="48" t="s">
        <v>17</v>
      </c>
      <c r="F54" s="65" t="e">
        <f>SUM(F52:F53)</f>
        <v>#DIV/0!</v>
      </c>
      <c r="G54" s="65" t="e">
        <f>SUM(G52:G53)</f>
        <v>#DIV/0!</v>
      </c>
      <c r="H54" s="65" t="e">
        <f>SUM(H52:H53)</f>
        <v>#DIV/0!</v>
      </c>
      <c r="I54" s="65" t="e">
        <f>SUM(I52:I53)</f>
        <v>#DIV/0!</v>
      </c>
      <c r="J54" s="65" t="e">
        <f>SUM(J52:J53)</f>
        <v>#DIV/0!</v>
      </c>
      <c r="L54" s="56" t="s">
        <v>108</v>
      </c>
    </row>
    <row r="55" spans="2:12" ht="13">
      <c r="B55" s="13" t="s">
        <v>22</v>
      </c>
      <c r="C55" s="14"/>
      <c r="D55" s="14"/>
      <c r="E55" s="14"/>
      <c r="F55" s="66" t="e">
        <f>+F54/F52</f>
        <v>#DIV/0!</v>
      </c>
      <c r="G55" s="66" t="e">
        <f>+G54/G52</f>
        <v>#DIV/0!</v>
      </c>
      <c r="H55" s="66" t="e">
        <f>+H54/H52</f>
        <v>#DIV/0!</v>
      </c>
      <c r="I55" s="66" t="e">
        <f>+I54/I52</f>
        <v>#DIV/0!</v>
      </c>
      <c r="J55" s="66" t="e">
        <f>+J54/J52</f>
        <v>#DIV/0!</v>
      </c>
      <c r="L55" s="56" t="s">
        <v>108</v>
      </c>
    </row>
    <row r="56" spans="2:12" ht="4.1500000000000004" customHeight="1">
      <c r="F56" s="44"/>
      <c r="G56" s="44"/>
      <c r="H56" s="44"/>
      <c r="I56" s="44"/>
      <c r="J56" s="44"/>
    </row>
    <row r="57" spans="2:12">
      <c r="B57" t="str">
        <f>'Input &amp; Projections'!B33</f>
        <v>Selling, General &amp; Admin.</v>
      </c>
      <c r="F57" s="69" t="e">
        <f>-'Input &amp; Projections'!I33</f>
        <v>#DIV/0!</v>
      </c>
      <c r="G57" s="69" t="e">
        <f>-'Input &amp; Projections'!J33</f>
        <v>#DIV/0!</v>
      </c>
      <c r="H57" s="69" t="e">
        <f>-'Input &amp; Projections'!K33</f>
        <v>#DIV/0!</v>
      </c>
      <c r="I57" s="69" t="e">
        <f>-'Input &amp; Projections'!L33</f>
        <v>#DIV/0!</v>
      </c>
      <c r="J57" s="69" t="e">
        <f>-'Input &amp; Projections'!M33</f>
        <v>#DIV/0!</v>
      </c>
      <c r="L57" s="56" t="s">
        <v>67</v>
      </c>
    </row>
    <row r="58" spans="2:12">
      <c r="B58" s="48" t="s">
        <v>20</v>
      </c>
      <c r="F58" s="65" t="e">
        <f>+F57+F54</f>
        <v>#DIV/0!</v>
      </c>
      <c r="G58" s="65" t="e">
        <f>+G57+G54</f>
        <v>#DIV/0!</v>
      </c>
      <c r="H58" s="65" t="e">
        <f>+H57+H54</f>
        <v>#DIV/0!</v>
      </c>
      <c r="I58" s="65" t="e">
        <f>+I57+I54</f>
        <v>#DIV/0!</v>
      </c>
      <c r="J58" s="65" t="e">
        <f>+J57+J54</f>
        <v>#DIV/0!</v>
      </c>
      <c r="L58" s="56" t="s">
        <v>108</v>
      </c>
    </row>
    <row r="59" spans="2:12" ht="13">
      <c r="B59" s="13" t="s">
        <v>61</v>
      </c>
      <c r="C59" s="14"/>
      <c r="D59" s="14"/>
      <c r="E59" s="14"/>
      <c r="F59" s="66" t="e">
        <f>+F58/F52</f>
        <v>#DIV/0!</v>
      </c>
      <c r="G59" s="66" t="e">
        <f>+G58/G52</f>
        <v>#DIV/0!</v>
      </c>
      <c r="H59" s="66" t="e">
        <f>+H58/H52</f>
        <v>#DIV/0!</v>
      </c>
      <c r="I59" s="66" t="e">
        <f>+I58/I52</f>
        <v>#DIV/0!</v>
      </c>
      <c r="J59" s="66" t="e">
        <f>+J58/J52</f>
        <v>#DIV/0!</v>
      </c>
      <c r="L59" s="56" t="s">
        <v>108</v>
      </c>
    </row>
    <row r="60" spans="2:12" ht="4.1500000000000004" customHeight="1">
      <c r="F60" s="44"/>
      <c r="G60" s="44"/>
      <c r="H60" s="44"/>
      <c r="I60" s="44"/>
      <c r="J60" s="44"/>
    </row>
    <row r="61" spans="2:12">
      <c r="B61" t="str">
        <f>"Taxes @ "&amp;TEXT(TaxRate,"0.0%")</f>
        <v>Taxes @ 22.0%</v>
      </c>
      <c r="F61" s="67" t="e">
        <f>-F58*TaxRate</f>
        <v>#DIV/0!</v>
      </c>
      <c r="G61" s="67" t="e">
        <f>-G58*TaxRate</f>
        <v>#DIV/0!</v>
      </c>
      <c r="H61" s="67" t="e">
        <f>-H58*TaxRate</f>
        <v>#DIV/0!</v>
      </c>
      <c r="I61" s="67" t="e">
        <f>-I58*TaxRate</f>
        <v>#DIV/0!</v>
      </c>
      <c r="J61" s="67" t="e">
        <f>-J58*TaxRate</f>
        <v>#DIV/0!</v>
      </c>
      <c r="L61" s="56" t="s">
        <v>147</v>
      </c>
    </row>
    <row r="62" spans="2:12">
      <c r="B62" s="48" t="s">
        <v>57</v>
      </c>
      <c r="F62" s="65" t="e">
        <f>+F58+F61</f>
        <v>#DIV/0!</v>
      </c>
      <c r="G62" s="65" t="e">
        <f>+G58+G61</f>
        <v>#DIV/0!</v>
      </c>
      <c r="H62" s="65" t="e">
        <f>+H58+H61</f>
        <v>#DIV/0!</v>
      </c>
      <c r="I62" s="65" t="e">
        <f>+I58+I61</f>
        <v>#DIV/0!</v>
      </c>
      <c r="J62" s="65" t="e">
        <f>+J58+J61</f>
        <v>#DIV/0!</v>
      </c>
      <c r="L62" s="56" t="s">
        <v>108</v>
      </c>
    </row>
    <row r="63" spans="2:12" ht="4.1500000000000004" customHeight="1">
      <c r="F63" s="44"/>
      <c r="G63" s="44"/>
      <c r="H63" s="44"/>
      <c r="I63" s="44"/>
      <c r="J63" s="44"/>
    </row>
    <row r="64" spans="2:12">
      <c r="B64" t="s">
        <v>135</v>
      </c>
      <c r="F64" s="70" t="e">
        <f>'Input &amp; Projections'!I37</f>
        <v>#DIV/0!</v>
      </c>
      <c r="G64" s="70" t="e">
        <f>'Input &amp; Projections'!J37</f>
        <v>#DIV/0!</v>
      </c>
      <c r="H64" s="70" t="e">
        <f>'Input &amp; Projections'!K37</f>
        <v>#DIV/0!</v>
      </c>
      <c r="I64" s="70" t="e">
        <f>'Input &amp; Projections'!L37</f>
        <v>#DIV/0!</v>
      </c>
      <c r="J64" s="70" t="e">
        <f>'Input &amp; Projections'!M37</f>
        <v>#DIV/0!</v>
      </c>
      <c r="L64" s="56" t="s">
        <v>67</v>
      </c>
    </row>
    <row r="65" spans="2:12">
      <c r="B65" t="s">
        <v>58</v>
      </c>
      <c r="F65" s="70" t="e">
        <f>-'Input &amp; Projections'!I36</f>
        <v>#DIV/0!</v>
      </c>
      <c r="G65" s="70" t="e">
        <f>-'Input &amp; Projections'!J36</f>
        <v>#DIV/0!</v>
      </c>
      <c r="H65" s="70" t="e">
        <f>-'Input &amp; Projections'!K36</f>
        <v>#DIV/0!</v>
      </c>
      <c r="I65" s="70" t="e">
        <f>-'Input &amp; Projections'!L36</f>
        <v>#DIV/0!</v>
      </c>
      <c r="J65" s="70" t="e">
        <f>-'Input &amp; Projections'!M36</f>
        <v>#DIV/0!</v>
      </c>
      <c r="L65" s="56" t="s">
        <v>67</v>
      </c>
    </row>
    <row r="66" spans="2:12">
      <c r="B66" t="s">
        <v>59</v>
      </c>
      <c r="F66" s="71" t="e">
        <f>+'Input &amp; Projections'!I60</f>
        <v>#DIV/0!</v>
      </c>
      <c r="G66" s="71" t="e">
        <f>+'Input &amp; Projections'!J60</f>
        <v>#DIV/0!</v>
      </c>
      <c r="H66" s="71" t="e">
        <f>+'Input &amp; Projections'!K60</f>
        <v>#DIV/0!</v>
      </c>
      <c r="I66" s="71" t="e">
        <f>+'Input &amp; Projections'!L60</f>
        <v>#DIV/0!</v>
      </c>
      <c r="J66" s="71" t="e">
        <f>+'Input &amp; Projections'!M60</f>
        <v>#DIV/0!</v>
      </c>
      <c r="L66" s="56" t="s">
        <v>67</v>
      </c>
    </row>
    <row r="67" spans="2:12" ht="13">
      <c r="B67" s="62" t="s">
        <v>60</v>
      </c>
      <c r="C67" s="27"/>
      <c r="D67" s="27"/>
      <c r="E67" s="27"/>
      <c r="F67" s="64" t="e">
        <f>SUM(F62:F66)</f>
        <v>#DIV/0!</v>
      </c>
      <c r="G67" s="64" t="e">
        <f>SUM(G62:G66)</f>
        <v>#DIV/0!</v>
      </c>
      <c r="H67" s="64" t="e">
        <f>SUM(H62:H66)</f>
        <v>#DIV/0!</v>
      </c>
      <c r="I67" s="64" t="e">
        <f>SUM(I62:I66)</f>
        <v>#DIV/0!</v>
      </c>
      <c r="J67" s="64" t="e">
        <f>SUM(J62:J66)</f>
        <v>#DIV/0!</v>
      </c>
      <c r="L67" s="56" t="s">
        <v>108</v>
      </c>
    </row>
    <row r="69" spans="2:12" ht="4.1500000000000004" customHeight="1"/>
    <row r="70" spans="2:12" ht="18.5" customHeight="1">
      <c r="B70" s="264" t="s">
        <v>84</v>
      </c>
      <c r="C70" s="264"/>
      <c r="D70" s="264"/>
      <c r="E70" s="264"/>
      <c r="G70" s="264" t="s">
        <v>75</v>
      </c>
      <c r="H70" s="264"/>
      <c r="I70" s="264"/>
      <c r="J70" s="264"/>
      <c r="L70" s="27" t="s">
        <v>48</v>
      </c>
    </row>
    <row r="71" spans="2:12" ht="4.1500000000000004" customHeight="1"/>
    <row r="72" spans="2:12">
      <c r="B72" t="str">
        <f>J49&amp;"E EBITDA"</f>
        <v>2029E EBITDA</v>
      </c>
      <c r="E72" s="180" t="e">
        <f>J58+J64</f>
        <v>#DIV/0!</v>
      </c>
      <c r="G72" t="str">
        <f>J49&amp;"E Unlevered Free Cash Flow"</f>
        <v>2029E Unlevered Free Cash Flow</v>
      </c>
      <c r="J72" s="87" t="e">
        <f>J67</f>
        <v>#DIV/0!</v>
      </c>
      <c r="L72" s="56" t="s">
        <v>106</v>
      </c>
    </row>
    <row r="73" spans="2:12">
      <c r="B73" t="s">
        <v>85</v>
      </c>
      <c r="E73" s="185">
        <f>D9</f>
        <v>0</v>
      </c>
      <c r="G73" t="s">
        <v>83</v>
      </c>
      <c r="J73" s="186">
        <f>D8</f>
        <v>0.03</v>
      </c>
      <c r="L73" s="56"/>
    </row>
    <row r="74" spans="2:12">
      <c r="B74" t="s">
        <v>76</v>
      </c>
      <c r="E74" s="87" t="e">
        <f>+E73*E72</f>
        <v>#DIV/0!</v>
      </c>
      <c r="G74" t="s">
        <v>76</v>
      </c>
      <c r="J74" s="87" t="e">
        <f>+J72/(E41-J73)</f>
        <v>#DIV/0!</v>
      </c>
      <c r="L74" s="56" t="s">
        <v>108</v>
      </c>
    </row>
    <row r="75" spans="2:12">
      <c r="B75" t="s">
        <v>148</v>
      </c>
      <c r="E75" s="88" t="e">
        <f>E74/((1+E41)^5)</f>
        <v>#DIV/0!</v>
      </c>
      <c r="G75" t="s">
        <v>148</v>
      </c>
      <c r="J75" s="88" t="e">
        <f>J74/((1+D10)^5)</f>
        <v>#DIV/0!</v>
      </c>
      <c r="L75" s="56" t="s">
        <v>108</v>
      </c>
    </row>
    <row r="77" spans="2:12">
      <c r="B77" s="21" t="str">
        <f>"NPV of FCF "&amp;$F$49&amp;" - "&amp;$J$49</f>
        <v>NPV of FCF 2025 - 2029</v>
      </c>
      <c r="E77" s="224" t="e">
        <f>NPV(D10,F67:J67)</f>
        <v>#DIV/0!</v>
      </c>
      <c r="G77" s="21" t="str">
        <f>"NPV of FCF "&amp;$F$49&amp;" - "&amp;$J$49</f>
        <v>NPV of FCF 2025 - 2029</v>
      </c>
      <c r="J77" s="224" t="e">
        <f>NPV(D10,F67:J67)</f>
        <v>#DIV/0!</v>
      </c>
      <c r="L77" s="56" t="s">
        <v>108</v>
      </c>
    </row>
    <row r="78" spans="2:12">
      <c r="B78" s="21" t="s">
        <v>77</v>
      </c>
      <c r="E78" s="225" t="e">
        <f>E74</f>
        <v>#DIV/0!</v>
      </c>
      <c r="G78" s="21" t="s">
        <v>77</v>
      </c>
      <c r="J78" s="225" t="e">
        <f>J74</f>
        <v>#DIV/0!</v>
      </c>
      <c r="L78" s="56" t="s">
        <v>109</v>
      </c>
    </row>
    <row r="79" spans="2:12" ht="13">
      <c r="B79" s="77" t="s">
        <v>82</v>
      </c>
      <c r="C79" s="20"/>
      <c r="D79" s="20"/>
      <c r="E79" s="226" t="e">
        <f>+E78+E77</f>
        <v>#DIV/0!</v>
      </c>
      <c r="G79" s="77" t="s">
        <v>82</v>
      </c>
      <c r="H79" s="20"/>
      <c r="I79" s="20"/>
      <c r="J79" s="226" t="e">
        <f>+J78+J77</f>
        <v>#DIV/0!</v>
      </c>
      <c r="L79" s="56" t="s">
        <v>108</v>
      </c>
    </row>
    <row r="80" spans="2:12">
      <c r="B80" s="21" t="s">
        <v>79</v>
      </c>
      <c r="E80" s="187">
        <f xml:space="preserve"> - $E$29</f>
        <v>0</v>
      </c>
      <c r="G80" s="21" t="s">
        <v>79</v>
      </c>
      <c r="J80" s="227">
        <f xml:space="preserve"> - $E$29</f>
        <v>0</v>
      </c>
      <c r="L80" s="56" t="s">
        <v>107</v>
      </c>
    </row>
    <row r="81" spans="1:12">
      <c r="B81" s="21" t="s">
        <v>78</v>
      </c>
      <c r="E81" s="358">
        <f>'Input &amp; Projections'!E19</f>
        <v>0</v>
      </c>
      <c r="G81" s="21" t="s">
        <v>78</v>
      </c>
      <c r="J81" s="228">
        <f>E81</f>
        <v>0</v>
      </c>
      <c r="L81" s="56" t="s">
        <v>110</v>
      </c>
    </row>
    <row r="82" spans="1:12" ht="13">
      <c r="B82" s="77" t="s">
        <v>81</v>
      </c>
      <c r="C82" s="78"/>
      <c r="D82" s="20"/>
      <c r="E82" s="89" t="e">
        <f>SUM(E79:E81)</f>
        <v>#DIV/0!</v>
      </c>
      <c r="G82" s="77" t="s">
        <v>81</v>
      </c>
      <c r="H82" s="78"/>
      <c r="I82" s="20"/>
      <c r="J82" s="229" t="e">
        <f>SUM(J79:J81)</f>
        <v>#DIV/0!</v>
      </c>
      <c r="L82" s="56" t="s">
        <v>108</v>
      </c>
    </row>
    <row r="83" spans="1:12">
      <c r="B83" t="str">
        <f>'Input &amp; Projections'!$B$10</f>
        <v>Share outstanding (mm)</v>
      </c>
      <c r="E83" s="188">
        <f>'Input &amp; Projections'!$E$10</f>
        <v>0</v>
      </c>
      <c r="G83" t="str">
        <f>'Input &amp; Projections'!$B$10</f>
        <v>Share outstanding (mm)</v>
      </c>
      <c r="J83" s="188">
        <f>'Input &amp; Projections'!$E$10</f>
        <v>0</v>
      </c>
      <c r="L83" s="56" t="s">
        <v>107</v>
      </c>
    </row>
    <row r="84" spans="1:12" ht="13.5" thickBot="1">
      <c r="A84" s="61" t="s">
        <v>54</v>
      </c>
      <c r="B84" s="80" t="s">
        <v>80</v>
      </c>
      <c r="C84" s="79"/>
      <c r="D84" s="79"/>
      <c r="E84" s="333" t="e">
        <f>+E82/E83</f>
        <v>#DIV/0!</v>
      </c>
      <c r="F84" t="e">
        <f>IF(E84="","","*")</f>
        <v>#DIV/0!</v>
      </c>
      <c r="G84" s="80" t="s">
        <v>80</v>
      </c>
      <c r="H84" s="79"/>
      <c r="I84" s="79"/>
      <c r="J84" s="333" t="e">
        <f>+J82/J83</f>
        <v>#DIV/0!</v>
      </c>
      <c r="K84" t="e">
        <f>IF(J84="","","**")</f>
        <v>#DIV/0!</v>
      </c>
      <c r="L84" s="56" t="s">
        <v>108</v>
      </c>
    </row>
    <row r="85" spans="1:12" ht="13.5" thickTop="1">
      <c r="B85" s="181" t="e">
        <f>IF(E84="","","* Represents a "&amp;TEXT((E84/'Input &amp; Projections'!$E$8-1),"0.0%;(0.0%)")&amp;IF(E84&gt;'Input &amp; Projections'!$E$8," premium"," discount")&amp;" as of "&amp;TEXT('Input &amp; Projections'!$E$9,"mmm-d-yyy."))</f>
        <v>#DIV/0!</v>
      </c>
      <c r="G85" s="181" t="e">
        <f>IF(J84="","","** Represents a "&amp;TEXT((J84/'Input &amp; Projections'!$E$8-1),"0.0%;(0.0%)")&amp;IF(J84&gt;'Input &amp; Projections'!$E$8," premium"," discount")&amp;" as of "&amp;TEXT('Input &amp; Projections'!$E$9,"mmm-d-yyy."))</f>
        <v>#DIV/0!</v>
      </c>
    </row>
    <row r="86" spans="1:12" ht="13">
      <c r="B86" s="181"/>
    </row>
    <row r="87" spans="1:12">
      <c r="D87" s="182" t="s">
        <v>149</v>
      </c>
      <c r="E87" s="183" t="str">
        <f>IFERROR(((E72*E73*D10)-J72)/(J72+(E72*E73)),"- - ")</f>
        <v xml:space="preserve">- - </v>
      </c>
      <c r="I87" s="182" t="s">
        <v>150</v>
      </c>
      <c r="J87" s="184" t="str">
        <f>IFERROR(J72*(1+J73)/(E72*(D10-D8)),"- -")</f>
        <v>- -</v>
      </c>
    </row>
    <row r="89" spans="1:12">
      <c r="A89" s="61" t="s">
        <v>54</v>
      </c>
      <c r="B89" s="61" t="s">
        <v>55</v>
      </c>
    </row>
  </sheetData>
  <conditionalFormatting sqref="B26:E33">
    <cfRule type="expression" dxfId="10" priority="5">
      <formula>$C$5=0</formula>
    </cfRule>
  </conditionalFormatting>
  <conditionalFormatting sqref="E20:E22">
    <cfRule type="expression" dxfId="9" priority="7">
      <formula>$C$5=0</formula>
    </cfRule>
  </conditionalFormatting>
  <conditionalFormatting sqref="E37:E41">
    <cfRule type="expression" dxfId="8" priority="3">
      <formula>$C$5=0</formula>
    </cfRule>
  </conditionalFormatting>
  <conditionalFormatting sqref="E72:E84 J72:J84">
    <cfRule type="expression" dxfId="7" priority="15">
      <formula>E72&lt;&gt;0</formula>
    </cfRule>
  </conditionalFormatting>
  <conditionalFormatting sqref="E72:E84">
    <cfRule type="expression" dxfId="6" priority="16">
      <formula>$C$5=0</formula>
    </cfRule>
  </conditionalFormatting>
  <conditionalFormatting sqref="F52:J67">
    <cfRule type="expression" dxfId="5" priority="17">
      <formula>F52&lt;&gt;""</formula>
    </cfRule>
    <cfRule type="expression" dxfId="4" priority="18">
      <formula>$C$5=0</formula>
    </cfRule>
  </conditionalFormatting>
  <conditionalFormatting sqref="J37">
    <cfRule type="expression" dxfId="3" priority="1">
      <formula>$C$5=0</formula>
    </cfRule>
  </conditionalFormatting>
  <conditionalFormatting sqref="J72:J84">
    <cfRule type="expression" dxfId="2" priority="23">
      <formula>$C$5=0</formula>
    </cfRule>
  </conditionalFormatting>
  <printOptions horizontalCentered="1"/>
  <pageMargins left="0.3" right="0.3" top="0.4" bottom="0.4" header="0.3" footer="0.2"/>
  <pageSetup scale="88" orientation="portrait" r:id="rId1"/>
  <headerFooter>
    <oddFooter>&amp;L&amp;7Invetment Banking Society at Fordham&amp;C&amp;7fordhamibs@gmail.com&amp;R&amp;7For training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D97C-1331-4CFA-B8FF-4978649D9308}">
  <dimension ref="A1:P75"/>
  <sheetViews>
    <sheetView showGridLines="0" workbookViewId="0">
      <selection activeCell="K20" sqref="K20"/>
    </sheetView>
  </sheetViews>
  <sheetFormatPr defaultRowHeight="12.5"/>
  <cols>
    <col min="1" max="1" width="3.1796875" customWidth="1"/>
    <col min="3" max="3" width="16" customWidth="1"/>
    <col min="5" max="5" width="8.36328125" bestFit="1" customWidth="1"/>
    <col min="6" max="6" width="11.26953125" customWidth="1"/>
    <col min="7" max="9" width="8.81640625" bestFit="1" customWidth="1"/>
    <col min="10" max="10" width="8.26953125" bestFit="1" customWidth="1"/>
    <col min="11" max="11" width="9.1796875" customWidth="1"/>
    <col min="12" max="12" width="10.1796875" bestFit="1" customWidth="1"/>
    <col min="14" max="14" width="10.7265625" bestFit="1" customWidth="1"/>
    <col min="16" max="16" width="11.54296875" customWidth="1"/>
  </cols>
  <sheetData>
    <row r="1" spans="1:16" ht="25">
      <c r="A1" s="61"/>
      <c r="B1" s="324" t="str">
        <f>'Input &amp; Projections'!$B$1</f>
        <v>Company Name</v>
      </c>
    </row>
    <row r="2" spans="1:16" ht="7" customHeight="1">
      <c r="A2" s="61"/>
      <c r="B2" s="324"/>
    </row>
    <row r="3" spans="1:16" s="261" customFormat="1" ht="17.5" customHeight="1">
      <c r="B3" s="323" t="s">
        <v>246</v>
      </c>
      <c r="C3" s="264"/>
      <c r="D3" s="264"/>
      <c r="E3" s="264"/>
      <c r="F3" s="264"/>
      <c r="G3" s="264"/>
      <c r="H3" s="264"/>
      <c r="I3" s="264"/>
      <c r="J3" s="264"/>
      <c r="K3" s="264"/>
      <c r="L3"/>
      <c r="M3"/>
      <c r="N3"/>
      <c r="O3"/>
      <c r="P3"/>
    </row>
    <row r="5" spans="1:16" ht="13">
      <c r="B5" s="264" t="s">
        <v>308</v>
      </c>
      <c r="C5" s="264"/>
      <c r="D5" s="264"/>
      <c r="E5" s="264"/>
      <c r="F5" s="264"/>
      <c r="G5" s="264"/>
      <c r="H5" s="264"/>
      <c r="I5" s="264"/>
      <c r="J5" s="264"/>
      <c r="K5" s="264"/>
    </row>
    <row r="6" spans="1:16" ht="39.5" thickBot="1">
      <c r="B6" s="268"/>
      <c r="C6" s="268"/>
      <c r="D6" s="267" t="s">
        <v>251</v>
      </c>
      <c r="E6" s="267" t="s">
        <v>252</v>
      </c>
      <c r="F6" s="267" t="s">
        <v>259</v>
      </c>
      <c r="G6" s="267" t="s">
        <v>262</v>
      </c>
      <c r="H6" s="267"/>
      <c r="I6" s="267" t="s">
        <v>263</v>
      </c>
      <c r="J6" s="267" t="s">
        <v>269</v>
      </c>
      <c r="K6" s="267" t="s">
        <v>268</v>
      </c>
    </row>
    <row r="7" spans="1:16" ht="13.5" thickTop="1">
      <c r="B7" t="s">
        <v>250</v>
      </c>
      <c r="D7" s="269">
        <f>'Input &amp; Projections'!E8</f>
        <v>0</v>
      </c>
      <c r="E7" s="10">
        <v>0</v>
      </c>
      <c r="F7" s="269">
        <f>+D7*(1+E7)</f>
        <v>0</v>
      </c>
      <c r="G7">
        <f>+'DCF Valuation'!E83</f>
        <v>0</v>
      </c>
      <c r="I7" s="270">
        <f>+G7*F7</f>
        <v>0</v>
      </c>
      <c r="J7" s="277" t="e">
        <f t="shared" ref="J7:J12" si="0">I7/$I$12</f>
        <v>#DIV/0!</v>
      </c>
      <c r="M7" s="382" t="s">
        <v>317</v>
      </c>
      <c r="N7" s="220"/>
    </row>
    <row r="8" spans="1:16" ht="13.5" thickBot="1">
      <c r="B8" t="s">
        <v>253</v>
      </c>
      <c r="E8" s="381" t="s">
        <v>316</v>
      </c>
      <c r="I8" s="270">
        <f>+'DCF Valuation'!E29</f>
        <v>0</v>
      </c>
      <c r="J8" s="277" t="e">
        <f t="shared" si="0"/>
        <v>#DIV/0!</v>
      </c>
      <c r="M8" s="220" t="s">
        <v>320</v>
      </c>
      <c r="N8" s="220"/>
    </row>
    <row r="9" spans="1:16" ht="13.5" thickBot="1">
      <c r="B9" t="s">
        <v>254</v>
      </c>
      <c r="E9" s="221" t="s">
        <v>313</v>
      </c>
      <c r="F9" s="378" t="e">
        <f>IRR(E70:J70)</f>
        <v>#VALUE!</v>
      </c>
      <c r="I9" s="270">
        <f>-'DCF Valuation'!E81</f>
        <v>0</v>
      </c>
      <c r="J9" s="277" t="e">
        <f t="shared" si="0"/>
        <v>#DIV/0!</v>
      </c>
      <c r="M9" s="220" t="s">
        <v>318</v>
      </c>
      <c r="N9" s="220"/>
    </row>
    <row r="10" spans="1:16">
      <c r="B10" t="s">
        <v>255</v>
      </c>
      <c r="I10" s="272">
        <f>SUM(I7:I9)</f>
        <v>0</v>
      </c>
      <c r="J10" s="288" t="e">
        <f t="shared" si="0"/>
        <v>#DIV/0!</v>
      </c>
      <c r="M10" s="220" t="s">
        <v>319</v>
      </c>
      <c r="N10" s="220"/>
    </row>
    <row r="11" spans="1:16">
      <c r="B11" t="s">
        <v>256</v>
      </c>
      <c r="D11" s="234">
        <v>0.03</v>
      </c>
      <c r="I11" s="270">
        <f>+D11*I10</f>
        <v>0</v>
      </c>
      <c r="J11" s="277" t="e">
        <f t="shared" si="0"/>
        <v>#DIV/0!</v>
      </c>
      <c r="M11" s="220" t="s">
        <v>321</v>
      </c>
      <c r="N11" s="220"/>
    </row>
    <row r="12" spans="1:16" ht="13.5" thickBot="1">
      <c r="B12" t="s">
        <v>257</v>
      </c>
      <c r="I12" s="271">
        <f>SUM(I10:I11)</f>
        <v>0</v>
      </c>
      <c r="J12" s="279" t="e">
        <f t="shared" si="0"/>
        <v>#DIV/0!</v>
      </c>
      <c r="K12" s="348" t="e">
        <f>+I12/C26</f>
        <v>#DIV/0!</v>
      </c>
      <c r="M12" s="220" t="s">
        <v>325</v>
      </c>
      <c r="N12" s="220"/>
    </row>
    <row r="13" spans="1:16" ht="13" thickTop="1">
      <c r="M13" s="220" t="s">
        <v>322</v>
      </c>
      <c r="N13" s="220"/>
    </row>
    <row r="14" spans="1:16" ht="13">
      <c r="B14" s="264" t="s">
        <v>309</v>
      </c>
      <c r="C14" s="264"/>
      <c r="D14" s="264"/>
      <c r="E14" s="264"/>
      <c r="F14" s="264"/>
      <c r="G14" s="264"/>
      <c r="H14" s="264"/>
      <c r="I14" s="264"/>
      <c r="J14" s="264"/>
      <c r="K14" s="264"/>
      <c r="M14" s="220" t="s">
        <v>326</v>
      </c>
      <c r="N14" s="220"/>
    </row>
    <row r="15" spans="1:16" ht="39">
      <c r="B15" s="280"/>
      <c r="C15" s="280"/>
      <c r="D15" s="383" t="s">
        <v>265</v>
      </c>
      <c r="E15" s="384"/>
      <c r="F15" s="385"/>
      <c r="G15" s="385"/>
      <c r="H15" s="281" t="s">
        <v>263</v>
      </c>
      <c r="I15" s="282" t="s">
        <v>260</v>
      </c>
      <c r="J15" s="281" t="s">
        <v>268</v>
      </c>
      <c r="K15" s="281" t="s">
        <v>261</v>
      </c>
    </row>
    <row r="16" spans="1:16" ht="13.5" thickBot="1">
      <c r="B16" s="266"/>
      <c r="C16" s="266"/>
      <c r="D16" s="268" t="s">
        <v>266</v>
      </c>
      <c r="E16" s="268" t="s">
        <v>267</v>
      </c>
      <c r="F16" s="267" t="s">
        <v>264</v>
      </c>
      <c r="G16" s="268" t="s">
        <v>267</v>
      </c>
      <c r="H16" s="267"/>
      <c r="I16" s="268"/>
      <c r="J16" s="268"/>
      <c r="K16" s="267"/>
    </row>
    <row r="17" spans="2:12" ht="13" thickTop="1">
      <c r="B17" t="s">
        <v>247</v>
      </c>
      <c r="D17" s="10">
        <v>0.5</v>
      </c>
      <c r="E17" s="274">
        <f>+D17*I12</f>
        <v>0</v>
      </c>
      <c r="F17" s="289">
        <v>3</v>
      </c>
      <c r="G17" s="274">
        <f>+F17*C26</f>
        <v>0</v>
      </c>
      <c r="H17" s="274">
        <f>MIN(E17,G17)</f>
        <v>0</v>
      </c>
      <c r="I17" s="277" t="e">
        <f>+H17/$H$23</f>
        <v>#DIV/0!</v>
      </c>
      <c r="J17" s="287" t="e">
        <f>+H17/$C$26</f>
        <v>#DIV/0!</v>
      </c>
      <c r="K17" s="10">
        <v>7.0000000000000007E-2</v>
      </c>
    </row>
    <row r="18" spans="2:12">
      <c r="B18" t="s">
        <v>248</v>
      </c>
      <c r="D18" s="10">
        <v>0.2</v>
      </c>
      <c r="E18" s="274">
        <f>D18*I12</f>
        <v>0</v>
      </c>
      <c r="F18" s="289">
        <v>1</v>
      </c>
      <c r="G18" s="274">
        <f>+F18*C26</f>
        <v>0</v>
      </c>
      <c r="H18" s="274">
        <f>MIN(E18,G18)</f>
        <v>0</v>
      </c>
      <c r="I18" s="278" t="e">
        <f>+H18/$H$23</f>
        <v>#DIV/0!</v>
      </c>
      <c r="J18" s="287" t="e">
        <f>+H18/$C$26</f>
        <v>#DIV/0!</v>
      </c>
      <c r="K18" s="10">
        <v>0.1</v>
      </c>
    </row>
    <row r="19" spans="2:12">
      <c r="B19" t="s">
        <v>249</v>
      </c>
      <c r="D19" s="284">
        <f>+D18+D17</f>
        <v>0.7</v>
      </c>
      <c r="E19" s="275">
        <f>SUM(E17:E18)</f>
        <v>0</v>
      </c>
      <c r="F19" s="285">
        <f>F17+F18</f>
        <v>4</v>
      </c>
      <c r="G19" s="275">
        <f>SUM(G17:G18)</f>
        <v>0</v>
      </c>
      <c r="H19" s="275">
        <f>SUM(H17:H18)</f>
        <v>0</v>
      </c>
      <c r="I19" s="277" t="e">
        <f>+H19/$H$23</f>
        <v>#DIV/0!</v>
      </c>
      <c r="J19" s="285" t="e">
        <f>+H19/$C$26</f>
        <v>#DIV/0!</v>
      </c>
    </row>
    <row r="20" spans="2:12">
      <c r="E20" s="273"/>
      <c r="I20" s="277"/>
      <c r="J20" s="277"/>
      <c r="K20" s="277"/>
    </row>
    <row r="21" spans="2:12">
      <c r="B21" t="s">
        <v>96</v>
      </c>
      <c r="E21" s="273"/>
      <c r="H21" s="274">
        <f>+I12-H19</f>
        <v>0</v>
      </c>
      <c r="I21" s="277" t="e">
        <f>+H21/$H$23</f>
        <v>#DIV/0!</v>
      </c>
      <c r="J21" s="287" t="e">
        <f>+H21/$C$26</f>
        <v>#DIV/0!</v>
      </c>
    </row>
    <row r="22" spans="2:12">
      <c r="E22" s="273"/>
      <c r="I22" s="277"/>
      <c r="J22" s="277"/>
      <c r="K22" s="277"/>
    </row>
    <row r="23" spans="2:12" ht="13.5" thickBot="1">
      <c r="B23" s="27" t="s">
        <v>258</v>
      </c>
      <c r="C23" s="27"/>
      <c r="D23" s="27"/>
      <c r="E23" s="353"/>
      <c r="F23" s="27"/>
      <c r="G23" s="27"/>
      <c r="H23" s="354">
        <f>SUM(H19:H22)</f>
        <v>0</v>
      </c>
      <c r="I23" s="355" t="e">
        <f>+H23/$H$23</f>
        <v>#DIV/0!</v>
      </c>
      <c r="J23" s="348" t="e">
        <f>+H23/$C$26</f>
        <v>#DIV/0!</v>
      </c>
    </row>
    <row r="24" spans="2:12" ht="13" thickTop="1"/>
    <row r="26" spans="2:12" ht="13">
      <c r="B26" s="290" t="s">
        <v>18</v>
      </c>
      <c r="C26" s="291">
        <f>+'Input &amp; Projections'!G41</f>
        <v>0</v>
      </c>
    </row>
    <row r="27" spans="2:12" ht="13">
      <c r="B27" s="27"/>
      <c r="C27" s="292"/>
    </row>
    <row r="28" spans="2:12" ht="13">
      <c r="B28" s="2" t="s">
        <v>272</v>
      </c>
      <c r="C28" s="73"/>
      <c r="D28" s="73"/>
      <c r="E28" s="73"/>
      <c r="F28" s="35" t="s">
        <v>36</v>
      </c>
      <c r="G28" s="11"/>
      <c r="H28" s="35"/>
      <c r="I28" s="11"/>
      <c r="J28" s="11"/>
      <c r="K28" s="11"/>
      <c r="L28" s="11"/>
    </row>
    <row r="29" spans="2:12" ht="13">
      <c r="B29" s="40"/>
      <c r="C29" s="73"/>
      <c r="D29" s="293" t="s">
        <v>270</v>
      </c>
      <c r="E29" s="293" t="s">
        <v>277</v>
      </c>
      <c r="F29" s="37">
        <f>+F45</f>
        <v>2025</v>
      </c>
      <c r="G29" s="37">
        <f>+G45</f>
        <v>2026</v>
      </c>
      <c r="H29" s="37">
        <f>+H45</f>
        <v>2027</v>
      </c>
      <c r="I29" s="37">
        <f>+I45</f>
        <v>2028</v>
      </c>
      <c r="J29" s="37">
        <f>+J45</f>
        <v>2029</v>
      </c>
      <c r="K29" s="37">
        <f>+J29+1</f>
        <v>2030</v>
      </c>
      <c r="L29" s="37">
        <f>+K29+1</f>
        <v>2031</v>
      </c>
    </row>
    <row r="30" spans="2:12" ht="13">
      <c r="B30" s="27" t="str">
        <f>+B17</f>
        <v>Bank Debt</v>
      </c>
    </row>
    <row r="31" spans="2:12">
      <c r="B31" t="s">
        <v>273</v>
      </c>
      <c r="E31" s="274">
        <f>+H17</f>
        <v>0</v>
      </c>
      <c r="F31" s="274">
        <f>+E31-F32</f>
        <v>0</v>
      </c>
      <c r="G31" s="274">
        <f t="shared" ref="G31:L31" si="1">+F31-G32</f>
        <v>0</v>
      </c>
      <c r="H31" s="274">
        <f t="shared" si="1"/>
        <v>0</v>
      </c>
      <c r="I31" s="274">
        <f t="shared" si="1"/>
        <v>0</v>
      </c>
      <c r="J31" s="274">
        <f t="shared" si="1"/>
        <v>0</v>
      </c>
      <c r="K31" s="274">
        <f t="shared" si="1"/>
        <v>0</v>
      </c>
      <c r="L31" s="274">
        <f t="shared" si="1"/>
        <v>0</v>
      </c>
    </row>
    <row r="32" spans="2:12">
      <c r="B32" t="s">
        <v>274</v>
      </c>
      <c r="F32" s="270">
        <f>+$E$31*F35</f>
        <v>0</v>
      </c>
      <c r="G32" s="270">
        <f t="shared" ref="G32:L32" si="2">+$E$31*G35</f>
        <v>0</v>
      </c>
      <c r="H32" s="270">
        <f t="shared" si="2"/>
        <v>0</v>
      </c>
      <c r="I32" s="270">
        <f t="shared" si="2"/>
        <v>0</v>
      </c>
      <c r="J32" s="270">
        <f t="shared" si="2"/>
        <v>0</v>
      </c>
      <c r="K32" s="270">
        <f t="shared" si="2"/>
        <v>0</v>
      </c>
      <c r="L32" s="270">
        <f t="shared" si="2"/>
        <v>0</v>
      </c>
    </row>
    <row r="33" spans="2:12">
      <c r="B33" t="s">
        <v>275</v>
      </c>
      <c r="D33" s="277">
        <f>+K17</f>
        <v>7.0000000000000007E-2</v>
      </c>
      <c r="F33" s="274">
        <f>E31*$D$33</f>
        <v>0</v>
      </c>
      <c r="G33" s="274">
        <f t="shared" ref="G33:L33" si="3">F31*$D$33</f>
        <v>0</v>
      </c>
      <c r="H33" s="274">
        <f t="shared" si="3"/>
        <v>0</v>
      </c>
      <c r="I33" s="274">
        <f t="shared" si="3"/>
        <v>0</v>
      </c>
      <c r="J33" s="274">
        <f t="shared" si="3"/>
        <v>0</v>
      </c>
      <c r="K33" s="274">
        <f t="shared" si="3"/>
        <v>0</v>
      </c>
      <c r="L33" s="274">
        <f t="shared" si="3"/>
        <v>0</v>
      </c>
    </row>
    <row r="34" spans="2:12" ht="13.5" thickBot="1">
      <c r="B34" s="27" t="s">
        <v>276</v>
      </c>
      <c r="F34" s="276">
        <f>+F33+F32</f>
        <v>0</v>
      </c>
      <c r="G34" s="276">
        <f t="shared" ref="G34:L34" si="4">+G33+G32</f>
        <v>0</v>
      </c>
      <c r="H34" s="276">
        <f t="shared" si="4"/>
        <v>0</v>
      </c>
      <c r="I34" s="276">
        <f t="shared" si="4"/>
        <v>0</v>
      </c>
      <c r="J34" s="276">
        <f t="shared" si="4"/>
        <v>0</v>
      </c>
      <c r="K34" s="276">
        <f t="shared" si="4"/>
        <v>0</v>
      </c>
      <c r="L34" s="276">
        <f t="shared" si="4"/>
        <v>0</v>
      </c>
    </row>
    <row r="35" spans="2:12" ht="13.5" thickTop="1">
      <c r="B35" s="14" t="s">
        <v>278</v>
      </c>
      <c r="C35" s="14"/>
      <c r="D35" s="14"/>
      <c r="E35" s="14"/>
      <c r="F35" s="295">
        <v>0.01</v>
      </c>
      <c r="G35" s="295">
        <v>0.01</v>
      </c>
      <c r="H35" s="295">
        <v>0.01</v>
      </c>
      <c r="I35" s="295">
        <v>0.01</v>
      </c>
      <c r="J35" s="295">
        <v>0.01</v>
      </c>
      <c r="K35" s="295">
        <v>0.01</v>
      </c>
      <c r="L35" s="295">
        <v>0.94</v>
      </c>
    </row>
    <row r="36" spans="2:12" ht="13">
      <c r="B36" s="27"/>
      <c r="J36" s="55"/>
    </row>
    <row r="37" spans="2:12" ht="13">
      <c r="B37" s="27" t="str">
        <f>+B18</f>
        <v>Corporate Bonds</v>
      </c>
      <c r="J37" s="55"/>
    </row>
    <row r="38" spans="2:12">
      <c r="B38" t="s">
        <v>273</v>
      </c>
      <c r="E38" s="274">
        <f>H18</f>
        <v>0</v>
      </c>
      <c r="F38" s="274">
        <f t="shared" ref="F38:L38" si="5">+E38-F39</f>
        <v>0</v>
      </c>
      <c r="G38" s="274">
        <f t="shared" si="5"/>
        <v>0</v>
      </c>
      <c r="H38" s="274">
        <f t="shared" si="5"/>
        <v>0</v>
      </c>
      <c r="I38" s="274">
        <f t="shared" si="5"/>
        <v>0</v>
      </c>
      <c r="J38" s="274">
        <f t="shared" si="5"/>
        <v>0</v>
      </c>
      <c r="K38" s="274">
        <f t="shared" si="5"/>
        <v>0</v>
      </c>
      <c r="L38" s="274">
        <f t="shared" si="5"/>
        <v>0</v>
      </c>
    </row>
    <row r="39" spans="2:12">
      <c r="B39" t="s">
        <v>274</v>
      </c>
      <c r="F39" s="274">
        <f>$E$38*F42</f>
        <v>0</v>
      </c>
      <c r="G39" s="274">
        <f t="shared" ref="G39:L39" si="6">$E$38*G42</f>
        <v>0</v>
      </c>
      <c r="H39" s="274">
        <f t="shared" si="6"/>
        <v>0</v>
      </c>
      <c r="I39" s="274">
        <f t="shared" si="6"/>
        <v>0</v>
      </c>
      <c r="J39" s="274">
        <f t="shared" si="6"/>
        <v>0</v>
      </c>
      <c r="K39" s="274">
        <f t="shared" si="6"/>
        <v>0</v>
      </c>
      <c r="L39" s="274">
        <f t="shared" si="6"/>
        <v>0</v>
      </c>
    </row>
    <row r="40" spans="2:12">
      <c r="B40" t="s">
        <v>275</v>
      </c>
      <c r="D40" s="294">
        <f>K18</f>
        <v>0.1</v>
      </c>
      <c r="F40" s="274">
        <f>E38*$D$40</f>
        <v>0</v>
      </c>
      <c r="G40" s="274">
        <f t="shared" ref="G40:L40" si="7">F38*$D$40</f>
        <v>0</v>
      </c>
      <c r="H40" s="274">
        <f t="shared" si="7"/>
        <v>0</v>
      </c>
      <c r="I40" s="274">
        <f t="shared" si="7"/>
        <v>0</v>
      </c>
      <c r="J40" s="274">
        <f t="shared" si="7"/>
        <v>0</v>
      </c>
      <c r="K40" s="274">
        <f t="shared" si="7"/>
        <v>0</v>
      </c>
      <c r="L40" s="274">
        <f t="shared" si="7"/>
        <v>0</v>
      </c>
    </row>
    <row r="41" spans="2:12" ht="13.5" thickBot="1">
      <c r="B41" s="27" t="s">
        <v>276</v>
      </c>
      <c r="F41" s="276">
        <f t="shared" ref="F41:L41" si="8">+F40+F39</f>
        <v>0</v>
      </c>
      <c r="G41" s="276">
        <f t="shared" si="8"/>
        <v>0</v>
      </c>
      <c r="H41" s="276">
        <f t="shared" si="8"/>
        <v>0</v>
      </c>
      <c r="I41" s="276">
        <f t="shared" si="8"/>
        <v>0</v>
      </c>
      <c r="J41" s="276">
        <f t="shared" si="8"/>
        <v>0</v>
      </c>
      <c r="K41" s="276">
        <f t="shared" si="8"/>
        <v>0</v>
      </c>
      <c r="L41" s="276">
        <f t="shared" si="8"/>
        <v>0</v>
      </c>
    </row>
    <row r="42" spans="2:12" ht="13.5" thickTop="1">
      <c r="B42" s="14" t="s">
        <v>278</v>
      </c>
      <c r="C42" s="14"/>
      <c r="D42" s="14"/>
      <c r="E42" s="14"/>
      <c r="F42" s="295">
        <v>0</v>
      </c>
      <c r="G42" s="295">
        <v>0</v>
      </c>
      <c r="H42" s="295">
        <v>0</v>
      </c>
      <c r="I42" s="295">
        <v>0</v>
      </c>
      <c r="J42" s="295">
        <v>0</v>
      </c>
      <c r="K42" s="295">
        <v>0</v>
      </c>
      <c r="L42" s="295">
        <v>1</v>
      </c>
    </row>
    <row r="43" spans="2:12" ht="13.5" thickBot="1">
      <c r="B43" s="27"/>
      <c r="J43" s="55"/>
    </row>
    <row r="44" spans="2:12" ht="13.5" thickBot="1">
      <c r="B44" s="309" t="s">
        <v>271</v>
      </c>
      <c r="C44" s="310"/>
      <c r="D44" s="310"/>
      <c r="E44" s="310"/>
      <c r="F44" s="311" t="s">
        <v>36</v>
      </c>
      <c r="G44" s="312"/>
      <c r="H44" s="311"/>
      <c r="I44" s="312"/>
      <c r="J44" s="317" t="s">
        <v>289</v>
      </c>
    </row>
    <row r="45" spans="2:12" ht="13.5" thickBot="1">
      <c r="B45" s="313"/>
      <c r="C45" s="314"/>
      <c r="D45" s="314"/>
      <c r="E45" s="314"/>
      <c r="F45" s="315">
        <f>+'DCF Valuation'!F49</f>
        <v>2025</v>
      </c>
      <c r="G45" s="315">
        <f>+'DCF Valuation'!G49</f>
        <v>2026</v>
      </c>
      <c r="H45" s="315">
        <f>+'DCF Valuation'!H49</f>
        <v>2027</v>
      </c>
      <c r="I45" s="315">
        <f>+'DCF Valuation'!I49</f>
        <v>2028</v>
      </c>
      <c r="J45" s="316">
        <f>+'DCF Valuation'!J49</f>
        <v>2029</v>
      </c>
    </row>
    <row r="46" spans="2:12" ht="13">
      <c r="B46" s="14" t="s">
        <v>13</v>
      </c>
      <c r="J46" s="299"/>
    </row>
    <row r="47" spans="2:12">
      <c r="B47" t="str">
        <f>+'DCF Valuation'!B52</f>
        <v>Revenues</v>
      </c>
      <c r="F47" s="68">
        <f>+'DCF Valuation'!F52</f>
        <v>0</v>
      </c>
      <c r="G47" s="68">
        <f>+'DCF Valuation'!G52</f>
        <v>0</v>
      </c>
      <c r="H47" s="68">
        <f>+'DCF Valuation'!H52</f>
        <v>0</v>
      </c>
      <c r="I47" s="68">
        <f>+'DCF Valuation'!I52</f>
        <v>0</v>
      </c>
      <c r="J47" s="300">
        <f>+'DCF Valuation'!J52</f>
        <v>0</v>
      </c>
    </row>
    <row r="48" spans="2:12">
      <c r="B48" t="str">
        <f>+'DCF Valuation'!B53</f>
        <v>Cost of goods sold</v>
      </c>
      <c r="F48" s="69" t="e">
        <f>+'DCF Valuation'!F53</f>
        <v>#DIV/0!</v>
      </c>
      <c r="G48" s="69" t="e">
        <f>+'DCF Valuation'!G53</f>
        <v>#DIV/0!</v>
      </c>
      <c r="H48" s="69" t="e">
        <f>+'DCF Valuation'!H53</f>
        <v>#DIV/0!</v>
      </c>
      <c r="I48" s="69" t="e">
        <f>+'DCF Valuation'!I53</f>
        <v>#DIV/0!</v>
      </c>
      <c r="J48" s="301" t="e">
        <f>+'DCF Valuation'!J53</f>
        <v>#DIV/0!</v>
      </c>
    </row>
    <row r="49" spans="2:10">
      <c r="B49" t="str">
        <f>+'DCF Valuation'!B54</f>
        <v>Gross profit</v>
      </c>
      <c r="F49" s="65" t="e">
        <f>SUM(F47:F48)</f>
        <v>#DIV/0!</v>
      </c>
      <c r="G49" s="65" t="e">
        <f>SUM(G47:G48)</f>
        <v>#DIV/0!</v>
      </c>
      <c r="H49" s="65" t="e">
        <f>SUM(H47:H48)</f>
        <v>#DIV/0!</v>
      </c>
      <c r="I49" s="65" t="e">
        <f>SUM(I47:I48)</f>
        <v>#DIV/0!</v>
      </c>
      <c r="J49" s="302" t="e">
        <f>SUM(J47:J48)</f>
        <v>#DIV/0!</v>
      </c>
    </row>
    <row r="50" spans="2:10" ht="13">
      <c r="B50" t="str">
        <f>+'DCF Valuation'!B55</f>
        <v>Gross profit margin</v>
      </c>
      <c r="C50" s="14"/>
      <c r="D50" s="14"/>
      <c r="E50" s="14"/>
      <c r="F50" s="66" t="e">
        <f>+F49/F47</f>
        <v>#DIV/0!</v>
      </c>
      <c r="G50" s="66" t="e">
        <f>+G49/G47</f>
        <v>#DIV/0!</v>
      </c>
      <c r="H50" s="66" t="e">
        <f>+H49/H47</f>
        <v>#DIV/0!</v>
      </c>
      <c r="I50" s="66" t="e">
        <f>+I49/I47</f>
        <v>#DIV/0!</v>
      </c>
      <c r="J50" s="303" t="e">
        <f>+J49/J47</f>
        <v>#DIV/0!</v>
      </c>
    </row>
    <row r="51" spans="2:10">
      <c r="F51" s="44"/>
      <c r="G51" s="44"/>
      <c r="H51" s="44"/>
      <c r="I51" s="44"/>
      <c r="J51" s="304"/>
    </row>
    <row r="52" spans="2:10">
      <c r="B52" t="str">
        <f>+'DCF Valuation'!B57</f>
        <v>Selling, General &amp; Admin.</v>
      </c>
      <c r="F52" s="69" t="e">
        <f>+'DCF Valuation'!F57</f>
        <v>#DIV/0!</v>
      </c>
      <c r="G52" s="69" t="e">
        <f>+'DCF Valuation'!G57</f>
        <v>#DIV/0!</v>
      </c>
      <c r="H52" s="69" t="e">
        <f>+'DCF Valuation'!H57</f>
        <v>#DIV/0!</v>
      </c>
      <c r="I52" s="69" t="e">
        <f>+'DCF Valuation'!I57</f>
        <v>#DIV/0!</v>
      </c>
      <c r="J52" s="301" t="e">
        <f>+'DCF Valuation'!J57</f>
        <v>#DIV/0!</v>
      </c>
    </row>
    <row r="53" spans="2:10">
      <c r="B53" t="str">
        <f>+'DCF Valuation'!B58</f>
        <v>EBIT</v>
      </c>
      <c r="F53" s="65" t="e">
        <f>+F52+F49</f>
        <v>#DIV/0!</v>
      </c>
      <c r="G53" s="65" t="e">
        <f>+G52+G49</f>
        <v>#DIV/0!</v>
      </c>
      <c r="H53" s="65" t="e">
        <f>+H52+H49</f>
        <v>#DIV/0!</v>
      </c>
      <c r="I53" s="65" t="e">
        <f>+I52+I49</f>
        <v>#DIV/0!</v>
      </c>
      <c r="J53" s="302" t="e">
        <f>+J52+J49</f>
        <v>#DIV/0!</v>
      </c>
    </row>
    <row r="54" spans="2:10">
      <c r="B54" t="s">
        <v>270</v>
      </c>
      <c r="F54" s="44">
        <f>-F40-F33</f>
        <v>0</v>
      </c>
      <c r="G54" s="44">
        <f>-G40-G33</f>
        <v>0</v>
      </c>
      <c r="H54" s="44">
        <f>-H40-H33</f>
        <v>0</v>
      </c>
      <c r="I54" s="44">
        <f>-I40-I33</f>
        <v>0</v>
      </c>
      <c r="J54" s="304">
        <f>-J40-J33</f>
        <v>0</v>
      </c>
    </row>
    <row r="55" spans="2:10">
      <c r="B55" t="s">
        <v>279</v>
      </c>
      <c r="F55" s="296" t="e">
        <f>F53+F54</f>
        <v>#DIV/0!</v>
      </c>
      <c r="G55" s="296" t="e">
        <f>G53+G54</f>
        <v>#DIV/0!</v>
      </c>
      <c r="H55" s="296" t="e">
        <f>H53+H54</f>
        <v>#DIV/0!</v>
      </c>
      <c r="I55" s="296" t="e">
        <f>I53+I54</f>
        <v>#DIV/0!</v>
      </c>
      <c r="J55" s="305" t="e">
        <f>J53+J54</f>
        <v>#DIV/0!</v>
      </c>
    </row>
    <row r="56" spans="2:10">
      <c r="B56" t="str">
        <f>+'DCF Valuation'!B61</f>
        <v>Taxes @ 22.0%</v>
      </c>
      <c r="D56" s="277">
        <f>+TaxRate</f>
        <v>0.22</v>
      </c>
      <c r="F56" s="67" t="e">
        <f>-$D$56*F55</f>
        <v>#DIV/0!</v>
      </c>
      <c r="G56" s="67" t="e">
        <f>-$D$56*G55</f>
        <v>#DIV/0!</v>
      </c>
      <c r="H56" s="67" t="e">
        <f>-$D$56*H55</f>
        <v>#DIV/0!</v>
      </c>
      <c r="I56" s="67" t="e">
        <f>-$D$56*I55</f>
        <v>#DIV/0!</v>
      </c>
      <c r="J56" s="306" t="e">
        <f>-$D$56*J55</f>
        <v>#DIV/0!</v>
      </c>
    </row>
    <row r="57" spans="2:10">
      <c r="B57" t="str">
        <f>+'DCF Valuation'!B62</f>
        <v>Net Operating Profit after Taxes</v>
      </c>
      <c r="F57" s="65" t="e">
        <f>+F53+F56</f>
        <v>#DIV/0!</v>
      </c>
      <c r="G57" s="65" t="e">
        <f>+G53+G56</f>
        <v>#DIV/0!</v>
      </c>
      <c r="H57" s="65" t="e">
        <f>+H53+H56</f>
        <v>#DIV/0!</v>
      </c>
      <c r="I57" s="65" t="e">
        <f>+I53+I56</f>
        <v>#DIV/0!</v>
      </c>
      <c r="J57" s="302" t="e">
        <f>+J53+J56</f>
        <v>#DIV/0!</v>
      </c>
    </row>
    <row r="58" spans="2:10">
      <c r="B58" t="str">
        <f>+'DCF Valuation'!B64</f>
        <v>Add: Depreciation &amp; Amortization</v>
      </c>
      <c r="F58" s="70" t="e">
        <f>+'DCF Valuation'!F64</f>
        <v>#DIV/0!</v>
      </c>
      <c r="G58" s="70" t="e">
        <f>+'DCF Valuation'!G64</f>
        <v>#DIV/0!</v>
      </c>
      <c r="H58" s="70" t="e">
        <f>+'DCF Valuation'!H64</f>
        <v>#DIV/0!</v>
      </c>
      <c r="I58" s="70" t="e">
        <f>+'DCF Valuation'!I64</f>
        <v>#DIV/0!</v>
      </c>
      <c r="J58" s="307" t="e">
        <f>+'DCF Valuation'!J64</f>
        <v>#DIV/0!</v>
      </c>
    </row>
    <row r="59" spans="2:10">
      <c r="B59" t="str">
        <f>+'DCF Valuation'!B65</f>
        <v>Less: Capital Expenditures</v>
      </c>
      <c r="F59" s="70" t="e">
        <f>+'DCF Valuation'!F65</f>
        <v>#DIV/0!</v>
      </c>
      <c r="G59" s="70" t="e">
        <f>+'DCF Valuation'!G65</f>
        <v>#DIV/0!</v>
      </c>
      <c r="H59" s="70" t="e">
        <f>+'DCF Valuation'!H65</f>
        <v>#DIV/0!</v>
      </c>
      <c r="I59" s="70" t="e">
        <f>+'DCF Valuation'!I65</f>
        <v>#DIV/0!</v>
      </c>
      <c r="J59" s="307" t="e">
        <f>+'DCF Valuation'!J65</f>
        <v>#DIV/0!</v>
      </c>
    </row>
    <row r="60" spans="2:10">
      <c r="B60" t="str">
        <f>+'DCF Valuation'!B66</f>
        <v>Adjust for Changes in NWC</v>
      </c>
      <c r="F60" s="297" t="e">
        <f>+'DCF Valuation'!F66</f>
        <v>#DIV/0!</v>
      </c>
      <c r="G60" s="297" t="e">
        <f>+'DCF Valuation'!G66</f>
        <v>#DIV/0!</v>
      </c>
      <c r="H60" s="297" t="e">
        <f>+'DCF Valuation'!H66</f>
        <v>#DIV/0!</v>
      </c>
      <c r="I60" s="297" t="e">
        <f>+'DCF Valuation'!I66</f>
        <v>#DIV/0!</v>
      </c>
      <c r="J60" s="308" t="e">
        <f>+'DCF Valuation'!J66</f>
        <v>#DIV/0!</v>
      </c>
    </row>
    <row r="61" spans="2:10">
      <c r="B61" t="s">
        <v>280</v>
      </c>
      <c r="F61" s="297">
        <f>-F32-F39</f>
        <v>0</v>
      </c>
      <c r="G61" s="297">
        <f>-G32-G39</f>
        <v>0</v>
      </c>
      <c r="H61" s="297">
        <f>-H32-H39</f>
        <v>0</v>
      </c>
      <c r="I61" s="297">
        <f>-I32-I39</f>
        <v>0</v>
      </c>
      <c r="J61" s="308">
        <f>-J32-J39</f>
        <v>0</v>
      </c>
    </row>
    <row r="62" spans="2:10" ht="13.5" thickBot="1">
      <c r="B62" t="s">
        <v>281</v>
      </c>
      <c r="C62" s="27"/>
      <c r="D62" s="27"/>
      <c r="E62" s="27"/>
      <c r="F62" s="321" t="e">
        <f>SUM(F57:F61)</f>
        <v>#DIV/0!</v>
      </c>
      <c r="G62" s="321" t="e">
        <f>SUM(G57:G61)</f>
        <v>#DIV/0!</v>
      </c>
      <c r="H62" s="321" t="e">
        <f>SUM(H57:H61)</f>
        <v>#DIV/0!</v>
      </c>
      <c r="I62" s="321" t="e">
        <f>SUM(I57:I61)</f>
        <v>#DIV/0!</v>
      </c>
      <c r="J62" s="322" t="e">
        <f>SUM(J57:J61)</f>
        <v>#DIV/0!</v>
      </c>
    </row>
    <row r="63" spans="2:10" ht="13" thickTop="1">
      <c r="J63" s="299"/>
    </row>
    <row r="64" spans="2:10" ht="13.5" thickBot="1">
      <c r="B64" s="298" t="s">
        <v>76</v>
      </c>
      <c r="E64" s="386" t="s">
        <v>290</v>
      </c>
      <c r="F64" s="386"/>
      <c r="J64" s="299"/>
    </row>
    <row r="65" spans="2:10" ht="13" thickTop="1">
      <c r="B65" t="s">
        <v>282</v>
      </c>
      <c r="E65" s="349">
        <f>'DCF Valuation'!D9</f>
        <v>0</v>
      </c>
      <c r="J65" s="304" t="e">
        <f>(J53+J58)*E65</f>
        <v>#DIV/0!</v>
      </c>
    </row>
    <row r="66" spans="2:10">
      <c r="B66" t="s">
        <v>283</v>
      </c>
      <c r="D66" s="318" t="e">
        <f>'DCF Valuation'!D10</f>
        <v>#DIV/0!</v>
      </c>
      <c r="E66" s="318" t="e">
        <f>D66*(1+D56)</f>
        <v>#DIV/0!</v>
      </c>
      <c r="F66" s="318">
        <f>'DCF Valuation'!D8</f>
        <v>0.03</v>
      </c>
      <c r="J66" s="304" t="e">
        <f>+J62/(E66-F66)</f>
        <v>#DIV/0!</v>
      </c>
    </row>
    <row r="67" spans="2:10" ht="13">
      <c r="B67" t="s">
        <v>286</v>
      </c>
      <c r="F67" t="s">
        <v>315</v>
      </c>
      <c r="J67" s="350" t="e">
        <f>AVERAGE(J65:J66)</f>
        <v>#DIV/0!</v>
      </c>
    </row>
    <row r="68" spans="2:10">
      <c r="B68" t="s">
        <v>284</v>
      </c>
      <c r="J68" s="319">
        <f>-J38-J31</f>
        <v>0</v>
      </c>
    </row>
    <row r="69" spans="2:10">
      <c r="B69" t="s">
        <v>285</v>
      </c>
      <c r="J69" s="319" t="e">
        <f>+J67+J68</f>
        <v>#DIV/0!</v>
      </c>
    </row>
    <row r="70" spans="2:10" ht="13.5" thickBot="1">
      <c r="B70" t="s">
        <v>287</v>
      </c>
      <c r="E70" s="274">
        <f>-H21</f>
        <v>0</v>
      </c>
      <c r="F70" s="351" t="e">
        <f>+F62</f>
        <v>#DIV/0!</v>
      </c>
      <c r="G70" s="351" t="e">
        <f>+G62</f>
        <v>#DIV/0!</v>
      </c>
      <c r="H70" s="351" t="e">
        <f>+H62</f>
        <v>#DIV/0!</v>
      </c>
      <c r="I70" s="351" t="e">
        <f>+I62</f>
        <v>#DIV/0!</v>
      </c>
      <c r="J70" s="352" t="e">
        <f>+J62+J69</f>
        <v>#DIV/0!</v>
      </c>
    </row>
    <row r="71" spans="2:10" ht="13.5" thickTop="1">
      <c r="B71" t="s">
        <v>288</v>
      </c>
      <c r="E71" s="295">
        <v>0.25</v>
      </c>
      <c r="F71" s="320" t="e">
        <f>NPV(E71,F70:J70)</f>
        <v>#DIV/0!</v>
      </c>
      <c r="G71" s="379"/>
    </row>
    <row r="72" spans="2:10" ht="13" thickBot="1">
      <c r="F72" s="320"/>
      <c r="G72" s="379"/>
    </row>
    <row r="73" spans="2:10" ht="16" customHeight="1" thickBot="1">
      <c r="B73" t="s">
        <v>292</v>
      </c>
      <c r="F73" s="334">
        <f>F7</f>
        <v>0</v>
      </c>
    </row>
    <row r="74" spans="2:10" ht="13">
      <c r="B74" t="s">
        <v>314</v>
      </c>
      <c r="E74" s="377"/>
      <c r="F74" s="380" t="e">
        <f>F73/D7-1</f>
        <v>#DIV/0!</v>
      </c>
    </row>
    <row r="75" spans="2:10">
      <c r="E75" s="377"/>
    </row>
  </sheetData>
  <mergeCells count="2">
    <mergeCell ref="D15:G15"/>
    <mergeCell ref="E64:F64"/>
  </mergeCells>
  <conditionalFormatting sqref="F47:J62">
    <cfRule type="expression" dxfId="1" priority="3">
      <formula>F47&lt;&gt;""</formula>
    </cfRule>
    <cfRule type="expression" dxfId="0" priority="4">
      <formula>$C$6=0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Input &amp; Projections</vt:lpstr>
      <vt:lpstr>Comps (Old)</vt:lpstr>
      <vt:lpstr>Summary Valuation</vt:lpstr>
      <vt:lpstr>Technical Valuation</vt:lpstr>
      <vt:lpstr>Comps Valuation</vt:lpstr>
      <vt:lpstr>DCF Valuation</vt:lpstr>
      <vt:lpstr>LBO Valuation</vt:lpstr>
      <vt:lpstr>Case</vt:lpstr>
      <vt:lpstr>Days</vt:lpstr>
      <vt:lpstr>'Comps (Old)'!Print_Area</vt:lpstr>
      <vt:lpstr>'Comps Valuation'!Print_Area</vt:lpstr>
      <vt:lpstr>'DCF Valuation'!Print_Area</vt:lpstr>
      <vt:lpstr>'Input &amp; Projections'!Print_Area</vt:lpstr>
      <vt:lpstr>TaxRate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Zirpolo</dc:creator>
  <cp:lastModifiedBy>Chris Droussiotis</cp:lastModifiedBy>
  <cp:lastPrinted>2022-03-26T19:54:59Z</cp:lastPrinted>
  <dcterms:created xsi:type="dcterms:W3CDTF">2022-03-21T18:54:05Z</dcterms:created>
  <dcterms:modified xsi:type="dcterms:W3CDTF">2024-11-12T13:14:55Z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Joe Zirpolo</vt:lpwstr>
  </property>
  <property fmtid="{D5CDD505-2E9C-101B-9397-08002B2CF9AE}" pid="3" name=".">
    <vt:lpwstr>.</vt:lpwstr>
  </property>
</Properties>
</file>