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66921b89f68d3868/Documents/School Work/SHU/FIN 4261 Private Equity/"/>
    </mc:Choice>
  </mc:AlternateContent>
  <xr:revisionPtr revIDLastSave="126" documentId="8_{EFFD619E-DC01-46C4-BAB7-32DE8E4AB21F}" xr6:coauthVersionLast="47" xr6:coauthVersionMax="47" xr10:uidLastSave="{46A2B6E0-CAF7-4ACF-AB08-13C206781711}"/>
  <bookViews>
    <workbookView xWindow="-120" yWindow="-120" windowWidth="25440" windowHeight="15270" xr2:uid="{00000000-000D-0000-FFFF-FFFF00000000}"/>
  </bookViews>
  <sheets>
    <sheet name="Financial Model" sheetId="9" r:id="rId1"/>
    <sheet name="Valuation" sheetId="10" r:id="rId2"/>
    <sheet name="Income Statement" sheetId="1" r:id="rId3"/>
    <sheet name="Balance Sheet" sheetId="2" r:id="rId4"/>
    <sheet name="Notes" sheetId="3" r:id="rId5"/>
    <sheet name="TB 2023" sheetId="8" state="hidden" r:id="rId6"/>
    <sheet name="TB 2022" sheetId="4" state="hidden" r:id="rId7"/>
    <sheet name="TB 2021" sheetId="6" state="hidden" r:id="rId8"/>
  </sheets>
  <definedNames>
    <definedName name="_xlnm.Print_Area" localSheetId="2">'Income Statement'!$A$1:$E$34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1" roundtripDataSignature="AMtx7mgtoXBJMHjQzmj/ApfUEB0qQ7KqoA=="/>
    </ext>
  </extLst>
</workbook>
</file>

<file path=xl/calcChain.xml><?xml version="1.0" encoding="utf-8"?>
<calcChain xmlns="http://schemas.openxmlformats.org/spreadsheetml/2006/main">
  <c r="E44" i="10" l="1"/>
  <c r="D10" i="10"/>
  <c r="E30" i="9"/>
  <c r="B1" i="9"/>
  <c r="A1" i="1" s="1"/>
  <c r="C6" i="9"/>
  <c r="D6" i="9"/>
  <c r="D8" i="9" s="1"/>
  <c r="C8" i="9"/>
  <c r="C9" i="9"/>
  <c r="D9" i="9"/>
  <c r="C12" i="9"/>
  <c r="C15" i="9" s="1"/>
  <c r="D12" i="9"/>
  <c r="D15" i="9" s="1"/>
  <c r="C13" i="9"/>
  <c r="C16" i="9" s="1"/>
  <c r="C18" i="9" s="1"/>
  <c r="C22" i="9" s="1"/>
  <c r="C27" i="9" s="1"/>
  <c r="D13" i="9"/>
  <c r="C14" i="9"/>
  <c r="D14" i="9"/>
  <c r="C20" i="9"/>
  <c r="D20" i="9"/>
  <c r="C21" i="9"/>
  <c r="D21" i="9"/>
  <c r="C37" i="9"/>
  <c r="D37" i="9"/>
  <c r="C38" i="9"/>
  <c r="D28" i="9" s="1"/>
  <c r="D38" i="9"/>
  <c r="C40" i="9"/>
  <c r="C44" i="9" s="1"/>
  <c r="D40" i="9"/>
  <c r="D44" i="9" s="1"/>
  <c r="C42" i="9"/>
  <c r="D29" i="9" s="1"/>
  <c r="D42" i="9"/>
  <c r="C43" i="9"/>
  <c r="D43" i="9"/>
  <c r="C47" i="9"/>
  <c r="D47" i="9"/>
  <c r="C48" i="9"/>
  <c r="D48" i="9"/>
  <c r="C49" i="9"/>
  <c r="D49" i="9"/>
  <c r="C52" i="9"/>
  <c r="D52" i="9"/>
  <c r="C53" i="9"/>
  <c r="D53" i="9" s="1"/>
  <c r="D56" i="9" s="1"/>
  <c r="C54" i="9"/>
  <c r="D30" i="9" s="1"/>
  <c r="D54" i="9"/>
  <c r="C55" i="9"/>
  <c r="D55" i="9"/>
  <c r="E11" i="1"/>
  <c r="D13" i="1"/>
  <c r="E13" i="1"/>
  <c r="D15" i="1"/>
  <c r="D19" i="1" s="1"/>
  <c r="D23" i="1" s="1"/>
  <c r="D27" i="1" s="1"/>
  <c r="D31" i="1" s="1"/>
  <c r="C30" i="2" s="1"/>
  <c r="E15" i="1"/>
  <c r="E19" i="1" s="1"/>
  <c r="E23" i="1" s="1"/>
  <c r="E27" i="1" s="1"/>
  <c r="E31" i="1" s="1"/>
  <c r="D30" i="2" s="1"/>
  <c r="D17" i="1"/>
  <c r="E17" i="1"/>
  <c r="D21" i="1"/>
  <c r="E21" i="1"/>
  <c r="D25" i="1"/>
  <c r="E25" i="1"/>
  <c r="C11" i="2"/>
  <c r="D11" i="2"/>
  <c r="C12" i="2"/>
  <c r="D12" i="2"/>
  <c r="C14" i="2"/>
  <c r="C22" i="2" s="1"/>
  <c r="D14" i="2"/>
  <c r="D22" i="2" s="1"/>
  <c r="C17" i="2"/>
  <c r="D17" i="2"/>
  <c r="C18" i="2"/>
  <c r="C20" i="2" s="1"/>
  <c r="D18" i="2"/>
  <c r="D20" i="2"/>
  <c r="C27" i="2"/>
  <c r="D27" i="2"/>
  <c r="C28" i="2"/>
  <c r="D28" i="2"/>
  <c r="C29" i="2"/>
  <c r="D29" i="2"/>
  <c r="C35" i="2"/>
  <c r="D35" i="2"/>
  <c r="C36" i="2"/>
  <c r="D36" i="2"/>
  <c r="C38" i="2"/>
  <c r="D38" i="2"/>
  <c r="A13" i="3"/>
  <c r="B13" i="3"/>
  <c r="B40" i="3" s="1"/>
  <c r="C13" i="3"/>
  <c r="C40" i="3" s="1"/>
  <c r="A14" i="3"/>
  <c r="B14" i="3"/>
  <c r="C14" i="3"/>
  <c r="B15" i="3"/>
  <c r="B16" i="3"/>
  <c r="B17" i="3"/>
  <c r="C17" i="3"/>
  <c r="B18" i="3"/>
  <c r="C18" i="3"/>
  <c r="B19" i="3"/>
  <c r="C19" i="3"/>
  <c r="B20" i="3"/>
  <c r="B21" i="3"/>
  <c r="C21" i="3"/>
  <c r="B22" i="3"/>
  <c r="C22" i="3"/>
  <c r="B23" i="3"/>
  <c r="C23" i="3"/>
  <c r="C24" i="3"/>
  <c r="B25" i="3"/>
  <c r="C25" i="3"/>
  <c r="B26" i="3"/>
  <c r="C26" i="3"/>
  <c r="B27" i="3"/>
  <c r="C27" i="3"/>
  <c r="B28" i="3"/>
  <c r="B29" i="3"/>
  <c r="B30" i="3"/>
  <c r="C30" i="3"/>
  <c r="B31" i="3"/>
  <c r="B32" i="3"/>
  <c r="B33" i="3"/>
  <c r="C33" i="3"/>
  <c r="B34" i="3"/>
  <c r="C34" i="3"/>
  <c r="B35" i="3"/>
  <c r="C35" i="3"/>
  <c r="B36" i="3"/>
  <c r="C36" i="3"/>
  <c r="C37" i="3"/>
  <c r="C38" i="3"/>
  <c r="C39" i="3"/>
  <c r="A46" i="3"/>
  <c r="B46" i="3"/>
  <c r="B48" i="3" s="1"/>
  <c r="C46" i="3"/>
  <c r="C48" i="3" s="1"/>
  <c r="B47" i="3"/>
  <c r="C47" i="3"/>
  <c r="B54" i="3"/>
  <c r="B55" i="3"/>
  <c r="B56" i="3"/>
  <c r="C56" i="3"/>
  <c r="B57" i="3"/>
  <c r="C57" i="3"/>
  <c r="C67" i="3" s="1"/>
  <c r="B58" i="3"/>
  <c r="B67" i="3" s="1"/>
  <c r="C58" i="3"/>
  <c r="B59" i="3"/>
  <c r="B60" i="3"/>
  <c r="C61" i="3"/>
  <c r="C62" i="3"/>
  <c r="C63" i="3"/>
  <c r="C64" i="3"/>
  <c r="C65" i="3"/>
  <c r="C66" i="3"/>
  <c r="B73" i="3"/>
  <c r="B76" i="3" s="1"/>
  <c r="C73" i="3"/>
  <c r="C76" i="3" s="1"/>
  <c r="B74" i="3"/>
  <c r="C74" i="3"/>
  <c r="B75" i="3"/>
  <c r="C75" i="3"/>
  <c r="B81" i="3"/>
  <c r="C81" i="3"/>
  <c r="B82" i="3"/>
  <c r="C82" i="3"/>
  <c r="A86" i="9"/>
  <c r="A87" i="9"/>
  <c r="A88" i="9"/>
  <c r="A89" i="9"/>
  <c r="E11" i="10"/>
  <c r="A7" i="10"/>
  <c r="A8" i="10"/>
  <c r="A9" i="10"/>
  <c r="A10" i="10"/>
  <c r="A11" i="10"/>
  <c r="A12" i="10"/>
  <c r="A13" i="10"/>
  <c r="A14" i="10"/>
  <c r="A15" i="10"/>
  <c r="A16" i="10"/>
  <c r="AN6" i="10"/>
  <c r="AM6" i="10"/>
  <c r="AG6" i="10"/>
  <c r="AB6" i="10"/>
  <c r="W6" i="10"/>
  <c r="A6" i="10"/>
  <c r="A5" i="10"/>
  <c r="M38" i="10"/>
  <c r="M37" i="10"/>
  <c r="M36" i="10"/>
  <c r="M35" i="10"/>
  <c r="M32" i="10"/>
  <c r="N42" i="10"/>
  <c r="E30" i="10" s="1"/>
  <c r="M31" i="10"/>
  <c r="M30" i="10"/>
  <c r="M29" i="10"/>
  <c r="M28" i="10"/>
  <c r="M27" i="10"/>
  <c r="F19" i="10"/>
  <c r="F21" i="10" s="1"/>
  <c r="G19" i="10"/>
  <c r="G21" i="10" s="1"/>
  <c r="H19" i="10"/>
  <c r="H21" i="10" s="1"/>
  <c r="I19" i="10"/>
  <c r="E19" i="10"/>
  <c r="E21" i="10" s="1"/>
  <c r="G15" i="10"/>
  <c r="F15" i="10"/>
  <c r="E15" i="10"/>
  <c r="H15" i="10"/>
  <c r="A22" i="10"/>
  <c r="A23" i="10"/>
  <c r="A24" i="10"/>
  <c r="J19" i="10"/>
  <c r="K19" i="10"/>
  <c r="L19" i="10"/>
  <c r="M19" i="10"/>
  <c r="N19" i="10"/>
  <c r="O19" i="10"/>
  <c r="P19" i="10"/>
  <c r="A25" i="10"/>
  <c r="A26" i="10"/>
  <c r="A27" i="10"/>
  <c r="A28" i="10"/>
  <c r="A29" i="10"/>
  <c r="A30" i="10"/>
  <c r="A18" i="10"/>
  <c r="A19" i="10"/>
  <c r="A20" i="10"/>
  <c r="A21" i="10"/>
  <c r="J15" i="10"/>
  <c r="K15" i="10"/>
  <c r="L15" i="10"/>
  <c r="M15" i="10"/>
  <c r="N15" i="10"/>
  <c r="O15" i="10"/>
  <c r="P15" i="10"/>
  <c r="I15" i="10"/>
  <c r="A44" i="10"/>
  <c r="A43" i="10"/>
  <c r="A42" i="10"/>
  <c r="A41" i="10"/>
  <c r="L42" i="10"/>
  <c r="A40" i="10"/>
  <c r="A39" i="10"/>
  <c r="A38" i="10"/>
  <c r="A37" i="10"/>
  <c r="A36" i="10"/>
  <c r="A35" i="10"/>
  <c r="A34" i="10"/>
  <c r="A33" i="10"/>
  <c r="A32" i="10"/>
  <c r="A31" i="10"/>
  <c r="A17" i="10"/>
  <c r="AO16" i="10"/>
  <c r="AL16" i="10"/>
  <c r="AK16" i="10" s="1"/>
  <c r="AH16" i="10"/>
  <c r="AF16" i="10"/>
  <c r="AC16" i="10"/>
  <c r="AA16" i="10"/>
  <c r="X16" i="10"/>
  <c r="V16" i="10"/>
  <c r="A1" i="2" l="1"/>
  <c r="D58" i="9"/>
  <c r="D59" i="9" s="1"/>
  <c r="C56" i="9"/>
  <c r="C58" i="9" s="1"/>
  <c r="C59" i="9" s="1"/>
  <c r="D16" i="9"/>
  <c r="D18" i="9" s="1"/>
  <c r="D22" i="9" s="1"/>
  <c r="D27" i="9" s="1"/>
  <c r="D31" i="9" s="1"/>
  <c r="D32" i="2"/>
  <c r="D40" i="2" s="1"/>
  <c r="C32" i="2"/>
  <c r="C40" i="2" s="1"/>
  <c r="M42" i="10"/>
  <c r="H22" i="10"/>
  <c r="E27" i="10" s="1"/>
  <c r="K42" i="10"/>
  <c r="E38" i="10" l="1"/>
  <c r="E31" i="10"/>
  <c r="E37" i="10"/>
  <c r="AN15" i="10" l="1"/>
  <c r="AM15" i="10" l="1"/>
  <c r="AG15" i="10"/>
  <c r="AB15" i="10"/>
  <c r="W15" i="10"/>
  <c r="A65" i="9" l="1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90" i="9"/>
  <c r="E55" i="9"/>
  <c r="F55" i="9" s="1"/>
  <c r="G55" i="9" s="1"/>
  <c r="H55" i="9" s="1"/>
  <c r="E54" i="9"/>
  <c r="E43" i="9"/>
  <c r="F43" i="9" s="1"/>
  <c r="G43" i="9" s="1"/>
  <c r="H43" i="9" s="1"/>
  <c r="I43" i="9" s="1"/>
  <c r="J43" i="9" s="1"/>
  <c r="K43" i="9" s="1"/>
  <c r="L43" i="9" s="1"/>
  <c r="M43" i="9" s="1"/>
  <c r="N43" i="9" s="1"/>
  <c r="O43" i="9" s="1"/>
  <c r="P43" i="9" s="1"/>
  <c r="E42" i="9"/>
  <c r="F42" i="9" s="1"/>
  <c r="G42" i="9" s="1"/>
  <c r="H42" i="9" s="1"/>
  <c r="I42" i="9" s="1"/>
  <c r="J42" i="9" s="1"/>
  <c r="K42" i="9" s="1"/>
  <c r="L42" i="9" s="1"/>
  <c r="M42" i="9" s="1"/>
  <c r="N42" i="9" s="1"/>
  <c r="O42" i="9" s="1"/>
  <c r="P42" i="9" s="1"/>
  <c r="E53" i="9"/>
  <c r="F53" i="9" s="1"/>
  <c r="G53" i="9" s="1"/>
  <c r="H53" i="9" s="1"/>
  <c r="I53" i="9" s="1"/>
  <c r="J53" i="9" s="1"/>
  <c r="K53" i="9" s="1"/>
  <c r="L53" i="9" s="1"/>
  <c r="M53" i="9" s="1"/>
  <c r="N53" i="9" s="1"/>
  <c r="O53" i="9" s="1"/>
  <c r="P53" i="9" s="1"/>
  <c r="E52" i="9"/>
  <c r="F52" i="9" s="1"/>
  <c r="G52" i="9" s="1"/>
  <c r="E48" i="9"/>
  <c r="E47" i="9"/>
  <c r="F47" i="9" s="1"/>
  <c r="G47" i="9" s="1"/>
  <c r="E38" i="9"/>
  <c r="F38" i="9" s="1"/>
  <c r="G38" i="9" s="1"/>
  <c r="H38" i="9" s="1"/>
  <c r="J80" i="9"/>
  <c r="K80" i="9" s="1"/>
  <c r="L80" i="9" s="1"/>
  <c r="M80" i="9" s="1"/>
  <c r="N80" i="9" s="1"/>
  <c r="O80" i="9" s="1"/>
  <c r="P80" i="9" s="1"/>
  <c r="J77" i="9"/>
  <c r="J78" i="9" s="1"/>
  <c r="I83" i="9"/>
  <c r="P69" i="9"/>
  <c r="P71" i="9" s="1"/>
  <c r="P74" i="9" s="1"/>
  <c r="O69" i="9"/>
  <c r="O71" i="9" s="1"/>
  <c r="O73" i="9" s="1"/>
  <c r="N69" i="9"/>
  <c r="N71" i="9" s="1"/>
  <c r="N73" i="9" s="1"/>
  <c r="M69" i="9"/>
  <c r="M71" i="9" s="1"/>
  <c r="M73" i="9" s="1"/>
  <c r="L69" i="9"/>
  <c r="L71" i="9" s="1"/>
  <c r="K69" i="9"/>
  <c r="K71" i="9" s="1"/>
  <c r="K74" i="9" s="1"/>
  <c r="J69" i="9"/>
  <c r="J71" i="9" s="1"/>
  <c r="J73" i="9" s="1"/>
  <c r="I69" i="9"/>
  <c r="I71" i="9" s="1"/>
  <c r="O30" i="9"/>
  <c r="O20" i="10" s="1"/>
  <c r="P30" i="9"/>
  <c r="P20" i="10" s="1"/>
  <c r="J63" i="9"/>
  <c r="K63" i="9" s="1"/>
  <c r="L63" i="9" s="1"/>
  <c r="M63" i="9" s="1"/>
  <c r="N63" i="9" s="1"/>
  <c r="O63" i="9" s="1"/>
  <c r="P63" i="9" s="1"/>
  <c r="J35" i="9"/>
  <c r="K35" i="9" s="1"/>
  <c r="L35" i="9" s="1"/>
  <c r="M35" i="9" s="1"/>
  <c r="N35" i="9" s="1"/>
  <c r="O35" i="9" s="1"/>
  <c r="P35" i="9" s="1"/>
  <c r="J26" i="9"/>
  <c r="K26" i="9" s="1"/>
  <c r="L26" i="9" s="1"/>
  <c r="M26" i="9" s="1"/>
  <c r="N26" i="9" s="1"/>
  <c r="O26" i="9" s="1"/>
  <c r="P26" i="9" s="1"/>
  <c r="G30" i="9"/>
  <c r="H30" i="9"/>
  <c r="I30" i="9"/>
  <c r="I20" i="10" s="1"/>
  <c r="J30" i="9"/>
  <c r="J20" i="10" s="1"/>
  <c r="K30" i="9"/>
  <c r="K20" i="10" s="1"/>
  <c r="L30" i="9"/>
  <c r="L20" i="10" s="1"/>
  <c r="M30" i="9"/>
  <c r="M20" i="10" s="1"/>
  <c r="N30" i="9"/>
  <c r="N20" i="10" s="1"/>
  <c r="F30" i="9"/>
  <c r="E27" i="9"/>
  <c r="F27" i="9"/>
  <c r="G27" i="9"/>
  <c r="H27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" i="9"/>
  <c r="B27" i="9"/>
  <c r="E49" i="9" l="1"/>
  <c r="F48" i="9"/>
  <c r="G48" i="9" s="1"/>
  <c r="H48" i="9" s="1"/>
  <c r="I48" i="9" s="1"/>
  <c r="J48" i="9" s="1"/>
  <c r="K48" i="9" s="1"/>
  <c r="L48" i="9" s="1"/>
  <c r="M48" i="9" s="1"/>
  <c r="N48" i="9" s="1"/>
  <c r="O48" i="9" s="1"/>
  <c r="P48" i="9" s="1"/>
  <c r="J81" i="9"/>
  <c r="F54" i="9"/>
  <c r="G54" i="9" s="1"/>
  <c r="H54" i="9" s="1"/>
  <c r="I54" i="9" s="1"/>
  <c r="J54" i="9" s="1"/>
  <c r="K54" i="9" s="1"/>
  <c r="L54" i="9" s="1"/>
  <c r="M54" i="9" s="1"/>
  <c r="N54" i="9" s="1"/>
  <c r="O54" i="9" s="1"/>
  <c r="P54" i="9" s="1"/>
  <c r="F56" i="9"/>
  <c r="H52" i="9"/>
  <c r="E56" i="9"/>
  <c r="H47" i="9"/>
  <c r="G28" i="9"/>
  <c r="G31" i="9" s="1"/>
  <c r="F28" i="9"/>
  <c r="F31" i="9" s="1"/>
  <c r="J85" i="9"/>
  <c r="J6" i="9" s="1"/>
  <c r="K77" i="9"/>
  <c r="L77" i="9" s="1"/>
  <c r="M77" i="9" s="1"/>
  <c r="N77" i="9" s="1"/>
  <c r="O77" i="9" s="1"/>
  <c r="P77" i="9" s="1"/>
  <c r="P83" i="9" s="1"/>
  <c r="J83" i="9"/>
  <c r="K73" i="9"/>
  <c r="O74" i="9"/>
  <c r="O72" i="9"/>
  <c r="N72" i="9"/>
  <c r="N74" i="9"/>
  <c r="P72" i="9"/>
  <c r="P73" i="9"/>
  <c r="I73" i="9"/>
  <c r="I85" i="9" s="1"/>
  <c r="I6" i="9" s="1"/>
  <c r="I74" i="9"/>
  <c r="J72" i="9"/>
  <c r="L73" i="9"/>
  <c r="L72" i="9"/>
  <c r="M72" i="9"/>
  <c r="L74" i="9"/>
  <c r="K72" i="9"/>
  <c r="M74" i="9"/>
  <c r="E28" i="9"/>
  <c r="E31" i="9" s="1"/>
  <c r="E37" i="9" s="1"/>
  <c r="E40" i="9" s="1"/>
  <c r="E44" i="9" s="1"/>
  <c r="J74" i="9"/>
  <c r="G56" i="9" l="1"/>
  <c r="E58" i="9"/>
  <c r="E59" i="9" s="1"/>
  <c r="K83" i="9"/>
  <c r="J16" i="10"/>
  <c r="J8" i="9"/>
  <c r="J9" i="9" s="1"/>
  <c r="J28" i="9"/>
  <c r="J18" i="10" s="1"/>
  <c r="J16" i="9"/>
  <c r="I8" i="9"/>
  <c r="I16" i="10"/>
  <c r="M44" i="10" s="1"/>
  <c r="K44" i="10" s="1"/>
  <c r="D8" i="10" s="1"/>
  <c r="I28" i="9"/>
  <c r="I16" i="9"/>
  <c r="I9" i="9"/>
  <c r="I18" i="9" s="1"/>
  <c r="G58" i="9"/>
  <c r="L83" i="9"/>
  <c r="N83" i="9"/>
  <c r="F49" i="9"/>
  <c r="F58" i="9" s="1"/>
  <c r="P85" i="9"/>
  <c r="P6" i="9" s="1"/>
  <c r="O83" i="9"/>
  <c r="G49" i="9"/>
  <c r="I52" i="9"/>
  <c r="H56" i="9"/>
  <c r="I47" i="9"/>
  <c r="H49" i="9"/>
  <c r="H28" i="9"/>
  <c r="H31" i="9" s="1"/>
  <c r="M83" i="9"/>
  <c r="N85" i="9"/>
  <c r="N6" i="9" s="1"/>
  <c r="O85" i="9"/>
  <c r="O6" i="9" s="1"/>
  <c r="K85" i="9"/>
  <c r="K6" i="9" s="1"/>
  <c r="L85" i="9"/>
  <c r="L6" i="9" s="1"/>
  <c r="M85" i="9"/>
  <c r="M6" i="9" s="1"/>
  <c r="F37" i="9"/>
  <c r="H58" i="9" l="1"/>
  <c r="J18" i="9"/>
  <c r="J22" i="9" s="1"/>
  <c r="J27" i="9" s="1"/>
  <c r="J31" i="9" s="1"/>
  <c r="J17" i="10"/>
  <c r="J21" i="10" s="1"/>
  <c r="P8" i="9"/>
  <c r="P9" i="9" s="1"/>
  <c r="P16" i="10"/>
  <c r="P16" i="9"/>
  <c r="P28" i="9"/>
  <c r="P18" i="10" s="1"/>
  <c r="I17" i="10"/>
  <c r="I22" i="9"/>
  <c r="I18" i="10"/>
  <c r="I38" i="9"/>
  <c r="J38" i="9" s="1"/>
  <c r="K38" i="9" s="1"/>
  <c r="L38" i="9" s="1"/>
  <c r="M38" i="9" s="1"/>
  <c r="N38" i="9" s="1"/>
  <c r="M16" i="10"/>
  <c r="M16" i="9"/>
  <c r="M28" i="9"/>
  <c r="M18" i="10" s="1"/>
  <c r="M8" i="9"/>
  <c r="M9" i="9" s="1"/>
  <c r="L16" i="10"/>
  <c r="L16" i="9"/>
  <c r="L28" i="9"/>
  <c r="L18" i="10" s="1"/>
  <c r="L8" i="9"/>
  <c r="L9" i="9" s="1"/>
  <c r="K16" i="10"/>
  <c r="K16" i="9"/>
  <c r="K28" i="9"/>
  <c r="K18" i="10" s="1"/>
  <c r="K8" i="9"/>
  <c r="K9" i="9" s="1"/>
  <c r="K18" i="9" s="1"/>
  <c r="O8" i="9"/>
  <c r="O9" i="9" s="1"/>
  <c r="O16" i="10"/>
  <c r="O16" i="9"/>
  <c r="O28" i="9"/>
  <c r="O18" i="10" s="1"/>
  <c r="N16" i="10"/>
  <c r="N16" i="9"/>
  <c r="N28" i="9"/>
  <c r="N18" i="10" s="1"/>
  <c r="N8" i="9"/>
  <c r="N9" i="9" s="1"/>
  <c r="J52" i="9"/>
  <c r="J47" i="9"/>
  <c r="I49" i="9"/>
  <c r="G37" i="9"/>
  <c r="F40" i="9"/>
  <c r="F44" i="9" s="1"/>
  <c r="F59" i="9" s="1"/>
  <c r="O18" i="9" l="1"/>
  <c r="O17" i="10" s="1"/>
  <c r="O21" i="10" s="1"/>
  <c r="P18" i="9"/>
  <c r="P17" i="10" s="1"/>
  <c r="P21" i="10" s="1"/>
  <c r="K17" i="10"/>
  <c r="K21" i="10" s="1"/>
  <c r="K22" i="9"/>
  <c r="K27" i="9" s="1"/>
  <c r="K31" i="9" s="1"/>
  <c r="I27" i="9"/>
  <c r="I31" i="9" s="1"/>
  <c r="I55" i="9"/>
  <c r="N18" i="9"/>
  <c r="O38" i="9"/>
  <c r="P38" i="9" s="1"/>
  <c r="I21" i="10"/>
  <c r="L18" i="9"/>
  <c r="M18" i="9"/>
  <c r="K52" i="9"/>
  <c r="J49" i="9"/>
  <c r="K47" i="9"/>
  <c r="H37" i="9"/>
  <c r="G40" i="9"/>
  <c r="G44" i="9" s="1"/>
  <c r="G59" i="9" s="1"/>
  <c r="O22" i="9" l="1"/>
  <c r="O27" i="9" s="1"/>
  <c r="O31" i="9" s="1"/>
  <c r="P22" i="9"/>
  <c r="P27" i="9" s="1"/>
  <c r="P31" i="9" s="1"/>
  <c r="L17" i="10"/>
  <c r="L21" i="10" s="1"/>
  <c r="L22" i="9"/>
  <c r="L27" i="9" s="1"/>
  <c r="L31" i="9" s="1"/>
  <c r="N17" i="10"/>
  <c r="N21" i="10" s="1"/>
  <c r="N22" i="9"/>
  <c r="N27" i="9" s="1"/>
  <c r="N31" i="9" s="1"/>
  <c r="J55" i="9"/>
  <c r="I56" i="9"/>
  <c r="I58" i="9" s="1"/>
  <c r="M17" i="10"/>
  <c r="M21" i="10" s="1"/>
  <c r="M22" i="9"/>
  <c r="M27" i="9" s="1"/>
  <c r="M31" i="9" s="1"/>
  <c r="L52" i="9"/>
  <c r="K49" i="9"/>
  <c r="L47" i="9"/>
  <c r="I37" i="9"/>
  <c r="H40" i="9"/>
  <c r="H44" i="9" s="1"/>
  <c r="H59" i="9" s="1"/>
  <c r="D21" i="10" l="1"/>
  <c r="E28" i="10" s="1"/>
  <c r="K55" i="9"/>
  <c r="J56" i="9"/>
  <c r="J58" i="9" s="1"/>
  <c r="M52" i="9"/>
  <c r="L49" i="9"/>
  <c r="M47" i="9"/>
  <c r="J37" i="9"/>
  <c r="I40" i="9"/>
  <c r="I44" i="9" s="1"/>
  <c r="I59" i="9" s="1"/>
  <c r="D7" i="10" l="1"/>
  <c r="L55" i="9"/>
  <c r="K56" i="9"/>
  <c r="K58" i="9" s="1"/>
  <c r="E36" i="10"/>
  <c r="E40" i="10"/>
  <c r="N52" i="9"/>
  <c r="N47" i="9"/>
  <c r="M49" i="9"/>
  <c r="K37" i="9"/>
  <c r="J40" i="9"/>
  <c r="J44" i="9" s="1"/>
  <c r="J59" i="9" s="1"/>
  <c r="E41" i="10" l="1"/>
  <c r="E43" i="10" s="1"/>
  <c r="E42" i="10"/>
  <c r="E45" i="10" s="1"/>
  <c r="M55" i="9"/>
  <c r="L56" i="9"/>
  <c r="L58" i="9" s="1"/>
  <c r="O52" i="9"/>
  <c r="O47" i="9"/>
  <c r="N49" i="9"/>
  <c r="L37" i="9"/>
  <c r="K40" i="9"/>
  <c r="K44" i="9" s="1"/>
  <c r="K59" i="9" s="1"/>
  <c r="D9" i="10" l="1"/>
  <c r="D11" i="10" s="1"/>
  <c r="N55" i="9"/>
  <c r="M56" i="9"/>
  <c r="M58" i="9" s="1"/>
  <c r="P52" i="9"/>
  <c r="P47" i="9"/>
  <c r="P49" i="9" s="1"/>
  <c r="O49" i="9"/>
  <c r="M37" i="9"/>
  <c r="L40" i="9"/>
  <c r="L44" i="9" s="1"/>
  <c r="L59" i="9" s="1"/>
  <c r="O55" i="9" l="1"/>
  <c r="N56" i="9"/>
  <c r="N58" i="9" s="1"/>
  <c r="N37" i="9"/>
  <c r="M40" i="9"/>
  <c r="M44" i="9" s="1"/>
  <c r="M59" i="9" s="1"/>
  <c r="P55" i="9" l="1"/>
  <c r="P56" i="9" s="1"/>
  <c r="P58" i="9" s="1"/>
  <c r="O56" i="9"/>
  <c r="O58" i="9" s="1"/>
  <c r="O37" i="9"/>
  <c r="N40" i="9"/>
  <c r="N44" i="9" s="1"/>
  <c r="N59" i="9" s="1"/>
  <c r="P37" i="9" l="1"/>
  <c r="P40" i="9" s="1"/>
  <c r="P44" i="9" s="1"/>
  <c r="P59" i="9" s="1"/>
  <c r="O40" i="9"/>
  <c r="O44" i="9" s="1"/>
  <c r="O59" i="9" s="1"/>
</calcChain>
</file>

<file path=xl/sharedStrings.xml><?xml version="1.0" encoding="utf-8"?>
<sst xmlns="http://schemas.openxmlformats.org/spreadsheetml/2006/main" count="433" uniqueCount="258">
  <si>
    <t>AJM MED-I-CAPS Ltd</t>
  </si>
  <si>
    <t>Note</t>
  </si>
  <si>
    <t>Revenue</t>
  </si>
  <si>
    <t>Cost of Sales</t>
  </si>
  <si>
    <t>Gross Profit</t>
  </si>
  <si>
    <t>Administration expenses</t>
  </si>
  <si>
    <t>Operating loss</t>
  </si>
  <si>
    <t>Finance costs</t>
  </si>
  <si>
    <t>Assets</t>
  </si>
  <si>
    <t>Non-Current assets</t>
  </si>
  <si>
    <t>Property, plant and equipment</t>
  </si>
  <si>
    <t>Intangible assets</t>
  </si>
  <si>
    <t>Current assets</t>
  </si>
  <si>
    <t>Receivables</t>
  </si>
  <si>
    <t>Total current assets</t>
  </si>
  <si>
    <t>Total assets</t>
  </si>
  <si>
    <t>Equity and liabilities</t>
  </si>
  <si>
    <t>Capital and reserves</t>
  </si>
  <si>
    <t xml:space="preserve">Share capital </t>
  </si>
  <si>
    <t>Other reserves</t>
  </si>
  <si>
    <t>Share premium</t>
  </si>
  <si>
    <t>Total equity</t>
  </si>
  <si>
    <t>Current liabilities</t>
  </si>
  <si>
    <t>Deferred income</t>
  </si>
  <si>
    <t>Total liabilities</t>
  </si>
  <si>
    <t>Total equity and liabilities</t>
  </si>
  <si>
    <t>Notes to the unaudited financial statements</t>
  </si>
  <si>
    <t>Note 1 - Administration expenses</t>
  </si>
  <si>
    <t>Salaries and Wages</t>
  </si>
  <si>
    <t>Employer's Contribution</t>
  </si>
  <si>
    <t>Auditor's Rem.-Current Year</t>
  </si>
  <si>
    <t>Photocopies, Printing,&amp; Stat.</t>
  </si>
  <si>
    <t>Post. Teleph. , Faxes &amp; E-mail</t>
  </si>
  <si>
    <t>Acc. and Administration Exp.</t>
  </si>
  <si>
    <t>Legal Fees</t>
  </si>
  <si>
    <t>Rent</t>
  </si>
  <si>
    <t>Electricity &amp; Heat</t>
  </si>
  <si>
    <t>Courier Expenses</t>
  </si>
  <si>
    <t>Travelling Abroad</t>
  </si>
  <si>
    <t>Entertaining</t>
  </si>
  <si>
    <t>Sundry Expenses</t>
  </si>
  <si>
    <t>Marketing and Promotion</t>
  </si>
  <si>
    <t>Annual Levy</t>
  </si>
  <si>
    <t>Depreciation</t>
  </si>
  <si>
    <t>Consultancy fees</t>
  </si>
  <si>
    <t>Penalties</t>
  </si>
  <si>
    <t>Professional Fees</t>
  </si>
  <si>
    <t>Registrar of Companies</t>
  </si>
  <si>
    <t>Website Expenses</t>
  </si>
  <si>
    <t>Internet</t>
  </si>
  <si>
    <t>Unrecoverable VAT</t>
  </si>
  <si>
    <t>Direct costs</t>
  </si>
  <si>
    <t>Note 2 - Finance costs</t>
  </si>
  <si>
    <t>Bank Charges</t>
  </si>
  <si>
    <t>Note 3 - Payables</t>
  </si>
  <si>
    <t>PAYE</t>
  </si>
  <si>
    <t>Social Insurance</t>
  </si>
  <si>
    <t>PwC</t>
  </si>
  <si>
    <t>Edmund Optics Ltd</t>
  </si>
  <si>
    <t>EAC</t>
  </si>
  <si>
    <t>Takis Charalambous and Co Ltd</t>
  </si>
  <si>
    <t>A.Th.Loizou &amp;Son Ltd</t>
  </si>
  <si>
    <t>TUM</t>
  </si>
  <si>
    <t>Bank of Cyprus</t>
  </si>
  <si>
    <t>Eurobank EUR</t>
  </si>
  <si>
    <t>Euobank 402</t>
  </si>
  <si>
    <t>Note 5 - Accrued expenses</t>
  </si>
  <si>
    <t>Audit fees provision</t>
  </si>
  <si>
    <t>Trial balance at 31 December 2022</t>
  </si>
  <si>
    <t>No</t>
  </si>
  <si>
    <t>Name</t>
  </si>
  <si>
    <t xml:space="preserve">Period from 01/01/2022 to 31/12/2022 </t>
  </si>
  <si>
    <t>Furniture, Fixt. &amp; Off. Equip.</t>
  </si>
  <si>
    <t>Accu. Depr. Furn.,Fixt. &amp; Off.</t>
  </si>
  <si>
    <t>Computer Hardware-cost</t>
  </si>
  <si>
    <t>Accum.Depr.Comput.Hardware</t>
  </si>
  <si>
    <t>Patents</t>
  </si>
  <si>
    <t>Prepayments A</t>
  </si>
  <si>
    <t>VAT Input</t>
  </si>
  <si>
    <t>VAT Output</t>
  </si>
  <si>
    <t>EUROBANK 402</t>
  </si>
  <si>
    <t>Share Capital</t>
  </si>
  <si>
    <t>Share Premium</t>
  </si>
  <si>
    <t>Retained Earnings</t>
  </si>
  <si>
    <t>Shareholders Contributions</t>
  </si>
  <si>
    <t>Audit fees Provision</t>
  </si>
  <si>
    <t>Defence Tax</t>
  </si>
  <si>
    <t>Deferred Income</t>
  </si>
  <si>
    <t>Auditor's Rem.-Prior Year</t>
  </si>
  <si>
    <t>Subcontractor_External Services</t>
  </si>
  <si>
    <t>Realized For. Exchange Gains/Loss</t>
  </si>
  <si>
    <t>IDEK_Grant_Restart 2016-2020</t>
  </si>
  <si>
    <t>Annual Levy_prior year</t>
  </si>
  <si>
    <t>Trial balance at 31 December 2021</t>
  </si>
  <si>
    <t xml:space="preserve">Period from 01/01/2021 to 31/12/2021 </t>
  </si>
  <si>
    <t>Licenses</t>
  </si>
  <si>
    <t>Special defence contribution expense</t>
  </si>
  <si>
    <t>Net loss for the year</t>
  </si>
  <si>
    <t>Other comprehensive income</t>
  </si>
  <si>
    <t>Total comprehensive loss for the year</t>
  </si>
  <si>
    <t>€</t>
  </si>
  <si>
    <t>Net loss for the year before tax</t>
  </si>
  <si>
    <t>Unaudited Statement of profit or loss and other comprehensive income</t>
  </si>
  <si>
    <t>Unaudited Statement of Financial Position</t>
  </si>
  <si>
    <t>Accumulated loss</t>
  </si>
  <si>
    <t>Payables</t>
  </si>
  <si>
    <t xml:space="preserve">Cash at bank </t>
  </si>
  <si>
    <t>Fission 3D</t>
  </si>
  <si>
    <t>Period from 01/01/2023 to 31/05/2023</t>
  </si>
  <si>
    <t>Plant and Machinery</t>
  </si>
  <si>
    <t>Trade and Other Payables</t>
  </si>
  <si>
    <t xml:space="preserve">Reinhold Cohn </t>
  </si>
  <si>
    <t>Digi-Key Electronics</t>
  </si>
  <si>
    <t>Papadopoulos Lycourgos &amp; Co LLC</t>
  </si>
  <si>
    <t>Master Bond Inc</t>
  </si>
  <si>
    <t>Eminent Research and Advisory Services</t>
  </si>
  <si>
    <t>Win Source Electronics</t>
  </si>
  <si>
    <t>JiaLiChuang (Hong Kong) Co Ltd</t>
  </si>
  <si>
    <t>Corporation Tax</t>
  </si>
  <si>
    <t>Insurances</t>
  </si>
  <si>
    <t>Subscriptions &amp; Donations</t>
  </si>
  <si>
    <t>Tax Penalty Expense</t>
  </si>
  <si>
    <t>Trial balance at 31 May 2023</t>
  </si>
  <si>
    <t>for the period ended 31 May 2023</t>
  </si>
  <si>
    <t>as at 31 May 2023</t>
  </si>
  <si>
    <t>Sundry expenses</t>
  </si>
  <si>
    <t>Other payables</t>
  </si>
  <si>
    <t>Licences</t>
  </si>
  <si>
    <t>Subscriptions and Donations</t>
  </si>
  <si>
    <t>Tax penalty expense</t>
  </si>
  <si>
    <t>VAT Control Account</t>
  </si>
  <si>
    <t>Accum. Depr. Plant &amp; Machin.</t>
  </si>
  <si>
    <t>Website expenses</t>
  </si>
  <si>
    <t>Note 3 - Cash at bank</t>
  </si>
  <si>
    <t>Cost of Revenue</t>
  </si>
  <si>
    <t>Selling</t>
  </si>
  <si>
    <t>General</t>
  </si>
  <si>
    <t>EBITDA</t>
  </si>
  <si>
    <t>GrossProfit</t>
  </si>
  <si>
    <t>Operating Expenses</t>
  </si>
  <si>
    <t>Salaries</t>
  </si>
  <si>
    <t>Other Adminsitrative</t>
  </si>
  <si>
    <t>Total Operating Expenses</t>
  </si>
  <si>
    <t>EBT</t>
  </si>
  <si>
    <t>Depreciation &amp; Amortization</t>
  </si>
  <si>
    <t>Other Non-oper. Expenses</t>
  </si>
  <si>
    <t>Finance Costs &amp; Interest</t>
  </si>
  <si>
    <t>INCOME STATEMENT</t>
  </si>
  <si>
    <t>CASH FLOW STATEMENT</t>
  </si>
  <si>
    <t>Less Working Capital</t>
  </si>
  <si>
    <t>Less Financing Activity</t>
  </si>
  <si>
    <t>Free Cash Flow</t>
  </si>
  <si>
    <t>BALANCE SHEET</t>
  </si>
  <si>
    <t>Cash</t>
  </si>
  <si>
    <t>Accounts Receivable</t>
  </si>
  <si>
    <t>Other Current Assets</t>
  </si>
  <si>
    <t>Total Current Assets</t>
  </si>
  <si>
    <t>PP&amp;E</t>
  </si>
  <si>
    <t>Intagible Assets</t>
  </si>
  <si>
    <t>Liabilities</t>
  </si>
  <si>
    <t>Total Liabilities</t>
  </si>
  <si>
    <t>Net Worth</t>
  </si>
  <si>
    <t xml:space="preserve"> Net Worth</t>
  </si>
  <si>
    <t>Total Liabilities &amp; Net Worth</t>
  </si>
  <si>
    <t xml:space="preserve"> Error</t>
  </si>
  <si>
    <t>OPERATING ASSUMPTIONS</t>
  </si>
  <si>
    <t>Revenue Assumptions</t>
  </si>
  <si>
    <t>DEVELOPING STAGE</t>
  </si>
  <si>
    <t>COMMERCIALIZATION STAGE</t>
  </si>
  <si>
    <t>Less Development Costs</t>
  </si>
  <si>
    <r>
      <t xml:space="preserve">    Peek Sales Assumptions (</t>
    </r>
    <r>
      <rPr>
        <sz val="11"/>
        <color theme="1"/>
        <rFont val="Aptos Narrow"/>
        <family val="2"/>
      </rPr>
      <t>€</t>
    </r>
    <r>
      <rPr>
        <sz val="11"/>
        <color theme="1"/>
        <rFont val="Calibri"/>
        <family val="2"/>
      </rPr>
      <t xml:space="preserve"> mm)</t>
    </r>
    <r>
      <rPr>
        <sz val="11"/>
        <color theme="1"/>
        <rFont val="Calibri"/>
        <family val="2"/>
        <scheme val="minor"/>
      </rPr>
      <t xml:space="preserve"> - Low</t>
    </r>
  </si>
  <si>
    <r>
      <t xml:space="preserve">    Peek Sales Assumptions (</t>
    </r>
    <r>
      <rPr>
        <sz val="11"/>
        <color theme="1"/>
        <rFont val="Aptos Narrow"/>
        <family val="2"/>
      </rPr>
      <t>€</t>
    </r>
    <r>
      <rPr>
        <sz val="11"/>
        <color theme="1"/>
        <rFont val="Calibri"/>
        <family val="2"/>
      </rPr>
      <t xml:space="preserve"> mm)</t>
    </r>
    <r>
      <rPr>
        <sz val="11"/>
        <color theme="1"/>
        <rFont val="Calibri"/>
        <family val="2"/>
        <scheme val="minor"/>
      </rPr>
      <t xml:space="preserve"> - High</t>
    </r>
  </si>
  <si>
    <r>
      <t xml:space="preserve">    Peek Sales Assumptions (</t>
    </r>
    <r>
      <rPr>
        <sz val="11"/>
        <color theme="1"/>
        <rFont val="Aptos Narrow"/>
        <family val="2"/>
      </rPr>
      <t>€</t>
    </r>
    <r>
      <rPr>
        <sz val="11"/>
        <color theme="1"/>
        <rFont val="Calibri"/>
        <family val="2"/>
      </rPr>
      <t xml:space="preserve"> mm) Average</t>
    </r>
  </si>
  <si>
    <t xml:space="preserve"> Using Baur / Fischer Development Assumptions</t>
  </si>
  <si>
    <t xml:space="preserve">  Market Data Analysis</t>
  </si>
  <si>
    <t>Of Peak Sales per year after lauch</t>
  </si>
  <si>
    <t xml:space="preserve">  Growth %</t>
  </si>
  <si>
    <t xml:space="preserve">  Probability - Go to Market 4th Late to Market</t>
  </si>
  <si>
    <t xml:space="preserve">  Probability - Go to Market 2nd Late to Market</t>
  </si>
  <si>
    <t xml:space="preserve">  Price per unit</t>
  </si>
  <si>
    <t xml:space="preserve">   Price per unit growth %</t>
  </si>
  <si>
    <t xml:space="preserve"> Total Market (Billions)</t>
  </si>
  <si>
    <t xml:space="preserve">  Market </t>
  </si>
  <si>
    <t>Market Volume number or units (millions)</t>
  </si>
  <si>
    <t>MARKET DATAn- Cologard</t>
  </si>
  <si>
    <t>Revenue (millions)</t>
  </si>
  <si>
    <t xml:space="preserve">Total </t>
  </si>
  <si>
    <t>Cost of Revenue % of Revenue</t>
  </si>
  <si>
    <t>Operating Expense % of Revenue</t>
  </si>
  <si>
    <t>Working Capital % of Revenue</t>
  </si>
  <si>
    <t>Scenario Valuation Analysis</t>
  </si>
  <si>
    <t>SENSITIVITY ANALYSIS</t>
  </si>
  <si>
    <t>NPV ('000s)</t>
  </si>
  <si>
    <t xml:space="preserve"> (-/+ %)</t>
  </si>
  <si>
    <t>% change in NPV</t>
  </si>
  <si>
    <t xml:space="preserve">  Average</t>
  </si>
  <si>
    <t>Value</t>
  </si>
  <si>
    <t>Total Drug Sales ('000s)</t>
  </si>
  <si>
    <t>Addressable patients</t>
  </si>
  <si>
    <t>Cost of therapy per patient</t>
  </si>
  <si>
    <t>Upfront payment ('000s)</t>
  </si>
  <si>
    <t xml:space="preserve">Market penetration </t>
  </si>
  <si>
    <t>Market penetration factor</t>
  </si>
  <si>
    <t>Average Value =</t>
  </si>
  <si>
    <t>OPTION PRICING METHOD (OPM)</t>
  </si>
  <si>
    <t>MARKET METHOD and ANOVA</t>
  </si>
  <si>
    <t>Company
Level
EV ($ Bln)</t>
  </si>
  <si>
    <r>
      <t xml:space="preserve">Company
Stock
Variable
</t>
    </r>
    <r>
      <rPr>
        <b/>
        <sz val="12"/>
        <rFont val="Calibri"/>
        <family val="2"/>
      </rPr>
      <t>(σ)</t>
    </r>
  </si>
  <si>
    <t>Options Pricing Black Scholes Methodology Steps</t>
  </si>
  <si>
    <t>Ln ( S / X)</t>
  </si>
  <si>
    <r>
      <t xml:space="preserve">[(i - </t>
    </r>
    <r>
      <rPr>
        <sz val="10"/>
        <color theme="1"/>
        <rFont val="Calibri"/>
        <family val="2"/>
      </rPr>
      <t>δ</t>
    </r>
    <r>
      <rPr>
        <sz val="9"/>
        <color theme="1"/>
        <rFont val="Arial"/>
        <family val="2"/>
      </rPr>
      <t xml:space="preserve"> + (</t>
    </r>
    <r>
      <rPr>
        <sz val="9"/>
        <color theme="1"/>
        <rFont val="Calibri"/>
        <family val="2"/>
      </rPr>
      <t>σ^2)/2)]t</t>
    </r>
  </si>
  <si>
    <r>
      <rPr>
        <sz val="10"/>
        <color theme="1"/>
        <rFont val="Calibri"/>
        <family val="2"/>
      </rPr>
      <t>σ</t>
    </r>
    <r>
      <rPr>
        <sz val="9"/>
        <color theme="1"/>
        <rFont val="Arial"/>
        <family val="2"/>
      </rPr>
      <t>.(</t>
    </r>
    <r>
      <rPr>
        <sz val="9"/>
        <color theme="1"/>
        <rFont val="Calibri"/>
        <family val="2"/>
      </rPr>
      <t>√</t>
    </r>
    <r>
      <rPr>
        <sz val="8.1"/>
        <color theme="1"/>
        <rFont val="Arial"/>
        <family val="2"/>
      </rPr>
      <t>t )</t>
    </r>
  </si>
  <si>
    <t>Deviation (d1)</t>
  </si>
  <si>
    <t>Deviation (d2)</t>
  </si>
  <si>
    <t>Normal Distribution N (d1)</t>
  </si>
  <si>
    <t>Normal Distribution N (d2)</t>
  </si>
  <si>
    <t>INCOME METHOD (DCF)</t>
  </si>
  <si>
    <t>Revenues</t>
  </si>
  <si>
    <t>Less Development Cost</t>
  </si>
  <si>
    <t>Financiang</t>
  </si>
  <si>
    <t xml:space="preserve">  Cash Flow</t>
  </si>
  <si>
    <t>Company</t>
  </si>
  <si>
    <t>Exact Sciences Corporation (EXAS)</t>
  </si>
  <si>
    <t>Guardant Health, Inc. (GH)</t>
  </si>
  <si>
    <t>Company
Level
EV/Rev</t>
  </si>
  <si>
    <t>Natera, Inc. (NTRA)</t>
  </si>
  <si>
    <t>Myriad Genetics, Inc. (MYGN)</t>
  </si>
  <si>
    <t>Sotera Health Company (SHC)</t>
  </si>
  <si>
    <t>Qiagen N.V. (QGEN)</t>
  </si>
  <si>
    <t>ICON Public Limited Company (ICLR)</t>
  </si>
  <si>
    <t>IQVIA Holdings Inc. (IQV)</t>
  </si>
  <si>
    <t>Charles River Laboratories International, Inc. (CRL)</t>
  </si>
  <si>
    <t>Laboratories/Diagnostics</t>
  </si>
  <si>
    <t>Revvity, Inc. (RVTY)</t>
  </si>
  <si>
    <t>Market Method Valuation</t>
  </si>
  <si>
    <t>Dev Cost</t>
  </si>
  <si>
    <t>VALUATION ANALYSIS</t>
  </si>
  <si>
    <t>Income Method (DCF)</t>
  </si>
  <si>
    <t>Market Method</t>
  </si>
  <si>
    <t>Options Method</t>
  </si>
  <si>
    <t>Cost Method</t>
  </si>
  <si>
    <t>Weights</t>
  </si>
  <si>
    <t>Cost Assump[tions</t>
  </si>
  <si>
    <t>Pharma 48X</t>
  </si>
  <si>
    <t>DEVELOPMENT STAGE</t>
  </si>
  <si>
    <t>COMMERCIALIZATION</t>
  </si>
  <si>
    <t>2025E
Sales
$ billions</t>
  </si>
  <si>
    <t>Valuation using Option Pricing - Call</t>
  </si>
  <si>
    <t>e^-rt</t>
  </si>
  <si>
    <r>
      <t xml:space="preserve">Value of Drug -commerecialized </t>
    </r>
    <r>
      <rPr>
        <sz val="14"/>
        <color rgb="FF000000"/>
        <rFont val="Arial"/>
        <family val="2"/>
      </rPr>
      <t>(St)</t>
    </r>
  </si>
  <si>
    <r>
      <t xml:space="preserve">Cost of Drug Development </t>
    </r>
    <r>
      <rPr>
        <sz val="14"/>
        <color rgb="FF000000"/>
        <rFont val="Arial"/>
        <family val="2"/>
      </rPr>
      <t>(K)</t>
    </r>
  </si>
  <si>
    <r>
      <t xml:space="preserve">Patent Technology Expiration </t>
    </r>
    <r>
      <rPr>
        <sz val="14"/>
        <color rgb="FF000000"/>
        <rFont val="Arial"/>
        <family val="2"/>
      </rPr>
      <t>(t)</t>
    </r>
    <r>
      <rPr>
        <sz val="10"/>
        <color rgb="FF000000"/>
        <rFont val="Arial"/>
        <family val="2"/>
      </rPr>
      <t xml:space="preserve"> years</t>
    </r>
  </si>
  <si>
    <r>
      <t xml:space="preserve">Variance </t>
    </r>
    <r>
      <rPr>
        <sz val="14"/>
        <color rgb="FF000000"/>
        <rFont val="Arial"/>
        <family val="2"/>
      </rPr>
      <t>(</t>
    </r>
    <r>
      <rPr>
        <sz val="14"/>
        <color rgb="FF000000"/>
        <rFont val="Calibri"/>
        <family val="2"/>
      </rPr>
      <t>σ^2</t>
    </r>
    <r>
      <rPr>
        <sz val="14"/>
        <color rgb="FF000000"/>
        <rFont val="Arial"/>
        <family val="2"/>
      </rPr>
      <t>)</t>
    </r>
  </si>
  <si>
    <r>
      <t xml:space="preserve">Volatility </t>
    </r>
    <r>
      <rPr>
        <sz val="14"/>
        <color rgb="FF000000"/>
        <rFont val="Arial"/>
        <family val="2"/>
      </rPr>
      <t>(</t>
    </r>
    <r>
      <rPr>
        <sz val="14"/>
        <color rgb="FF000000"/>
        <rFont val="Calibri"/>
        <family val="2"/>
      </rPr>
      <t>σ</t>
    </r>
    <r>
      <rPr>
        <sz val="14"/>
        <color rgb="FF000000"/>
        <rFont val="Arial"/>
        <family val="2"/>
      </rPr>
      <t>)</t>
    </r>
  </si>
  <si>
    <r>
      <t>Risk Free Rate</t>
    </r>
    <r>
      <rPr>
        <sz val="14"/>
        <color theme="1"/>
        <rFont val="Calibri"/>
        <family val="2"/>
        <scheme val="minor"/>
      </rPr>
      <t xml:space="preserve"> (r)</t>
    </r>
    <r>
      <rPr>
        <sz val="11"/>
        <color theme="1"/>
        <rFont val="Calibri"/>
        <family val="2"/>
        <scheme val="minor"/>
      </rPr>
      <t>=</t>
    </r>
  </si>
  <si>
    <r>
      <t xml:space="preserve">Cost of Delay </t>
    </r>
    <r>
      <rPr>
        <sz val="14"/>
        <color theme="1"/>
        <rFont val="Calibri"/>
        <family val="2"/>
        <scheme val="minor"/>
      </rPr>
      <t>(</t>
    </r>
    <r>
      <rPr>
        <sz val="14"/>
        <color theme="1"/>
        <rFont val="Calibri"/>
        <family val="2"/>
      </rPr>
      <t>δ</t>
    </r>
    <r>
      <rPr>
        <sz val="14"/>
        <color theme="1"/>
        <rFont val="Arial"/>
        <family val="2"/>
      </rPr>
      <t>)</t>
    </r>
  </si>
  <si>
    <t>Probability</t>
  </si>
  <si>
    <t>STORY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</si>
</sst>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_(* #,##0_);_(* \(#,##0\);_(* &quot;-&quot;??_);_(@_)"/>
    <numFmt numFmtId="165" formatCode="_-* #,##0_-;\-* #,##0_-;_-* &quot;-&quot;??_-;_-@"/>
    <numFmt numFmtId="166" formatCode="#,##0_ ;[Red]\-#,##0\ "/>
    <numFmt numFmtId="167" formatCode="_(* #,##0.0_);_(* \(#,##0.0\);_(* &quot;-&quot;??_);_(@_)"/>
    <numFmt numFmtId="168" formatCode="0.0%"/>
    <numFmt numFmtId="169" formatCode="_([$€-2]\ * #,##0_);_([$€-2]\ * \(#,##0\);_([$€-2]\ * &quot;-&quot;??_);_(@_)"/>
    <numFmt numFmtId="170" formatCode="_(* #,##0.000_);_(* \(#,##0.000\);_(* &quot;-&quot;??_);_(@_)"/>
    <numFmt numFmtId="171" formatCode="yyyy\-mm\-dd;@"/>
    <numFmt numFmtId="172" formatCode="0.000%"/>
    <numFmt numFmtId="173" formatCode="[$€-2]\ #,##0_);[Red]\([$€-2]\ #,##0\)"/>
    <numFmt numFmtId="174" formatCode="0.0\x"/>
    <numFmt numFmtId="175" formatCode="0.00000"/>
  </numFmts>
  <fonts count="5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Georgia"/>
      <family val="1"/>
      <charset val="161"/>
    </font>
    <font>
      <b/>
      <sz val="10"/>
      <color theme="1"/>
      <name val="Georgia"/>
      <family val="1"/>
      <charset val="161"/>
    </font>
    <font>
      <sz val="11"/>
      <color theme="1"/>
      <name val="Georgia"/>
      <family val="1"/>
      <charset val="161"/>
    </font>
    <font>
      <sz val="14"/>
      <color theme="1"/>
      <name val="Georgia"/>
      <family val="1"/>
      <charset val="161"/>
    </font>
    <font>
      <b/>
      <sz val="11"/>
      <color theme="1"/>
      <name val="Georgia"/>
      <family val="1"/>
      <charset val="161"/>
    </font>
    <font>
      <sz val="10"/>
      <color theme="1"/>
      <name val="Georgia"/>
      <family val="1"/>
      <charset val="161"/>
    </font>
    <font>
      <sz val="11"/>
      <color theme="1"/>
      <name val="Calibri"/>
      <family val="2"/>
      <charset val="161"/>
    </font>
    <font>
      <sz val="11"/>
      <color rgb="FF000000"/>
      <name val="Georgia"/>
      <family val="1"/>
      <charset val="161"/>
    </font>
    <font>
      <sz val="7"/>
      <color rgb="FF000000"/>
      <name val="Georgia"/>
      <family val="1"/>
      <charset val="161"/>
    </font>
    <font>
      <sz val="11"/>
      <color theme="1"/>
      <name val="Calibri"/>
      <family val="2"/>
      <charset val="161"/>
      <scheme val="minor"/>
    </font>
    <font>
      <sz val="11"/>
      <color theme="1"/>
      <name val="Georgia"/>
      <family val="1"/>
      <charset val="161"/>
    </font>
    <font>
      <sz val="11"/>
      <name val="Georgia"/>
      <family val="1"/>
      <charset val="161"/>
    </font>
    <font>
      <b/>
      <sz val="11"/>
      <name val="Georgia"/>
      <family val="1"/>
      <charset val="161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Aptos Narrow"/>
      <family val="2"/>
    </font>
    <font>
      <b/>
      <i/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0"/>
      <color rgb="FF1712DE"/>
      <name val="Arial"/>
      <family val="2"/>
    </font>
    <font>
      <sz val="10"/>
      <color theme="1"/>
      <name val="Calibri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12"/>
      <name val="Calibri"/>
      <family val="2"/>
    </font>
    <font>
      <sz val="10"/>
      <color rgb="FF000000"/>
      <name val="Arial"/>
      <family val="2"/>
    </font>
    <font>
      <sz val="9"/>
      <color theme="1"/>
      <name val="Calibri"/>
      <family val="2"/>
    </font>
    <font>
      <sz val="8.1"/>
      <color theme="1"/>
      <name val="Arial"/>
      <family val="2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rgb="FF000000"/>
      <name val="Arial"/>
      <family val="2"/>
    </font>
    <font>
      <sz val="14"/>
      <color rgb="FF000000"/>
      <name val="Calibri"/>
      <family val="2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  <font>
      <sz val="14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9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14" fontId="7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164" fontId="5" fillId="0" borderId="0" xfId="0" applyNumberFormat="1" applyFont="1"/>
    <xf numFmtId="4" fontId="5" fillId="0" borderId="0" xfId="0" applyNumberFormat="1" applyFont="1"/>
    <xf numFmtId="164" fontId="7" fillId="0" borderId="1" xfId="0" applyNumberFormat="1" applyFont="1" applyBorder="1" applyAlignment="1">
      <alignment horizontal="right"/>
    </xf>
    <xf numFmtId="164" fontId="7" fillId="0" borderId="1" xfId="0" applyNumberFormat="1" applyFont="1" applyBorder="1"/>
    <xf numFmtId="164" fontId="7" fillId="0" borderId="0" xfId="0" applyNumberFormat="1" applyFont="1" applyAlignment="1">
      <alignment horizontal="right"/>
    </xf>
    <xf numFmtId="3" fontId="5" fillId="0" borderId="0" xfId="0" applyNumberFormat="1" applyFont="1"/>
    <xf numFmtId="164" fontId="7" fillId="0" borderId="2" xfId="0" applyNumberFormat="1" applyFont="1" applyBorder="1" applyAlignment="1">
      <alignment horizontal="right"/>
    </xf>
    <xf numFmtId="43" fontId="5" fillId="0" borderId="0" xfId="0" applyNumberFormat="1" applyFont="1"/>
    <xf numFmtId="0" fontId="8" fillId="0" borderId="0" xfId="0" applyFont="1"/>
    <xf numFmtId="0" fontId="4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164" fontId="7" fillId="0" borderId="3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/>
    <xf numFmtId="14" fontId="7" fillId="0" borderId="0" xfId="0" applyNumberFormat="1" applyFont="1"/>
    <xf numFmtId="3" fontId="9" fillId="0" borderId="0" xfId="0" applyNumberFormat="1" applyFont="1"/>
    <xf numFmtId="4" fontId="9" fillId="0" borderId="0" xfId="0" applyNumberFormat="1" applyFont="1"/>
    <xf numFmtId="0" fontId="11" fillId="0" borderId="0" xfId="0" applyFont="1" applyAlignment="1">
      <alignment horizontal="left" vertical="center" wrapText="1" readingOrder="1"/>
    </xf>
    <xf numFmtId="0" fontId="7" fillId="0" borderId="0" xfId="0" applyFont="1" applyAlignment="1">
      <alignment horizontal="center" wrapText="1"/>
    </xf>
    <xf numFmtId="0" fontId="9" fillId="0" borderId="0" xfId="0" applyFont="1"/>
    <xf numFmtId="0" fontId="12" fillId="0" borderId="0" xfId="0" applyFont="1"/>
    <xf numFmtId="4" fontId="0" fillId="0" borderId="0" xfId="0" applyNumberFormat="1"/>
    <xf numFmtId="3" fontId="0" fillId="0" borderId="0" xfId="0" applyNumberFormat="1"/>
    <xf numFmtId="0" fontId="13" fillId="0" borderId="0" xfId="0" applyFont="1"/>
    <xf numFmtId="166" fontId="7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166" fontId="10" fillId="0" borderId="0" xfId="0" applyNumberFormat="1" applyFont="1"/>
    <xf numFmtId="166" fontId="7" fillId="0" borderId="0" xfId="0" applyNumberFormat="1" applyFont="1"/>
    <xf numFmtId="166" fontId="5" fillId="0" borderId="2" xfId="0" applyNumberFormat="1" applyFont="1" applyBorder="1" applyAlignment="1">
      <alignment horizontal="right"/>
    </xf>
    <xf numFmtId="166" fontId="5" fillId="0" borderId="0" xfId="0" applyNumberFormat="1" applyFont="1"/>
    <xf numFmtId="166" fontId="7" fillId="0" borderId="2" xfId="0" applyNumberFormat="1" applyFont="1" applyBorder="1"/>
    <xf numFmtId="164" fontId="5" fillId="0" borderId="4" xfId="0" applyNumberFormat="1" applyFont="1" applyBorder="1" applyAlignment="1">
      <alignment horizontal="right"/>
    </xf>
    <xf numFmtId="164" fontId="7" fillId="0" borderId="5" xfId="0" applyNumberFormat="1" applyFont="1" applyBorder="1" applyAlignment="1">
      <alignment horizontal="right"/>
    </xf>
    <xf numFmtId="0" fontId="14" fillId="0" borderId="0" xfId="0" applyFont="1"/>
    <xf numFmtId="0" fontId="15" fillId="0" borderId="0" xfId="0" applyFont="1" applyAlignment="1">
      <alignment horizontal="center" wrapText="1"/>
    </xf>
    <xf numFmtId="4" fontId="14" fillId="0" borderId="0" xfId="0" applyNumberFormat="1" applyFont="1"/>
    <xf numFmtId="1" fontId="5" fillId="0" borderId="0" xfId="0" applyNumberFormat="1" applyFont="1"/>
    <xf numFmtId="43" fontId="0" fillId="0" borderId="0" xfId="1" applyFont="1"/>
    <xf numFmtId="167" fontId="0" fillId="0" borderId="0" xfId="1" applyNumberFormat="1" applyFont="1"/>
    <xf numFmtId="164" fontId="0" fillId="0" borderId="0" xfId="1" applyNumberFormat="1" applyFont="1"/>
    <xf numFmtId="164" fontId="0" fillId="0" borderId="6" xfId="1" applyNumberFormat="1" applyFont="1" applyBorder="1"/>
    <xf numFmtId="0" fontId="2" fillId="0" borderId="0" xfId="0" applyFont="1"/>
    <xf numFmtId="0" fontId="18" fillId="2" borderId="7" xfId="0" applyFont="1" applyFill="1" applyBorder="1"/>
    <xf numFmtId="0" fontId="0" fillId="3" borderId="0" xfId="0" applyFill="1"/>
    <xf numFmtId="164" fontId="0" fillId="0" borderId="7" xfId="1" applyNumberFormat="1" applyFont="1" applyBorder="1"/>
    <xf numFmtId="164" fontId="21" fillId="0" borderId="0" xfId="1" applyNumberFormat="1" applyFont="1"/>
    <xf numFmtId="164" fontId="22" fillId="0" borderId="0" xfId="1" applyNumberFormat="1" applyFont="1"/>
    <xf numFmtId="0" fontId="0" fillId="0" borderId="8" xfId="0" applyBorder="1"/>
    <xf numFmtId="0" fontId="0" fillId="3" borderId="8" xfId="0" applyFill="1" applyBorder="1"/>
    <xf numFmtId="0" fontId="18" fillId="2" borderId="9" xfId="0" applyFont="1" applyFill="1" applyBorder="1"/>
    <xf numFmtId="164" fontId="0" fillId="0" borderId="8" xfId="1" applyNumberFormat="1" applyFont="1" applyBorder="1"/>
    <xf numFmtId="164" fontId="22" fillId="0" borderId="8" xfId="1" applyNumberFormat="1" applyFont="1" applyBorder="1"/>
    <xf numFmtId="164" fontId="0" fillId="0" borderId="9" xfId="1" applyNumberFormat="1" applyFont="1" applyBorder="1"/>
    <xf numFmtId="164" fontId="0" fillId="0" borderId="10" xfId="1" applyNumberFormat="1" applyFont="1" applyBorder="1"/>
    <xf numFmtId="164" fontId="21" fillId="0" borderId="8" xfId="1" applyNumberFormat="1" applyFont="1" applyBorder="1"/>
    <xf numFmtId="168" fontId="0" fillId="0" borderId="0" xfId="2" applyNumberFormat="1" applyFont="1"/>
    <xf numFmtId="168" fontId="18" fillId="0" borderId="0" xfId="2" applyNumberFormat="1" applyFont="1"/>
    <xf numFmtId="164" fontId="0" fillId="0" borderId="0" xfId="1" applyNumberFormat="1" applyFont="1" applyBorder="1"/>
    <xf numFmtId="168" fontId="24" fillId="0" borderId="0" xfId="2" applyNumberFormat="1" applyFont="1"/>
    <xf numFmtId="164" fontId="0" fillId="0" borderId="13" xfId="1" applyNumberFormat="1" applyFont="1" applyBorder="1"/>
    <xf numFmtId="169" fontId="0" fillId="0" borderId="0" xfId="0" applyNumberFormat="1"/>
    <xf numFmtId="170" fontId="0" fillId="0" borderId="0" xfId="1" applyNumberFormat="1" applyFont="1"/>
    <xf numFmtId="170" fontId="0" fillId="0" borderId="0" xfId="0" applyNumberFormat="1"/>
    <xf numFmtId="2" fontId="0" fillId="0" borderId="0" xfId="0" applyNumberFormat="1"/>
    <xf numFmtId="164" fontId="0" fillId="0" borderId="15" xfId="1" applyNumberFormat="1" applyFont="1" applyBorder="1"/>
    <xf numFmtId="164" fontId="0" fillId="0" borderId="16" xfId="1" applyNumberFormat="1" applyFont="1" applyBorder="1"/>
    <xf numFmtId="9" fontId="22" fillId="0" borderId="0" xfId="2" applyFont="1"/>
    <xf numFmtId="169" fontId="22" fillId="0" borderId="0" xfId="1" applyNumberFormat="1" applyFont="1"/>
    <xf numFmtId="170" fontId="22" fillId="0" borderId="0" xfId="1" applyNumberFormat="1" applyFont="1"/>
    <xf numFmtId="167" fontId="22" fillId="0" borderId="0" xfId="1" applyNumberFormat="1" applyFont="1"/>
    <xf numFmtId="167" fontId="22" fillId="0" borderId="0" xfId="1" applyNumberFormat="1" applyFont="1" applyFill="1" applyBorder="1"/>
    <xf numFmtId="164" fontId="22" fillId="0" borderId="12" xfId="1" applyNumberFormat="1" applyFont="1" applyBorder="1"/>
    <xf numFmtId="168" fontId="22" fillId="0" borderId="14" xfId="2" applyNumberFormat="1" applyFont="1" applyBorder="1"/>
    <xf numFmtId="164" fontId="0" fillId="0" borderId="11" xfId="1" applyNumberFormat="1" applyFont="1" applyBorder="1"/>
    <xf numFmtId="40" fontId="25" fillId="0" borderId="0" xfId="0" applyNumberFormat="1" applyFont="1" applyAlignment="1">
      <alignment horizontal="left"/>
    </xf>
    <xf numFmtId="0" fontId="26" fillId="0" borderId="0" xfId="0" applyFont="1" applyAlignment="1">
      <alignment horizontal="left"/>
    </xf>
    <xf numFmtId="171" fontId="27" fillId="0" borderId="0" xfId="0" applyNumberFormat="1" applyFont="1"/>
    <xf numFmtId="171" fontId="28" fillId="0" borderId="0" xfId="0" applyNumberFormat="1" applyFont="1"/>
    <xf numFmtId="0" fontId="29" fillId="0" borderId="0" xfId="0" applyFont="1"/>
    <xf numFmtId="0" fontId="28" fillId="0" borderId="0" xfId="0" applyFont="1"/>
    <xf numFmtId="0" fontId="0" fillId="0" borderId="0" xfId="0" applyAlignment="1">
      <alignment vertical="center"/>
    </xf>
    <xf numFmtId="0" fontId="30" fillId="0" borderId="0" xfId="0" applyFont="1" applyAlignment="1">
      <alignment horizontal="center" wrapText="1"/>
    </xf>
    <xf numFmtId="0" fontId="0" fillId="0" borderId="14" xfId="0" applyBorder="1" applyAlignment="1">
      <alignment vertical="center"/>
    </xf>
    <xf numFmtId="0" fontId="33" fillId="3" borderId="14" xfId="0" applyFont="1" applyFill="1" applyBorder="1" applyAlignment="1">
      <alignment horizontal="center" vertical="center" wrapText="1"/>
    </xf>
    <xf numFmtId="10" fontId="34" fillId="0" borderId="14" xfId="3" applyNumberFormat="1" applyFont="1" applyBorder="1" applyAlignment="1">
      <alignment vertical="center" wrapText="1"/>
    </xf>
    <xf numFmtId="0" fontId="32" fillId="3" borderId="14" xfId="0" applyFont="1" applyFill="1" applyBorder="1" applyAlignment="1">
      <alignment horizontal="center" vertical="center" wrapText="1"/>
    </xf>
    <xf numFmtId="164" fontId="0" fillId="0" borderId="14" xfId="0" applyNumberFormat="1" applyBorder="1"/>
    <xf numFmtId="9" fontId="34" fillId="0" borderId="14" xfId="3" applyFont="1" applyBorder="1" applyAlignment="1">
      <alignment horizontal="right" vertical="center"/>
    </xf>
    <xf numFmtId="164" fontId="0" fillId="0" borderId="14" xfId="1" applyNumberFormat="1" applyFont="1" applyFill="1" applyBorder="1" applyAlignment="1">
      <alignment vertical="center"/>
    </xf>
    <xf numFmtId="9" fontId="36" fillId="7" borderId="14" xfId="2" applyFont="1" applyFill="1" applyBorder="1" applyAlignment="1">
      <alignment vertical="center"/>
    </xf>
    <xf numFmtId="0" fontId="31" fillId="3" borderId="4" xfId="0" applyFont="1" applyFill="1" applyBorder="1" applyAlignment="1">
      <alignment horizontal="left" vertical="center"/>
    </xf>
    <xf numFmtId="1" fontId="27" fillId="8" borderId="17" xfId="0" applyNumberFormat="1" applyFont="1" applyFill="1" applyBorder="1" applyAlignment="1">
      <alignment horizontal="center" vertical="center"/>
    </xf>
    <xf numFmtId="1" fontId="27" fillId="8" borderId="17" xfId="0" quotePrefix="1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 wrapText="1"/>
    </xf>
    <xf numFmtId="0" fontId="0" fillId="0" borderId="0" xfId="0" applyAlignment="1">
      <alignment horizontal="left" vertical="center"/>
    </xf>
    <xf numFmtId="164" fontId="36" fillId="0" borderId="14" xfId="1" applyNumberFormat="1" applyFont="1" applyFill="1" applyBorder="1" applyAlignment="1">
      <alignment horizontal="center" vertical="center"/>
    </xf>
    <xf numFmtId="172" fontId="0" fillId="0" borderId="14" xfId="2" applyNumberFormat="1" applyFont="1" applyFill="1" applyBorder="1" applyAlignment="1">
      <alignment vertical="center"/>
    </xf>
    <xf numFmtId="167" fontId="36" fillId="0" borderId="14" xfId="1" applyNumberFormat="1" applyFont="1" applyFill="1" applyBorder="1" applyAlignment="1">
      <alignment horizontal="center" vertical="center"/>
    </xf>
    <xf numFmtId="164" fontId="0" fillId="0" borderId="0" xfId="0" applyNumberFormat="1"/>
    <xf numFmtId="10" fontId="0" fillId="0" borderId="0" xfId="0" applyNumberFormat="1"/>
    <xf numFmtId="0" fontId="0" fillId="0" borderId="0" xfId="0" applyAlignment="1">
      <alignment horizontal="right"/>
    </xf>
    <xf numFmtId="0" fontId="26" fillId="5" borderId="16" xfId="0" applyFont="1" applyFill="1" applyBorder="1" applyAlignment="1">
      <alignment horizontal="left" vertical="center"/>
    </xf>
    <xf numFmtId="0" fontId="0" fillId="5" borderId="7" xfId="0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26" fillId="5" borderId="7" xfId="0" applyFont="1" applyFill="1" applyBorder="1" applyAlignment="1">
      <alignment horizontal="left" vertical="center"/>
    </xf>
    <xf numFmtId="0" fontId="31" fillId="3" borderId="18" xfId="0" applyFont="1" applyFill="1" applyBorder="1" applyAlignment="1">
      <alignment horizontal="left" vertical="center"/>
    </xf>
    <xf numFmtId="0" fontId="40" fillId="2" borderId="20" xfId="0" quotePrefix="1" applyFont="1" applyFill="1" applyBorder="1" applyAlignment="1">
      <alignment horizontal="center" vertical="center" wrapText="1"/>
    </xf>
    <xf numFmtId="0" fontId="40" fillId="2" borderId="21" xfId="0" quotePrefix="1" applyFont="1" applyFill="1" applyBorder="1" applyAlignment="1">
      <alignment horizontal="center" vertical="center" wrapText="1"/>
    </xf>
    <xf numFmtId="0" fontId="40" fillId="2" borderId="20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center" vertical="center"/>
    </xf>
    <xf numFmtId="0" fontId="27" fillId="2" borderId="2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174" fontId="0" fillId="0" borderId="0" xfId="0" applyNumberFormat="1" applyAlignment="1">
      <alignment horizontal="center" vertical="center"/>
    </xf>
    <xf numFmtId="0" fontId="37" fillId="0" borderId="8" xfId="0" applyFon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175" fontId="0" fillId="0" borderId="8" xfId="0" applyNumberFormat="1" applyBorder="1" applyAlignment="1">
      <alignment horizontal="center"/>
    </xf>
    <xf numFmtId="175" fontId="0" fillId="0" borderId="8" xfId="0" quotePrefix="1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27" fillId="0" borderId="17" xfId="0" applyFont="1" applyBorder="1" applyAlignment="1">
      <alignment vertical="center"/>
    </xf>
    <xf numFmtId="0" fontId="0" fillId="0" borderId="0" xfId="0" applyAlignment="1">
      <alignment horizontal="right" vertical="center"/>
    </xf>
    <xf numFmtId="1" fontId="35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4" fontId="34" fillId="0" borderId="14" xfId="3" applyNumberFormat="1" applyFont="1" applyBorder="1" applyAlignment="1">
      <alignment horizontal="right" vertical="center"/>
    </xf>
    <xf numFmtId="164" fontId="35" fillId="0" borderId="0" xfId="1" applyNumberFormat="1" applyFont="1" applyAlignment="1">
      <alignment horizontal="center"/>
    </xf>
    <xf numFmtId="164" fontId="2" fillId="0" borderId="0" xfId="1" applyNumberFormat="1" applyFont="1"/>
    <xf numFmtId="164" fontId="35" fillId="0" borderId="0" xfId="1" applyNumberFormat="1" applyFont="1"/>
    <xf numFmtId="164" fontId="2" fillId="0" borderId="0" xfId="0" applyNumberFormat="1" applyFont="1"/>
    <xf numFmtId="164" fontId="34" fillId="0" borderId="14" xfId="1" applyNumberFormat="1" applyFont="1" applyFill="1" applyBorder="1" applyAlignment="1">
      <alignment horizontal="center" vertical="center"/>
    </xf>
    <xf numFmtId="164" fontId="2" fillId="0" borderId="14" xfId="1" applyNumberFormat="1" applyFont="1" applyFill="1" applyBorder="1" applyAlignment="1">
      <alignment vertical="center"/>
    </xf>
    <xf numFmtId="9" fontId="34" fillId="7" borderId="14" xfId="2" applyFont="1" applyFill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7" xfId="1" applyNumberFormat="1" applyFont="1" applyBorder="1"/>
    <xf numFmtId="164" fontId="2" fillId="0" borderId="0" xfId="1" applyNumberFormat="1" applyFont="1" applyBorder="1"/>
    <xf numFmtId="0" fontId="31" fillId="3" borderId="19" xfId="0" applyFont="1" applyFill="1" applyBorder="1" applyAlignment="1">
      <alignment horizontal="left" vertical="center"/>
    </xf>
    <xf numFmtId="0" fontId="42" fillId="0" borderId="0" xfId="0" applyFont="1"/>
    <xf numFmtId="0" fontId="0" fillId="0" borderId="0" xfId="0" quotePrefix="1"/>
    <xf numFmtId="0" fontId="40" fillId="2" borderId="22" xfId="0" applyFont="1" applyFill="1" applyBorder="1" applyAlignment="1">
      <alignment horizontal="left" vertical="center"/>
    </xf>
    <xf numFmtId="9" fontId="18" fillId="0" borderId="0" xfId="1" applyNumberFormat="1" applyFont="1" applyAlignment="1">
      <alignment horizontal="center"/>
    </xf>
    <xf numFmtId="10" fontId="2" fillId="0" borderId="0" xfId="0" applyNumberFormat="1" applyFont="1"/>
    <xf numFmtId="0" fontId="27" fillId="0" borderId="19" xfId="0" applyFont="1" applyBorder="1" applyAlignment="1">
      <alignment vertical="center"/>
    </xf>
    <xf numFmtId="2" fontId="27" fillId="0" borderId="19" xfId="0" applyNumberFormat="1" applyFont="1" applyBorder="1" applyAlignment="1">
      <alignment horizontal="center" vertical="center"/>
    </xf>
    <xf numFmtId="174" fontId="18" fillId="0" borderId="19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0" fontId="46" fillId="0" borderId="0" xfId="0" applyFont="1"/>
    <xf numFmtId="164" fontId="18" fillId="0" borderId="0" xfId="1" applyNumberFormat="1" applyFont="1" applyAlignment="1">
      <alignment horizontal="right"/>
    </xf>
    <xf numFmtId="164" fontId="40" fillId="6" borderId="12" xfId="1" applyNumberFormat="1" applyFont="1" applyFill="1" applyBorder="1" applyAlignment="1">
      <alignment vertical="center"/>
    </xf>
    <xf numFmtId="168" fontId="22" fillId="0" borderId="0" xfId="0" applyNumberFormat="1" applyFont="1"/>
    <xf numFmtId="168" fontId="0" fillId="0" borderId="7" xfId="0" applyNumberFormat="1" applyBorder="1"/>
    <xf numFmtId="164" fontId="18" fillId="0" borderId="7" xfId="0" applyNumberFormat="1" applyFont="1" applyBorder="1"/>
    <xf numFmtId="0" fontId="18" fillId="0" borderId="0" xfId="0" applyFont="1"/>
    <xf numFmtId="0" fontId="17" fillId="3" borderId="0" xfId="0" applyFont="1" applyFill="1"/>
    <xf numFmtId="0" fontId="17" fillId="4" borderId="0" xfId="0" applyFont="1" applyFill="1"/>
    <xf numFmtId="0" fontId="18" fillId="2" borderId="0" xfId="0" applyFont="1" applyFill="1"/>
    <xf numFmtId="0" fontId="21" fillId="0" borderId="0" xfId="0" applyFont="1"/>
    <xf numFmtId="0" fontId="18" fillId="4" borderId="4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/>
    <xf numFmtId="0" fontId="0" fillId="0" borderId="4" xfId="0" applyBorder="1"/>
    <xf numFmtId="40" fontId="20" fillId="0" borderId="0" xfId="0" applyNumberFormat="1" applyFont="1"/>
    <xf numFmtId="40" fontId="3" fillId="0" borderId="0" xfId="0" applyNumberFormat="1" applyFont="1"/>
    <xf numFmtId="0" fontId="31" fillId="3" borderId="4" xfId="0" applyFont="1" applyFill="1" applyBorder="1" applyAlignment="1">
      <alignment horizontal="centerContinuous" vertical="center"/>
    </xf>
    <xf numFmtId="0" fontId="31" fillId="3" borderId="23" xfId="0" applyFont="1" applyFill="1" applyBorder="1" applyAlignment="1">
      <alignment horizontal="centerContinuous" vertical="center"/>
    </xf>
    <xf numFmtId="1" fontId="27" fillId="8" borderId="24" xfId="0" applyNumberFormat="1" applyFont="1" applyFill="1" applyBorder="1" applyAlignment="1">
      <alignment horizontal="center" vertical="center"/>
    </xf>
    <xf numFmtId="164" fontId="35" fillId="0" borderId="25" xfId="1" applyNumberFormat="1" applyFont="1" applyBorder="1" applyAlignment="1">
      <alignment horizontal="center"/>
    </xf>
    <xf numFmtId="164" fontId="2" fillId="0" borderId="25" xfId="1" applyNumberFormat="1" applyFont="1" applyBorder="1"/>
    <xf numFmtId="164" fontId="2" fillId="0" borderId="16" xfId="1" applyNumberFormat="1" applyFont="1" applyBorder="1"/>
    <xf numFmtId="164" fontId="40" fillId="6" borderId="26" xfId="1" applyNumberFormat="1" applyFont="1" applyFill="1" applyBorder="1" applyAlignment="1">
      <alignment vertical="center"/>
    </xf>
    <xf numFmtId="1" fontId="27" fillId="8" borderId="24" xfId="0" quotePrefix="1" applyNumberFormat="1" applyFont="1" applyFill="1" applyBorder="1" applyAlignment="1">
      <alignment horizontal="center" vertical="center"/>
    </xf>
    <xf numFmtId="0" fontId="2" fillId="0" borderId="25" xfId="0" applyFont="1" applyBorder="1" applyAlignment="1">
      <alignment horizontal="left"/>
    </xf>
    <xf numFmtId="164" fontId="2" fillId="0" borderId="6" xfId="1" applyNumberFormat="1" applyFont="1" applyBorder="1"/>
    <xf numFmtId="164" fontId="2" fillId="9" borderId="12" xfId="1" applyNumberFormat="1" applyFont="1" applyFill="1" applyBorder="1"/>
    <xf numFmtId="10" fontId="27" fillId="11" borderId="19" xfId="2" applyNumberFormat="1" applyFont="1" applyFill="1" applyBorder="1" applyAlignment="1">
      <alignment vertical="center"/>
    </xf>
    <xf numFmtId="168" fontId="37" fillId="0" borderId="8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0" xfId="0" quotePrefix="1" applyFont="1"/>
    <xf numFmtId="0" fontId="1" fillId="0" borderId="0" xfId="0" applyFont="1"/>
    <xf numFmtId="164" fontId="18" fillId="10" borderId="8" xfId="1" applyNumberFormat="1" applyFont="1" applyFill="1" applyBorder="1" applyAlignment="1">
      <alignment horizontal="center"/>
    </xf>
    <xf numFmtId="173" fontId="18" fillId="9" borderId="8" xfId="0" applyNumberFormat="1" applyFont="1" applyFill="1" applyBorder="1"/>
    <xf numFmtId="10" fontId="18" fillId="11" borderId="8" xfId="0" applyNumberFormat="1" applyFont="1" applyFill="1" applyBorder="1" applyAlignment="1">
      <alignment horizontal="center"/>
    </xf>
    <xf numFmtId="0" fontId="26" fillId="5" borderId="0" xfId="0" applyFont="1" applyFill="1" applyBorder="1" applyAlignment="1">
      <alignment horizontal="left" vertical="center"/>
    </xf>
  </cellXfs>
  <cellStyles count="4">
    <cellStyle name="Comma" xfId="1" builtinId="3"/>
    <cellStyle name="Normal" xfId="0" builtinId="0"/>
    <cellStyle name="Per cent 2" xfId="3" xr:uid="{757740A7-F28C-420C-BFC5-5D7C8F4C1E1E}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Baur &amp; Fischer Commericalization</a:t>
            </a:r>
            <a:r>
              <a:rPr lang="en-US" baseline="0"/>
              <a:t> factor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'Financial Model'!$I$69:$P$69</c:f>
              <c:numCache>
                <c:formatCode>General</c:formatCode>
                <c:ptCount val="8"/>
                <c:pt idx="0" formatCode="_(* #,##0.0_);_(* \(#,##0.0\);_(* &quot;-&quot;??_);_(@_)">
                  <c:v>7.5</c:v>
                </c:pt>
                <c:pt idx="1">
                  <c:v>15.5</c:v>
                </c:pt>
                <c:pt idx="2">
                  <c:v>17.5</c:v>
                </c:pt>
                <c:pt idx="3">
                  <c:v>18.5</c:v>
                </c:pt>
                <c:pt idx="4">
                  <c:v>18.5</c:v>
                </c:pt>
                <c:pt idx="5">
                  <c:v>16</c:v>
                </c:pt>
                <c:pt idx="6">
                  <c:v>14</c:v>
                </c:pt>
                <c:pt idx="7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AF-415E-8EB8-9AC9B2DBC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7901856"/>
        <c:axId val="1647902336"/>
      </c:lineChart>
      <c:catAx>
        <c:axId val="16479018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902336"/>
        <c:crosses val="autoZero"/>
        <c:auto val="1"/>
        <c:lblAlgn val="ctr"/>
        <c:lblOffset val="100"/>
        <c:noMultiLvlLbl val="0"/>
      </c:catAx>
      <c:valAx>
        <c:axId val="164790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_);_(* \(#,##0.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901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139700</xdr:colOff>
      <xdr:row>63</xdr:row>
      <xdr:rowOff>46037</xdr:rowOff>
    </xdr:from>
    <xdr:to>
      <xdr:col>23</xdr:col>
      <xdr:colOff>38100</xdr:colOff>
      <xdr:row>76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0877C71-EF8A-E9C1-7BA8-B73C8EB730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47</xdr:row>
      <xdr:rowOff>0</xdr:rowOff>
    </xdr:from>
    <xdr:to>
      <xdr:col>3</xdr:col>
      <xdr:colOff>304800</xdr:colOff>
      <xdr:row>48</xdr:row>
      <xdr:rowOff>123825</xdr:rowOff>
    </xdr:to>
    <xdr:sp macro="" textlink="">
      <xdr:nvSpPr>
        <xdr:cNvPr id="1025" name="AutoShape 1" descr="C = N(d_1)S_t - N(d_2)Ke^{-rt} \\&#10;\text{where } d_1 = \frac{\ln \frac{S_t}{K} + (r + \frac{\sigma^2}{2})t}{\sigma \sqrt{t}} \\&#10;\text{and } d_2 = d_1 - \sigma \sqrt{t}">
          <a:extLst>
            <a:ext uri="{FF2B5EF4-FFF2-40B4-BE49-F238E27FC236}">
              <a16:creationId xmlns:a16="http://schemas.microsoft.com/office/drawing/2014/main" id="{C3C41A04-1967-0682-3725-D7F636A8D950}"/>
            </a:ext>
          </a:extLst>
        </xdr:cNvPr>
        <xdr:cNvSpPr>
          <a:spLocks noChangeAspect="1" noChangeArrowheads="1"/>
        </xdr:cNvSpPr>
      </xdr:nvSpPr>
      <xdr:spPr bwMode="auto">
        <a:xfrm>
          <a:off x="3911600" y="10452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2682875</xdr:colOff>
      <xdr:row>25</xdr:row>
      <xdr:rowOff>38100</xdr:rowOff>
    </xdr:from>
    <xdr:to>
      <xdr:col>4</xdr:col>
      <xdr:colOff>774699</xdr:colOff>
      <xdr:row>25</xdr:row>
      <xdr:rowOff>859657</xdr:rowOff>
    </xdr:to>
    <xdr:pic>
      <xdr:nvPicPr>
        <xdr:cNvPr id="3" name="Picture 2" descr="Black Scholes Model in Python for ...">
          <a:extLst>
            <a:ext uri="{FF2B5EF4-FFF2-40B4-BE49-F238E27FC236}">
              <a16:creationId xmlns:a16="http://schemas.microsoft.com/office/drawing/2014/main" id="{B4A4D488-941B-4266-F2C6-249347CB8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8150" y="5248275"/>
          <a:ext cx="2451099" cy="821557"/>
        </a:xfrm>
        <a:prstGeom prst="rect">
          <a:avLst/>
        </a:prstGeom>
        <a:solidFill>
          <a:schemeClr val="accent4"/>
        </a:solidFill>
        <a:ln w="3810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4B43B-93D7-477D-83D3-8C7AA15FB232}">
  <sheetPr>
    <tabColor rgb="FF0000FF"/>
  </sheetPr>
  <dimension ref="A1:Q153"/>
  <sheetViews>
    <sheetView showGridLines="0" tabSelected="1" workbookViewId="0">
      <selection activeCell="F79" sqref="F79"/>
    </sheetView>
  </sheetViews>
  <sheetFormatPr defaultRowHeight="14.5" x14ac:dyDescent="0.35"/>
  <cols>
    <col min="1" max="1" width="4.54296875" customWidth="1"/>
    <col min="2" max="2" width="27.90625" customWidth="1"/>
    <col min="3" max="3" width="12.54296875" hidden="1" customWidth="1"/>
    <col min="4" max="4" width="11.90625" style="60" hidden="1" customWidth="1"/>
    <col min="5" max="7" width="10.6328125" customWidth="1"/>
    <col min="8" max="8" width="11.6328125" style="60" customWidth="1"/>
    <col min="9" max="9" width="12" customWidth="1"/>
    <col min="10" max="16" width="12" bestFit="1" customWidth="1"/>
  </cols>
  <sheetData>
    <row r="1" spans="1:16" ht="23.5" x14ac:dyDescent="0.55000000000000004">
      <c r="B1" s="173" t="str">
        <f>+Valuation!B1</f>
        <v>Pharma 48X</v>
      </c>
    </row>
    <row r="3" spans="1:16" x14ac:dyDescent="0.35">
      <c r="B3" s="163" t="s">
        <v>147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6" x14ac:dyDescent="0.35">
      <c r="B4" s="164"/>
      <c r="C4" s="169" t="s">
        <v>167</v>
      </c>
      <c r="D4" s="170"/>
      <c r="E4" s="170"/>
      <c r="F4" s="170"/>
      <c r="G4" s="170"/>
      <c r="H4" s="170"/>
      <c r="I4" s="169" t="s">
        <v>168</v>
      </c>
      <c r="J4" s="170"/>
      <c r="K4" s="170"/>
      <c r="L4" s="170"/>
      <c r="M4" s="170"/>
      <c r="N4" s="170"/>
      <c r="O4" s="171"/>
      <c r="P4" s="171"/>
    </row>
    <row r="5" spans="1:16" ht="15" thickBot="1" x14ac:dyDescent="0.4">
      <c r="B5" s="55"/>
      <c r="C5" s="55">
        <v>2022</v>
      </c>
      <c r="D5" s="55">
        <v>2023</v>
      </c>
      <c r="E5" s="55">
        <v>2024</v>
      </c>
      <c r="F5" s="55">
        <v>2025</v>
      </c>
      <c r="G5" s="55">
        <v>2026</v>
      </c>
      <c r="H5" s="55">
        <v>2027</v>
      </c>
      <c r="I5" s="55">
        <v>2028</v>
      </c>
      <c r="J5" s="55">
        <v>2029</v>
      </c>
      <c r="K5" s="55">
        <v>2030</v>
      </c>
      <c r="L5" s="55">
        <v>2031</v>
      </c>
      <c r="M5" s="55">
        <v>2032</v>
      </c>
      <c r="N5" s="55">
        <v>2032</v>
      </c>
      <c r="O5" s="55">
        <v>2032</v>
      </c>
      <c r="P5" s="55">
        <v>2032</v>
      </c>
    </row>
    <row r="6" spans="1:16" ht="15" thickTop="1" x14ac:dyDescent="0.35">
      <c r="A6">
        <f>ROW()</f>
        <v>6</v>
      </c>
      <c r="B6" t="s">
        <v>2</v>
      </c>
      <c r="C6" s="52">
        <f>'Income Statement'!D11/1000</f>
        <v>0</v>
      </c>
      <c r="D6" s="63">
        <f>'Income Statement'!E11/1000</f>
        <v>1.3812899999999999</v>
      </c>
      <c r="E6" s="52"/>
      <c r="F6" s="52"/>
      <c r="G6" s="52"/>
      <c r="H6" s="63"/>
      <c r="I6" s="52">
        <f>I85*1000</f>
        <v>133812</v>
      </c>
      <c r="J6" s="52">
        <f>J85*1000</f>
        <v>276544.79999999993</v>
      </c>
      <c r="K6" s="52">
        <f t="shared" ref="K6:P6" si="0">K85*1000</f>
        <v>312228</v>
      </c>
      <c r="L6" s="52">
        <f t="shared" si="0"/>
        <v>330069.59999999998</v>
      </c>
      <c r="M6" s="52">
        <f t="shared" si="0"/>
        <v>330069.59999999998</v>
      </c>
      <c r="N6" s="52">
        <f t="shared" si="0"/>
        <v>285465.59999999998</v>
      </c>
      <c r="O6" s="52">
        <f t="shared" si="0"/>
        <v>249782.40000000005</v>
      </c>
      <c r="P6" s="52">
        <f t="shared" si="0"/>
        <v>196257.6</v>
      </c>
    </row>
    <row r="7" spans="1:16" x14ac:dyDescent="0.35">
      <c r="A7">
        <f>ROW()</f>
        <v>7</v>
      </c>
      <c r="C7" s="52"/>
      <c r="D7" s="63"/>
      <c r="E7" s="52"/>
      <c r="F7" s="52"/>
      <c r="G7" s="52"/>
      <c r="H7" s="63"/>
      <c r="I7" s="52"/>
    </row>
    <row r="8" spans="1:16" x14ac:dyDescent="0.35">
      <c r="A8">
        <f>ROW()</f>
        <v>8</v>
      </c>
      <c r="B8" t="s">
        <v>134</v>
      </c>
      <c r="C8" s="52">
        <f>+C6-C9</f>
        <v>2.0794099999999998</v>
      </c>
      <c r="D8" s="63">
        <f>+D6-D9</f>
        <v>0</v>
      </c>
      <c r="E8" s="52"/>
      <c r="F8" s="52"/>
      <c r="G8" s="52"/>
      <c r="H8" s="63"/>
      <c r="I8" s="52">
        <f>I88*I6</f>
        <v>20071.8</v>
      </c>
      <c r="J8" s="70">
        <f t="shared" ref="J8:P8" si="1">J88*J6</f>
        <v>41481.719999999987</v>
      </c>
      <c r="K8" s="70">
        <f t="shared" si="1"/>
        <v>46834.2</v>
      </c>
      <c r="L8" s="70">
        <f t="shared" si="1"/>
        <v>49510.439999999995</v>
      </c>
      <c r="M8" s="70">
        <f t="shared" si="1"/>
        <v>49510.439999999995</v>
      </c>
      <c r="N8" s="70">
        <f t="shared" si="1"/>
        <v>42819.839999999997</v>
      </c>
      <c r="O8" s="70">
        <f t="shared" si="1"/>
        <v>37467.360000000008</v>
      </c>
      <c r="P8" s="70">
        <f t="shared" si="1"/>
        <v>29438.639999999999</v>
      </c>
    </row>
    <row r="9" spans="1:16" x14ac:dyDescent="0.35">
      <c r="A9">
        <f>ROW()</f>
        <v>9</v>
      </c>
      <c r="B9" t="s">
        <v>138</v>
      </c>
      <c r="C9" s="53">
        <f>'Income Statement'!D15/1000</f>
        <v>-2.0794099999999998</v>
      </c>
      <c r="D9" s="66">
        <f>'Income Statement'!E15/1000</f>
        <v>1.3812899999999999</v>
      </c>
      <c r="E9" s="52"/>
      <c r="F9" s="52"/>
      <c r="G9" s="52"/>
      <c r="H9" s="63"/>
      <c r="I9" s="77">
        <f>+I6-I8</f>
        <v>113740.2</v>
      </c>
      <c r="J9" s="53">
        <f t="shared" ref="J9:P9" si="2">+J6-J8</f>
        <v>235063.07999999996</v>
      </c>
      <c r="K9" s="53">
        <f t="shared" si="2"/>
        <v>265393.8</v>
      </c>
      <c r="L9" s="53">
        <f t="shared" si="2"/>
        <v>280559.15999999997</v>
      </c>
      <c r="M9" s="53">
        <f t="shared" si="2"/>
        <v>280559.15999999997</v>
      </c>
      <c r="N9" s="53">
        <f t="shared" si="2"/>
        <v>242645.75999999998</v>
      </c>
      <c r="O9" s="53">
        <f t="shared" si="2"/>
        <v>212315.04000000004</v>
      </c>
      <c r="P9" s="53">
        <f t="shared" si="2"/>
        <v>166818.96000000002</v>
      </c>
    </row>
    <row r="10" spans="1:16" x14ac:dyDescent="0.35">
      <c r="A10">
        <f>ROW()</f>
        <v>10</v>
      </c>
      <c r="C10" s="52"/>
      <c r="D10" s="63"/>
      <c r="E10" s="52"/>
      <c r="F10" s="52"/>
      <c r="G10" s="52"/>
      <c r="H10" s="63"/>
      <c r="I10" s="52"/>
      <c r="J10" s="52"/>
      <c r="K10" s="52"/>
      <c r="L10" s="52"/>
      <c r="M10" s="52"/>
      <c r="N10" s="52"/>
      <c r="O10" s="52"/>
      <c r="P10" s="52"/>
    </row>
    <row r="11" spans="1:16" x14ac:dyDescent="0.35">
      <c r="A11">
        <f>ROW()</f>
        <v>11</v>
      </c>
      <c r="B11" s="162" t="s">
        <v>139</v>
      </c>
      <c r="C11" s="52"/>
      <c r="D11" s="63"/>
      <c r="E11" s="52"/>
      <c r="F11" s="52"/>
      <c r="G11" s="52"/>
      <c r="H11" s="63"/>
      <c r="I11" s="52"/>
    </row>
    <row r="12" spans="1:16" hidden="1" x14ac:dyDescent="0.35">
      <c r="A12">
        <f>ROW()</f>
        <v>12</v>
      </c>
      <c r="B12" t="s">
        <v>140</v>
      </c>
      <c r="C12" s="52">
        <f>(Notes!B13+Notes!B14)/1000</f>
        <v>68.739589999999993</v>
      </c>
      <c r="D12" s="63">
        <f>(Notes!C13+Notes!C14)/1000</f>
        <v>48.884920000000001</v>
      </c>
      <c r="E12" s="52"/>
      <c r="F12" s="52"/>
      <c r="G12" s="52"/>
      <c r="H12" s="63"/>
      <c r="I12" s="52"/>
    </row>
    <row r="13" spans="1:16" hidden="1" x14ac:dyDescent="0.35">
      <c r="A13">
        <f>ROW()</f>
        <v>13</v>
      </c>
      <c r="B13" t="s">
        <v>135</v>
      </c>
      <c r="C13" s="52">
        <f>Notes!B28/1000</f>
        <v>0.46165</v>
      </c>
      <c r="D13" s="63">
        <f>Notes!C28/1000</f>
        <v>0</v>
      </c>
      <c r="E13" s="52"/>
      <c r="F13" s="52"/>
      <c r="G13" s="52"/>
      <c r="H13" s="63"/>
      <c r="I13" s="52"/>
    </row>
    <row r="14" spans="1:16" hidden="1" x14ac:dyDescent="0.35">
      <c r="A14">
        <f>ROW()</f>
        <v>14</v>
      </c>
      <c r="B14" t="s">
        <v>136</v>
      </c>
      <c r="C14" s="52">
        <f>(SUM(Notes!B15:B18)+SUM(Notes!B20:B27)+SUM(Notes!B29:B39))/1000</f>
        <v>52.218979999999995</v>
      </c>
      <c r="D14" s="63">
        <f>(SUM(Notes!C15:C18)+SUM(Notes!C20:C27)+SUM(Notes!C29:C39))/1000</f>
        <v>50.023479999999999</v>
      </c>
      <c r="E14" s="52"/>
      <c r="F14" s="52"/>
      <c r="G14" s="52"/>
      <c r="H14" s="63"/>
      <c r="I14" s="52"/>
    </row>
    <row r="15" spans="1:16" hidden="1" x14ac:dyDescent="0.35">
      <c r="A15">
        <f>ROW()</f>
        <v>15</v>
      </c>
      <c r="B15" t="s">
        <v>141</v>
      </c>
      <c r="C15" s="52">
        <f>(Notes!B40-SUM('Financial Model'!C12:C14))/1000</f>
        <v>127.17879977999998</v>
      </c>
      <c r="D15" s="63">
        <f>(Notes!C40-SUM('Financial Model'!D12:D14))/1000</f>
        <v>102.2044916</v>
      </c>
      <c r="E15" s="52"/>
      <c r="F15" s="52"/>
      <c r="G15" s="52"/>
      <c r="H15" s="63"/>
      <c r="I15" s="52"/>
    </row>
    <row r="16" spans="1:16" x14ac:dyDescent="0.35">
      <c r="A16">
        <f>ROW()</f>
        <v>16</v>
      </c>
      <c r="B16" s="54" t="s">
        <v>142</v>
      </c>
      <c r="C16" s="53">
        <f>SUM(C12:C15)</f>
        <v>248.59901977999999</v>
      </c>
      <c r="D16" s="66">
        <f>SUM(D12:D15)</f>
        <v>201.11289160000001</v>
      </c>
      <c r="E16" s="52"/>
      <c r="F16" s="52"/>
      <c r="G16" s="52"/>
      <c r="H16" s="63"/>
      <c r="I16" s="77">
        <f>I6*I89</f>
        <v>66906</v>
      </c>
      <c r="J16" s="53">
        <f>J6*J89</f>
        <v>138272.39999999997</v>
      </c>
      <c r="K16" s="53">
        <f t="shared" ref="K16:P16" si="3">K6*K89</f>
        <v>156114</v>
      </c>
      <c r="L16" s="53">
        <f t="shared" si="3"/>
        <v>165034.79999999999</v>
      </c>
      <c r="M16" s="53">
        <f t="shared" si="3"/>
        <v>165034.79999999999</v>
      </c>
      <c r="N16" s="53">
        <f t="shared" si="3"/>
        <v>142732.79999999999</v>
      </c>
      <c r="O16" s="53">
        <f t="shared" si="3"/>
        <v>124891.20000000003</v>
      </c>
      <c r="P16" s="66">
        <f t="shared" si="3"/>
        <v>98128.8</v>
      </c>
    </row>
    <row r="17" spans="1:16" x14ac:dyDescent="0.35">
      <c r="A17">
        <f>ROW()</f>
        <v>17</v>
      </c>
      <c r="C17" s="52"/>
      <c r="D17" s="63"/>
      <c r="E17" s="52"/>
      <c r="F17" s="52"/>
      <c r="G17" s="52"/>
      <c r="H17" s="63"/>
      <c r="I17" s="52"/>
    </row>
    <row r="18" spans="1:16" x14ac:dyDescent="0.35">
      <c r="A18">
        <f>ROW()</f>
        <v>18</v>
      </c>
      <c r="B18" t="s">
        <v>137</v>
      </c>
      <c r="C18" s="53">
        <f>+C9-C16</f>
        <v>-250.67842977999999</v>
      </c>
      <c r="D18" s="66">
        <f>+D9-D16</f>
        <v>-199.7316016</v>
      </c>
      <c r="E18" s="52"/>
      <c r="F18" s="52"/>
      <c r="G18" s="52"/>
      <c r="H18" s="63"/>
      <c r="I18" s="77">
        <f>+I9-I16</f>
        <v>46834.2</v>
      </c>
      <c r="J18" s="53">
        <f>+J9-J16</f>
        <v>96790.68</v>
      </c>
      <c r="K18" s="53">
        <f t="shared" ref="K18:P18" si="4">+K9-K16</f>
        <v>109279.79999999999</v>
      </c>
      <c r="L18" s="53">
        <f t="shared" si="4"/>
        <v>115524.35999999999</v>
      </c>
      <c r="M18" s="53">
        <f t="shared" si="4"/>
        <v>115524.35999999999</v>
      </c>
      <c r="N18" s="53">
        <f t="shared" si="4"/>
        <v>99912.959999999992</v>
      </c>
      <c r="O18" s="53">
        <f t="shared" si="4"/>
        <v>87423.840000000011</v>
      </c>
      <c r="P18" s="53">
        <f t="shared" si="4"/>
        <v>68690.160000000018</v>
      </c>
    </row>
    <row r="19" spans="1:16" x14ac:dyDescent="0.35">
      <c r="A19">
        <f>ROW()</f>
        <v>19</v>
      </c>
      <c r="B19" s="54" t="s">
        <v>144</v>
      </c>
      <c r="C19" s="52">
        <v>0</v>
      </c>
      <c r="D19" s="63">
        <v>0</v>
      </c>
      <c r="E19" s="52"/>
      <c r="F19" s="52"/>
      <c r="G19" s="52"/>
      <c r="H19" s="63"/>
      <c r="I19" s="52"/>
    </row>
    <row r="20" spans="1:16" x14ac:dyDescent="0.35">
      <c r="A20">
        <f>ROW()</f>
        <v>20</v>
      </c>
      <c r="B20" s="54" t="s">
        <v>146</v>
      </c>
      <c r="C20" s="52">
        <f>-'Income Statement'!D21/1000</f>
        <v>1.3101399999999999</v>
      </c>
      <c r="D20" s="63">
        <f>-'Income Statement'!E21/1000</f>
        <v>0.73165999999999998</v>
      </c>
      <c r="E20" s="52"/>
      <c r="F20" s="52"/>
      <c r="G20" s="52"/>
      <c r="H20" s="63"/>
      <c r="I20" s="52">
        <v>0</v>
      </c>
    </row>
    <row r="21" spans="1:16" x14ac:dyDescent="0.35">
      <c r="A21">
        <f>ROW()</f>
        <v>21</v>
      </c>
      <c r="B21" s="54" t="s">
        <v>145</v>
      </c>
      <c r="C21" s="52">
        <f>-'Income Statement'!D25/1000</f>
        <v>0.76024999999999998</v>
      </c>
      <c r="D21" s="63">
        <f>-'Income Statement'!E25/1000</f>
        <v>0.11884</v>
      </c>
      <c r="E21" s="52"/>
      <c r="F21" s="52"/>
      <c r="G21" s="52"/>
      <c r="H21" s="63"/>
      <c r="I21" s="52">
        <v>0</v>
      </c>
    </row>
    <row r="22" spans="1:16" ht="15" thickBot="1" x14ac:dyDescent="0.4">
      <c r="A22">
        <f>ROW()</f>
        <v>22</v>
      </c>
      <c r="B22" s="54" t="s">
        <v>143</v>
      </c>
      <c r="C22" s="53">
        <f>C18-C19-C20-C21</f>
        <v>-252.74881977999999</v>
      </c>
      <c r="D22" s="66">
        <f>D18-D19-D20-D21</f>
        <v>-200.58210160000002</v>
      </c>
      <c r="E22" s="52"/>
      <c r="F22" s="52"/>
      <c r="G22" s="52"/>
      <c r="H22" s="63"/>
      <c r="I22" s="78">
        <f>+I18-I19-I20-I21</f>
        <v>46834.2</v>
      </c>
      <c r="J22" s="57">
        <f>+J18-J19-J20-J21</f>
        <v>96790.68</v>
      </c>
      <c r="K22" s="57">
        <f t="shared" ref="K22:P22" si="5">+K18-K19-K20-K21</f>
        <v>109279.79999999999</v>
      </c>
      <c r="L22" s="57">
        <f t="shared" si="5"/>
        <v>115524.35999999999</v>
      </c>
      <c r="M22" s="57">
        <f t="shared" si="5"/>
        <v>115524.35999999999</v>
      </c>
      <c r="N22" s="57">
        <f t="shared" si="5"/>
        <v>99912.959999999992</v>
      </c>
      <c r="O22" s="57">
        <f t="shared" si="5"/>
        <v>87423.840000000011</v>
      </c>
      <c r="P22" s="57">
        <f t="shared" si="5"/>
        <v>68690.160000000018</v>
      </c>
    </row>
    <row r="23" spans="1:16" ht="15" thickTop="1" x14ac:dyDescent="0.35">
      <c r="A23">
        <f>ROW()</f>
        <v>23</v>
      </c>
      <c r="C23" s="52"/>
      <c r="D23" s="63"/>
      <c r="E23" s="52"/>
      <c r="F23" s="52"/>
      <c r="G23" s="52"/>
      <c r="H23" s="63"/>
      <c r="I23" s="52"/>
    </row>
    <row r="24" spans="1:16" x14ac:dyDescent="0.35">
      <c r="A24">
        <f>ROW()</f>
        <v>24</v>
      </c>
      <c r="B24" s="163" t="s">
        <v>148</v>
      </c>
      <c r="C24" s="56"/>
      <c r="D24" s="61"/>
      <c r="E24" s="56"/>
      <c r="F24" s="56"/>
      <c r="G24" s="56"/>
      <c r="H24" s="61"/>
      <c r="I24" s="56"/>
      <c r="J24" s="56"/>
      <c r="K24" s="56"/>
      <c r="L24" s="56"/>
      <c r="M24" s="56"/>
      <c r="N24" s="56"/>
      <c r="O24" s="56"/>
      <c r="P24" s="56"/>
    </row>
    <row r="25" spans="1:16" x14ac:dyDescent="0.35">
      <c r="A25">
        <f>ROW()</f>
        <v>25</v>
      </c>
      <c r="B25" s="164"/>
      <c r="C25" s="167" t="s">
        <v>167</v>
      </c>
      <c r="D25" s="168"/>
      <c r="E25" s="168"/>
      <c r="F25" s="168"/>
      <c r="G25" s="168"/>
      <c r="H25" s="168"/>
      <c r="I25" s="167" t="s">
        <v>168</v>
      </c>
      <c r="J25" s="168"/>
      <c r="K25" s="168"/>
      <c r="L25" s="168"/>
      <c r="M25" s="168"/>
      <c r="N25" s="168"/>
      <c r="O25" s="172"/>
      <c r="P25" s="172"/>
    </row>
    <row r="26" spans="1:16" ht="15" thickBot="1" x14ac:dyDescent="0.4">
      <c r="A26">
        <f>ROW()</f>
        <v>26</v>
      </c>
      <c r="B26" s="165"/>
      <c r="C26" s="55">
        <v>2022</v>
      </c>
      <c r="D26" s="62">
        <v>2023</v>
      </c>
      <c r="E26" s="55">
        <v>2024</v>
      </c>
      <c r="F26" s="55">
        <v>2025</v>
      </c>
      <c r="G26" s="55">
        <v>2026</v>
      </c>
      <c r="H26" s="62">
        <v>2027</v>
      </c>
      <c r="I26" s="55">
        <v>2028</v>
      </c>
      <c r="J26" s="55">
        <f>+I26+1</f>
        <v>2029</v>
      </c>
      <c r="K26" s="55">
        <f t="shared" ref="K26:P26" si="6">+J26+1</f>
        <v>2030</v>
      </c>
      <c r="L26" s="55">
        <f t="shared" si="6"/>
        <v>2031</v>
      </c>
      <c r="M26" s="55">
        <f t="shared" si="6"/>
        <v>2032</v>
      </c>
      <c r="N26" s="55">
        <f t="shared" si="6"/>
        <v>2033</v>
      </c>
      <c r="O26" s="55">
        <f t="shared" si="6"/>
        <v>2034</v>
      </c>
      <c r="P26" s="55">
        <f t="shared" si="6"/>
        <v>2035</v>
      </c>
    </row>
    <row r="27" spans="1:16" ht="15" thickTop="1" x14ac:dyDescent="0.35">
      <c r="A27">
        <f>ROW()</f>
        <v>27</v>
      </c>
      <c r="B27" t="str">
        <f>+B22</f>
        <v>EBT</v>
      </c>
      <c r="C27" s="52">
        <f>+C22</f>
        <v>-252.74881977999999</v>
      </c>
      <c r="D27" s="63">
        <f>+D22</f>
        <v>-200.58210160000002</v>
      </c>
      <c r="E27" s="52">
        <f t="shared" ref="E27:N27" si="7">+E22</f>
        <v>0</v>
      </c>
      <c r="F27" s="52">
        <f t="shared" si="7"/>
        <v>0</v>
      </c>
      <c r="G27" s="52">
        <f t="shared" si="7"/>
        <v>0</v>
      </c>
      <c r="H27" s="63">
        <f t="shared" si="7"/>
        <v>0</v>
      </c>
      <c r="I27" s="52">
        <f t="shared" si="7"/>
        <v>46834.2</v>
      </c>
      <c r="J27" s="52">
        <f t="shared" si="7"/>
        <v>96790.68</v>
      </c>
      <c r="K27" s="52">
        <f t="shared" si="7"/>
        <v>109279.79999999999</v>
      </c>
      <c r="L27" s="52">
        <f t="shared" si="7"/>
        <v>115524.35999999999</v>
      </c>
      <c r="M27" s="52">
        <f t="shared" si="7"/>
        <v>115524.35999999999</v>
      </c>
      <c r="N27" s="52">
        <f t="shared" si="7"/>
        <v>99912.959999999992</v>
      </c>
      <c r="O27" s="52">
        <f t="shared" ref="O27:P27" si="8">+O22</f>
        <v>87423.840000000011</v>
      </c>
      <c r="P27" s="52">
        <f t="shared" si="8"/>
        <v>68690.160000000018</v>
      </c>
    </row>
    <row r="28" spans="1:16" x14ac:dyDescent="0.35">
      <c r="A28">
        <f>ROW()</f>
        <v>28</v>
      </c>
      <c r="B28" s="54" t="s">
        <v>149</v>
      </c>
      <c r="C28" s="52"/>
      <c r="D28" s="63">
        <f>(C38-D38)+(D47-C47)</f>
        <v>-19.240160000000003</v>
      </c>
      <c r="E28" s="52">
        <f>(D38-E38)+(E47-D47)</f>
        <v>0</v>
      </c>
      <c r="F28" s="52">
        <f t="shared" ref="F28:H28" si="9">(E38-F38)+(F47-E47)</f>
        <v>0</v>
      </c>
      <c r="G28" s="52">
        <f t="shared" si="9"/>
        <v>0</v>
      </c>
      <c r="H28" s="63">
        <f t="shared" si="9"/>
        <v>0</v>
      </c>
      <c r="I28" s="52">
        <f>-I90*I6</f>
        <v>-1338.1200000000001</v>
      </c>
      <c r="J28" s="52">
        <f t="shared" ref="J28:P28" si="10">-J90*J6</f>
        <v>-2765.4479999999994</v>
      </c>
      <c r="K28" s="52">
        <f t="shared" si="10"/>
        <v>-3122.28</v>
      </c>
      <c r="L28" s="52">
        <f t="shared" si="10"/>
        <v>-3300.6959999999999</v>
      </c>
      <c r="M28" s="52">
        <f t="shared" si="10"/>
        <v>-3300.6959999999999</v>
      </c>
      <c r="N28" s="52">
        <f t="shared" si="10"/>
        <v>-2854.6559999999999</v>
      </c>
      <c r="O28" s="52">
        <f t="shared" si="10"/>
        <v>-2497.8240000000005</v>
      </c>
      <c r="P28" s="52">
        <f t="shared" si="10"/>
        <v>-1962.576</v>
      </c>
    </row>
    <row r="29" spans="1:16" x14ac:dyDescent="0.35">
      <c r="A29">
        <f>ROW()</f>
        <v>29</v>
      </c>
      <c r="B29" s="54" t="s">
        <v>169</v>
      </c>
      <c r="C29" s="52"/>
      <c r="D29" s="63">
        <f>C42-D42</f>
        <v>-115.87776000000001</v>
      </c>
      <c r="E29" s="59">
        <v>-3000</v>
      </c>
      <c r="F29" s="59">
        <v>-3000</v>
      </c>
      <c r="G29" s="59">
        <v>-6000</v>
      </c>
      <c r="H29" s="64">
        <v>-20000</v>
      </c>
      <c r="I29" s="59">
        <v>0</v>
      </c>
      <c r="J29" s="59">
        <v>0</v>
      </c>
      <c r="K29" s="59">
        <v>0</v>
      </c>
      <c r="L29" s="59">
        <v>0</v>
      </c>
      <c r="M29" s="59">
        <v>0</v>
      </c>
      <c r="N29" s="59">
        <v>0</v>
      </c>
      <c r="O29" s="59">
        <v>0</v>
      </c>
      <c r="P29" s="59">
        <v>0</v>
      </c>
    </row>
    <row r="30" spans="1:16" x14ac:dyDescent="0.35">
      <c r="A30">
        <f>ROW()</f>
        <v>30</v>
      </c>
      <c r="B30" s="54" t="s">
        <v>150</v>
      </c>
      <c r="C30" s="52"/>
      <c r="D30" s="63">
        <f>D54-C54</f>
        <v>0</v>
      </c>
      <c r="E30" s="52">
        <f>-E29</f>
        <v>3000</v>
      </c>
      <c r="F30" s="52">
        <f>-F29</f>
        <v>3000</v>
      </c>
      <c r="G30" s="52">
        <f t="shared" ref="G30:N30" si="11">-G29</f>
        <v>6000</v>
      </c>
      <c r="H30" s="63">
        <f t="shared" si="11"/>
        <v>20000</v>
      </c>
      <c r="I30" s="52">
        <f t="shared" si="11"/>
        <v>0</v>
      </c>
      <c r="J30" s="52">
        <f t="shared" si="11"/>
        <v>0</v>
      </c>
      <c r="K30" s="52">
        <f t="shared" si="11"/>
        <v>0</v>
      </c>
      <c r="L30" s="52">
        <f t="shared" si="11"/>
        <v>0</v>
      </c>
      <c r="M30" s="52">
        <f t="shared" si="11"/>
        <v>0</v>
      </c>
      <c r="N30" s="52">
        <f t="shared" si="11"/>
        <v>0</v>
      </c>
      <c r="O30" s="52">
        <f t="shared" ref="O30" si="12">-O29</f>
        <v>0</v>
      </c>
      <c r="P30" s="52">
        <f t="shared" ref="P30" si="13">-P29</f>
        <v>0</v>
      </c>
    </row>
    <row r="31" spans="1:16" ht="15" thickBot="1" x14ac:dyDescent="0.4">
      <c r="A31">
        <f>ROW()</f>
        <v>31</v>
      </c>
      <c r="B31" s="54" t="s">
        <v>151</v>
      </c>
      <c r="C31" s="52"/>
      <c r="D31" s="65">
        <f>SUM(D27:D30)</f>
        <v>-335.70002160000001</v>
      </c>
      <c r="E31" s="57">
        <f t="shared" ref="E31:H31" si="14">SUM(E27:E30)</f>
        <v>0</v>
      </c>
      <c r="F31" s="57">
        <f t="shared" si="14"/>
        <v>0</v>
      </c>
      <c r="G31" s="57">
        <f t="shared" si="14"/>
        <v>0</v>
      </c>
      <c r="H31" s="65">
        <f t="shared" si="14"/>
        <v>0</v>
      </c>
      <c r="I31" s="57">
        <f t="shared" ref="I31" si="15">SUM(I27:I30)</f>
        <v>45496.079999999994</v>
      </c>
      <c r="J31" s="57">
        <f t="shared" ref="J31" si="16">SUM(J27:J30)</f>
        <v>94025.231999999989</v>
      </c>
      <c r="K31" s="57">
        <f t="shared" ref="K31" si="17">SUM(K27:K30)</f>
        <v>106157.51999999999</v>
      </c>
      <c r="L31" s="57">
        <f t="shared" ref="L31" si="18">SUM(L27:L30)</f>
        <v>112223.66399999999</v>
      </c>
      <c r="M31" s="57">
        <f t="shared" ref="M31" si="19">SUM(M27:M30)</f>
        <v>112223.66399999999</v>
      </c>
      <c r="N31" s="57">
        <f t="shared" ref="N31" si="20">SUM(N27:N30)</f>
        <v>97058.303999999989</v>
      </c>
      <c r="O31" s="57">
        <f t="shared" ref="O31" si="21">SUM(O27:O30)</f>
        <v>84926.016000000003</v>
      </c>
      <c r="P31" s="57">
        <f t="shared" ref="P31" si="22">SUM(P27:P30)</f>
        <v>66727.584000000017</v>
      </c>
    </row>
    <row r="32" spans="1:16" ht="15" thickTop="1" x14ac:dyDescent="0.35">
      <c r="A32">
        <f>ROW()</f>
        <v>32</v>
      </c>
    </row>
    <row r="33" spans="1:16" x14ac:dyDescent="0.35">
      <c r="A33">
        <f>ROW()</f>
        <v>33</v>
      </c>
      <c r="B33" s="163" t="s">
        <v>152</v>
      </c>
      <c r="C33" s="56"/>
      <c r="D33" s="61"/>
      <c r="E33" s="56"/>
      <c r="F33" s="56"/>
      <c r="G33" s="56"/>
      <c r="H33" s="61"/>
      <c r="I33" s="56"/>
      <c r="J33" s="56"/>
      <c r="K33" s="56"/>
      <c r="L33" s="56"/>
      <c r="M33" s="56"/>
      <c r="N33" s="56"/>
      <c r="O33" s="56"/>
      <c r="P33" s="56"/>
    </row>
    <row r="34" spans="1:16" x14ac:dyDescent="0.35">
      <c r="A34">
        <f>ROW()</f>
        <v>34</v>
      </c>
      <c r="B34" s="164"/>
      <c r="C34" s="167" t="s">
        <v>167</v>
      </c>
      <c r="D34" s="168"/>
      <c r="E34" s="168"/>
      <c r="F34" s="168"/>
      <c r="G34" s="168"/>
      <c r="H34" s="168"/>
      <c r="I34" s="169" t="s">
        <v>168</v>
      </c>
      <c r="J34" s="170"/>
      <c r="K34" s="170"/>
      <c r="L34" s="170"/>
      <c r="M34" s="170"/>
      <c r="N34" s="170"/>
      <c r="O34" s="171"/>
      <c r="P34" s="171"/>
    </row>
    <row r="35" spans="1:16" ht="15" thickBot="1" x14ac:dyDescent="0.4">
      <c r="A35">
        <f>ROW()</f>
        <v>35</v>
      </c>
      <c r="B35" s="165"/>
      <c r="C35" s="55">
        <v>2022</v>
      </c>
      <c r="D35" s="62">
        <v>2023</v>
      </c>
      <c r="E35" s="55">
        <v>2024</v>
      </c>
      <c r="F35" s="55">
        <v>2025</v>
      </c>
      <c r="G35" s="55">
        <v>2026</v>
      </c>
      <c r="H35" s="62">
        <v>2027</v>
      </c>
      <c r="I35" s="55">
        <v>2028</v>
      </c>
      <c r="J35" s="55">
        <f>+I35+1</f>
        <v>2029</v>
      </c>
      <c r="K35" s="55">
        <f t="shared" ref="K35:P35" si="23">+J35+1</f>
        <v>2030</v>
      </c>
      <c r="L35" s="55">
        <f t="shared" si="23"/>
        <v>2031</v>
      </c>
      <c r="M35" s="55">
        <f t="shared" si="23"/>
        <v>2032</v>
      </c>
      <c r="N35" s="55">
        <f t="shared" si="23"/>
        <v>2033</v>
      </c>
      <c r="O35" s="55">
        <f t="shared" si="23"/>
        <v>2034</v>
      </c>
      <c r="P35" s="55">
        <f t="shared" si="23"/>
        <v>2035</v>
      </c>
    </row>
    <row r="36" spans="1:16" ht="15" thickTop="1" x14ac:dyDescent="0.35">
      <c r="A36">
        <f>ROW()</f>
        <v>36</v>
      </c>
      <c r="B36" s="162" t="s">
        <v>8</v>
      </c>
      <c r="C36" s="52"/>
      <c r="D36" s="63"/>
      <c r="E36" s="52"/>
      <c r="F36" s="52"/>
      <c r="G36" s="52"/>
      <c r="H36" s="63"/>
      <c r="I36" s="52"/>
    </row>
    <row r="37" spans="1:16" x14ac:dyDescent="0.35">
      <c r="A37">
        <f>ROW()</f>
        <v>37</v>
      </c>
      <c r="B37" s="54" t="s">
        <v>153</v>
      </c>
      <c r="C37" s="52">
        <f>'Balance Sheet'!C18/1000</f>
        <v>2169.0266099999999</v>
      </c>
      <c r="D37" s="63">
        <f>'Balance Sheet'!D18/1000</f>
        <v>1932.1368400000001</v>
      </c>
      <c r="E37" s="52">
        <f>+D37+E31</f>
        <v>1932.1368400000001</v>
      </c>
      <c r="F37" s="52">
        <f t="shared" ref="F37:P37" si="24">+E37+F31</f>
        <v>1932.1368400000001</v>
      </c>
      <c r="G37" s="52">
        <f t="shared" si="24"/>
        <v>1932.1368400000001</v>
      </c>
      <c r="H37" s="63">
        <f t="shared" si="24"/>
        <v>1932.1368400000001</v>
      </c>
      <c r="I37" s="52">
        <f t="shared" si="24"/>
        <v>47428.216839999994</v>
      </c>
      <c r="J37" s="52">
        <f t="shared" si="24"/>
        <v>141453.44883999997</v>
      </c>
      <c r="K37" s="52">
        <f t="shared" si="24"/>
        <v>247610.96883999996</v>
      </c>
      <c r="L37" s="52">
        <f t="shared" si="24"/>
        <v>359834.63283999998</v>
      </c>
      <c r="M37" s="52">
        <f t="shared" si="24"/>
        <v>472058.29683999997</v>
      </c>
      <c r="N37" s="52">
        <f t="shared" si="24"/>
        <v>569116.60083999997</v>
      </c>
      <c r="O37" s="52">
        <f t="shared" si="24"/>
        <v>654042.61684000003</v>
      </c>
      <c r="P37" s="52">
        <f t="shared" si="24"/>
        <v>720770.20084000006</v>
      </c>
    </row>
    <row r="38" spans="1:16" x14ac:dyDescent="0.35">
      <c r="A38">
        <f>ROW()</f>
        <v>38</v>
      </c>
      <c r="B38" s="54" t="s">
        <v>154</v>
      </c>
      <c r="C38" s="52">
        <f>'Balance Sheet'!C17/1000</f>
        <v>7.9425699999999999</v>
      </c>
      <c r="D38" s="63">
        <f>'Balance Sheet'!D17/1000</f>
        <v>26.171100000000003</v>
      </c>
      <c r="E38" s="52">
        <f>+D38</f>
        <v>26.171100000000003</v>
      </c>
      <c r="F38" s="70">
        <f>+E38</f>
        <v>26.171100000000003</v>
      </c>
      <c r="G38" s="70">
        <f t="shared" ref="G38:H38" si="25">+F38</f>
        <v>26.171100000000003</v>
      </c>
      <c r="H38" s="63">
        <f t="shared" si="25"/>
        <v>26.171100000000003</v>
      </c>
      <c r="I38" s="52">
        <f>+H38-I28</f>
        <v>1364.2911000000001</v>
      </c>
      <c r="J38" s="52">
        <f t="shared" ref="J38:P38" si="26">+I38-J28</f>
        <v>4129.7390999999998</v>
      </c>
      <c r="K38" s="52">
        <f t="shared" si="26"/>
        <v>7252.0190999999995</v>
      </c>
      <c r="L38" s="52">
        <f t="shared" si="26"/>
        <v>10552.715099999999</v>
      </c>
      <c r="M38" s="52">
        <f t="shared" si="26"/>
        <v>13853.411099999999</v>
      </c>
      <c r="N38" s="52">
        <f t="shared" si="26"/>
        <v>16708.0671</v>
      </c>
      <c r="O38" s="52">
        <f t="shared" si="26"/>
        <v>19205.891100000001</v>
      </c>
      <c r="P38" s="52">
        <f t="shared" si="26"/>
        <v>21168.467100000002</v>
      </c>
    </row>
    <row r="39" spans="1:16" x14ac:dyDescent="0.35">
      <c r="A39">
        <f>ROW()</f>
        <v>39</v>
      </c>
      <c r="B39" s="54" t="s">
        <v>155</v>
      </c>
      <c r="C39" s="52">
        <v>0</v>
      </c>
      <c r="D39" s="63">
        <v>0</v>
      </c>
      <c r="E39" s="52"/>
      <c r="F39" s="52"/>
      <c r="G39" s="52"/>
      <c r="H39" s="63"/>
      <c r="I39" s="52"/>
    </row>
    <row r="40" spans="1:16" x14ac:dyDescent="0.35">
      <c r="A40">
        <f>ROW()</f>
        <v>40</v>
      </c>
      <c r="B40" s="54" t="s">
        <v>156</v>
      </c>
      <c r="C40" s="53">
        <f>SUM(C37:C39)</f>
        <v>2176.9691800000001</v>
      </c>
      <c r="D40" s="66">
        <f>SUM(D37:D39)</f>
        <v>1958.3079400000001</v>
      </c>
      <c r="E40" s="77">
        <f t="shared" ref="E40:P40" si="27">SUM(E37:E39)</f>
        <v>1958.3079400000001</v>
      </c>
      <c r="F40" s="53">
        <f t="shared" si="27"/>
        <v>1958.3079400000001</v>
      </c>
      <c r="G40" s="53">
        <f t="shared" si="27"/>
        <v>1958.3079400000001</v>
      </c>
      <c r="H40" s="66">
        <f t="shared" si="27"/>
        <v>1958.3079400000001</v>
      </c>
      <c r="I40" s="53">
        <f t="shared" si="27"/>
        <v>48792.507939999996</v>
      </c>
      <c r="J40" s="53">
        <f t="shared" si="27"/>
        <v>145583.18793999997</v>
      </c>
      <c r="K40" s="53">
        <f t="shared" si="27"/>
        <v>254862.98793999996</v>
      </c>
      <c r="L40" s="53">
        <f t="shared" si="27"/>
        <v>370387.34793999995</v>
      </c>
      <c r="M40" s="53">
        <f t="shared" si="27"/>
        <v>485911.70793999999</v>
      </c>
      <c r="N40" s="53">
        <f t="shared" si="27"/>
        <v>585824.66793999996</v>
      </c>
      <c r="O40" s="53">
        <f t="shared" si="27"/>
        <v>673248.50794000004</v>
      </c>
      <c r="P40" s="53">
        <f t="shared" si="27"/>
        <v>741938.66794000007</v>
      </c>
    </row>
    <row r="41" spans="1:16" x14ac:dyDescent="0.35">
      <c r="A41">
        <f>ROW()</f>
        <v>41</v>
      </c>
      <c r="C41" s="52"/>
      <c r="D41" s="63"/>
      <c r="E41" s="52"/>
      <c r="F41" s="52"/>
      <c r="G41" s="52"/>
      <c r="H41" s="63"/>
      <c r="I41" s="52"/>
    </row>
    <row r="42" spans="1:16" x14ac:dyDescent="0.35">
      <c r="A42">
        <f>ROW()</f>
        <v>42</v>
      </c>
      <c r="B42" s="54" t="s">
        <v>157</v>
      </c>
      <c r="C42" s="52">
        <f>'Balance Sheet'!C11/1000</f>
        <v>9.780479999999999</v>
      </c>
      <c r="D42" s="63">
        <f>'Balance Sheet'!D11/1000</f>
        <v>125.65824000000001</v>
      </c>
      <c r="E42" s="52">
        <f>+D42-E29</f>
        <v>3125.6582400000002</v>
      </c>
      <c r="F42" s="52">
        <f t="shared" ref="F42:P42" si="28">+E42-F29</f>
        <v>6125.6582400000007</v>
      </c>
      <c r="G42" s="52">
        <f t="shared" si="28"/>
        <v>12125.658240000001</v>
      </c>
      <c r="H42" s="63">
        <f t="shared" si="28"/>
        <v>32125.658240000001</v>
      </c>
      <c r="I42" s="52">
        <f t="shared" si="28"/>
        <v>32125.658240000001</v>
      </c>
      <c r="J42" s="52">
        <f t="shared" si="28"/>
        <v>32125.658240000001</v>
      </c>
      <c r="K42" s="52">
        <f t="shared" si="28"/>
        <v>32125.658240000001</v>
      </c>
      <c r="L42" s="52">
        <f t="shared" si="28"/>
        <v>32125.658240000001</v>
      </c>
      <c r="M42" s="52">
        <f t="shared" si="28"/>
        <v>32125.658240000001</v>
      </c>
      <c r="N42" s="52">
        <f t="shared" si="28"/>
        <v>32125.658240000001</v>
      </c>
      <c r="O42" s="52">
        <f t="shared" si="28"/>
        <v>32125.658240000001</v>
      </c>
      <c r="P42" s="52">
        <f t="shared" si="28"/>
        <v>32125.658240000001</v>
      </c>
    </row>
    <row r="43" spans="1:16" x14ac:dyDescent="0.35">
      <c r="A43">
        <f>ROW()</f>
        <v>43</v>
      </c>
      <c r="B43" s="54" t="s">
        <v>158</v>
      </c>
      <c r="C43" s="52">
        <f>'Balance Sheet'!C12/1000</f>
        <v>10.83825</v>
      </c>
      <c r="D43" s="63">
        <f>'Balance Sheet'!D12/1000</f>
        <v>10.83825</v>
      </c>
      <c r="E43" s="52">
        <f>+D43</f>
        <v>10.83825</v>
      </c>
      <c r="F43" s="52">
        <f>E43</f>
        <v>10.83825</v>
      </c>
      <c r="G43" s="52">
        <f t="shared" ref="G43:P43" si="29">F43</f>
        <v>10.83825</v>
      </c>
      <c r="H43" s="86">
        <f t="shared" si="29"/>
        <v>10.83825</v>
      </c>
      <c r="I43" s="52">
        <f t="shared" si="29"/>
        <v>10.83825</v>
      </c>
      <c r="J43" s="52">
        <f t="shared" si="29"/>
        <v>10.83825</v>
      </c>
      <c r="K43" s="52">
        <f t="shared" si="29"/>
        <v>10.83825</v>
      </c>
      <c r="L43" s="52">
        <f t="shared" si="29"/>
        <v>10.83825</v>
      </c>
      <c r="M43" s="52">
        <f t="shared" si="29"/>
        <v>10.83825</v>
      </c>
      <c r="N43" s="52">
        <f t="shared" si="29"/>
        <v>10.83825</v>
      </c>
      <c r="O43" s="52">
        <f t="shared" si="29"/>
        <v>10.83825</v>
      </c>
      <c r="P43" s="52">
        <f t="shared" si="29"/>
        <v>10.83825</v>
      </c>
    </row>
    <row r="44" spans="1:16" ht="15" thickBot="1" x14ac:dyDescent="0.4">
      <c r="A44">
        <f>ROW()</f>
        <v>44</v>
      </c>
      <c r="B44" s="54" t="s">
        <v>186</v>
      </c>
      <c r="C44" s="57">
        <f>SUM(C40:C43)</f>
        <v>2197.5879099999997</v>
      </c>
      <c r="D44" s="65">
        <f>SUM(D40:D43)</f>
        <v>2094.8044300000001</v>
      </c>
      <c r="E44" s="78">
        <f t="shared" ref="E44:H44" si="30">SUM(E40:E43)</f>
        <v>5094.8044300000001</v>
      </c>
      <c r="F44" s="57">
        <f t="shared" si="30"/>
        <v>8094.804430000001</v>
      </c>
      <c r="G44" s="57">
        <f t="shared" si="30"/>
        <v>14094.804430000002</v>
      </c>
      <c r="H44" s="65">
        <f t="shared" si="30"/>
        <v>34094.804430000004</v>
      </c>
      <c r="I44" s="57">
        <f t="shared" ref="I44" si="31">SUM(I40:I43)</f>
        <v>80929.004430000001</v>
      </c>
      <c r="J44" s="57">
        <f t="shared" ref="J44" si="32">SUM(J40:J43)</f>
        <v>177719.68442999996</v>
      </c>
      <c r="K44" s="57">
        <f t="shared" ref="K44" si="33">SUM(K40:K43)</f>
        <v>286999.48442999995</v>
      </c>
      <c r="L44" s="57">
        <f t="shared" ref="L44" si="34">SUM(L40:L43)</f>
        <v>402523.84442999994</v>
      </c>
      <c r="M44" s="57">
        <f t="shared" ref="M44" si="35">SUM(M40:M43)</f>
        <v>518048.20442999998</v>
      </c>
      <c r="N44" s="57">
        <f t="shared" ref="N44" si="36">SUM(N40:N43)</f>
        <v>617961.16443</v>
      </c>
      <c r="O44" s="57">
        <f t="shared" ref="O44" si="37">SUM(O40:O43)</f>
        <v>705385.00443000009</v>
      </c>
      <c r="P44" s="57">
        <f t="shared" ref="P44" si="38">SUM(P40:P43)</f>
        <v>774075.16443000012</v>
      </c>
    </row>
    <row r="45" spans="1:16" ht="15" thickTop="1" x14ac:dyDescent="0.35">
      <c r="A45">
        <f>ROW()</f>
        <v>45</v>
      </c>
      <c r="C45" s="52"/>
      <c r="D45" s="63"/>
      <c r="E45" s="52"/>
      <c r="F45" s="52"/>
      <c r="G45" s="52"/>
      <c r="H45" s="63"/>
      <c r="I45" s="52"/>
    </row>
    <row r="46" spans="1:16" x14ac:dyDescent="0.35">
      <c r="A46">
        <f>ROW()</f>
        <v>46</v>
      </c>
      <c r="B46" s="162" t="s">
        <v>159</v>
      </c>
      <c r="C46" s="52"/>
      <c r="D46" s="63"/>
      <c r="E46" s="52"/>
      <c r="F46" s="52"/>
      <c r="G46" s="52"/>
      <c r="H46" s="63"/>
      <c r="I46" s="52"/>
    </row>
    <row r="47" spans="1:16" x14ac:dyDescent="0.35">
      <c r="A47">
        <f>ROW()</f>
        <v>47</v>
      </c>
      <c r="B47" t="s">
        <v>105</v>
      </c>
      <c r="C47" s="52">
        <f>'Balance Sheet'!C35/1000</f>
        <v>4.9219900000000001</v>
      </c>
      <c r="D47" s="63">
        <f>'Balance Sheet'!D35/1000</f>
        <v>3.9103599999999998</v>
      </c>
      <c r="E47" s="52">
        <f>+D47</f>
        <v>3.9103599999999998</v>
      </c>
      <c r="F47" s="52">
        <f t="shared" ref="F47:P47" si="39">+E47</f>
        <v>3.9103599999999998</v>
      </c>
      <c r="G47" s="52">
        <f t="shared" si="39"/>
        <v>3.9103599999999998</v>
      </c>
      <c r="H47" s="63">
        <f t="shared" si="39"/>
        <v>3.9103599999999998</v>
      </c>
      <c r="I47" s="52">
        <f t="shared" si="39"/>
        <v>3.9103599999999998</v>
      </c>
      <c r="J47" s="52">
        <f t="shared" si="39"/>
        <v>3.9103599999999998</v>
      </c>
      <c r="K47" s="52">
        <f t="shared" si="39"/>
        <v>3.9103599999999998</v>
      </c>
      <c r="L47" s="52">
        <f t="shared" si="39"/>
        <v>3.9103599999999998</v>
      </c>
      <c r="M47" s="52">
        <f t="shared" si="39"/>
        <v>3.9103599999999998</v>
      </c>
      <c r="N47" s="52">
        <f t="shared" si="39"/>
        <v>3.9103599999999998</v>
      </c>
      <c r="O47" s="52">
        <f t="shared" si="39"/>
        <v>3.9103599999999998</v>
      </c>
      <c r="P47" s="52">
        <f t="shared" si="39"/>
        <v>3.9103599999999998</v>
      </c>
    </row>
    <row r="48" spans="1:16" x14ac:dyDescent="0.35">
      <c r="A48">
        <f>ROW()</f>
        <v>48</v>
      </c>
      <c r="B48" t="s">
        <v>23</v>
      </c>
      <c r="C48" s="52">
        <f>'Balance Sheet'!C36/1000</f>
        <v>301.43943000000002</v>
      </c>
      <c r="D48" s="63">
        <f>'Balance Sheet'!D36/1000</f>
        <v>301.43943000000002</v>
      </c>
      <c r="E48" s="52">
        <f>+D48</f>
        <v>301.43943000000002</v>
      </c>
      <c r="F48" s="52">
        <f t="shared" ref="F48:P48" si="40">+E48</f>
        <v>301.43943000000002</v>
      </c>
      <c r="G48" s="52">
        <f t="shared" si="40"/>
        <v>301.43943000000002</v>
      </c>
      <c r="H48" s="86">
        <f t="shared" si="40"/>
        <v>301.43943000000002</v>
      </c>
      <c r="I48" s="52">
        <f t="shared" si="40"/>
        <v>301.43943000000002</v>
      </c>
      <c r="J48" s="52">
        <f t="shared" si="40"/>
        <v>301.43943000000002</v>
      </c>
      <c r="K48" s="52">
        <f t="shared" si="40"/>
        <v>301.43943000000002</v>
      </c>
      <c r="L48" s="52">
        <f t="shared" si="40"/>
        <v>301.43943000000002</v>
      </c>
      <c r="M48" s="52">
        <f t="shared" si="40"/>
        <v>301.43943000000002</v>
      </c>
      <c r="N48" s="52">
        <f t="shared" si="40"/>
        <v>301.43943000000002</v>
      </c>
      <c r="O48" s="52">
        <f t="shared" si="40"/>
        <v>301.43943000000002</v>
      </c>
      <c r="P48" s="52">
        <f t="shared" si="40"/>
        <v>301.43943000000002</v>
      </c>
    </row>
    <row r="49" spans="1:16" x14ac:dyDescent="0.35">
      <c r="A49">
        <f>ROW()</f>
        <v>49</v>
      </c>
      <c r="B49" s="54" t="s">
        <v>160</v>
      </c>
      <c r="C49" s="53">
        <f>SUM(C47:C48)</f>
        <v>306.36142000000001</v>
      </c>
      <c r="D49" s="66">
        <f>SUM(D47:D48)</f>
        <v>305.34979000000004</v>
      </c>
      <c r="E49" s="77">
        <f t="shared" ref="E49:H49" si="41">SUM(E47:E48)</f>
        <v>305.34979000000004</v>
      </c>
      <c r="F49" s="53">
        <f t="shared" si="41"/>
        <v>305.34979000000004</v>
      </c>
      <c r="G49" s="53">
        <f t="shared" si="41"/>
        <v>305.34979000000004</v>
      </c>
      <c r="H49" s="66">
        <f t="shared" si="41"/>
        <v>305.34979000000004</v>
      </c>
      <c r="I49" s="77">
        <f t="shared" ref="I49" si="42">SUM(I47:I48)</f>
        <v>305.34979000000004</v>
      </c>
      <c r="J49" s="53">
        <f t="shared" ref="J49" si="43">SUM(J47:J48)</f>
        <v>305.34979000000004</v>
      </c>
      <c r="K49" s="53">
        <f t="shared" ref="K49" si="44">SUM(K47:K48)</f>
        <v>305.34979000000004</v>
      </c>
      <c r="L49" s="53">
        <f t="shared" ref="L49" si="45">SUM(L47:L48)</f>
        <v>305.34979000000004</v>
      </c>
      <c r="M49" s="53">
        <f t="shared" ref="M49" si="46">SUM(M47:M48)</f>
        <v>305.34979000000004</v>
      </c>
      <c r="N49" s="53">
        <f t="shared" ref="N49" si="47">SUM(N47:N48)</f>
        <v>305.34979000000004</v>
      </c>
      <c r="O49" s="53">
        <f t="shared" ref="O49" si="48">SUM(O47:O48)</f>
        <v>305.34979000000004</v>
      </c>
      <c r="P49" s="53">
        <f t="shared" ref="P49" si="49">SUM(P47:P48)</f>
        <v>305.34979000000004</v>
      </c>
    </row>
    <row r="50" spans="1:16" x14ac:dyDescent="0.35">
      <c r="A50">
        <f>ROW()</f>
        <v>50</v>
      </c>
      <c r="C50" s="52"/>
      <c r="D50" s="63"/>
      <c r="E50" s="52"/>
      <c r="F50" s="52"/>
      <c r="G50" s="52"/>
      <c r="H50" s="63"/>
      <c r="I50" s="52"/>
    </row>
    <row r="51" spans="1:16" x14ac:dyDescent="0.35">
      <c r="A51">
        <f>ROW()</f>
        <v>51</v>
      </c>
      <c r="B51" s="162" t="s">
        <v>161</v>
      </c>
      <c r="C51" s="52"/>
      <c r="D51" s="63"/>
      <c r="E51" s="52"/>
      <c r="F51" s="52"/>
      <c r="G51" s="52"/>
      <c r="H51" s="63"/>
      <c r="I51" s="52"/>
    </row>
    <row r="52" spans="1:16" x14ac:dyDescent="0.35">
      <c r="A52">
        <f>ROW()</f>
        <v>52</v>
      </c>
      <c r="B52" t="s">
        <v>18</v>
      </c>
      <c r="C52" s="52">
        <f>'Balance Sheet'!C27/1000</f>
        <v>1.46</v>
      </c>
      <c r="D52" s="63">
        <f>'Balance Sheet'!D27/1000</f>
        <v>1.46</v>
      </c>
      <c r="E52" s="52">
        <f>+D52</f>
        <v>1.46</v>
      </c>
      <c r="F52" s="52">
        <f t="shared" ref="F52:P52" si="50">+E52</f>
        <v>1.46</v>
      </c>
      <c r="G52" s="52">
        <f t="shared" si="50"/>
        <v>1.46</v>
      </c>
      <c r="H52" s="63">
        <f t="shared" si="50"/>
        <v>1.46</v>
      </c>
      <c r="I52" s="52">
        <f t="shared" si="50"/>
        <v>1.46</v>
      </c>
      <c r="J52" s="52">
        <f t="shared" si="50"/>
        <v>1.46</v>
      </c>
      <c r="K52" s="52">
        <f t="shared" si="50"/>
        <v>1.46</v>
      </c>
      <c r="L52" s="52">
        <f t="shared" si="50"/>
        <v>1.46</v>
      </c>
      <c r="M52" s="52">
        <f t="shared" si="50"/>
        <v>1.46</v>
      </c>
      <c r="N52" s="52">
        <f t="shared" si="50"/>
        <v>1.46</v>
      </c>
      <c r="O52" s="52">
        <f t="shared" si="50"/>
        <v>1.46</v>
      </c>
      <c r="P52" s="52">
        <f t="shared" si="50"/>
        <v>1.46</v>
      </c>
    </row>
    <row r="53" spans="1:16" x14ac:dyDescent="0.35">
      <c r="A53">
        <f>ROW()</f>
        <v>53</v>
      </c>
      <c r="B53" t="s">
        <v>19</v>
      </c>
      <c r="C53" s="52">
        <f>('Balance Sheet'!C28+1)/1000</f>
        <v>10.264100000000001</v>
      </c>
      <c r="D53" s="63">
        <f>+C53</f>
        <v>10.264100000000001</v>
      </c>
      <c r="E53" s="52">
        <f>+D53</f>
        <v>10.264100000000001</v>
      </c>
      <c r="F53" s="52">
        <f t="shared" ref="F53:P53" si="51">+E53</f>
        <v>10.264100000000001</v>
      </c>
      <c r="G53" s="52">
        <f t="shared" si="51"/>
        <v>10.264100000000001</v>
      </c>
      <c r="H53" s="63">
        <f t="shared" si="51"/>
        <v>10.264100000000001</v>
      </c>
      <c r="I53" s="52">
        <f t="shared" si="51"/>
        <v>10.264100000000001</v>
      </c>
      <c r="J53" s="52">
        <f t="shared" si="51"/>
        <v>10.264100000000001</v>
      </c>
      <c r="K53" s="52">
        <f t="shared" si="51"/>
        <v>10.264100000000001</v>
      </c>
      <c r="L53" s="52">
        <f t="shared" si="51"/>
        <v>10.264100000000001</v>
      </c>
      <c r="M53" s="52">
        <f t="shared" si="51"/>
        <v>10.264100000000001</v>
      </c>
      <c r="N53" s="52">
        <f t="shared" si="51"/>
        <v>10.264100000000001</v>
      </c>
      <c r="O53" s="52">
        <f t="shared" si="51"/>
        <v>10.264100000000001</v>
      </c>
      <c r="P53" s="52">
        <f t="shared" si="51"/>
        <v>10.264100000000001</v>
      </c>
    </row>
    <row r="54" spans="1:16" x14ac:dyDescent="0.35">
      <c r="A54">
        <f>ROW()</f>
        <v>54</v>
      </c>
      <c r="B54" t="s">
        <v>20</v>
      </c>
      <c r="C54" s="52">
        <f>2019160/1000</f>
        <v>2019.16</v>
      </c>
      <c r="D54" s="63">
        <f>'Balance Sheet'!D29/1000</f>
        <v>2019.16</v>
      </c>
      <c r="E54" s="52">
        <f>+D54+E30</f>
        <v>5019.16</v>
      </c>
      <c r="F54" s="52">
        <f t="shared" ref="F54:P54" si="52">+E54+F30</f>
        <v>8019.16</v>
      </c>
      <c r="G54" s="52">
        <f t="shared" si="52"/>
        <v>14019.16</v>
      </c>
      <c r="H54" s="63">
        <f t="shared" si="52"/>
        <v>34019.160000000003</v>
      </c>
      <c r="I54" s="52">
        <f t="shared" si="52"/>
        <v>34019.160000000003</v>
      </c>
      <c r="J54" s="52">
        <f t="shared" si="52"/>
        <v>34019.160000000003</v>
      </c>
      <c r="K54" s="52">
        <f t="shared" si="52"/>
        <v>34019.160000000003</v>
      </c>
      <c r="L54" s="52">
        <f t="shared" si="52"/>
        <v>34019.160000000003</v>
      </c>
      <c r="M54" s="52">
        <f t="shared" si="52"/>
        <v>34019.160000000003</v>
      </c>
      <c r="N54" s="52">
        <f t="shared" si="52"/>
        <v>34019.160000000003</v>
      </c>
      <c r="O54" s="52">
        <f t="shared" si="52"/>
        <v>34019.160000000003</v>
      </c>
      <c r="P54" s="52">
        <f t="shared" si="52"/>
        <v>34019.160000000003</v>
      </c>
    </row>
    <row r="55" spans="1:16" x14ac:dyDescent="0.35">
      <c r="A55">
        <f>ROW()</f>
        <v>55</v>
      </c>
      <c r="B55" t="s">
        <v>104</v>
      </c>
      <c r="C55" s="52">
        <f>'Balance Sheet'!C30/1000</f>
        <v>-139.65761999999998</v>
      </c>
      <c r="D55" s="63">
        <f>'Balance Sheet'!D30/1000</f>
        <v>-241.42922999999999</v>
      </c>
      <c r="E55" s="52">
        <f>+D55+E22</f>
        <v>-241.42922999999999</v>
      </c>
      <c r="F55" s="52">
        <f t="shared" ref="F55:P55" si="53">+E55+F22</f>
        <v>-241.42922999999999</v>
      </c>
      <c r="G55" s="52">
        <f t="shared" si="53"/>
        <v>-241.42922999999999</v>
      </c>
      <c r="H55" s="63">
        <f t="shared" si="53"/>
        <v>-241.42922999999999</v>
      </c>
      <c r="I55" s="52">
        <f t="shared" si="53"/>
        <v>46592.770769999996</v>
      </c>
      <c r="J55" s="52">
        <f t="shared" si="53"/>
        <v>143383.45077</v>
      </c>
      <c r="K55" s="52">
        <f t="shared" si="53"/>
        <v>252663.25076999998</v>
      </c>
      <c r="L55" s="52">
        <f t="shared" si="53"/>
        <v>368187.61076999997</v>
      </c>
      <c r="M55" s="52">
        <f t="shared" si="53"/>
        <v>483711.97076999996</v>
      </c>
      <c r="N55" s="52">
        <f t="shared" si="53"/>
        <v>583624.93076999998</v>
      </c>
      <c r="O55" s="52">
        <f t="shared" si="53"/>
        <v>671048.77076999994</v>
      </c>
      <c r="P55" s="52">
        <f t="shared" si="53"/>
        <v>739738.93076999998</v>
      </c>
    </row>
    <row r="56" spans="1:16" x14ac:dyDescent="0.35">
      <c r="A56">
        <f>ROW()</f>
        <v>56</v>
      </c>
      <c r="B56" s="54" t="s">
        <v>162</v>
      </c>
      <c r="C56" s="53">
        <f>SUM(C52:C55)</f>
        <v>1891.22648</v>
      </c>
      <c r="D56" s="66">
        <f>SUM(D52:D55)</f>
        <v>1789.45487</v>
      </c>
      <c r="E56" s="77">
        <f t="shared" ref="E56" si="54">SUM(E52:E55)</f>
        <v>4789.4548700000005</v>
      </c>
      <c r="F56" s="53">
        <f t="shared" ref="F56" si="55">SUM(F52:F55)</f>
        <v>7789.4548700000005</v>
      </c>
      <c r="G56" s="53">
        <f t="shared" ref="G56" si="56">SUM(G52:G55)</f>
        <v>13789.45487</v>
      </c>
      <c r="H56" s="66">
        <f t="shared" ref="H56" si="57">SUM(H52:H55)</f>
        <v>33789.454870000001</v>
      </c>
      <c r="I56" s="53">
        <f t="shared" ref="I56" si="58">SUM(I52:I55)</f>
        <v>80623.654869999998</v>
      </c>
      <c r="J56" s="53">
        <f t="shared" ref="J56" si="59">SUM(J52:J55)</f>
        <v>177414.33486999999</v>
      </c>
      <c r="K56" s="53">
        <f t="shared" ref="K56" si="60">SUM(K52:K55)</f>
        <v>286694.13487000001</v>
      </c>
      <c r="L56" s="53">
        <f t="shared" ref="L56" si="61">SUM(L52:L55)</f>
        <v>402218.49486999999</v>
      </c>
      <c r="M56" s="53">
        <f t="shared" ref="M56" si="62">SUM(M52:M55)</f>
        <v>517742.85486999998</v>
      </c>
      <c r="N56" s="53">
        <f t="shared" ref="N56" si="63">SUM(N52:N55)</f>
        <v>617655.81487</v>
      </c>
      <c r="O56" s="53">
        <f t="shared" ref="O56" si="64">SUM(O52:O55)</f>
        <v>705079.65486999997</v>
      </c>
      <c r="P56" s="53">
        <f t="shared" ref="P56" si="65">SUM(P52:P55)</f>
        <v>773769.81487</v>
      </c>
    </row>
    <row r="57" spans="1:16" x14ac:dyDescent="0.35">
      <c r="A57">
        <f>ROW()</f>
        <v>57</v>
      </c>
      <c r="C57" s="52"/>
      <c r="D57" s="63"/>
      <c r="E57" s="52"/>
      <c r="F57" s="52"/>
      <c r="G57" s="52"/>
      <c r="H57" s="63"/>
      <c r="I57" s="52"/>
    </row>
    <row r="58" spans="1:16" ht="15" thickBot="1" x14ac:dyDescent="0.4">
      <c r="A58">
        <f>ROW()</f>
        <v>58</v>
      </c>
      <c r="B58" s="162" t="s">
        <v>163</v>
      </c>
      <c r="C58" s="57">
        <f>+C56+C49</f>
        <v>2197.5879</v>
      </c>
      <c r="D58" s="65">
        <f>+D56+D49</f>
        <v>2094.8046600000002</v>
      </c>
      <c r="E58" s="78">
        <f t="shared" ref="E58:P58" si="66">+E56+E49</f>
        <v>5094.8046600000007</v>
      </c>
      <c r="F58" s="57">
        <f t="shared" si="66"/>
        <v>8094.8046600000007</v>
      </c>
      <c r="G58" s="57">
        <f t="shared" si="66"/>
        <v>14094.80466</v>
      </c>
      <c r="H58" s="65">
        <f t="shared" si="66"/>
        <v>34094.804660000002</v>
      </c>
      <c r="I58" s="57">
        <f t="shared" si="66"/>
        <v>80929.004659999991</v>
      </c>
      <c r="J58" s="57">
        <f t="shared" si="66"/>
        <v>177719.68466</v>
      </c>
      <c r="K58" s="57">
        <f t="shared" si="66"/>
        <v>286999.48466000002</v>
      </c>
      <c r="L58" s="57">
        <f t="shared" si="66"/>
        <v>402523.84466</v>
      </c>
      <c r="M58" s="57">
        <f t="shared" si="66"/>
        <v>518048.20465999999</v>
      </c>
      <c r="N58" s="57">
        <f t="shared" si="66"/>
        <v>617961.16466000001</v>
      </c>
      <c r="O58" s="57">
        <f t="shared" si="66"/>
        <v>705385.00465999998</v>
      </c>
      <c r="P58" s="57">
        <f t="shared" si="66"/>
        <v>774075.16466000001</v>
      </c>
    </row>
    <row r="59" spans="1:16" ht="15" thickTop="1" x14ac:dyDescent="0.35">
      <c r="A59">
        <f>ROW()</f>
        <v>59</v>
      </c>
      <c r="B59" s="166" t="s">
        <v>164</v>
      </c>
      <c r="C59" s="58">
        <f>+C58-C44</f>
        <v>-9.9999997473787516E-6</v>
      </c>
      <c r="D59" s="67">
        <f>+D58-D44</f>
        <v>2.3000000010142685E-4</v>
      </c>
      <c r="E59" s="52">
        <f t="shared" ref="E59:H59" si="67">+E58-E44</f>
        <v>2.300000005561742E-4</v>
      </c>
      <c r="F59" s="52">
        <f t="shared" si="67"/>
        <v>2.299999996466795E-4</v>
      </c>
      <c r="G59" s="52">
        <f t="shared" si="67"/>
        <v>2.2999999782769009E-4</v>
      </c>
      <c r="H59" s="63">
        <f t="shared" si="67"/>
        <v>2.2999999782769009E-4</v>
      </c>
      <c r="I59" s="52">
        <f t="shared" ref="I59" si="68">+I58-I44</f>
        <v>2.2999999055173248E-4</v>
      </c>
      <c r="J59" s="52">
        <f t="shared" ref="J59" si="69">+J58-J44</f>
        <v>2.3000003420747817E-4</v>
      </c>
      <c r="K59" s="52">
        <f t="shared" ref="K59" si="70">+K58-K44</f>
        <v>2.3000006331130862E-4</v>
      </c>
      <c r="L59" s="52">
        <f t="shared" ref="L59" si="71">+L58-L44</f>
        <v>2.3000006331130862E-4</v>
      </c>
      <c r="M59" s="52">
        <f t="shared" ref="M59" si="72">+M58-M44</f>
        <v>2.3000000510364771E-4</v>
      </c>
      <c r="N59" s="52">
        <f t="shared" ref="N59" si="73">+N58-N44</f>
        <v>2.3000000510364771E-4</v>
      </c>
      <c r="O59" s="52">
        <f t="shared" ref="O59" si="74">+O58-O44</f>
        <v>2.2999988868832588E-4</v>
      </c>
      <c r="P59" s="52">
        <f t="shared" ref="P59" si="75">+P58-P44</f>
        <v>2.2999988868832588E-4</v>
      </c>
    </row>
    <row r="60" spans="1:16" x14ac:dyDescent="0.35">
      <c r="A60">
        <f>ROW()</f>
        <v>60</v>
      </c>
      <c r="C60" s="52"/>
      <c r="D60" s="63"/>
      <c r="E60" s="52"/>
      <c r="F60" s="52"/>
      <c r="G60" s="52"/>
      <c r="H60" s="63"/>
      <c r="I60" s="52"/>
    </row>
    <row r="61" spans="1:16" x14ac:dyDescent="0.35">
      <c r="A61">
        <f>ROW()</f>
        <v>61</v>
      </c>
      <c r="B61" s="163" t="s">
        <v>165</v>
      </c>
      <c r="C61" s="56"/>
      <c r="D61" s="61"/>
      <c r="E61" s="56"/>
      <c r="F61" s="56"/>
      <c r="G61" s="56"/>
      <c r="H61" s="61"/>
      <c r="I61" s="56"/>
      <c r="J61" s="56"/>
      <c r="K61" s="56"/>
      <c r="L61" s="56"/>
      <c r="M61" s="56"/>
      <c r="N61" s="56"/>
      <c r="O61" s="56"/>
      <c r="P61" s="56"/>
    </row>
    <row r="62" spans="1:16" x14ac:dyDescent="0.35">
      <c r="A62">
        <f>ROW()</f>
        <v>62</v>
      </c>
      <c r="B62" s="164"/>
      <c r="C62" s="167" t="s">
        <v>167</v>
      </c>
      <c r="D62" s="168"/>
      <c r="E62" s="168"/>
      <c r="F62" s="168"/>
      <c r="G62" s="168"/>
      <c r="H62" s="168"/>
      <c r="I62" s="167" t="s">
        <v>168</v>
      </c>
      <c r="J62" s="168"/>
      <c r="K62" s="168"/>
      <c r="L62" s="168"/>
      <c r="M62" s="168"/>
      <c r="N62" s="168"/>
      <c r="O62" s="172"/>
      <c r="P62" s="172"/>
    </row>
    <row r="63" spans="1:16" ht="15" thickBot="1" x14ac:dyDescent="0.4">
      <c r="A63">
        <f>ROW()</f>
        <v>63</v>
      </c>
      <c r="B63" s="165"/>
      <c r="C63" s="55">
        <v>2022</v>
      </c>
      <c r="D63" s="62">
        <v>2023</v>
      </c>
      <c r="E63" s="55">
        <v>2024</v>
      </c>
      <c r="F63" s="55">
        <v>2025</v>
      </c>
      <c r="G63" s="55">
        <v>2026</v>
      </c>
      <c r="H63" s="62">
        <v>2027</v>
      </c>
      <c r="I63" s="55">
        <v>2028</v>
      </c>
      <c r="J63" s="55">
        <f>+I63+1</f>
        <v>2029</v>
      </c>
      <c r="K63" s="55">
        <f t="shared" ref="K63:P63" si="76">+J63+1</f>
        <v>2030</v>
      </c>
      <c r="L63" s="55">
        <f t="shared" si="76"/>
        <v>2031</v>
      </c>
      <c r="M63" s="55">
        <f t="shared" si="76"/>
        <v>2032</v>
      </c>
      <c r="N63" s="55">
        <f t="shared" si="76"/>
        <v>2033</v>
      </c>
      <c r="O63" s="55">
        <f t="shared" si="76"/>
        <v>2034</v>
      </c>
      <c r="P63" s="55">
        <f t="shared" si="76"/>
        <v>2035</v>
      </c>
    </row>
    <row r="64" spans="1:16" ht="15" thickTop="1" x14ac:dyDescent="0.35">
      <c r="A64">
        <f>ROW()</f>
        <v>64</v>
      </c>
      <c r="B64" s="54" t="s">
        <v>166</v>
      </c>
      <c r="C64" s="52"/>
      <c r="D64" s="63"/>
      <c r="E64" s="52"/>
      <c r="F64" s="52"/>
      <c r="G64" s="52"/>
      <c r="H64" s="63"/>
      <c r="I64" s="52"/>
    </row>
    <row r="65" spans="1:16" x14ac:dyDescent="0.35">
      <c r="A65">
        <f>ROW()</f>
        <v>65</v>
      </c>
      <c r="B65" s="54" t="s">
        <v>174</v>
      </c>
      <c r="C65" s="52"/>
      <c r="D65" s="63"/>
      <c r="E65" s="52"/>
      <c r="F65" s="52"/>
      <c r="G65" s="52"/>
      <c r="H65" s="63"/>
      <c r="I65" s="52"/>
    </row>
    <row r="66" spans="1:16" x14ac:dyDescent="0.35">
      <c r="A66">
        <f>ROW()</f>
        <v>66</v>
      </c>
      <c r="B66" s="162" t="s">
        <v>173</v>
      </c>
      <c r="C66" s="52"/>
      <c r="D66" s="63"/>
      <c r="E66" s="52"/>
      <c r="F66" s="52"/>
      <c r="G66" s="52"/>
      <c r="H66" s="63"/>
      <c r="I66" s="52"/>
    </row>
    <row r="67" spans="1:16" x14ac:dyDescent="0.35">
      <c r="A67">
        <f>ROW()</f>
        <v>67</v>
      </c>
      <c r="B67" s="54" t="s">
        <v>170</v>
      </c>
      <c r="C67" s="52"/>
      <c r="D67" s="63"/>
      <c r="E67" s="52"/>
      <c r="F67" s="52"/>
      <c r="G67" s="52"/>
      <c r="H67" s="63"/>
      <c r="I67" s="82">
        <v>5</v>
      </c>
      <c r="J67" s="82">
        <v>6</v>
      </c>
      <c r="K67" s="82">
        <v>10</v>
      </c>
      <c r="L67" s="83">
        <v>12</v>
      </c>
      <c r="M67" s="83">
        <v>15</v>
      </c>
      <c r="N67" s="83">
        <v>12</v>
      </c>
      <c r="O67" s="83">
        <v>10</v>
      </c>
      <c r="P67" s="83">
        <v>6</v>
      </c>
    </row>
    <row r="68" spans="1:16" ht="15" thickBot="1" x14ac:dyDescent="0.4">
      <c r="A68">
        <f>ROW()</f>
        <v>68</v>
      </c>
      <c r="B68" s="54" t="s">
        <v>171</v>
      </c>
      <c r="C68" s="52"/>
      <c r="D68" s="63"/>
      <c r="E68" s="52"/>
      <c r="F68" s="52"/>
      <c r="G68" s="52"/>
      <c r="H68" s="63"/>
      <c r="I68" s="82">
        <v>10</v>
      </c>
      <c r="J68" s="82">
        <v>25</v>
      </c>
      <c r="K68" s="82">
        <v>25</v>
      </c>
      <c r="L68" s="83">
        <v>25</v>
      </c>
      <c r="M68" s="83">
        <v>22</v>
      </c>
      <c r="N68" s="83">
        <v>20</v>
      </c>
      <c r="O68" s="83">
        <v>18</v>
      </c>
      <c r="P68" s="83">
        <v>16</v>
      </c>
    </row>
    <row r="69" spans="1:16" ht="15" thickBot="1" x14ac:dyDescent="0.4">
      <c r="A69">
        <f>ROW()</f>
        <v>69</v>
      </c>
      <c r="B69" s="54" t="s">
        <v>172</v>
      </c>
      <c r="C69" s="52"/>
      <c r="D69" s="63"/>
      <c r="E69" s="52"/>
      <c r="F69" s="52"/>
      <c r="G69" s="52"/>
      <c r="H69" s="84">
        <v>25</v>
      </c>
      <c r="I69" s="51">
        <f>AVERAGE(I67:I68)</f>
        <v>7.5</v>
      </c>
      <c r="J69">
        <f t="shared" ref="J69:P69" si="77">AVERAGE(J67:J68)</f>
        <v>15.5</v>
      </c>
      <c r="K69">
        <f t="shared" si="77"/>
        <v>17.5</v>
      </c>
      <c r="L69">
        <f t="shared" si="77"/>
        <v>18.5</v>
      </c>
      <c r="M69">
        <f t="shared" si="77"/>
        <v>18.5</v>
      </c>
      <c r="N69">
        <f t="shared" si="77"/>
        <v>16</v>
      </c>
      <c r="O69">
        <f t="shared" si="77"/>
        <v>14</v>
      </c>
      <c r="P69">
        <f t="shared" si="77"/>
        <v>11</v>
      </c>
    </row>
    <row r="70" spans="1:16" x14ac:dyDescent="0.35">
      <c r="A70">
        <f>ROW()</f>
        <v>70</v>
      </c>
      <c r="B70" s="54"/>
      <c r="C70" s="52"/>
      <c r="D70" s="63"/>
      <c r="E70" s="52"/>
      <c r="F70" s="52"/>
      <c r="G70" s="52"/>
      <c r="H70" s="72"/>
      <c r="I70" s="51"/>
    </row>
    <row r="71" spans="1:16" x14ac:dyDescent="0.35">
      <c r="A71">
        <f>ROW()</f>
        <v>71</v>
      </c>
      <c r="B71" s="162" t="s">
        <v>175</v>
      </c>
      <c r="C71" s="52"/>
      <c r="D71" s="63"/>
      <c r="E71" s="52"/>
      <c r="F71" s="52"/>
      <c r="G71" s="52"/>
      <c r="H71" s="63"/>
      <c r="I71" s="69">
        <f>I69/$H$69</f>
        <v>0.3</v>
      </c>
      <c r="J71" s="69">
        <f t="shared" ref="J71:P71" si="78">J69/$H$69</f>
        <v>0.62</v>
      </c>
      <c r="K71" s="69">
        <f t="shared" si="78"/>
        <v>0.7</v>
      </c>
      <c r="L71" s="69">
        <f t="shared" si="78"/>
        <v>0.74</v>
      </c>
      <c r="M71" s="69">
        <f t="shared" si="78"/>
        <v>0.74</v>
      </c>
      <c r="N71" s="69">
        <f t="shared" si="78"/>
        <v>0.64</v>
      </c>
      <c r="O71" s="69">
        <f t="shared" si="78"/>
        <v>0.56000000000000005</v>
      </c>
      <c r="P71" s="69">
        <f t="shared" si="78"/>
        <v>0.44</v>
      </c>
    </row>
    <row r="72" spans="1:16" x14ac:dyDescent="0.35">
      <c r="A72">
        <f>ROW()</f>
        <v>72</v>
      </c>
      <c r="B72" s="54" t="s">
        <v>176</v>
      </c>
      <c r="C72" s="52"/>
      <c r="D72" s="63"/>
      <c r="E72" s="52"/>
      <c r="F72" s="52"/>
      <c r="G72" s="52"/>
      <c r="H72" s="63"/>
      <c r="I72" s="52"/>
      <c r="J72" s="71">
        <f>+J71/I71-1</f>
        <v>1.0666666666666669</v>
      </c>
      <c r="K72" s="71">
        <f t="shared" ref="K72:P72" si="79">+K71/J71-1</f>
        <v>0.12903225806451601</v>
      </c>
      <c r="L72" s="71">
        <f t="shared" si="79"/>
        <v>5.7142857142857162E-2</v>
      </c>
      <c r="M72" s="71">
        <f t="shared" si="79"/>
        <v>0</v>
      </c>
      <c r="N72" s="71">
        <f t="shared" si="79"/>
        <v>-0.13513513513513509</v>
      </c>
      <c r="O72" s="71">
        <f t="shared" si="79"/>
        <v>-0.12499999999999989</v>
      </c>
      <c r="P72" s="71">
        <f t="shared" si="79"/>
        <v>-0.2142857142857143</v>
      </c>
    </row>
    <row r="73" spans="1:16" x14ac:dyDescent="0.35">
      <c r="A73">
        <f>ROW()</f>
        <v>73</v>
      </c>
      <c r="B73" s="54" t="s">
        <v>178</v>
      </c>
      <c r="C73" s="52"/>
      <c r="D73" s="63"/>
      <c r="E73" s="52"/>
      <c r="F73" s="52"/>
      <c r="G73" s="52"/>
      <c r="H73" s="85">
        <v>0.42</v>
      </c>
      <c r="I73" s="68">
        <f>I71*$H$73</f>
        <v>0.126</v>
      </c>
      <c r="J73" s="68">
        <f t="shared" ref="J73:P73" si="80">J71*$H$73</f>
        <v>0.26039999999999996</v>
      </c>
      <c r="K73" s="68">
        <f t="shared" si="80"/>
        <v>0.29399999999999998</v>
      </c>
      <c r="L73" s="68">
        <f t="shared" si="80"/>
        <v>0.31079999999999997</v>
      </c>
      <c r="M73" s="68">
        <f t="shared" si="80"/>
        <v>0.31079999999999997</v>
      </c>
      <c r="N73" s="68">
        <f t="shared" si="80"/>
        <v>0.26879999999999998</v>
      </c>
      <c r="O73" s="68">
        <f t="shared" si="80"/>
        <v>0.23520000000000002</v>
      </c>
      <c r="P73" s="68">
        <f t="shared" si="80"/>
        <v>0.18479999999999999</v>
      </c>
    </row>
    <row r="74" spans="1:16" x14ac:dyDescent="0.35">
      <c r="A74">
        <f>ROW()</f>
        <v>74</v>
      </c>
      <c r="B74" s="54" t="s">
        <v>177</v>
      </c>
      <c r="C74" s="52"/>
      <c r="D74" s="63"/>
      <c r="E74" s="52"/>
      <c r="F74" s="52"/>
      <c r="G74" s="52"/>
      <c r="H74" s="85">
        <v>0.18</v>
      </c>
      <c r="I74" s="68">
        <f>$H$74*I71</f>
        <v>5.3999999999999999E-2</v>
      </c>
      <c r="J74" s="68">
        <f t="shared" ref="J74:P74" si="81">$H$74*J71</f>
        <v>0.11159999999999999</v>
      </c>
      <c r="K74" s="68">
        <f t="shared" si="81"/>
        <v>0.126</v>
      </c>
      <c r="L74" s="68">
        <f t="shared" si="81"/>
        <v>0.13319999999999999</v>
      </c>
      <c r="M74" s="68">
        <f t="shared" si="81"/>
        <v>0.13319999999999999</v>
      </c>
      <c r="N74" s="68">
        <f t="shared" si="81"/>
        <v>0.1152</v>
      </c>
      <c r="O74" s="68">
        <f t="shared" si="81"/>
        <v>0.1008</v>
      </c>
      <c r="P74" s="68">
        <f t="shared" si="81"/>
        <v>7.9199999999999993E-2</v>
      </c>
    </row>
    <row r="75" spans="1:16" x14ac:dyDescent="0.35">
      <c r="A75">
        <f>ROW()</f>
        <v>75</v>
      </c>
      <c r="C75" s="52"/>
      <c r="D75" s="63"/>
      <c r="E75" s="52"/>
      <c r="F75" s="52"/>
      <c r="G75" s="52"/>
      <c r="H75" s="63"/>
      <c r="I75" s="52"/>
    </row>
    <row r="76" spans="1:16" x14ac:dyDescent="0.35">
      <c r="A76">
        <f>ROW()</f>
        <v>76</v>
      </c>
      <c r="B76" s="162" t="s">
        <v>184</v>
      </c>
      <c r="C76" s="52"/>
      <c r="D76" s="63"/>
      <c r="E76" s="52"/>
      <c r="F76" s="52"/>
      <c r="G76" s="52"/>
      <c r="H76" s="63"/>
      <c r="I76" s="52"/>
    </row>
    <row r="77" spans="1:16" x14ac:dyDescent="0.35">
      <c r="A77">
        <f>ROW()</f>
        <v>77</v>
      </c>
      <c r="B77" s="54" t="s">
        <v>181</v>
      </c>
      <c r="C77" s="52"/>
      <c r="D77" s="63"/>
      <c r="E77" s="52"/>
      <c r="F77" s="52"/>
      <c r="G77" s="52"/>
      <c r="H77" s="63"/>
      <c r="I77" s="81">
        <v>1.0620000000000001</v>
      </c>
      <c r="J77" s="75">
        <f>+I77</f>
        <v>1.0620000000000001</v>
      </c>
      <c r="K77" s="75">
        <f t="shared" ref="K77:P77" si="82">+J77</f>
        <v>1.0620000000000001</v>
      </c>
      <c r="L77" s="75">
        <f t="shared" si="82"/>
        <v>1.0620000000000001</v>
      </c>
      <c r="M77" s="75">
        <f t="shared" si="82"/>
        <v>1.0620000000000001</v>
      </c>
      <c r="N77" s="75">
        <f t="shared" si="82"/>
        <v>1.0620000000000001</v>
      </c>
      <c r="O77" s="75">
        <f t="shared" si="82"/>
        <v>1.0620000000000001</v>
      </c>
      <c r="P77" s="75">
        <f t="shared" si="82"/>
        <v>1.0620000000000001</v>
      </c>
    </row>
    <row r="78" spans="1:16" x14ac:dyDescent="0.35">
      <c r="A78">
        <f>ROW()</f>
        <v>78</v>
      </c>
      <c r="B78" s="54" t="s">
        <v>182</v>
      </c>
      <c r="C78" s="52"/>
      <c r="D78" s="63"/>
      <c r="E78" s="52"/>
      <c r="F78" s="52"/>
      <c r="G78" s="52"/>
      <c r="H78" s="63"/>
      <c r="I78" s="74"/>
      <c r="J78" s="68">
        <f>+J77/I77-1</f>
        <v>0</v>
      </c>
      <c r="K78" s="68">
        <v>0</v>
      </c>
      <c r="L78" s="68">
        <v>0</v>
      </c>
      <c r="M78" s="68">
        <v>0</v>
      </c>
      <c r="N78" s="68">
        <v>0</v>
      </c>
      <c r="O78" s="68">
        <v>0</v>
      </c>
      <c r="P78" s="68">
        <v>0</v>
      </c>
    </row>
    <row r="79" spans="1:16" x14ac:dyDescent="0.35">
      <c r="A79">
        <f>ROW()</f>
        <v>79</v>
      </c>
      <c r="B79" s="54"/>
      <c r="C79" s="52"/>
      <c r="D79" s="63"/>
      <c r="E79" s="52"/>
      <c r="F79" s="52"/>
      <c r="G79" s="52"/>
      <c r="H79" s="63"/>
      <c r="I79" s="74"/>
      <c r="J79" s="75"/>
      <c r="K79" s="75"/>
      <c r="L79" s="75"/>
      <c r="M79" s="75"/>
      <c r="N79" s="75"/>
      <c r="O79" s="75"/>
      <c r="P79" s="75"/>
    </row>
    <row r="80" spans="1:16" x14ac:dyDescent="0.35">
      <c r="A80">
        <f>ROW()</f>
        <v>80</v>
      </c>
      <c r="B80" s="54" t="s">
        <v>179</v>
      </c>
      <c r="C80" s="52"/>
      <c r="D80" s="63"/>
      <c r="E80" s="52"/>
      <c r="F80" s="52"/>
      <c r="G80" s="52"/>
      <c r="H80" s="63"/>
      <c r="I80" s="80">
        <v>650</v>
      </c>
      <c r="J80" s="73">
        <f>+I80</f>
        <v>650</v>
      </c>
      <c r="K80" s="73">
        <f t="shared" ref="K80:P80" si="83">+J80*(1+K81)</f>
        <v>650</v>
      </c>
      <c r="L80" s="73">
        <f t="shared" si="83"/>
        <v>650</v>
      </c>
      <c r="M80" s="73">
        <f t="shared" si="83"/>
        <v>650</v>
      </c>
      <c r="N80" s="73">
        <f t="shared" si="83"/>
        <v>650</v>
      </c>
      <c r="O80" s="73">
        <f t="shared" si="83"/>
        <v>650</v>
      </c>
      <c r="P80" s="73">
        <f t="shared" si="83"/>
        <v>650</v>
      </c>
    </row>
    <row r="81" spans="1:17" x14ac:dyDescent="0.35">
      <c r="A81">
        <f>ROW()</f>
        <v>81</v>
      </c>
      <c r="B81" s="54" t="s">
        <v>180</v>
      </c>
      <c r="C81" s="52"/>
      <c r="D81" s="63"/>
      <c r="E81" s="52"/>
      <c r="F81" s="52"/>
      <c r="G81" s="52"/>
      <c r="H81" s="63"/>
      <c r="I81" s="52"/>
      <c r="J81" s="68">
        <f>+J80/I80-1</f>
        <v>0</v>
      </c>
      <c r="K81" s="68">
        <v>0</v>
      </c>
      <c r="L81" s="68">
        <v>0</v>
      </c>
      <c r="M81" s="68">
        <v>0</v>
      </c>
      <c r="N81" s="68">
        <v>0</v>
      </c>
      <c r="O81" s="68">
        <v>0</v>
      </c>
      <c r="P81" s="68">
        <v>0</v>
      </c>
      <c r="Q81" s="68"/>
    </row>
    <row r="82" spans="1:17" x14ac:dyDescent="0.35">
      <c r="A82">
        <f>ROW()</f>
        <v>82</v>
      </c>
      <c r="C82" s="52"/>
      <c r="D82" s="63"/>
      <c r="E82" s="52"/>
      <c r="F82" s="52"/>
      <c r="G82" s="52"/>
      <c r="H82" s="63"/>
      <c r="I82" s="52"/>
    </row>
    <row r="83" spans="1:17" x14ac:dyDescent="0.35">
      <c r="A83">
        <f>ROW()</f>
        <v>83</v>
      </c>
      <c r="B83" s="54" t="s">
        <v>183</v>
      </c>
      <c r="C83" s="52"/>
      <c r="D83" s="63"/>
      <c r="E83" s="52"/>
      <c r="F83" s="52"/>
      <c r="G83" s="52"/>
      <c r="H83" s="63"/>
      <c r="I83" s="52">
        <f>I77*1000000/I80</f>
        <v>1633.8461538461538</v>
      </c>
      <c r="J83" s="52">
        <f>J77*1000000/J80</f>
        <v>1633.8461538461538</v>
      </c>
      <c r="K83" s="52">
        <f t="shared" ref="K83:P83" si="84">K77*1000000/K80</f>
        <v>1633.8461538461538</v>
      </c>
      <c r="L83" s="52">
        <f t="shared" si="84"/>
        <v>1633.8461538461538</v>
      </c>
      <c r="M83" s="52">
        <f t="shared" si="84"/>
        <v>1633.8461538461538</v>
      </c>
      <c r="N83" s="52">
        <f t="shared" si="84"/>
        <v>1633.8461538461538</v>
      </c>
      <c r="O83" s="52">
        <f t="shared" si="84"/>
        <v>1633.8461538461538</v>
      </c>
      <c r="P83" s="52">
        <f t="shared" si="84"/>
        <v>1633.8461538461538</v>
      </c>
    </row>
    <row r="84" spans="1:17" x14ac:dyDescent="0.35">
      <c r="A84">
        <f>ROW()</f>
        <v>84</v>
      </c>
      <c r="B84" s="54"/>
      <c r="C84" s="52"/>
      <c r="D84" s="63"/>
      <c r="E84" s="52"/>
      <c r="F84" s="52"/>
      <c r="G84" s="52"/>
      <c r="H84" s="63"/>
      <c r="I84" s="52"/>
    </row>
    <row r="85" spans="1:17" x14ac:dyDescent="0.35">
      <c r="A85">
        <f>ROW()</f>
        <v>85</v>
      </c>
      <c r="B85" s="54" t="s">
        <v>185</v>
      </c>
      <c r="I85" s="76">
        <f>+I77*I73*1000</f>
        <v>133.81200000000001</v>
      </c>
      <c r="J85" s="76">
        <f t="shared" ref="J85:P85" si="85">+J77*J73*1000</f>
        <v>276.54479999999995</v>
      </c>
      <c r="K85" s="76">
        <f t="shared" si="85"/>
        <v>312.22800000000001</v>
      </c>
      <c r="L85" s="76">
        <f t="shared" si="85"/>
        <v>330.06959999999998</v>
      </c>
      <c r="M85" s="76">
        <f t="shared" si="85"/>
        <v>330.06959999999998</v>
      </c>
      <c r="N85" s="76">
        <f t="shared" si="85"/>
        <v>285.46559999999999</v>
      </c>
      <c r="O85" s="76">
        <f t="shared" si="85"/>
        <v>249.78240000000005</v>
      </c>
      <c r="P85" s="76">
        <f t="shared" si="85"/>
        <v>196.2576</v>
      </c>
    </row>
    <row r="86" spans="1:17" x14ac:dyDescent="0.35">
      <c r="A86">
        <f>ROW()</f>
        <v>86</v>
      </c>
      <c r="B86" s="54"/>
      <c r="I86" s="76"/>
      <c r="J86" s="76"/>
      <c r="K86" s="76"/>
      <c r="L86" s="76"/>
      <c r="M86" s="76"/>
      <c r="N86" s="76"/>
      <c r="O86" s="76"/>
      <c r="P86" s="76"/>
    </row>
    <row r="87" spans="1:17" x14ac:dyDescent="0.35">
      <c r="A87">
        <f>ROW()</f>
        <v>87</v>
      </c>
      <c r="B87" s="162" t="s">
        <v>242</v>
      </c>
      <c r="I87" s="76"/>
      <c r="J87" s="76"/>
      <c r="K87" s="76"/>
      <c r="L87" s="76"/>
      <c r="M87" s="76"/>
      <c r="N87" s="76"/>
      <c r="O87" s="76"/>
      <c r="P87" s="76"/>
    </row>
    <row r="88" spans="1:17" x14ac:dyDescent="0.35">
      <c r="A88">
        <f>ROW()</f>
        <v>88</v>
      </c>
      <c r="B88" s="54" t="s">
        <v>187</v>
      </c>
      <c r="C88" s="52"/>
      <c r="D88" s="63"/>
      <c r="E88" s="52"/>
      <c r="F88" s="52"/>
      <c r="G88" s="52"/>
      <c r="H88" s="63"/>
      <c r="I88" s="79">
        <v>0.15</v>
      </c>
      <c r="J88" s="79">
        <v>0.15</v>
      </c>
      <c r="K88" s="79">
        <v>0.15</v>
      </c>
      <c r="L88" s="79">
        <v>0.15</v>
      </c>
      <c r="M88" s="79">
        <v>0.15</v>
      </c>
      <c r="N88" s="79">
        <v>0.15</v>
      </c>
      <c r="O88" s="79">
        <v>0.15</v>
      </c>
      <c r="P88" s="79">
        <v>0.15</v>
      </c>
    </row>
    <row r="89" spans="1:17" x14ac:dyDescent="0.35">
      <c r="A89">
        <f>ROW()</f>
        <v>89</v>
      </c>
      <c r="B89" s="54" t="s">
        <v>188</v>
      </c>
      <c r="C89" s="52"/>
      <c r="D89" s="63"/>
      <c r="E89" s="52"/>
      <c r="F89" s="52"/>
      <c r="G89" s="52"/>
      <c r="H89" s="63"/>
      <c r="I89" s="79">
        <v>0.5</v>
      </c>
      <c r="J89" s="79">
        <v>0.5</v>
      </c>
      <c r="K89" s="79">
        <v>0.5</v>
      </c>
      <c r="L89" s="79">
        <v>0.5</v>
      </c>
      <c r="M89" s="79">
        <v>0.5</v>
      </c>
      <c r="N89" s="79">
        <v>0.5</v>
      </c>
      <c r="O89" s="79">
        <v>0.5</v>
      </c>
      <c r="P89" s="79">
        <v>0.5</v>
      </c>
    </row>
    <row r="90" spans="1:17" x14ac:dyDescent="0.35">
      <c r="A90">
        <f>ROW()</f>
        <v>90</v>
      </c>
      <c r="B90" s="54" t="s">
        <v>189</v>
      </c>
      <c r="C90" s="52"/>
      <c r="D90" s="63"/>
      <c r="E90" s="52"/>
      <c r="F90" s="52"/>
      <c r="G90" s="52"/>
      <c r="H90" s="63"/>
      <c r="I90" s="79">
        <v>0.01</v>
      </c>
      <c r="J90" s="79">
        <v>0.01</v>
      </c>
      <c r="K90" s="79">
        <v>0.01</v>
      </c>
      <c r="L90" s="79">
        <v>0.01</v>
      </c>
      <c r="M90" s="79">
        <v>0.01</v>
      </c>
      <c r="N90" s="79">
        <v>0.01</v>
      </c>
      <c r="O90" s="79">
        <v>0.01</v>
      </c>
      <c r="P90" s="79">
        <v>0.01</v>
      </c>
    </row>
    <row r="91" spans="1:17" x14ac:dyDescent="0.35">
      <c r="C91" s="52"/>
      <c r="D91" s="63"/>
      <c r="E91" s="52"/>
      <c r="F91" s="52"/>
      <c r="G91" s="52"/>
      <c r="H91" s="63"/>
      <c r="I91" s="52"/>
    </row>
    <row r="92" spans="1:17" x14ac:dyDescent="0.35">
      <c r="C92" s="52"/>
      <c r="D92" s="63"/>
      <c r="E92" s="52"/>
      <c r="F92" s="52"/>
      <c r="G92" s="52"/>
      <c r="H92" s="63"/>
      <c r="I92" s="52"/>
    </row>
    <row r="93" spans="1:17" x14ac:dyDescent="0.35">
      <c r="C93" s="52"/>
      <c r="D93" s="63"/>
      <c r="E93" s="52"/>
      <c r="F93" s="52"/>
      <c r="G93" s="52"/>
      <c r="H93" s="63"/>
      <c r="I93" s="52"/>
    </row>
    <row r="94" spans="1:17" x14ac:dyDescent="0.35">
      <c r="C94" s="52"/>
      <c r="D94" s="63"/>
      <c r="E94" s="52"/>
      <c r="F94" s="52"/>
      <c r="G94" s="52"/>
      <c r="H94" s="63"/>
      <c r="I94" s="52"/>
    </row>
    <row r="95" spans="1:17" x14ac:dyDescent="0.35">
      <c r="C95" s="52"/>
      <c r="D95" s="63"/>
      <c r="E95" s="52"/>
      <c r="F95" s="52"/>
      <c r="G95" s="52"/>
      <c r="H95" s="63"/>
      <c r="I95" s="52"/>
    </row>
    <row r="96" spans="1:17" x14ac:dyDescent="0.35">
      <c r="C96" s="52"/>
      <c r="D96" s="63"/>
      <c r="E96" s="52"/>
      <c r="F96" s="52"/>
      <c r="G96" s="52"/>
      <c r="H96" s="63"/>
      <c r="I96" s="52"/>
    </row>
    <row r="97" spans="3:9" x14ac:dyDescent="0.35">
      <c r="C97" s="52"/>
      <c r="D97" s="63"/>
      <c r="E97" s="52"/>
      <c r="F97" s="52"/>
      <c r="G97" s="52"/>
      <c r="H97" s="63"/>
      <c r="I97" s="52"/>
    </row>
    <row r="98" spans="3:9" x14ac:dyDescent="0.35">
      <c r="C98" s="52"/>
      <c r="D98" s="63"/>
      <c r="E98" s="52"/>
      <c r="F98" s="52"/>
      <c r="G98" s="52"/>
      <c r="H98" s="63"/>
      <c r="I98" s="52"/>
    </row>
    <row r="99" spans="3:9" x14ac:dyDescent="0.35">
      <c r="C99" s="52"/>
      <c r="D99" s="63"/>
      <c r="E99" s="52"/>
      <c r="F99" s="52"/>
      <c r="G99" s="52"/>
      <c r="H99" s="63"/>
      <c r="I99" s="52"/>
    </row>
    <row r="100" spans="3:9" x14ac:dyDescent="0.35">
      <c r="C100" s="52"/>
      <c r="D100" s="63"/>
      <c r="E100" s="52"/>
      <c r="F100" s="52"/>
      <c r="G100" s="52"/>
      <c r="H100" s="63"/>
      <c r="I100" s="52"/>
    </row>
    <row r="101" spans="3:9" x14ac:dyDescent="0.35">
      <c r="C101" s="52"/>
      <c r="D101" s="63"/>
      <c r="E101" s="52"/>
      <c r="F101" s="52"/>
      <c r="G101" s="52"/>
      <c r="H101" s="63"/>
      <c r="I101" s="52"/>
    </row>
    <row r="102" spans="3:9" x14ac:dyDescent="0.35">
      <c r="C102" s="52"/>
      <c r="D102" s="63"/>
      <c r="E102" s="52"/>
      <c r="F102" s="52"/>
      <c r="G102" s="52"/>
      <c r="H102" s="63"/>
      <c r="I102" s="52"/>
    </row>
    <row r="103" spans="3:9" x14ac:dyDescent="0.35">
      <c r="C103" s="52"/>
      <c r="D103" s="63"/>
      <c r="E103" s="52"/>
      <c r="F103" s="52"/>
      <c r="G103" s="52"/>
      <c r="H103" s="63"/>
      <c r="I103" s="52"/>
    </row>
    <row r="104" spans="3:9" x14ac:dyDescent="0.35">
      <c r="C104" s="52"/>
      <c r="D104" s="63"/>
      <c r="E104" s="52"/>
      <c r="F104" s="52"/>
      <c r="G104" s="52"/>
      <c r="H104" s="63"/>
      <c r="I104" s="52"/>
    </row>
    <row r="105" spans="3:9" x14ac:dyDescent="0.35">
      <c r="C105" s="52"/>
      <c r="D105" s="63"/>
      <c r="E105" s="52"/>
      <c r="F105" s="52"/>
      <c r="G105" s="52"/>
      <c r="H105" s="63"/>
      <c r="I105" s="52"/>
    </row>
    <row r="106" spans="3:9" x14ac:dyDescent="0.35">
      <c r="C106" s="52"/>
      <c r="D106" s="63"/>
      <c r="E106" s="52"/>
      <c r="F106" s="52"/>
      <c r="G106" s="52"/>
      <c r="H106" s="63"/>
      <c r="I106" s="52"/>
    </row>
    <row r="107" spans="3:9" x14ac:dyDescent="0.35">
      <c r="C107" s="52"/>
      <c r="D107" s="63"/>
      <c r="E107" s="52"/>
      <c r="F107" s="52"/>
      <c r="G107" s="52"/>
      <c r="H107" s="63"/>
      <c r="I107" s="52"/>
    </row>
    <row r="108" spans="3:9" x14ac:dyDescent="0.35">
      <c r="C108" s="52"/>
      <c r="D108" s="63"/>
      <c r="E108" s="52"/>
      <c r="F108" s="52"/>
      <c r="G108" s="52"/>
      <c r="H108" s="63"/>
      <c r="I108" s="52"/>
    </row>
    <row r="109" spans="3:9" x14ac:dyDescent="0.35">
      <c r="C109" s="52"/>
      <c r="D109" s="63"/>
      <c r="E109" s="52"/>
      <c r="F109" s="52"/>
      <c r="G109" s="52"/>
      <c r="H109" s="63"/>
      <c r="I109" s="52"/>
    </row>
    <row r="110" spans="3:9" x14ac:dyDescent="0.35">
      <c r="C110" s="52"/>
      <c r="D110" s="63"/>
      <c r="E110" s="52"/>
      <c r="F110" s="52"/>
      <c r="G110" s="52"/>
      <c r="H110" s="63"/>
      <c r="I110" s="52"/>
    </row>
    <row r="111" spans="3:9" x14ac:dyDescent="0.35">
      <c r="C111" s="52"/>
      <c r="D111" s="63"/>
      <c r="E111" s="52"/>
      <c r="F111" s="52"/>
      <c r="G111" s="52"/>
      <c r="H111" s="63"/>
      <c r="I111" s="52"/>
    </row>
    <row r="112" spans="3:9" x14ac:dyDescent="0.35">
      <c r="C112" s="52"/>
      <c r="D112" s="63"/>
      <c r="E112" s="52"/>
      <c r="F112" s="52"/>
      <c r="G112" s="52"/>
      <c r="H112" s="63"/>
      <c r="I112" s="52"/>
    </row>
    <row r="113" spans="3:9" x14ac:dyDescent="0.35">
      <c r="C113" s="52"/>
      <c r="D113" s="63"/>
      <c r="E113" s="52"/>
      <c r="F113" s="52"/>
      <c r="G113" s="52"/>
      <c r="H113" s="63"/>
      <c r="I113" s="52"/>
    </row>
    <row r="114" spans="3:9" x14ac:dyDescent="0.35">
      <c r="C114" s="52"/>
      <c r="D114" s="63"/>
      <c r="E114" s="52"/>
      <c r="F114" s="52"/>
      <c r="G114" s="52"/>
      <c r="H114" s="63"/>
      <c r="I114" s="52"/>
    </row>
    <row r="115" spans="3:9" x14ac:dyDescent="0.35">
      <c r="C115" s="52"/>
      <c r="D115" s="63"/>
      <c r="E115" s="52"/>
      <c r="F115" s="52"/>
      <c r="G115" s="52"/>
      <c r="H115" s="63"/>
      <c r="I115" s="52"/>
    </row>
    <row r="116" spans="3:9" x14ac:dyDescent="0.35">
      <c r="C116" s="52"/>
      <c r="D116" s="63"/>
      <c r="E116" s="52"/>
      <c r="F116" s="52"/>
      <c r="G116" s="52"/>
      <c r="H116" s="63"/>
      <c r="I116" s="52"/>
    </row>
    <row r="117" spans="3:9" x14ac:dyDescent="0.35">
      <c r="C117" s="52"/>
      <c r="D117" s="63"/>
      <c r="E117" s="52"/>
      <c r="F117" s="52"/>
      <c r="G117" s="52"/>
      <c r="H117" s="63"/>
      <c r="I117" s="52"/>
    </row>
    <row r="118" spans="3:9" x14ac:dyDescent="0.35">
      <c r="C118" s="52"/>
      <c r="D118" s="63"/>
      <c r="E118" s="52"/>
      <c r="F118" s="52"/>
      <c r="G118" s="52"/>
      <c r="H118" s="63"/>
      <c r="I118" s="52"/>
    </row>
    <row r="119" spans="3:9" x14ac:dyDescent="0.35">
      <c r="C119" s="52"/>
      <c r="D119" s="63"/>
      <c r="E119" s="52"/>
      <c r="F119" s="52"/>
      <c r="G119" s="52"/>
      <c r="H119" s="63"/>
      <c r="I119" s="52"/>
    </row>
    <row r="120" spans="3:9" x14ac:dyDescent="0.35">
      <c r="C120" s="52"/>
      <c r="D120" s="63"/>
      <c r="E120" s="52"/>
      <c r="F120" s="52"/>
      <c r="G120" s="52"/>
      <c r="H120" s="63"/>
      <c r="I120" s="52"/>
    </row>
    <row r="121" spans="3:9" x14ac:dyDescent="0.35">
      <c r="C121" s="52"/>
      <c r="D121" s="63"/>
      <c r="E121" s="52"/>
      <c r="F121" s="52"/>
      <c r="G121" s="52"/>
      <c r="H121" s="63"/>
      <c r="I121" s="52"/>
    </row>
    <row r="122" spans="3:9" x14ac:dyDescent="0.35">
      <c r="C122" s="52"/>
      <c r="D122" s="63"/>
      <c r="E122" s="52"/>
      <c r="F122" s="52"/>
      <c r="G122" s="52"/>
      <c r="H122" s="63"/>
      <c r="I122" s="52"/>
    </row>
    <row r="123" spans="3:9" x14ac:dyDescent="0.35">
      <c r="C123" s="52"/>
      <c r="D123" s="63"/>
      <c r="E123" s="52"/>
      <c r="F123" s="52"/>
      <c r="G123" s="52"/>
      <c r="H123" s="63"/>
      <c r="I123" s="52"/>
    </row>
    <row r="124" spans="3:9" x14ac:dyDescent="0.35">
      <c r="C124" s="52"/>
      <c r="D124" s="63"/>
      <c r="E124" s="52"/>
      <c r="F124" s="52"/>
      <c r="G124" s="52"/>
      <c r="H124" s="63"/>
      <c r="I124" s="52"/>
    </row>
    <row r="125" spans="3:9" x14ac:dyDescent="0.35">
      <c r="C125" s="52"/>
      <c r="D125" s="63"/>
      <c r="E125" s="52"/>
      <c r="F125" s="52"/>
      <c r="G125" s="52"/>
      <c r="H125" s="63"/>
      <c r="I125" s="52"/>
    </row>
    <row r="126" spans="3:9" x14ac:dyDescent="0.35">
      <c r="C126" s="52"/>
      <c r="D126" s="63"/>
      <c r="E126" s="52"/>
      <c r="F126" s="52"/>
      <c r="G126" s="52"/>
      <c r="H126" s="63"/>
      <c r="I126" s="52"/>
    </row>
    <row r="127" spans="3:9" x14ac:dyDescent="0.35">
      <c r="C127" s="52"/>
      <c r="D127" s="63"/>
      <c r="E127" s="52"/>
      <c r="F127" s="52"/>
      <c r="G127" s="52"/>
      <c r="H127" s="63"/>
      <c r="I127" s="52"/>
    </row>
    <row r="128" spans="3:9" x14ac:dyDescent="0.35">
      <c r="C128" s="52"/>
      <c r="D128" s="63"/>
      <c r="E128" s="52"/>
      <c r="F128" s="52"/>
      <c r="G128" s="52"/>
      <c r="H128" s="63"/>
      <c r="I128" s="52"/>
    </row>
    <row r="129" spans="3:9" x14ac:dyDescent="0.35">
      <c r="C129" s="52"/>
      <c r="D129" s="63"/>
      <c r="E129" s="52"/>
      <c r="F129" s="52"/>
      <c r="G129" s="52"/>
      <c r="H129" s="63"/>
      <c r="I129" s="52"/>
    </row>
    <row r="130" spans="3:9" x14ac:dyDescent="0.35">
      <c r="C130" s="52"/>
      <c r="D130" s="63"/>
      <c r="E130" s="52"/>
      <c r="F130" s="52"/>
      <c r="G130" s="52"/>
      <c r="H130" s="63"/>
      <c r="I130" s="52"/>
    </row>
    <row r="131" spans="3:9" x14ac:dyDescent="0.35">
      <c r="C131" s="52"/>
      <c r="D131" s="63"/>
      <c r="E131" s="52"/>
      <c r="F131" s="52"/>
      <c r="G131" s="52"/>
      <c r="H131" s="63"/>
      <c r="I131" s="52"/>
    </row>
    <row r="132" spans="3:9" x14ac:dyDescent="0.35">
      <c r="C132" s="52"/>
      <c r="D132" s="63"/>
      <c r="E132" s="52"/>
      <c r="F132" s="52"/>
      <c r="G132" s="52"/>
      <c r="H132" s="63"/>
      <c r="I132" s="52"/>
    </row>
    <row r="133" spans="3:9" x14ac:dyDescent="0.35">
      <c r="C133" s="52"/>
      <c r="D133" s="63"/>
      <c r="E133" s="52"/>
      <c r="F133" s="52"/>
      <c r="G133" s="52"/>
      <c r="H133" s="63"/>
      <c r="I133" s="52"/>
    </row>
    <row r="134" spans="3:9" x14ac:dyDescent="0.35">
      <c r="C134" s="52"/>
      <c r="D134" s="63"/>
      <c r="E134" s="52"/>
      <c r="F134" s="52"/>
      <c r="G134" s="52"/>
      <c r="H134" s="63"/>
      <c r="I134" s="52"/>
    </row>
    <row r="135" spans="3:9" x14ac:dyDescent="0.35">
      <c r="C135" s="52"/>
      <c r="D135" s="63"/>
      <c r="E135" s="52"/>
      <c r="F135" s="52"/>
      <c r="G135" s="52"/>
      <c r="H135" s="63"/>
      <c r="I135" s="52"/>
    </row>
    <row r="136" spans="3:9" x14ac:dyDescent="0.35">
      <c r="C136" s="52"/>
      <c r="D136" s="63"/>
      <c r="E136" s="52"/>
      <c r="F136" s="52"/>
      <c r="G136" s="52"/>
      <c r="H136" s="63"/>
      <c r="I136" s="52"/>
    </row>
    <row r="137" spans="3:9" x14ac:dyDescent="0.35">
      <c r="C137" s="52"/>
      <c r="D137" s="63"/>
      <c r="E137" s="52"/>
      <c r="F137" s="52"/>
      <c r="G137" s="52"/>
      <c r="H137" s="63"/>
      <c r="I137" s="52"/>
    </row>
    <row r="138" spans="3:9" x14ac:dyDescent="0.35">
      <c r="C138" s="52"/>
      <c r="D138" s="63"/>
      <c r="E138" s="52"/>
      <c r="F138" s="52"/>
      <c r="G138" s="52"/>
      <c r="H138" s="63"/>
      <c r="I138" s="52"/>
    </row>
    <row r="139" spans="3:9" x14ac:dyDescent="0.35">
      <c r="C139" s="52"/>
      <c r="D139" s="63"/>
      <c r="E139" s="52"/>
      <c r="F139" s="52"/>
      <c r="G139" s="52"/>
      <c r="H139" s="63"/>
      <c r="I139" s="52"/>
    </row>
    <row r="140" spans="3:9" x14ac:dyDescent="0.35">
      <c r="C140" s="52"/>
      <c r="D140" s="63"/>
      <c r="E140" s="52"/>
      <c r="F140" s="52"/>
      <c r="G140" s="52"/>
      <c r="H140" s="63"/>
      <c r="I140" s="52"/>
    </row>
    <row r="141" spans="3:9" x14ac:dyDescent="0.35">
      <c r="C141" s="52"/>
      <c r="D141" s="63"/>
      <c r="E141" s="52"/>
      <c r="F141" s="52"/>
      <c r="G141" s="52"/>
      <c r="H141" s="63"/>
      <c r="I141" s="52"/>
    </row>
    <row r="142" spans="3:9" x14ac:dyDescent="0.35">
      <c r="C142" s="52"/>
      <c r="D142" s="63"/>
      <c r="E142" s="52"/>
      <c r="F142" s="52"/>
      <c r="G142" s="52"/>
      <c r="H142" s="63"/>
      <c r="I142" s="52"/>
    </row>
    <row r="143" spans="3:9" x14ac:dyDescent="0.35">
      <c r="C143" s="52"/>
      <c r="D143" s="63"/>
      <c r="E143" s="52"/>
      <c r="F143" s="52"/>
      <c r="G143" s="52"/>
      <c r="H143" s="63"/>
      <c r="I143" s="52"/>
    </row>
    <row r="144" spans="3:9" x14ac:dyDescent="0.35">
      <c r="C144" s="52"/>
      <c r="D144" s="63"/>
      <c r="E144" s="52"/>
      <c r="F144" s="52"/>
      <c r="G144" s="52"/>
      <c r="H144" s="63"/>
      <c r="I144" s="52"/>
    </row>
    <row r="145" spans="3:9" x14ac:dyDescent="0.35">
      <c r="C145" s="52"/>
      <c r="D145" s="63"/>
      <c r="E145" s="52"/>
      <c r="F145" s="52"/>
      <c r="G145" s="52"/>
      <c r="H145" s="63"/>
      <c r="I145" s="52"/>
    </row>
    <row r="146" spans="3:9" x14ac:dyDescent="0.35">
      <c r="C146" s="52"/>
      <c r="D146" s="63"/>
      <c r="E146" s="52"/>
      <c r="F146" s="52"/>
      <c r="G146" s="52"/>
      <c r="H146" s="63"/>
      <c r="I146" s="52"/>
    </row>
    <row r="147" spans="3:9" x14ac:dyDescent="0.35">
      <c r="C147" s="52"/>
      <c r="D147" s="63"/>
      <c r="E147" s="52"/>
      <c r="F147" s="52"/>
      <c r="G147" s="52"/>
      <c r="H147" s="63"/>
      <c r="I147" s="52"/>
    </row>
    <row r="148" spans="3:9" x14ac:dyDescent="0.35">
      <c r="C148" s="52"/>
      <c r="D148" s="63"/>
      <c r="E148" s="52"/>
      <c r="F148" s="52"/>
      <c r="G148" s="52"/>
      <c r="H148" s="63"/>
      <c r="I148" s="52"/>
    </row>
    <row r="149" spans="3:9" x14ac:dyDescent="0.35">
      <c r="C149" s="52"/>
      <c r="D149" s="63"/>
      <c r="E149" s="52"/>
      <c r="F149" s="52"/>
      <c r="G149" s="52"/>
      <c r="H149" s="63"/>
      <c r="I149" s="52"/>
    </row>
    <row r="150" spans="3:9" x14ac:dyDescent="0.35">
      <c r="C150" s="52"/>
      <c r="D150" s="63"/>
      <c r="E150" s="52"/>
      <c r="F150" s="52"/>
      <c r="G150" s="52"/>
      <c r="H150" s="63"/>
      <c r="I150" s="52"/>
    </row>
    <row r="151" spans="3:9" x14ac:dyDescent="0.35">
      <c r="C151" s="52"/>
      <c r="D151" s="63"/>
      <c r="E151" s="52"/>
      <c r="F151" s="52"/>
      <c r="G151" s="52"/>
      <c r="H151" s="63"/>
      <c r="I151" s="52"/>
    </row>
    <row r="152" spans="3:9" x14ac:dyDescent="0.35">
      <c r="C152" s="52"/>
      <c r="D152" s="63"/>
      <c r="E152" s="52"/>
      <c r="F152" s="52"/>
      <c r="G152" s="52"/>
      <c r="H152" s="63"/>
      <c r="I152" s="52"/>
    </row>
    <row r="153" spans="3:9" x14ac:dyDescent="0.35">
      <c r="C153" s="52"/>
      <c r="D153" s="63"/>
      <c r="E153" s="52"/>
      <c r="F153" s="52"/>
      <c r="G153" s="52"/>
      <c r="H153" s="63"/>
      <c r="I153" s="52"/>
    </row>
  </sheetData>
  <mergeCells count="8">
    <mergeCell ref="C62:H62"/>
    <mergeCell ref="I4:P4"/>
    <mergeCell ref="I25:P25"/>
    <mergeCell ref="I34:P34"/>
    <mergeCell ref="I62:P62"/>
    <mergeCell ref="C4:H4"/>
    <mergeCell ref="C25:H25"/>
    <mergeCell ref="C34:H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20241-936C-454D-85D4-D80BC354B8FC}">
  <sheetPr>
    <tabColor rgb="FFFFFF00"/>
  </sheetPr>
  <dimension ref="A1:AX57"/>
  <sheetViews>
    <sheetView showGridLines="0" workbookViewId="0">
      <selection activeCell="I16" sqref="I16"/>
    </sheetView>
  </sheetViews>
  <sheetFormatPr defaultColWidth="8.81640625" defaultRowHeight="14.5" x14ac:dyDescent="0.35"/>
  <cols>
    <col min="1" max="1" width="4.1796875" customWidth="1"/>
    <col min="2" max="2" width="41.1796875" customWidth="1"/>
    <col min="3" max="4" width="10.6328125" customWidth="1"/>
    <col min="5" max="5" width="11.6328125" customWidth="1"/>
    <col min="6" max="6" width="11" customWidth="1"/>
    <col min="7" max="7" width="11.1796875" customWidth="1"/>
    <col min="8" max="8" width="10.1796875" customWidth="1"/>
    <col min="9" max="9" width="12" customWidth="1"/>
    <col min="10" max="11" width="11.1796875" bestFit="1" customWidth="1"/>
    <col min="12" max="13" width="11.36328125" bestFit="1" customWidth="1"/>
    <col min="14" max="14" width="10.81640625" customWidth="1"/>
    <col min="15" max="18" width="11.36328125" bestFit="1" customWidth="1"/>
    <col min="19" max="19" width="11.81640625" customWidth="1"/>
    <col min="20" max="20" width="14.36328125" customWidth="1"/>
    <col min="21" max="21" width="6.6328125" customWidth="1"/>
    <col min="22" max="22" width="12.7265625" customWidth="1"/>
    <col min="23" max="23" width="8.36328125" customWidth="1"/>
    <col min="24" max="24" width="7.81640625" customWidth="1"/>
    <col min="25" max="25" width="5" customWidth="1"/>
    <col min="26" max="26" width="6.1796875" customWidth="1"/>
    <col min="27" max="27" width="11.453125" customWidth="1"/>
    <col min="28" max="28" width="7.81640625" customWidth="1"/>
    <col min="29" max="29" width="8.1796875" customWidth="1"/>
    <col min="30" max="30" width="5.453125" customWidth="1"/>
    <col min="31" max="31" width="6" customWidth="1"/>
    <col min="32" max="32" width="11" customWidth="1"/>
    <col min="35" max="35" width="5.453125" customWidth="1"/>
    <col min="36" max="36" width="6.6328125" customWidth="1"/>
    <col min="37" max="37" width="10.81640625" customWidth="1"/>
    <col min="38" max="38" width="8.1796875" customWidth="1"/>
    <col min="40" max="40" width="14.453125" customWidth="1"/>
    <col min="41" max="41" width="6.1796875" customWidth="1"/>
    <col min="42" max="42" width="12.7265625" customWidth="1"/>
    <col min="43" max="43" width="8.36328125" customWidth="1"/>
    <col min="45" max="45" width="6.1796875" customWidth="1"/>
    <col min="46" max="46" width="7" customWidth="1"/>
    <col min="47" max="47" width="11.7265625" customWidth="1"/>
    <col min="50" max="51" width="6.1796875" customWidth="1"/>
    <col min="52" max="52" width="8.453125" customWidth="1"/>
    <col min="53" max="53" width="8" customWidth="1"/>
    <col min="54" max="54" width="7.81640625" customWidth="1"/>
    <col min="55" max="55" width="6.81640625" customWidth="1"/>
    <col min="56" max="56" width="7.81640625" customWidth="1"/>
    <col min="57" max="57" width="10.54296875" customWidth="1"/>
    <col min="60" max="60" width="11.81640625" customWidth="1"/>
  </cols>
  <sheetData>
    <row r="1" spans="1:50" ht="25" x14ac:dyDescent="0.5">
      <c r="B1" s="87" t="s">
        <v>243</v>
      </c>
      <c r="C1" s="87"/>
      <c r="D1" s="87"/>
      <c r="E1" s="87"/>
      <c r="F1" s="87"/>
      <c r="G1" s="87"/>
      <c r="H1" s="87"/>
    </row>
    <row r="2" spans="1:50" ht="19.5" customHeight="1" x14ac:dyDescent="0.35">
      <c r="B2" s="88" t="s">
        <v>190</v>
      </c>
      <c r="C2" s="88"/>
      <c r="D2" s="88"/>
      <c r="E2" s="88"/>
      <c r="F2" s="88"/>
      <c r="G2" s="88"/>
      <c r="H2" s="88"/>
      <c r="S2" s="89"/>
      <c r="U2" s="90" t="s">
        <v>191</v>
      </c>
      <c r="V2" s="91"/>
      <c r="W2" s="92"/>
    </row>
    <row r="3" spans="1:50" ht="16" customHeight="1" x14ac:dyDescent="0.35">
      <c r="H3" s="88"/>
      <c r="S3" s="89"/>
    </row>
    <row r="4" spans="1:50" ht="19.5" customHeight="1" thickBot="1" x14ac:dyDescent="0.4">
      <c r="B4" s="114" t="s">
        <v>236</v>
      </c>
      <c r="C4" s="117"/>
      <c r="D4" s="117"/>
      <c r="E4" s="117"/>
      <c r="G4" s="194" t="s">
        <v>257</v>
      </c>
      <c r="H4" s="194"/>
      <c r="I4" s="194"/>
      <c r="J4" s="194"/>
      <c r="K4" s="194"/>
      <c r="S4" s="89"/>
    </row>
    <row r="5" spans="1:50" s="107" customFormat="1" ht="14.5" customHeight="1" thickTop="1" x14ac:dyDescent="0.35">
      <c r="A5" s="93">
        <f>ROW()</f>
        <v>5</v>
      </c>
      <c r="B5" s="103"/>
      <c r="C5" s="103"/>
      <c r="D5" s="103"/>
      <c r="E5" s="103"/>
      <c r="F5"/>
      <c r="G5" s="103"/>
      <c r="H5" s="103"/>
      <c r="I5" s="103"/>
      <c r="J5" s="103"/>
      <c r="K5" s="103"/>
      <c r="L5"/>
      <c r="M5"/>
      <c r="N5"/>
      <c r="O5"/>
      <c r="P5"/>
      <c r="Q5"/>
      <c r="R5"/>
      <c r="S5" s="89"/>
      <c r="T5"/>
      <c r="U5" s="93"/>
      <c r="V5" s="93"/>
      <c r="W5" s="94" t="s">
        <v>192</v>
      </c>
      <c r="X5" s="93"/>
      <c r="Y5"/>
      <c r="Z5" s="93"/>
      <c r="AA5" s="93"/>
      <c r="AB5" s="94" t="s">
        <v>192</v>
      </c>
      <c r="AC5" s="93"/>
      <c r="AD5" s="93"/>
      <c r="AE5" s="93"/>
      <c r="AF5" s="93"/>
      <c r="AG5" s="94" t="s">
        <v>192</v>
      </c>
      <c r="AH5" s="93"/>
      <c r="AI5" s="93"/>
      <c r="AJ5" s="93"/>
      <c r="AK5" s="93"/>
      <c r="AL5" s="93"/>
      <c r="AM5" s="106" t="s">
        <v>192</v>
      </c>
      <c r="AN5" s="106" t="s">
        <v>197</v>
      </c>
      <c r="AO5" s="93"/>
      <c r="AS5"/>
    </row>
    <row r="6" spans="1:50" s="93" customFormat="1" ht="14.5" customHeight="1" x14ac:dyDescent="0.35">
      <c r="A6" s="93">
        <f>ROW()</f>
        <v>6</v>
      </c>
      <c r="B6" s="104"/>
      <c r="C6" s="104"/>
      <c r="D6" s="104" t="s">
        <v>196</v>
      </c>
      <c r="E6" s="104" t="s">
        <v>241</v>
      </c>
      <c r="F6"/>
      <c r="G6"/>
      <c r="H6" s="88"/>
      <c r="I6"/>
      <c r="J6"/>
      <c r="K6"/>
      <c r="L6"/>
      <c r="M6"/>
      <c r="N6"/>
      <c r="O6"/>
      <c r="P6"/>
      <c r="Q6"/>
      <c r="R6"/>
      <c r="S6" s="89"/>
      <c r="T6"/>
      <c r="U6" s="95" t="s">
        <v>193</v>
      </c>
      <c r="V6" s="98" t="s">
        <v>198</v>
      </c>
      <c r="W6" s="99" t="e">
        <f>#REF!</f>
        <v>#REF!</v>
      </c>
      <c r="X6" s="97" t="s">
        <v>194</v>
      </c>
      <c r="Y6"/>
      <c r="Z6" s="95" t="s">
        <v>193</v>
      </c>
      <c r="AA6" s="98" t="s">
        <v>199</v>
      </c>
      <c r="AB6" s="99" t="e">
        <f>#REF!</f>
        <v>#REF!</v>
      </c>
      <c r="AC6" s="97" t="s">
        <v>194</v>
      </c>
      <c r="AD6"/>
      <c r="AE6" s="95" t="s">
        <v>193</v>
      </c>
      <c r="AF6" s="96" t="s">
        <v>200</v>
      </c>
      <c r="AG6" s="99" t="e">
        <f>#REF!</f>
        <v>#REF!</v>
      </c>
      <c r="AH6" s="97" t="s">
        <v>194</v>
      </c>
      <c r="AI6"/>
      <c r="AJ6" s="95" t="s">
        <v>193</v>
      </c>
      <c r="AK6" s="96" t="s">
        <v>201</v>
      </c>
      <c r="AL6" s="96" t="s">
        <v>202</v>
      </c>
      <c r="AM6" s="99" t="e">
        <f>#REF!</f>
        <v>#REF!</v>
      </c>
      <c r="AN6" s="99" t="e">
        <f>#REF!</f>
        <v>#REF!</v>
      </c>
      <c r="AO6" s="97" t="s">
        <v>194</v>
      </c>
      <c r="AX6"/>
    </row>
    <row r="7" spans="1:50" ht="16" customHeight="1" x14ac:dyDescent="0.35">
      <c r="A7" s="93">
        <f>ROW()</f>
        <v>7</v>
      </c>
      <c r="B7" s="54" t="s">
        <v>237</v>
      </c>
      <c r="D7" s="111">
        <f>+D21</f>
        <v>53824.615857422119</v>
      </c>
      <c r="E7" s="159">
        <v>0.25</v>
      </c>
      <c r="H7" s="88"/>
      <c r="S7" s="89"/>
    </row>
    <row r="8" spans="1:50" ht="16" customHeight="1" x14ac:dyDescent="0.35">
      <c r="A8" s="93">
        <f>ROW()</f>
        <v>8</v>
      </c>
      <c r="B8" s="54" t="s">
        <v>238</v>
      </c>
      <c r="D8" s="111">
        <f>+K44</f>
        <v>38600.289728909047</v>
      </c>
      <c r="E8" s="159">
        <v>0.25</v>
      </c>
      <c r="H8" s="88"/>
      <c r="S8" s="89"/>
    </row>
    <row r="9" spans="1:50" ht="16" customHeight="1" x14ac:dyDescent="0.35">
      <c r="A9" s="93">
        <f>ROW()</f>
        <v>9</v>
      </c>
      <c r="B9" s="54" t="s">
        <v>239</v>
      </c>
      <c r="D9" s="111">
        <f>+E45</f>
        <v>29560.737528230213</v>
      </c>
      <c r="E9" s="159">
        <v>0.25</v>
      </c>
      <c r="H9" s="88"/>
      <c r="S9" s="89"/>
    </row>
    <row r="10" spans="1:50" ht="16" customHeight="1" x14ac:dyDescent="0.35">
      <c r="A10" s="93">
        <f>ROW()</f>
        <v>10</v>
      </c>
      <c r="B10" s="54" t="s">
        <v>240</v>
      </c>
      <c r="D10" s="111">
        <f>-H22</f>
        <v>32000</v>
      </c>
      <c r="E10" s="159">
        <v>0.25</v>
      </c>
      <c r="H10" s="88"/>
      <c r="S10" s="89"/>
    </row>
    <row r="11" spans="1:50" ht="16" customHeight="1" thickBot="1" x14ac:dyDescent="0.4">
      <c r="A11" s="93">
        <f>ROW()</f>
        <v>11</v>
      </c>
      <c r="B11" s="54" t="s">
        <v>195</v>
      </c>
      <c r="D11" s="161">
        <f>D7*E7+D8*E8+D9*E9+D10*E10</f>
        <v>38496.410778640347</v>
      </c>
      <c r="E11" s="160">
        <f>SUM(E7:E10)</f>
        <v>1</v>
      </c>
      <c r="H11" s="88"/>
      <c r="S11" s="89"/>
    </row>
    <row r="12" spans="1:50" ht="16" customHeight="1" thickTop="1" x14ac:dyDescent="0.35">
      <c r="A12" s="93">
        <f>ROW()</f>
        <v>12</v>
      </c>
      <c r="H12" s="88"/>
      <c r="S12" s="89"/>
    </row>
    <row r="13" spans="1:50" ht="19.5" customHeight="1" thickBot="1" x14ac:dyDescent="0.4">
      <c r="A13" s="93">
        <f>ROW()</f>
        <v>13</v>
      </c>
      <c r="B13" s="114" t="s">
        <v>216</v>
      </c>
      <c r="C13" s="117"/>
      <c r="D13" s="117"/>
      <c r="E13" s="117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S13" s="89"/>
    </row>
    <row r="14" spans="1:50" s="107" customFormat="1" ht="14.5" customHeight="1" thickTop="1" x14ac:dyDescent="0.35">
      <c r="A14" s="93">
        <f>ROW()</f>
        <v>14</v>
      </c>
      <c r="B14" s="103"/>
      <c r="C14" s="103"/>
      <c r="D14" s="103"/>
      <c r="E14" s="176" t="s">
        <v>244</v>
      </c>
      <c r="F14" s="175"/>
      <c r="G14" s="175"/>
      <c r="H14" s="175"/>
      <c r="I14" s="176" t="s">
        <v>245</v>
      </c>
      <c r="J14" s="175"/>
      <c r="K14" s="175"/>
      <c r="L14" s="175"/>
      <c r="M14" s="175"/>
      <c r="N14" s="175"/>
      <c r="O14" s="175"/>
      <c r="P14" s="175"/>
      <c r="Q14"/>
      <c r="R14"/>
      <c r="S14" s="89"/>
      <c r="T14"/>
      <c r="U14" s="93"/>
      <c r="V14" s="93"/>
      <c r="W14" s="94" t="s">
        <v>192</v>
      </c>
      <c r="X14" s="93"/>
      <c r="Y14"/>
      <c r="Z14" s="93"/>
      <c r="AA14" s="93"/>
      <c r="AB14" s="94" t="s">
        <v>192</v>
      </c>
      <c r="AC14" s="93"/>
      <c r="AD14" s="93"/>
      <c r="AE14" s="93"/>
      <c r="AF14" s="93"/>
      <c r="AG14" s="94" t="s">
        <v>192</v>
      </c>
      <c r="AH14" s="93"/>
      <c r="AI14" s="93"/>
      <c r="AJ14" s="93"/>
      <c r="AK14" s="93"/>
      <c r="AL14" s="93"/>
      <c r="AM14" s="106" t="s">
        <v>192</v>
      </c>
      <c r="AN14" s="106" t="s">
        <v>197</v>
      </c>
      <c r="AO14" s="93"/>
      <c r="AS14"/>
    </row>
    <row r="15" spans="1:50" s="93" customFormat="1" ht="23" customHeight="1" x14ac:dyDescent="0.35">
      <c r="A15" s="93">
        <f>ROW()</f>
        <v>15</v>
      </c>
      <c r="B15" s="104"/>
      <c r="C15" s="104"/>
      <c r="D15" s="104"/>
      <c r="E15" s="182">
        <f>+'Financial Model'!E5</f>
        <v>2024</v>
      </c>
      <c r="F15" s="105">
        <f>+'Financial Model'!F5</f>
        <v>2025</v>
      </c>
      <c r="G15" s="105">
        <f>+'Financial Model'!G5</f>
        <v>2026</v>
      </c>
      <c r="H15" s="105">
        <f>+'Financial Model'!H5</f>
        <v>2027</v>
      </c>
      <c r="I15" s="177">
        <f>'Financial Model'!I5</f>
        <v>2028</v>
      </c>
      <c r="J15" s="104">
        <f>'Financial Model'!J5</f>
        <v>2029</v>
      </c>
      <c r="K15" s="104">
        <f>'Financial Model'!K5</f>
        <v>2030</v>
      </c>
      <c r="L15" s="104">
        <f>'Financial Model'!L5</f>
        <v>2031</v>
      </c>
      <c r="M15" s="104">
        <f>'Financial Model'!M5</f>
        <v>2032</v>
      </c>
      <c r="N15" s="104">
        <f>'Financial Model'!N5</f>
        <v>2032</v>
      </c>
      <c r="O15" s="104">
        <f>'Financial Model'!O5</f>
        <v>2032</v>
      </c>
      <c r="P15" s="104">
        <f>'Financial Model'!P5</f>
        <v>2032</v>
      </c>
      <c r="Q15"/>
      <c r="R15"/>
      <c r="S15" s="89"/>
      <c r="T15"/>
      <c r="U15" s="95" t="s">
        <v>193</v>
      </c>
      <c r="V15" s="98" t="s">
        <v>198</v>
      </c>
      <c r="W15" s="99" t="e">
        <f>#REF!</f>
        <v>#REF!</v>
      </c>
      <c r="X15" s="97" t="s">
        <v>194</v>
      </c>
      <c r="Y15"/>
      <c r="Z15" s="95" t="s">
        <v>193</v>
      </c>
      <c r="AA15" s="98" t="s">
        <v>199</v>
      </c>
      <c r="AB15" s="99" t="e">
        <f>#REF!</f>
        <v>#REF!</v>
      </c>
      <c r="AC15" s="97" t="s">
        <v>194</v>
      </c>
      <c r="AD15"/>
      <c r="AE15" s="95" t="s">
        <v>193</v>
      </c>
      <c r="AF15" s="96" t="s">
        <v>200</v>
      </c>
      <c r="AG15" s="99" t="e">
        <f>#REF!</f>
        <v>#REF!</v>
      </c>
      <c r="AH15" s="97" t="s">
        <v>194</v>
      </c>
      <c r="AI15"/>
      <c r="AJ15" s="95" t="s">
        <v>193</v>
      </c>
      <c r="AK15" s="96" t="s">
        <v>201</v>
      </c>
      <c r="AL15" s="96" t="s">
        <v>202</v>
      </c>
      <c r="AM15" s="99" t="e">
        <f>#REF!</f>
        <v>#REF!</v>
      </c>
      <c r="AN15" s="99" t="e">
        <f>#REF!</f>
        <v>#REF!</v>
      </c>
      <c r="AO15" s="97" t="s">
        <v>194</v>
      </c>
      <c r="AX15"/>
    </row>
    <row r="16" spans="1:50" x14ac:dyDescent="0.35">
      <c r="A16" s="93">
        <f>ROW()</f>
        <v>16</v>
      </c>
      <c r="B16" s="133" t="s">
        <v>217</v>
      </c>
      <c r="C16" s="133"/>
      <c r="D16" s="133"/>
      <c r="E16" s="179"/>
      <c r="F16" s="137"/>
      <c r="G16" s="137"/>
      <c r="H16" s="137"/>
      <c r="I16" s="178">
        <f>+'Financial Model'!I6</f>
        <v>133812</v>
      </c>
      <c r="J16" s="136">
        <f>+'Financial Model'!J6</f>
        <v>276544.79999999993</v>
      </c>
      <c r="K16" s="136">
        <f>+'Financial Model'!K6</f>
        <v>312228</v>
      </c>
      <c r="L16" s="136">
        <f>+'Financial Model'!L6</f>
        <v>330069.59999999998</v>
      </c>
      <c r="M16" s="136">
        <f>+'Financial Model'!M6</f>
        <v>330069.59999999998</v>
      </c>
      <c r="N16" s="136">
        <f>+'Financial Model'!N6</f>
        <v>285465.59999999998</v>
      </c>
      <c r="O16" s="136">
        <f>+'Financial Model'!O6</f>
        <v>249782.40000000005</v>
      </c>
      <c r="P16" s="136">
        <f>+'Financial Model'!P6</f>
        <v>196257.6</v>
      </c>
      <c r="Q16" s="137"/>
      <c r="R16" s="137"/>
      <c r="S16" s="138"/>
      <c r="T16" s="139"/>
      <c r="U16" s="135">
        <v>-0.5</v>
      </c>
      <c r="V16" s="140" t="e">
        <f>#REF!*(1+U16)</f>
        <v>#REF!</v>
      </c>
      <c r="W16" s="141">
        <v>39774.697243554459</v>
      </c>
      <c r="X16" s="142" t="e">
        <f>(W16-#REF!)/#REF!</f>
        <v>#REF!</v>
      </c>
      <c r="Y16" s="54"/>
      <c r="Z16" s="100">
        <v>-0.5</v>
      </c>
      <c r="AA16" s="108" t="e">
        <f>#REF!*(1+Z16)</f>
        <v>#REF!</v>
      </c>
      <c r="AB16" s="101">
        <v>39774.697243554459</v>
      </c>
      <c r="AC16" s="102" t="e">
        <f>(AB16-#REF!)/#REF!</f>
        <v>#REF!</v>
      </c>
      <c r="AD16" s="93"/>
      <c r="AE16" s="100">
        <v>-0.5</v>
      </c>
      <c r="AF16" s="108" t="e">
        <f>#REF!*(1+AE16)</f>
        <v>#REF!</v>
      </c>
      <c r="AG16" s="101">
        <v>39774.697243554459</v>
      </c>
      <c r="AH16" s="102" t="e">
        <f>(AG16-#REF!)/#REF!</f>
        <v>#REF!</v>
      </c>
      <c r="AI16" s="93"/>
      <c r="AJ16" s="100">
        <v>-0.5</v>
      </c>
      <c r="AK16" s="109" t="e">
        <f t="shared" ref="AK16" si="0">AL16*0.25%</f>
        <v>#REF!</v>
      </c>
      <c r="AL16" s="110" t="e">
        <f>#REF!*(1+AJ16)</f>
        <v>#REF!</v>
      </c>
      <c r="AM16" s="101">
        <v>39774.697243554459</v>
      </c>
      <c r="AN16" s="101">
        <v>6182108.0653865878</v>
      </c>
      <c r="AO16" s="102" t="e">
        <f>(AM16-#REF!)/#REF!</f>
        <v>#REF!</v>
      </c>
    </row>
    <row r="17" spans="1:50" x14ac:dyDescent="0.35">
      <c r="A17">
        <f>ROW()</f>
        <v>17</v>
      </c>
      <c r="B17" s="134" t="s">
        <v>137</v>
      </c>
      <c r="C17" s="134"/>
      <c r="D17" s="134"/>
      <c r="E17" s="179"/>
      <c r="F17" s="137"/>
      <c r="G17" s="137"/>
      <c r="H17" s="137"/>
      <c r="I17" s="179">
        <f>'Financial Model'!I18</f>
        <v>46834.2</v>
      </c>
      <c r="J17" s="137">
        <f>'Financial Model'!J18</f>
        <v>96790.68</v>
      </c>
      <c r="K17" s="137">
        <f>'Financial Model'!K18</f>
        <v>109279.79999999999</v>
      </c>
      <c r="L17" s="137">
        <f>'Financial Model'!L18</f>
        <v>115524.35999999999</v>
      </c>
      <c r="M17" s="137">
        <f>'Financial Model'!M18</f>
        <v>115524.35999999999</v>
      </c>
      <c r="N17" s="137">
        <f>'Financial Model'!N18</f>
        <v>99912.959999999992</v>
      </c>
      <c r="O17" s="137">
        <f>'Financial Model'!O18</f>
        <v>87423.840000000011</v>
      </c>
      <c r="P17" s="137">
        <f>'Financial Model'!P18</f>
        <v>68690.160000000018</v>
      </c>
      <c r="Q17" s="137"/>
      <c r="R17" s="137"/>
      <c r="S17" s="137"/>
      <c r="T17" s="139"/>
      <c r="U17" s="139"/>
      <c r="V17" s="54"/>
      <c r="W17" s="54"/>
      <c r="X17" s="54"/>
      <c r="Y17" s="54"/>
      <c r="Z17" s="54"/>
    </row>
    <row r="18" spans="1:50" x14ac:dyDescent="0.35">
      <c r="A18">
        <f>ROW()</f>
        <v>18</v>
      </c>
      <c r="B18" s="134" t="s">
        <v>149</v>
      </c>
      <c r="C18" s="134"/>
      <c r="D18" s="134"/>
      <c r="E18" s="179"/>
      <c r="F18" s="137"/>
      <c r="G18" s="137"/>
      <c r="H18" s="137"/>
      <c r="I18" s="179">
        <f>'Financial Model'!I28</f>
        <v>-1338.1200000000001</v>
      </c>
      <c r="J18" s="137">
        <f>'Financial Model'!J28</f>
        <v>-2765.4479999999994</v>
      </c>
      <c r="K18" s="137">
        <f>'Financial Model'!K28</f>
        <v>-3122.28</v>
      </c>
      <c r="L18" s="137">
        <f>'Financial Model'!L28</f>
        <v>-3300.6959999999999</v>
      </c>
      <c r="M18" s="137">
        <f>'Financial Model'!M28</f>
        <v>-3300.6959999999999</v>
      </c>
      <c r="N18" s="137">
        <f>'Financial Model'!N28</f>
        <v>-2854.6559999999999</v>
      </c>
      <c r="O18" s="137">
        <f>'Financial Model'!O28</f>
        <v>-2497.8240000000005</v>
      </c>
      <c r="P18" s="137">
        <f>'Financial Model'!P28</f>
        <v>-1962.576</v>
      </c>
      <c r="Q18" s="137"/>
      <c r="R18" s="137"/>
      <c r="S18" s="137"/>
      <c r="T18" s="139"/>
      <c r="U18" s="139"/>
      <c r="V18" s="54"/>
      <c r="W18" s="54"/>
      <c r="X18" s="54"/>
      <c r="Y18" s="54"/>
      <c r="Z18" s="54"/>
    </row>
    <row r="19" spans="1:50" x14ac:dyDescent="0.35">
      <c r="A19">
        <f>ROW()</f>
        <v>19</v>
      </c>
      <c r="B19" s="134" t="s">
        <v>218</v>
      </c>
      <c r="C19" s="134"/>
      <c r="D19" s="134"/>
      <c r="E19" s="179">
        <f>'Financial Model'!E29</f>
        <v>-3000</v>
      </c>
      <c r="F19" s="137">
        <f>'Financial Model'!F29</f>
        <v>-3000</v>
      </c>
      <c r="G19" s="137">
        <f>'Financial Model'!G29</f>
        <v>-6000</v>
      </c>
      <c r="H19" s="137">
        <f>'Financial Model'!H29</f>
        <v>-20000</v>
      </c>
      <c r="I19" s="179">
        <f>'Financial Model'!I29</f>
        <v>0</v>
      </c>
      <c r="J19" s="137">
        <f>'Financial Model'!J29</f>
        <v>0</v>
      </c>
      <c r="K19" s="137">
        <f>'Financial Model'!K29</f>
        <v>0</v>
      </c>
      <c r="L19" s="137">
        <f>'Financial Model'!L29</f>
        <v>0</v>
      </c>
      <c r="M19" s="137">
        <f>'Financial Model'!M29</f>
        <v>0</v>
      </c>
      <c r="N19" s="137">
        <f>'Financial Model'!N29</f>
        <v>0</v>
      </c>
      <c r="O19" s="137">
        <f>'Financial Model'!O29</f>
        <v>0</v>
      </c>
      <c r="P19" s="137">
        <f>'Financial Model'!P29</f>
        <v>0</v>
      </c>
      <c r="Q19" s="137"/>
      <c r="R19" s="137"/>
      <c r="S19" s="137"/>
      <c r="T19" s="139"/>
      <c r="U19" s="139"/>
      <c r="V19" s="54"/>
      <c r="W19" s="54"/>
      <c r="X19" s="54"/>
      <c r="Y19" s="54"/>
      <c r="Z19" s="54"/>
    </row>
    <row r="20" spans="1:50" ht="15" thickBot="1" x14ac:dyDescent="0.4">
      <c r="A20">
        <f>ROW()</f>
        <v>20</v>
      </c>
      <c r="B20" s="134" t="s">
        <v>219</v>
      </c>
      <c r="C20" s="134"/>
      <c r="D20" s="134"/>
      <c r="E20" s="179"/>
      <c r="F20" s="137"/>
      <c r="G20" s="137"/>
      <c r="H20" s="137"/>
      <c r="I20" s="179">
        <f>'Financial Model'!I30</f>
        <v>0</v>
      </c>
      <c r="J20" s="137">
        <f>'Financial Model'!J30</f>
        <v>0</v>
      </c>
      <c r="K20" s="137">
        <f>'Financial Model'!K30</f>
        <v>0</v>
      </c>
      <c r="L20" s="137">
        <f>'Financial Model'!L30</f>
        <v>0</v>
      </c>
      <c r="M20" s="137">
        <f>'Financial Model'!M30</f>
        <v>0</v>
      </c>
      <c r="N20" s="137">
        <f>'Financial Model'!N30</f>
        <v>0</v>
      </c>
      <c r="O20" s="137">
        <f>'Financial Model'!O30</f>
        <v>0</v>
      </c>
      <c r="P20" s="137">
        <f>'Financial Model'!P30</f>
        <v>0</v>
      </c>
      <c r="Q20" s="137"/>
      <c r="R20" s="137"/>
      <c r="S20" s="137"/>
      <c r="T20" s="139"/>
      <c r="U20" s="139"/>
      <c r="V20" s="54"/>
      <c r="W20" s="54"/>
      <c r="X20" s="54"/>
      <c r="Y20" s="54"/>
      <c r="Z20" s="54"/>
    </row>
    <row r="21" spans="1:50" ht="15" thickBot="1" x14ac:dyDescent="0.4">
      <c r="A21">
        <f>ROW()</f>
        <v>21</v>
      </c>
      <c r="B21" s="134" t="s">
        <v>220</v>
      </c>
      <c r="C21" s="150">
        <v>0.35</v>
      </c>
      <c r="D21" s="181">
        <f>NPV(C21,E21:P21)</f>
        <v>53824.615857422119</v>
      </c>
      <c r="E21" s="180">
        <f t="shared" ref="E21:H21" si="1">SUM(E17:E20)</f>
        <v>-3000</v>
      </c>
      <c r="F21" s="144">
        <f t="shared" si="1"/>
        <v>-3000</v>
      </c>
      <c r="G21" s="144">
        <f t="shared" si="1"/>
        <v>-6000</v>
      </c>
      <c r="H21" s="184">
        <f t="shared" si="1"/>
        <v>-20000</v>
      </c>
      <c r="I21" s="180">
        <f>SUM(I17:I20)</f>
        <v>45496.079999999994</v>
      </c>
      <c r="J21" s="144">
        <f t="shared" ref="J21:P21" si="2">SUM(J17:J20)</f>
        <v>94025.231999999989</v>
      </c>
      <c r="K21" s="144">
        <f t="shared" si="2"/>
        <v>106157.51999999999</v>
      </c>
      <c r="L21" s="144">
        <f t="shared" si="2"/>
        <v>112223.66399999999</v>
      </c>
      <c r="M21" s="144">
        <f t="shared" si="2"/>
        <v>112223.66399999999</v>
      </c>
      <c r="N21" s="144">
        <f t="shared" si="2"/>
        <v>97058.303999999989</v>
      </c>
      <c r="O21" s="144">
        <f t="shared" si="2"/>
        <v>84926.016000000003</v>
      </c>
      <c r="P21" s="144">
        <f t="shared" si="2"/>
        <v>66727.584000000017</v>
      </c>
      <c r="Q21" s="137"/>
      <c r="R21" s="137"/>
      <c r="S21" s="137"/>
      <c r="T21" s="139"/>
      <c r="U21" s="139"/>
      <c r="V21" s="54"/>
      <c r="W21" s="54"/>
      <c r="X21" s="54"/>
      <c r="Y21" s="54"/>
      <c r="Z21" s="54"/>
    </row>
    <row r="22" spans="1:50" ht="15" thickBot="1" x14ac:dyDescent="0.4">
      <c r="A22">
        <f>ROW()</f>
        <v>22</v>
      </c>
      <c r="B22" s="134"/>
      <c r="C22" s="134"/>
      <c r="D22" s="134"/>
      <c r="E22" s="183"/>
      <c r="F22" s="50"/>
      <c r="G22" s="157" t="s">
        <v>235</v>
      </c>
      <c r="H22" s="185">
        <f>SUM(E21:H21)</f>
        <v>-32000</v>
      </c>
      <c r="I22" s="145"/>
      <c r="J22" s="145"/>
      <c r="K22" s="145"/>
      <c r="L22" s="145"/>
      <c r="M22" s="145"/>
      <c r="N22" s="145"/>
      <c r="O22" s="145"/>
      <c r="P22" s="145"/>
      <c r="Q22" s="137"/>
      <c r="R22" s="137"/>
      <c r="S22" s="137"/>
      <c r="T22" s="139"/>
      <c r="U22" s="139"/>
      <c r="V22" s="54"/>
      <c r="W22" s="54"/>
      <c r="X22" s="54"/>
      <c r="Y22" s="54"/>
      <c r="Z22" s="54"/>
    </row>
    <row r="23" spans="1:50" x14ac:dyDescent="0.35">
      <c r="A23">
        <f>ROW()</f>
        <v>23</v>
      </c>
      <c r="B23" s="113" t="s">
        <v>203</v>
      </c>
      <c r="C23" s="113"/>
      <c r="D23" s="113"/>
      <c r="E23" s="113"/>
      <c r="F23" s="111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143"/>
      <c r="V23" s="143"/>
      <c r="W23" s="143"/>
      <c r="X23" s="143"/>
      <c r="Y23" s="143"/>
      <c r="Z23" s="143"/>
      <c r="AA23" s="93"/>
      <c r="AB23" s="93"/>
      <c r="AC23" s="93"/>
      <c r="AD23" s="93"/>
      <c r="AE23" s="93"/>
    </row>
    <row r="24" spans="1:50" s="93" customFormat="1" ht="20" customHeight="1" thickBot="1" x14ac:dyDescent="0.4">
      <c r="A24">
        <f>ROW()</f>
        <v>24</v>
      </c>
      <c r="B24" s="117" t="s">
        <v>204</v>
      </c>
      <c r="C24" s="117"/>
      <c r="D24" s="117"/>
      <c r="E24" s="116"/>
      <c r="F24" s="111"/>
      <c r="G24" s="117" t="s">
        <v>205</v>
      </c>
      <c r="H24" s="117"/>
      <c r="I24" s="117"/>
      <c r="J24" s="117"/>
      <c r="K24" s="117"/>
      <c r="L24" s="117"/>
      <c r="M24" s="117"/>
      <c r="N24" s="117"/>
      <c r="T24"/>
      <c r="U24"/>
      <c r="V24"/>
      <c r="W24"/>
      <c r="X24"/>
      <c r="Y24"/>
      <c r="Z24"/>
      <c r="AA24"/>
      <c r="AB24"/>
      <c r="AC24"/>
      <c r="AD24"/>
      <c r="AE24"/>
      <c r="AX24"/>
    </row>
    <row r="25" spans="1:50" ht="14.5" customHeight="1" thickTop="1" thickBot="1" x14ac:dyDescent="0.4">
      <c r="A25">
        <f>ROW()</f>
        <v>25</v>
      </c>
      <c r="B25" s="146"/>
      <c r="C25" s="146"/>
      <c r="D25" s="146"/>
      <c r="E25" s="146"/>
      <c r="F25" s="111"/>
      <c r="G25" s="118"/>
      <c r="H25" s="118"/>
      <c r="I25" s="118"/>
      <c r="J25" s="118"/>
      <c r="K25" s="118"/>
      <c r="L25" s="118"/>
      <c r="M25" s="118"/>
      <c r="N25" s="118"/>
    </row>
    <row r="26" spans="1:50" ht="72" customHeight="1" thickTop="1" thickBot="1" x14ac:dyDescent="0.4">
      <c r="A26">
        <f>ROW()</f>
        <v>26</v>
      </c>
      <c r="B26" s="149"/>
      <c r="C26" s="149"/>
      <c r="D26" s="149"/>
      <c r="E26" s="120"/>
      <c r="F26" s="111"/>
      <c r="G26" s="121" t="s">
        <v>221</v>
      </c>
      <c r="H26" s="122"/>
      <c r="I26" s="123"/>
      <c r="J26" s="119"/>
      <c r="K26" s="119" t="s">
        <v>246</v>
      </c>
      <c r="L26" s="119" t="s">
        <v>206</v>
      </c>
      <c r="M26" s="119" t="s">
        <v>224</v>
      </c>
      <c r="N26" s="119" t="s">
        <v>207</v>
      </c>
    </row>
    <row r="27" spans="1:50" ht="16.5" customHeight="1" x14ac:dyDescent="0.35">
      <c r="A27">
        <f>ROW()</f>
        <v>27</v>
      </c>
      <c r="B27" s="147" t="s">
        <v>250</v>
      </c>
      <c r="C27" s="147"/>
      <c r="D27" s="147"/>
      <c r="E27" s="192">
        <f>-H22</f>
        <v>32000</v>
      </c>
      <c r="F27" s="111"/>
      <c r="G27" s="54" t="s">
        <v>222</v>
      </c>
      <c r="J27" s="124"/>
      <c r="K27" s="124">
        <v>2.41</v>
      </c>
      <c r="L27" s="124">
        <v>12.79</v>
      </c>
      <c r="M27" s="125">
        <f t="shared" ref="M27:M32" si="3">+L27/(K27)</f>
        <v>5.3070539419087126</v>
      </c>
      <c r="N27" s="112">
        <v>0.23499999999999999</v>
      </c>
    </row>
    <row r="28" spans="1:50" ht="16.5" customHeight="1" x14ac:dyDescent="0.35">
      <c r="A28">
        <f>ROW()</f>
        <v>28</v>
      </c>
      <c r="B28" s="147" t="s">
        <v>249</v>
      </c>
      <c r="C28" s="147"/>
      <c r="D28" s="147"/>
      <c r="E28" s="191">
        <f>+D21</f>
        <v>53824.615857422119</v>
      </c>
      <c r="F28" s="111"/>
      <c r="G28" s="54" t="s">
        <v>223</v>
      </c>
      <c r="J28" s="124"/>
      <c r="K28" s="124">
        <v>0.53500000000000003</v>
      </c>
      <c r="L28" s="124">
        <v>2.95</v>
      </c>
      <c r="M28" s="125">
        <f t="shared" si="3"/>
        <v>5.5140186915887854</v>
      </c>
      <c r="N28" s="151">
        <v>0.42549999999999999</v>
      </c>
    </row>
    <row r="29" spans="1:50" ht="16.5" customHeight="1" x14ac:dyDescent="0.35">
      <c r="A29">
        <f>ROW()</f>
        <v>29</v>
      </c>
      <c r="B29" s="147" t="s">
        <v>251</v>
      </c>
      <c r="C29" s="147"/>
      <c r="D29" s="147"/>
      <c r="E29" s="126">
        <v>10</v>
      </c>
      <c r="F29" s="111"/>
      <c r="G29" s="54" t="s">
        <v>225</v>
      </c>
      <c r="J29" s="124"/>
      <c r="K29" s="124">
        <v>0.98899999999999999</v>
      </c>
      <c r="L29" s="124">
        <v>7.89</v>
      </c>
      <c r="M29" s="125">
        <f t="shared" si="3"/>
        <v>7.9777553083923154</v>
      </c>
      <c r="N29" s="112">
        <v>0.38229999999999997</v>
      </c>
    </row>
    <row r="30" spans="1:50" ht="16.5" customHeight="1" x14ac:dyDescent="0.45">
      <c r="A30">
        <f>ROW()</f>
        <v>30</v>
      </c>
      <c r="B30" s="147" t="s">
        <v>252</v>
      </c>
      <c r="C30" s="147"/>
      <c r="D30" s="147"/>
      <c r="E30" s="193">
        <f>+N42</f>
        <v>0.28088999999999997</v>
      </c>
      <c r="F30" s="111"/>
      <c r="G30" s="54" t="s">
        <v>226</v>
      </c>
      <c r="J30" s="124"/>
      <c r="K30" s="124">
        <v>0.73399999999999999</v>
      </c>
      <c r="L30" s="124">
        <v>2.09</v>
      </c>
      <c r="M30" s="125">
        <f t="shared" si="3"/>
        <v>2.8474114441416893</v>
      </c>
      <c r="N30" s="112">
        <v>0.28360000000000002</v>
      </c>
    </row>
    <row r="31" spans="1:50" ht="16.5" customHeight="1" x14ac:dyDescent="0.45">
      <c r="A31">
        <f>ROW()</f>
        <v>31</v>
      </c>
      <c r="B31" s="147" t="s">
        <v>253</v>
      </c>
      <c r="D31" s="147"/>
      <c r="E31" s="127">
        <f>SQRT(E30)</f>
        <v>0.52999056595377236</v>
      </c>
      <c r="F31" s="111"/>
      <c r="G31" s="54" t="s">
        <v>227</v>
      </c>
      <c r="J31" s="124"/>
      <c r="K31" s="124">
        <v>0.99</v>
      </c>
      <c r="L31" s="124">
        <v>6.6</v>
      </c>
      <c r="M31" s="125">
        <f t="shared" si="3"/>
        <v>6.6666666666666661</v>
      </c>
      <c r="N31" s="112">
        <v>0.24560000000000001</v>
      </c>
    </row>
    <row r="32" spans="1:50" ht="16.5" customHeight="1" x14ac:dyDescent="0.45">
      <c r="A32">
        <f>ROW()</f>
        <v>32</v>
      </c>
      <c r="B32" s="190" t="s">
        <v>254</v>
      </c>
      <c r="E32" s="187">
        <v>0.04</v>
      </c>
      <c r="F32" s="111"/>
      <c r="G32" s="54" t="s">
        <v>228</v>
      </c>
      <c r="J32" s="124"/>
      <c r="K32" s="124">
        <v>1.97</v>
      </c>
      <c r="L32" s="124">
        <v>10.32</v>
      </c>
      <c r="M32" s="125">
        <f t="shared" si="3"/>
        <v>5.2385786802030463</v>
      </c>
      <c r="N32" s="112">
        <v>0.22889999999999999</v>
      </c>
    </row>
    <row r="33" spans="1:50" ht="16.5" customHeight="1" x14ac:dyDescent="0.45">
      <c r="A33">
        <f>ROW()</f>
        <v>33</v>
      </c>
      <c r="B33" s="190" t="s">
        <v>255</v>
      </c>
      <c r="E33" s="187">
        <v>0.2</v>
      </c>
      <c r="F33" s="111"/>
      <c r="J33" s="124"/>
      <c r="K33" s="124"/>
      <c r="L33" s="124"/>
      <c r="M33" s="130"/>
      <c r="N33" s="112"/>
    </row>
    <row r="34" spans="1:50" ht="16.5" customHeight="1" x14ac:dyDescent="0.35">
      <c r="A34">
        <f>ROW()</f>
        <v>34</v>
      </c>
      <c r="E34" s="60"/>
      <c r="F34" s="111"/>
      <c r="G34" s="156" t="s">
        <v>232</v>
      </c>
    </row>
    <row r="35" spans="1:50" ht="16.5" customHeight="1" x14ac:dyDescent="0.35">
      <c r="A35">
        <f>ROW()</f>
        <v>35</v>
      </c>
      <c r="B35" s="92" t="s">
        <v>208</v>
      </c>
      <c r="C35" s="92"/>
      <c r="D35" s="92"/>
      <c r="E35" s="60"/>
      <c r="F35" s="111"/>
      <c r="G35" t="s">
        <v>229</v>
      </c>
      <c r="J35" s="124"/>
      <c r="K35" s="124">
        <v>8.02</v>
      </c>
      <c r="L35" s="124">
        <v>26.78</v>
      </c>
      <c r="M35" s="125">
        <f>+L35/(K35)</f>
        <v>3.3391521197007483</v>
      </c>
      <c r="N35" s="112">
        <v>0.29449999999999998</v>
      </c>
    </row>
    <row r="36" spans="1:50" ht="16.5" customHeight="1" x14ac:dyDescent="0.35">
      <c r="A36">
        <f>ROW()</f>
        <v>36</v>
      </c>
      <c r="B36" t="s">
        <v>209</v>
      </c>
      <c r="E36" s="128">
        <f>LN(E28/E27)</f>
        <v>0.51999500354501171</v>
      </c>
      <c r="F36" s="111"/>
      <c r="G36" t="s">
        <v>230</v>
      </c>
      <c r="J36" s="124"/>
      <c r="K36" s="124">
        <v>12.72</v>
      </c>
      <c r="L36" s="124">
        <v>52.34</v>
      </c>
      <c r="M36" s="125">
        <f>+L36/(K36)</f>
        <v>4.1147798742138368</v>
      </c>
      <c r="N36" s="112">
        <v>0.23449999999999999</v>
      </c>
    </row>
    <row r="37" spans="1:50" ht="16.5" customHeight="1" x14ac:dyDescent="0.35">
      <c r="A37">
        <f>ROW()</f>
        <v>37</v>
      </c>
      <c r="B37" s="148" t="s">
        <v>210</v>
      </c>
      <c r="C37" s="148"/>
      <c r="D37" s="148"/>
      <c r="E37" s="129">
        <f>(E32+-E33+E30/2)*E29</f>
        <v>-0.19555000000000017</v>
      </c>
      <c r="F37" s="111"/>
      <c r="G37" t="s">
        <v>231</v>
      </c>
      <c r="J37" s="124"/>
      <c r="K37" s="124">
        <v>4.22</v>
      </c>
      <c r="L37" s="155">
        <v>14.15</v>
      </c>
      <c r="M37" s="125">
        <f>+L37/(K37)</f>
        <v>3.3530805687203795</v>
      </c>
      <c r="N37" s="112">
        <v>0.29449999999999998</v>
      </c>
    </row>
    <row r="38" spans="1:50" ht="16.5" customHeight="1" x14ac:dyDescent="0.35">
      <c r="A38">
        <f>ROW()</f>
        <v>38</v>
      </c>
      <c r="B38" t="s">
        <v>211</v>
      </c>
      <c r="E38" s="129">
        <f>(SQRT(E30)*(SQRT(E29)))</f>
        <v>1.6759773268156104</v>
      </c>
      <c r="F38" s="111"/>
      <c r="G38" t="s">
        <v>233</v>
      </c>
      <c r="J38" s="124"/>
      <c r="K38" s="124">
        <v>0.80100000000000005</v>
      </c>
      <c r="L38" s="124">
        <v>15.32</v>
      </c>
      <c r="M38" s="125">
        <f>+L38/(K38)</f>
        <v>19.12609238451935</v>
      </c>
      <c r="N38" s="112">
        <v>0.1845</v>
      </c>
    </row>
    <row r="39" spans="1:50" ht="16.5" customHeight="1" x14ac:dyDescent="0.35">
      <c r="A39">
        <f>ROW()</f>
        <v>39</v>
      </c>
      <c r="E39" s="60"/>
      <c r="F39" s="111"/>
      <c r="J39" s="124"/>
      <c r="K39" s="124"/>
      <c r="L39" s="124"/>
      <c r="M39" s="125"/>
      <c r="N39" s="112"/>
    </row>
    <row r="40" spans="1:50" ht="16.5" customHeight="1" x14ac:dyDescent="0.35">
      <c r="A40">
        <f>ROW()</f>
        <v>40</v>
      </c>
      <c r="B40" t="s">
        <v>212</v>
      </c>
      <c r="E40" s="129">
        <f>+(LN(E28/E27)+(E32+-E33+E30/2)*E29)/((SQRT(E30)*(SQRT(E29))))</f>
        <v>0.19358555653104412</v>
      </c>
      <c r="F40" s="111"/>
      <c r="J40" s="124"/>
      <c r="K40" s="124"/>
      <c r="L40" s="124"/>
      <c r="M40" s="125"/>
      <c r="N40" s="112"/>
    </row>
    <row r="41" spans="1:50" ht="16.5" customHeight="1" x14ac:dyDescent="0.35">
      <c r="A41">
        <f>ROW()</f>
        <v>41</v>
      </c>
      <c r="B41" t="s">
        <v>213</v>
      </c>
      <c r="E41" s="129">
        <f>+E40-((SQRT(E30)*(SQRT(E29))))</f>
        <v>-1.4823917702845664</v>
      </c>
      <c r="F41" s="111"/>
      <c r="J41" s="124"/>
      <c r="K41" s="124"/>
      <c r="L41" s="124"/>
      <c r="M41" s="125"/>
      <c r="N41" s="112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</row>
    <row r="42" spans="1:50" s="93" customFormat="1" ht="22" customHeight="1" thickBot="1" x14ac:dyDescent="0.4">
      <c r="A42">
        <f>ROW()</f>
        <v>42</v>
      </c>
      <c r="B42" t="s">
        <v>214</v>
      </c>
      <c r="C42"/>
      <c r="D42" s="190" t="s">
        <v>256</v>
      </c>
      <c r="E42" s="128">
        <f>NORMSDIST(E40)</f>
        <v>0.57674979576520657</v>
      </c>
      <c r="F42" s="111"/>
      <c r="G42" s="152" t="s">
        <v>195</v>
      </c>
      <c r="H42" s="152"/>
      <c r="I42" s="152"/>
      <c r="J42" s="153"/>
      <c r="K42" s="153">
        <f t="shared" ref="K42:L42" si="4">AVERAGE(K27:K41)</f>
        <v>3.3389000000000002</v>
      </c>
      <c r="L42" s="153">
        <f t="shared" si="4"/>
        <v>15.122999999999999</v>
      </c>
      <c r="M42" s="154">
        <f>AVERAGE(M27:M37)</f>
        <v>4.9287219217262423</v>
      </c>
      <c r="N42" s="186">
        <f>AVERAGE(N27:N41)</f>
        <v>0.28088999999999997</v>
      </c>
      <c r="T42"/>
      <c r="U42"/>
      <c r="V42"/>
      <c r="W42"/>
      <c r="X42"/>
      <c r="Y42"/>
      <c r="Z42"/>
      <c r="AA42"/>
      <c r="AB42"/>
      <c r="AC42"/>
      <c r="AD42"/>
      <c r="AE42"/>
      <c r="AX42"/>
    </row>
    <row r="43" spans="1:50" ht="15.5" thickTop="1" thickBot="1" x14ac:dyDescent="0.4">
      <c r="A43">
        <f>ROW()</f>
        <v>43</v>
      </c>
      <c r="B43" t="s">
        <v>215</v>
      </c>
      <c r="E43" s="128">
        <f>NORMSDIST(E41)</f>
        <v>6.91180412367466E-2</v>
      </c>
      <c r="F43" s="111"/>
      <c r="L43" s="76"/>
      <c r="N43" s="130"/>
    </row>
    <row r="44" spans="1:50" ht="16.5" customHeight="1" thickBot="1" x14ac:dyDescent="0.4">
      <c r="A44">
        <f>ROW()</f>
        <v>44</v>
      </c>
      <c r="B44" s="189" t="s">
        <v>248</v>
      </c>
      <c r="E44" s="128">
        <f>EXP(-E32*E29)</f>
        <v>0.67032004603563933</v>
      </c>
      <c r="F44" s="111"/>
      <c r="G44" s="139" t="s">
        <v>234</v>
      </c>
      <c r="H44" s="111"/>
      <c r="I44" s="111"/>
      <c r="J44" s="69">
        <v>0.5</v>
      </c>
      <c r="K44" s="158">
        <f>M44/(1+J44)^7</f>
        <v>38600.289728909047</v>
      </c>
      <c r="L44" s="111"/>
      <c r="M44" s="111">
        <f>+M42*I16</f>
        <v>659522.13779003196</v>
      </c>
      <c r="N44" s="111"/>
      <c r="O44" s="111"/>
      <c r="P44" s="111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</row>
    <row r="45" spans="1:50" s="93" customFormat="1" ht="20.5" customHeight="1" thickBot="1" x14ac:dyDescent="0.4">
      <c r="B45" s="131" t="s">
        <v>247</v>
      </c>
      <c r="C45" s="131"/>
      <c r="D45" s="131"/>
      <c r="E45" s="158">
        <f>+(E28*E42)-(E27*E44)*E43</f>
        <v>29560.737528230213</v>
      </c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T45"/>
      <c r="U45"/>
      <c r="V45"/>
      <c r="W45"/>
      <c r="X45"/>
      <c r="Y45"/>
      <c r="Z45"/>
      <c r="AA45"/>
      <c r="AB45"/>
      <c r="AC45"/>
      <c r="AD45"/>
      <c r="AE45"/>
      <c r="AX45"/>
    </row>
    <row r="46" spans="1:50" ht="14.5" customHeight="1" x14ac:dyDescent="0.35"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</row>
    <row r="47" spans="1:50" ht="14.5" customHeight="1" x14ac:dyDescent="0.35"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</row>
    <row r="48" spans="1:50" ht="14.5" customHeight="1" x14ac:dyDescent="0.35">
      <c r="E48" s="188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</row>
    <row r="49" spans="1:50" s="93" customFormat="1" ht="18.5" customHeight="1" x14ac:dyDescent="0.35">
      <c r="A49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T49"/>
      <c r="AX49"/>
    </row>
    <row r="50" spans="1:50" s="93" customFormat="1" ht="18.5" customHeight="1" x14ac:dyDescent="0.35">
      <c r="A50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T50"/>
      <c r="AX50"/>
    </row>
    <row r="51" spans="1:50" s="93" customFormat="1" ht="19" customHeight="1" x14ac:dyDescent="0.35">
      <c r="A51"/>
      <c r="B51" s="132"/>
      <c r="C51" s="132"/>
      <c r="D51" s="132"/>
      <c r="E51" s="132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T51"/>
      <c r="U51"/>
      <c r="V51"/>
      <c r="W51"/>
      <c r="X51"/>
      <c r="Y51"/>
      <c r="Z51"/>
      <c r="AA51"/>
      <c r="AB51"/>
      <c r="AC51"/>
      <c r="AD51"/>
      <c r="AE51"/>
      <c r="AX51"/>
    </row>
    <row r="52" spans="1:50" x14ac:dyDescent="0.35">
      <c r="B52" s="113"/>
      <c r="C52" s="113"/>
      <c r="D52" s="113"/>
      <c r="E52" s="113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</row>
    <row r="53" spans="1:50" x14ac:dyDescent="0.35">
      <c r="B53" s="113"/>
      <c r="C53" s="113"/>
      <c r="D53" s="113"/>
      <c r="E53" s="113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</row>
    <row r="54" spans="1:50" x14ac:dyDescent="0.35">
      <c r="B54" s="113"/>
      <c r="C54" s="113"/>
      <c r="D54" s="113"/>
      <c r="E54" s="113"/>
    </row>
    <row r="55" spans="1:50" x14ac:dyDescent="0.35">
      <c r="B55" s="113"/>
      <c r="C55" s="113"/>
      <c r="D55" s="113"/>
      <c r="E55" s="113"/>
    </row>
    <row r="56" spans="1:50" ht="19" customHeight="1" x14ac:dyDescent="0.35">
      <c r="B56" s="113"/>
      <c r="C56" s="113"/>
      <c r="D56" s="113"/>
      <c r="E56" s="113"/>
    </row>
    <row r="57" spans="1:50" x14ac:dyDescent="0.35">
      <c r="B57" s="113"/>
      <c r="C57" s="113"/>
      <c r="D57" s="113"/>
      <c r="E57" s="113"/>
    </row>
  </sheetData>
  <phoneticPr fontId="45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1"/>
  <sheetViews>
    <sheetView workbookViewId="0">
      <selection activeCell="A2" sqref="A2"/>
    </sheetView>
  </sheetViews>
  <sheetFormatPr defaultColWidth="14.453125" defaultRowHeight="15" customHeight="1" x14ac:dyDescent="0.35"/>
  <cols>
    <col min="1" max="1" width="47.453125" style="3" customWidth="1"/>
    <col min="2" max="2" width="9" style="3" customWidth="1"/>
    <col min="3" max="3" width="4.08984375" style="3" customWidth="1"/>
    <col min="4" max="4" width="16.90625" style="3" customWidth="1"/>
    <col min="5" max="5" width="17.6328125" style="3" customWidth="1"/>
    <col min="6" max="6" width="14.54296875" style="3" customWidth="1"/>
    <col min="7" max="7" width="17.90625" style="3" customWidth="1"/>
    <col min="8" max="9" width="8.90625" style="3" customWidth="1"/>
    <col min="10" max="10" width="10.6328125" style="3" customWidth="1"/>
    <col min="11" max="11" width="12.36328125" style="3" customWidth="1"/>
    <col min="12" max="26" width="8.6328125" style="3" customWidth="1"/>
    <col min="27" max="16384" width="14.453125" style="3"/>
  </cols>
  <sheetData>
    <row r="1" spans="1:10" ht="18" customHeight="1" x14ac:dyDescent="0.35">
      <c r="A1" s="174" t="str">
        <f>+'Financial Model'!B1</f>
        <v>Pharma 48X</v>
      </c>
      <c r="B1" s="2"/>
      <c r="C1" s="2"/>
      <c r="D1" s="2"/>
      <c r="E1" s="2"/>
    </row>
    <row r="2" spans="1:10" ht="13.5" customHeight="1" x14ac:dyDescent="0.35">
      <c r="A2" s="4"/>
      <c r="B2" s="2"/>
      <c r="C2" s="2"/>
      <c r="D2" s="2"/>
      <c r="E2" s="2"/>
    </row>
    <row r="3" spans="1:10" ht="18.649999999999999" customHeight="1" x14ac:dyDescent="0.35">
      <c r="A3" s="1" t="s">
        <v>102</v>
      </c>
      <c r="B3" s="2"/>
      <c r="C3" s="2"/>
      <c r="D3" s="2"/>
      <c r="E3" s="2"/>
    </row>
    <row r="4" spans="1:10" ht="21" customHeight="1" x14ac:dyDescent="0.35">
      <c r="A4" s="1" t="s">
        <v>123</v>
      </c>
      <c r="B4" s="2"/>
      <c r="C4" s="2"/>
      <c r="D4" s="2"/>
      <c r="E4" s="2"/>
    </row>
    <row r="5" spans="1:10" ht="13.5" customHeight="1" x14ac:dyDescent="0.35">
      <c r="A5" s="1"/>
      <c r="B5" s="2"/>
      <c r="C5" s="2"/>
      <c r="D5" s="2"/>
      <c r="E5" s="2"/>
    </row>
    <row r="6" spans="1:10" ht="13.5" customHeight="1" x14ac:dyDescent="0.35">
      <c r="A6" s="5"/>
      <c r="B6" s="6"/>
      <c r="C6" s="7"/>
      <c r="D6" s="7"/>
      <c r="E6" s="7"/>
    </row>
    <row r="7" spans="1:10" ht="13.5" customHeight="1" x14ac:dyDescent="0.35">
      <c r="A7" s="5"/>
      <c r="B7" s="8"/>
      <c r="C7" s="9"/>
      <c r="D7" s="9"/>
      <c r="E7" s="9"/>
    </row>
    <row r="8" spans="1:10" ht="13.5" customHeight="1" x14ac:dyDescent="0.35">
      <c r="A8" s="5"/>
      <c r="B8" s="8"/>
      <c r="C8" s="7"/>
      <c r="D8" s="7">
        <v>2022</v>
      </c>
      <c r="E8" s="7">
        <v>2023</v>
      </c>
    </row>
    <row r="9" spans="1:10" ht="13.5" customHeight="1" x14ac:dyDescent="0.35">
      <c r="B9" s="6" t="s">
        <v>1</v>
      </c>
      <c r="C9" s="7"/>
      <c r="D9" s="7" t="s">
        <v>100</v>
      </c>
      <c r="E9" s="7" t="s">
        <v>100</v>
      </c>
    </row>
    <row r="10" spans="1:10" ht="13.5" customHeight="1" x14ac:dyDescent="0.35">
      <c r="B10" s="6"/>
      <c r="C10" s="6"/>
      <c r="D10" s="6"/>
      <c r="E10" s="6"/>
    </row>
    <row r="11" spans="1:10" ht="13.5" customHeight="1" x14ac:dyDescent="0.35">
      <c r="A11" s="5" t="s">
        <v>2</v>
      </c>
      <c r="B11" s="6"/>
      <c r="C11" s="6"/>
      <c r="D11" s="11">
        <v>0</v>
      </c>
      <c r="E11" s="10">
        <f>-'TB 2023'!C41</f>
        <v>1381.29</v>
      </c>
      <c r="J11" s="12"/>
    </row>
    <row r="12" spans="1:10" ht="13.5" customHeight="1" x14ac:dyDescent="0.35">
      <c r="B12" s="6"/>
      <c r="C12" s="6"/>
      <c r="D12" s="11"/>
      <c r="E12" s="10"/>
      <c r="J12" s="12"/>
    </row>
    <row r="13" spans="1:10" ht="13.5" customHeight="1" x14ac:dyDescent="0.35">
      <c r="A13" s="3" t="s">
        <v>3</v>
      </c>
      <c r="B13" s="6"/>
      <c r="C13" s="6"/>
      <c r="D13" s="11">
        <f>-'TB 2022'!C57</f>
        <v>-2079.41</v>
      </c>
      <c r="E13" s="10">
        <f>-'TB 2023'!C67</f>
        <v>0</v>
      </c>
      <c r="J13" s="12"/>
    </row>
    <row r="14" spans="1:10" ht="13.5" customHeight="1" x14ac:dyDescent="0.35">
      <c r="B14" s="6"/>
      <c r="C14" s="6"/>
      <c r="D14" s="11"/>
      <c r="E14" s="10"/>
    </row>
    <row r="15" spans="1:10" ht="13.5" customHeight="1" x14ac:dyDescent="0.35">
      <c r="A15" s="5" t="s">
        <v>4</v>
      </c>
      <c r="B15" s="6"/>
      <c r="C15" s="6"/>
      <c r="D15" s="14">
        <f t="shared" ref="D15" si="0">SUM(D11:D13)</f>
        <v>-2079.41</v>
      </c>
      <c r="E15" s="13">
        <f>SUM(E11:E13)</f>
        <v>1381.29</v>
      </c>
    </row>
    <row r="16" spans="1:10" ht="13.5" customHeight="1" x14ac:dyDescent="0.35">
      <c r="B16" s="6"/>
      <c r="C16" s="6"/>
      <c r="D16" s="11"/>
      <c r="E16" s="10"/>
    </row>
    <row r="17" spans="1:10" ht="13.5" customHeight="1" x14ac:dyDescent="0.35">
      <c r="A17" s="3" t="s">
        <v>5</v>
      </c>
      <c r="B17" s="6">
        <v>1</v>
      </c>
      <c r="C17" s="15"/>
      <c r="D17" s="10">
        <f>-Notes!B40</f>
        <v>-127300.21999999997</v>
      </c>
      <c r="E17" s="10">
        <f>-Notes!C40</f>
        <v>-102303.4</v>
      </c>
      <c r="J17" s="16"/>
    </row>
    <row r="18" spans="1:10" ht="13.5" customHeight="1" x14ac:dyDescent="0.35">
      <c r="B18" s="6"/>
      <c r="C18" s="15"/>
      <c r="D18" s="10"/>
      <c r="E18" s="10"/>
      <c r="J18" s="16"/>
    </row>
    <row r="19" spans="1:10" ht="13.5" customHeight="1" x14ac:dyDescent="0.35">
      <c r="A19" s="5" t="s">
        <v>6</v>
      </c>
      <c r="B19" s="6"/>
      <c r="C19" s="15"/>
      <c r="D19" s="13">
        <f>SUM(D15:D17)</f>
        <v>-129379.62999999998</v>
      </c>
      <c r="E19" s="13">
        <f t="shared" ref="E19" si="1">SUM(E15:E17)</f>
        <v>-100922.11</v>
      </c>
      <c r="J19" s="12"/>
    </row>
    <row r="20" spans="1:10" ht="13.5" customHeight="1" x14ac:dyDescent="0.35">
      <c r="B20" s="6"/>
      <c r="C20" s="6"/>
      <c r="D20" s="6"/>
      <c r="E20" s="6"/>
    </row>
    <row r="21" spans="1:10" ht="13.5" customHeight="1" x14ac:dyDescent="0.35">
      <c r="A21" s="3" t="s">
        <v>7</v>
      </c>
      <c r="B21" s="6">
        <v>2</v>
      </c>
      <c r="C21" s="15"/>
      <c r="D21" s="10">
        <f>-Notes!B48</f>
        <v>-1310.1399999999999</v>
      </c>
      <c r="E21" s="10">
        <f>-Notes!C48</f>
        <v>-731.66</v>
      </c>
    </row>
    <row r="22" spans="1:10" ht="13.5" customHeight="1" x14ac:dyDescent="0.35">
      <c r="B22" s="6"/>
      <c r="C22" s="15"/>
      <c r="D22" s="44"/>
      <c r="E22" s="44"/>
      <c r="J22" s="16"/>
    </row>
    <row r="23" spans="1:10" ht="13.5" customHeight="1" x14ac:dyDescent="0.35">
      <c r="A23" s="5" t="s">
        <v>101</v>
      </c>
      <c r="B23" s="6"/>
      <c r="C23" s="15"/>
      <c r="D23" s="15">
        <f>SUM(D19:D21)-1</f>
        <v>-130690.76999999997</v>
      </c>
      <c r="E23" s="15">
        <f>SUM(E19:E21)</f>
        <v>-101653.77</v>
      </c>
    </row>
    <row r="24" spans="1:10" ht="13.5" customHeight="1" x14ac:dyDescent="0.35">
      <c r="B24" s="6"/>
      <c r="C24" s="6"/>
      <c r="D24" s="6"/>
      <c r="E24" s="6"/>
      <c r="J24" s="12"/>
    </row>
    <row r="25" spans="1:10" ht="13.5" customHeight="1" x14ac:dyDescent="0.35">
      <c r="A25" s="3" t="s">
        <v>96</v>
      </c>
      <c r="B25" s="6"/>
      <c r="C25" s="6"/>
      <c r="D25" s="10">
        <f>-'TB 2022'!C59</f>
        <v>-760.25</v>
      </c>
      <c r="E25" s="10">
        <f>-'TB 2023'!C63</f>
        <v>-118.84</v>
      </c>
      <c r="J25" s="12"/>
    </row>
    <row r="26" spans="1:10" ht="13.5" customHeight="1" x14ac:dyDescent="0.35">
      <c r="B26" s="6"/>
      <c r="C26" s="7"/>
      <c r="D26" s="7"/>
      <c r="E26" s="7"/>
      <c r="J26" s="12"/>
    </row>
    <row r="27" spans="1:10" ht="13.5" customHeight="1" x14ac:dyDescent="0.35">
      <c r="A27" s="5" t="s">
        <v>97</v>
      </c>
      <c r="B27" s="6"/>
      <c r="C27" s="15"/>
      <c r="D27" s="13">
        <f>D23+D25</f>
        <v>-131451.01999999996</v>
      </c>
      <c r="E27" s="13">
        <f>E23+E25</f>
        <v>-101772.61</v>
      </c>
      <c r="G27" s="18"/>
    </row>
    <row r="28" spans="1:10" ht="13.5" customHeight="1" x14ac:dyDescent="0.35">
      <c r="A28" s="5"/>
      <c r="B28" s="6"/>
      <c r="C28" s="6"/>
      <c r="D28" s="6"/>
      <c r="E28" s="6"/>
      <c r="G28" s="11"/>
    </row>
    <row r="29" spans="1:10" ht="13.5" customHeight="1" x14ac:dyDescent="0.35">
      <c r="A29" s="26" t="s">
        <v>98</v>
      </c>
      <c r="B29" s="2"/>
      <c r="C29" s="2"/>
      <c r="D29" s="10">
        <v>0</v>
      </c>
      <c r="E29" s="10">
        <v>0</v>
      </c>
      <c r="J29" s="12"/>
    </row>
    <row r="30" spans="1:10" ht="13.5" customHeight="1" x14ac:dyDescent="0.35">
      <c r="A30" s="5"/>
      <c r="J30" s="16"/>
    </row>
    <row r="31" spans="1:10" ht="13.5" customHeight="1" thickBot="1" x14ac:dyDescent="0.4">
      <c r="A31" s="26" t="s">
        <v>99</v>
      </c>
      <c r="B31" s="2"/>
      <c r="C31" s="2"/>
      <c r="D31" s="45">
        <f>D27+D29</f>
        <v>-131451.01999999996</v>
      </c>
      <c r="E31" s="45">
        <f>E27+E29</f>
        <v>-101772.61</v>
      </c>
    </row>
    <row r="32" spans="1:10" ht="13.5" customHeight="1" thickTop="1" x14ac:dyDescent="0.35">
      <c r="J32" s="12"/>
    </row>
    <row r="33" spans="1:11" ht="13.5" customHeight="1" x14ac:dyDescent="0.35">
      <c r="A33" s="19"/>
      <c r="B33" s="2"/>
      <c r="C33" s="2"/>
      <c r="D33" s="2"/>
      <c r="E33" s="2"/>
    </row>
    <row r="34" spans="1:11" ht="13.5" customHeight="1" x14ac:dyDescent="0.35"/>
    <row r="35" spans="1:11" ht="13.5" customHeight="1" x14ac:dyDescent="0.35">
      <c r="D35" s="11"/>
    </row>
    <row r="36" spans="1:11" ht="13.5" customHeight="1" x14ac:dyDescent="0.35">
      <c r="J36" s="12"/>
    </row>
    <row r="37" spans="1:11" ht="13.5" customHeight="1" x14ac:dyDescent="0.35"/>
    <row r="38" spans="1:11" ht="13.5" customHeight="1" x14ac:dyDescent="0.35">
      <c r="J38" s="12"/>
      <c r="K38" s="18"/>
    </row>
    <row r="39" spans="1:11" ht="13.5" customHeight="1" x14ac:dyDescent="0.35"/>
    <row r="40" spans="1:11" ht="13.5" customHeight="1" x14ac:dyDescent="0.35"/>
    <row r="41" spans="1:11" ht="13.5" customHeight="1" x14ac:dyDescent="0.35"/>
    <row r="42" spans="1:11" ht="13.5" customHeight="1" x14ac:dyDescent="0.35"/>
    <row r="43" spans="1:11" ht="13.5" customHeight="1" x14ac:dyDescent="0.35"/>
    <row r="44" spans="1:11" ht="13.5" customHeight="1" x14ac:dyDescent="0.35"/>
    <row r="45" spans="1:11" ht="13.5" customHeight="1" x14ac:dyDescent="0.35"/>
    <row r="46" spans="1:11" ht="13.5" customHeight="1" x14ac:dyDescent="0.35"/>
    <row r="47" spans="1:11" ht="13.5" customHeight="1" x14ac:dyDescent="0.35"/>
    <row r="48" spans="1:11" ht="13.5" customHeight="1" x14ac:dyDescent="0.35"/>
    <row r="49" ht="13.5" customHeight="1" x14ac:dyDescent="0.35"/>
    <row r="50" ht="13.5" customHeight="1" x14ac:dyDescent="0.35"/>
    <row r="51" ht="13.5" customHeight="1" x14ac:dyDescent="0.35"/>
    <row r="52" ht="13.5" customHeight="1" x14ac:dyDescent="0.35"/>
    <row r="53" ht="13.5" customHeight="1" x14ac:dyDescent="0.35"/>
    <row r="54" ht="13.5" customHeight="1" x14ac:dyDescent="0.35"/>
    <row r="55" ht="13.5" customHeight="1" x14ac:dyDescent="0.35"/>
    <row r="56" ht="13.5" customHeight="1" x14ac:dyDescent="0.35"/>
    <row r="57" ht="13.5" customHeight="1" x14ac:dyDescent="0.35"/>
    <row r="58" ht="13.5" customHeight="1" x14ac:dyDescent="0.35"/>
    <row r="59" ht="13.5" customHeight="1" x14ac:dyDescent="0.35"/>
    <row r="60" ht="13.5" customHeight="1" x14ac:dyDescent="0.35"/>
    <row r="61" ht="13.5" customHeight="1" x14ac:dyDescent="0.35"/>
    <row r="62" ht="13.5" customHeight="1" x14ac:dyDescent="0.35"/>
    <row r="63" ht="13.5" customHeight="1" x14ac:dyDescent="0.35"/>
    <row r="64" ht="13.5" customHeight="1" x14ac:dyDescent="0.35"/>
    <row r="65" ht="13.5" customHeight="1" x14ac:dyDescent="0.35"/>
    <row r="66" ht="13.5" customHeight="1" x14ac:dyDescent="0.35"/>
    <row r="67" ht="13.5" customHeight="1" x14ac:dyDescent="0.35"/>
    <row r="68" ht="13.5" customHeight="1" x14ac:dyDescent="0.35"/>
    <row r="69" ht="13.5" customHeight="1" x14ac:dyDescent="0.35"/>
    <row r="70" ht="13.5" customHeight="1" x14ac:dyDescent="0.35"/>
    <row r="71" ht="13.5" customHeight="1" x14ac:dyDescent="0.35"/>
    <row r="72" ht="13.5" customHeight="1" x14ac:dyDescent="0.35"/>
    <row r="73" ht="13.5" customHeight="1" x14ac:dyDescent="0.35"/>
    <row r="74" ht="13.5" customHeight="1" x14ac:dyDescent="0.35"/>
    <row r="75" ht="13.5" customHeight="1" x14ac:dyDescent="0.35"/>
    <row r="76" ht="13.5" customHeight="1" x14ac:dyDescent="0.35"/>
    <row r="77" ht="13.5" customHeight="1" x14ac:dyDescent="0.35"/>
    <row r="78" ht="13.5" customHeight="1" x14ac:dyDescent="0.35"/>
    <row r="79" ht="13.5" customHeight="1" x14ac:dyDescent="0.35"/>
    <row r="80" ht="13.5" customHeight="1" x14ac:dyDescent="0.35"/>
    <row r="81" ht="13.5" customHeight="1" x14ac:dyDescent="0.35"/>
    <row r="82" ht="13.5" customHeight="1" x14ac:dyDescent="0.35"/>
    <row r="83" ht="13.5" customHeight="1" x14ac:dyDescent="0.35"/>
    <row r="84" ht="13.5" customHeight="1" x14ac:dyDescent="0.35"/>
    <row r="85" ht="13.5" customHeight="1" x14ac:dyDescent="0.35"/>
    <row r="86" ht="13.5" customHeight="1" x14ac:dyDescent="0.35"/>
    <row r="87" ht="13.5" customHeight="1" x14ac:dyDescent="0.35"/>
    <row r="88" ht="13.5" customHeight="1" x14ac:dyDescent="0.35"/>
    <row r="89" ht="13.5" customHeight="1" x14ac:dyDescent="0.35"/>
    <row r="90" ht="13.5" customHeight="1" x14ac:dyDescent="0.35"/>
    <row r="91" ht="13.5" customHeight="1" x14ac:dyDescent="0.35"/>
    <row r="92" ht="13.5" customHeight="1" x14ac:dyDescent="0.35"/>
    <row r="93" ht="13.5" customHeight="1" x14ac:dyDescent="0.35"/>
    <row r="94" ht="13.5" customHeight="1" x14ac:dyDescent="0.35"/>
    <row r="95" ht="13.5" customHeight="1" x14ac:dyDescent="0.35"/>
    <row r="96" ht="13.5" customHeight="1" x14ac:dyDescent="0.35"/>
    <row r="97" ht="13.5" customHeight="1" x14ac:dyDescent="0.35"/>
    <row r="98" ht="13.5" customHeight="1" x14ac:dyDescent="0.35"/>
    <row r="99" ht="13.5" customHeight="1" x14ac:dyDescent="0.35"/>
    <row r="100" ht="13.5" customHeight="1" x14ac:dyDescent="0.35"/>
    <row r="101" ht="13.5" customHeight="1" x14ac:dyDescent="0.35"/>
    <row r="102" ht="13.5" customHeight="1" x14ac:dyDescent="0.35"/>
    <row r="103" ht="13.5" customHeight="1" x14ac:dyDescent="0.35"/>
    <row r="104" ht="13.5" customHeight="1" x14ac:dyDescent="0.35"/>
    <row r="105" ht="13.5" customHeight="1" x14ac:dyDescent="0.35"/>
    <row r="106" ht="13.5" customHeight="1" x14ac:dyDescent="0.35"/>
    <row r="107" ht="13.5" customHeight="1" x14ac:dyDescent="0.35"/>
    <row r="108" ht="13.5" customHeight="1" x14ac:dyDescent="0.35"/>
    <row r="109" ht="13.5" customHeight="1" x14ac:dyDescent="0.35"/>
    <row r="110" ht="13.5" customHeight="1" x14ac:dyDescent="0.35"/>
    <row r="111" ht="13.5" customHeight="1" x14ac:dyDescent="0.35"/>
    <row r="112" ht="13.5" customHeight="1" x14ac:dyDescent="0.35"/>
    <row r="113" ht="13.5" customHeight="1" x14ac:dyDescent="0.35"/>
    <row r="114" ht="13.5" customHeight="1" x14ac:dyDescent="0.35"/>
    <row r="115" ht="13.5" customHeight="1" x14ac:dyDescent="0.35"/>
    <row r="116" ht="13.5" customHeight="1" x14ac:dyDescent="0.35"/>
    <row r="117" ht="13.5" customHeight="1" x14ac:dyDescent="0.35"/>
    <row r="118" ht="13.5" customHeight="1" x14ac:dyDescent="0.35"/>
    <row r="119" ht="13.5" customHeight="1" x14ac:dyDescent="0.35"/>
    <row r="120" ht="13.5" customHeight="1" x14ac:dyDescent="0.35"/>
    <row r="121" ht="13.5" customHeight="1" x14ac:dyDescent="0.35"/>
    <row r="122" ht="13.5" customHeight="1" x14ac:dyDescent="0.35"/>
    <row r="123" ht="13.5" customHeight="1" x14ac:dyDescent="0.35"/>
    <row r="124" ht="13.5" customHeight="1" x14ac:dyDescent="0.35"/>
    <row r="125" ht="13.5" customHeight="1" x14ac:dyDescent="0.35"/>
    <row r="126" ht="13.5" customHeight="1" x14ac:dyDescent="0.35"/>
    <row r="127" ht="13.5" customHeight="1" x14ac:dyDescent="0.35"/>
    <row r="128" ht="13.5" customHeight="1" x14ac:dyDescent="0.35"/>
    <row r="129" ht="13.5" customHeight="1" x14ac:dyDescent="0.35"/>
    <row r="130" ht="13.5" customHeight="1" x14ac:dyDescent="0.35"/>
    <row r="131" ht="13.5" customHeight="1" x14ac:dyDescent="0.35"/>
    <row r="132" ht="13.5" customHeight="1" x14ac:dyDescent="0.35"/>
    <row r="133" ht="13.5" customHeight="1" x14ac:dyDescent="0.35"/>
    <row r="134" ht="13.5" customHeight="1" x14ac:dyDescent="0.35"/>
    <row r="135" ht="13.5" customHeight="1" x14ac:dyDescent="0.35"/>
    <row r="136" ht="13.5" customHeight="1" x14ac:dyDescent="0.35"/>
    <row r="137" ht="13.5" customHeight="1" x14ac:dyDescent="0.35"/>
    <row r="138" ht="13.5" customHeight="1" x14ac:dyDescent="0.35"/>
    <row r="139" ht="13.5" customHeight="1" x14ac:dyDescent="0.35"/>
    <row r="140" ht="13.5" customHeight="1" x14ac:dyDescent="0.35"/>
    <row r="141" ht="13.5" customHeight="1" x14ac:dyDescent="0.35"/>
    <row r="142" ht="13.5" customHeight="1" x14ac:dyDescent="0.35"/>
    <row r="143" ht="13.5" customHeight="1" x14ac:dyDescent="0.35"/>
    <row r="144" ht="13.5" customHeight="1" x14ac:dyDescent="0.35"/>
    <row r="145" ht="13.5" customHeight="1" x14ac:dyDescent="0.35"/>
    <row r="146" ht="13.5" customHeight="1" x14ac:dyDescent="0.35"/>
    <row r="147" ht="13.5" customHeight="1" x14ac:dyDescent="0.35"/>
    <row r="148" ht="13.5" customHeight="1" x14ac:dyDescent="0.35"/>
    <row r="149" ht="13.5" customHeight="1" x14ac:dyDescent="0.35"/>
    <row r="150" ht="13.5" customHeight="1" x14ac:dyDescent="0.35"/>
    <row r="151" ht="13.5" customHeight="1" x14ac:dyDescent="0.35"/>
    <row r="152" ht="13.5" customHeight="1" x14ac:dyDescent="0.35"/>
    <row r="153" ht="13.5" customHeight="1" x14ac:dyDescent="0.35"/>
    <row r="154" ht="13.5" customHeight="1" x14ac:dyDescent="0.35"/>
    <row r="155" ht="13.5" customHeight="1" x14ac:dyDescent="0.35"/>
    <row r="156" ht="13.5" customHeight="1" x14ac:dyDescent="0.35"/>
    <row r="157" ht="13.5" customHeight="1" x14ac:dyDescent="0.35"/>
    <row r="158" ht="13.5" customHeight="1" x14ac:dyDescent="0.35"/>
    <row r="159" ht="13.5" customHeight="1" x14ac:dyDescent="0.35"/>
    <row r="160" ht="13.5" customHeight="1" x14ac:dyDescent="0.35"/>
    <row r="161" ht="13.5" customHeight="1" x14ac:dyDescent="0.35"/>
    <row r="162" ht="13.5" customHeight="1" x14ac:dyDescent="0.35"/>
    <row r="163" ht="13.5" customHeight="1" x14ac:dyDescent="0.35"/>
    <row r="164" ht="13.5" customHeight="1" x14ac:dyDescent="0.35"/>
    <row r="165" ht="13.5" customHeight="1" x14ac:dyDescent="0.35"/>
    <row r="166" ht="13.5" customHeight="1" x14ac:dyDescent="0.35"/>
    <row r="167" ht="13.5" customHeight="1" x14ac:dyDescent="0.35"/>
    <row r="168" ht="13.5" customHeight="1" x14ac:dyDescent="0.35"/>
    <row r="169" ht="13.5" customHeight="1" x14ac:dyDescent="0.35"/>
    <row r="170" ht="13.5" customHeight="1" x14ac:dyDescent="0.35"/>
    <row r="171" ht="13.5" customHeight="1" x14ac:dyDescent="0.35"/>
    <row r="172" ht="13.5" customHeight="1" x14ac:dyDescent="0.35"/>
    <row r="173" ht="13.5" customHeight="1" x14ac:dyDescent="0.35"/>
    <row r="174" ht="13.5" customHeight="1" x14ac:dyDescent="0.35"/>
    <row r="175" ht="13.5" customHeight="1" x14ac:dyDescent="0.35"/>
    <row r="176" ht="13.5" customHeight="1" x14ac:dyDescent="0.35"/>
    <row r="177" ht="13.5" customHeight="1" x14ac:dyDescent="0.35"/>
    <row r="178" ht="13.5" customHeight="1" x14ac:dyDescent="0.35"/>
    <row r="179" ht="13.5" customHeight="1" x14ac:dyDescent="0.35"/>
    <row r="180" ht="13.5" customHeight="1" x14ac:dyDescent="0.35"/>
    <row r="181" ht="13.5" customHeight="1" x14ac:dyDescent="0.35"/>
    <row r="182" ht="13.5" customHeight="1" x14ac:dyDescent="0.35"/>
    <row r="183" ht="13.5" customHeight="1" x14ac:dyDescent="0.35"/>
    <row r="184" ht="13.5" customHeight="1" x14ac:dyDescent="0.35"/>
    <row r="185" ht="13.5" customHeight="1" x14ac:dyDescent="0.35"/>
    <row r="186" ht="13.5" customHeight="1" x14ac:dyDescent="0.35"/>
    <row r="187" ht="13.5" customHeight="1" x14ac:dyDescent="0.35"/>
    <row r="188" ht="13.5" customHeight="1" x14ac:dyDescent="0.35"/>
    <row r="189" ht="13.5" customHeight="1" x14ac:dyDescent="0.35"/>
    <row r="190" ht="13.5" customHeight="1" x14ac:dyDescent="0.35"/>
    <row r="191" ht="13.5" customHeight="1" x14ac:dyDescent="0.35"/>
    <row r="192" ht="13.5" customHeight="1" x14ac:dyDescent="0.35"/>
    <row r="193" ht="13.5" customHeight="1" x14ac:dyDescent="0.35"/>
    <row r="194" ht="13.5" customHeight="1" x14ac:dyDescent="0.35"/>
    <row r="195" ht="13.5" customHeight="1" x14ac:dyDescent="0.35"/>
    <row r="196" ht="13.5" customHeight="1" x14ac:dyDescent="0.35"/>
    <row r="197" ht="13.5" customHeight="1" x14ac:dyDescent="0.35"/>
    <row r="198" ht="13.5" customHeight="1" x14ac:dyDescent="0.35"/>
    <row r="199" ht="13.5" customHeight="1" x14ac:dyDescent="0.35"/>
    <row r="200" ht="13.5" customHeight="1" x14ac:dyDescent="0.35"/>
    <row r="201" ht="13.5" customHeight="1" x14ac:dyDescent="0.35"/>
    <row r="202" ht="13.5" customHeight="1" x14ac:dyDescent="0.35"/>
    <row r="203" ht="13.5" customHeight="1" x14ac:dyDescent="0.35"/>
    <row r="204" ht="13.5" customHeight="1" x14ac:dyDescent="0.35"/>
    <row r="205" ht="13.5" customHeight="1" x14ac:dyDescent="0.35"/>
    <row r="206" ht="13.5" customHeight="1" x14ac:dyDescent="0.35"/>
    <row r="207" ht="13.5" customHeight="1" x14ac:dyDescent="0.35"/>
    <row r="208" ht="13.5" customHeight="1" x14ac:dyDescent="0.35"/>
    <row r="209" ht="13.5" customHeight="1" x14ac:dyDescent="0.35"/>
    <row r="210" ht="13.5" customHeight="1" x14ac:dyDescent="0.35"/>
    <row r="211" ht="13.5" customHeight="1" x14ac:dyDescent="0.35"/>
    <row r="212" ht="13.5" customHeight="1" x14ac:dyDescent="0.35"/>
    <row r="213" ht="13.5" customHeight="1" x14ac:dyDescent="0.35"/>
    <row r="214" ht="13.5" customHeight="1" x14ac:dyDescent="0.35"/>
    <row r="215" ht="13.5" customHeight="1" x14ac:dyDescent="0.35"/>
    <row r="216" ht="13.5" customHeight="1" x14ac:dyDescent="0.35"/>
    <row r="217" ht="13.5" customHeight="1" x14ac:dyDescent="0.35"/>
    <row r="218" ht="13.5" customHeight="1" x14ac:dyDescent="0.35"/>
    <row r="219" ht="13.5" customHeight="1" x14ac:dyDescent="0.35"/>
    <row r="220" ht="13.5" customHeight="1" x14ac:dyDescent="0.35"/>
    <row r="221" ht="13.5" customHeight="1" x14ac:dyDescent="0.35"/>
    <row r="222" ht="13.5" customHeight="1" x14ac:dyDescent="0.35"/>
    <row r="223" ht="13.5" customHeight="1" x14ac:dyDescent="0.35"/>
    <row r="224" ht="13.5" customHeight="1" x14ac:dyDescent="0.35"/>
    <row r="225" ht="13.5" customHeight="1" x14ac:dyDescent="0.35"/>
    <row r="226" ht="13.5" customHeight="1" x14ac:dyDescent="0.35"/>
    <row r="227" ht="13.5" customHeight="1" x14ac:dyDescent="0.35"/>
    <row r="228" ht="13.5" customHeight="1" x14ac:dyDescent="0.35"/>
    <row r="229" ht="13.5" customHeight="1" x14ac:dyDescent="0.35"/>
    <row r="230" ht="13.5" customHeight="1" x14ac:dyDescent="0.35"/>
    <row r="231" ht="13.5" customHeight="1" x14ac:dyDescent="0.35"/>
    <row r="232" ht="13.5" customHeight="1" x14ac:dyDescent="0.35"/>
    <row r="233" ht="13.5" customHeight="1" x14ac:dyDescent="0.35"/>
    <row r="234" ht="13.5" customHeight="1" x14ac:dyDescent="0.35"/>
    <row r="235" ht="13.5" customHeight="1" x14ac:dyDescent="0.35"/>
    <row r="236" ht="13.5" customHeight="1" x14ac:dyDescent="0.35"/>
    <row r="237" ht="13.5" customHeight="1" x14ac:dyDescent="0.35"/>
    <row r="238" ht="13.5" customHeight="1" x14ac:dyDescent="0.35"/>
    <row r="239" ht="13.5" customHeight="1" x14ac:dyDescent="0.35"/>
    <row r="240" ht="13.5" customHeight="1" x14ac:dyDescent="0.35"/>
    <row r="241" ht="13.5" customHeight="1" x14ac:dyDescent="0.35"/>
    <row r="242" ht="13.5" customHeight="1" x14ac:dyDescent="0.35"/>
    <row r="243" ht="13.5" customHeight="1" x14ac:dyDescent="0.35"/>
    <row r="244" ht="13.5" customHeight="1" x14ac:dyDescent="0.35"/>
    <row r="245" ht="13.5" customHeight="1" x14ac:dyDescent="0.35"/>
    <row r="246" ht="13.5" customHeight="1" x14ac:dyDescent="0.35"/>
    <row r="247" ht="13.5" customHeight="1" x14ac:dyDescent="0.35"/>
    <row r="248" ht="13.5" customHeight="1" x14ac:dyDescent="0.35"/>
    <row r="249" ht="13.5" customHeight="1" x14ac:dyDescent="0.35"/>
    <row r="250" ht="13.5" customHeight="1" x14ac:dyDescent="0.35"/>
    <row r="251" ht="13.5" customHeight="1" x14ac:dyDescent="0.35"/>
    <row r="252" ht="13.5" customHeight="1" x14ac:dyDescent="0.35"/>
    <row r="253" ht="13.5" customHeight="1" x14ac:dyDescent="0.35"/>
    <row r="254" ht="13.5" customHeight="1" x14ac:dyDescent="0.35"/>
    <row r="255" ht="13.5" customHeight="1" x14ac:dyDescent="0.35"/>
    <row r="256" ht="13.5" customHeight="1" x14ac:dyDescent="0.35"/>
    <row r="257" ht="13.5" customHeight="1" x14ac:dyDescent="0.35"/>
    <row r="258" ht="13.5" customHeight="1" x14ac:dyDescent="0.35"/>
    <row r="259" ht="13.5" customHeight="1" x14ac:dyDescent="0.35"/>
    <row r="260" ht="13.5" customHeight="1" x14ac:dyDescent="0.35"/>
    <row r="261" ht="13.5" customHeight="1" x14ac:dyDescent="0.35"/>
    <row r="262" ht="13.5" customHeight="1" x14ac:dyDescent="0.35"/>
    <row r="263" ht="13.5" customHeight="1" x14ac:dyDescent="0.35"/>
    <row r="264" ht="13.5" customHeight="1" x14ac:dyDescent="0.35"/>
    <row r="265" ht="13.5" customHeight="1" x14ac:dyDescent="0.35"/>
    <row r="266" ht="13.5" customHeight="1" x14ac:dyDescent="0.35"/>
    <row r="267" ht="13.5" customHeight="1" x14ac:dyDescent="0.35"/>
    <row r="268" ht="13.5" customHeight="1" x14ac:dyDescent="0.35"/>
    <row r="269" ht="13.5" customHeight="1" x14ac:dyDescent="0.35"/>
    <row r="270" ht="13.5" customHeight="1" x14ac:dyDescent="0.35"/>
    <row r="271" ht="13.5" customHeight="1" x14ac:dyDescent="0.35"/>
    <row r="272" ht="13.5" customHeight="1" x14ac:dyDescent="0.35"/>
    <row r="273" ht="13.5" customHeight="1" x14ac:dyDescent="0.35"/>
    <row r="274" ht="13.5" customHeight="1" x14ac:dyDescent="0.35"/>
    <row r="275" ht="13.5" customHeight="1" x14ac:dyDescent="0.35"/>
    <row r="276" ht="13.5" customHeight="1" x14ac:dyDescent="0.35"/>
    <row r="277" ht="13.5" customHeight="1" x14ac:dyDescent="0.35"/>
    <row r="278" ht="13.5" customHeight="1" x14ac:dyDescent="0.35"/>
    <row r="279" ht="13.5" customHeight="1" x14ac:dyDescent="0.35"/>
    <row r="280" ht="13.5" customHeight="1" x14ac:dyDescent="0.35"/>
    <row r="281" ht="13.5" customHeight="1" x14ac:dyDescent="0.35"/>
    <row r="282" ht="13.5" customHeight="1" x14ac:dyDescent="0.35"/>
    <row r="283" ht="13.5" customHeight="1" x14ac:dyDescent="0.35"/>
    <row r="284" ht="13.5" customHeight="1" x14ac:dyDescent="0.35"/>
    <row r="285" ht="13.5" customHeight="1" x14ac:dyDescent="0.35"/>
    <row r="286" ht="13.5" customHeight="1" x14ac:dyDescent="0.35"/>
    <row r="287" ht="13.5" customHeight="1" x14ac:dyDescent="0.35"/>
    <row r="288" ht="13.5" customHeight="1" x14ac:dyDescent="0.35"/>
    <row r="289" ht="13.5" customHeight="1" x14ac:dyDescent="0.35"/>
    <row r="290" ht="13.5" customHeight="1" x14ac:dyDescent="0.35"/>
    <row r="291" ht="13.5" customHeight="1" x14ac:dyDescent="0.35"/>
    <row r="292" ht="13.5" customHeight="1" x14ac:dyDescent="0.35"/>
    <row r="293" ht="13.5" customHeight="1" x14ac:dyDescent="0.35"/>
    <row r="294" ht="13.5" customHeight="1" x14ac:dyDescent="0.35"/>
    <row r="295" ht="13.5" customHeight="1" x14ac:dyDescent="0.35"/>
    <row r="296" ht="13.5" customHeight="1" x14ac:dyDescent="0.35"/>
    <row r="297" ht="13.5" customHeight="1" x14ac:dyDescent="0.35"/>
    <row r="298" ht="13.5" customHeight="1" x14ac:dyDescent="0.35"/>
    <row r="299" ht="13.5" customHeight="1" x14ac:dyDescent="0.35"/>
    <row r="300" ht="13.5" customHeight="1" x14ac:dyDescent="0.35"/>
    <row r="301" ht="13.5" customHeight="1" x14ac:dyDescent="0.35"/>
    <row r="302" ht="13.5" customHeight="1" x14ac:dyDescent="0.35"/>
    <row r="303" ht="13.5" customHeight="1" x14ac:dyDescent="0.35"/>
    <row r="304" ht="13.5" customHeight="1" x14ac:dyDescent="0.35"/>
    <row r="305" ht="13.5" customHeight="1" x14ac:dyDescent="0.35"/>
    <row r="306" ht="13.5" customHeight="1" x14ac:dyDescent="0.35"/>
    <row r="307" ht="13.5" customHeight="1" x14ac:dyDescent="0.35"/>
    <row r="308" ht="13.5" customHeight="1" x14ac:dyDescent="0.35"/>
    <row r="309" ht="13.5" customHeight="1" x14ac:dyDescent="0.35"/>
    <row r="310" ht="13.5" customHeight="1" x14ac:dyDescent="0.35"/>
    <row r="311" ht="13.5" customHeight="1" x14ac:dyDescent="0.35"/>
    <row r="312" ht="13.5" customHeight="1" x14ac:dyDescent="0.35"/>
    <row r="313" ht="13.5" customHeight="1" x14ac:dyDescent="0.35"/>
    <row r="314" ht="13.5" customHeight="1" x14ac:dyDescent="0.35"/>
    <row r="315" ht="13.5" customHeight="1" x14ac:dyDescent="0.35"/>
    <row r="316" ht="13.5" customHeight="1" x14ac:dyDescent="0.35"/>
    <row r="317" ht="13.5" customHeight="1" x14ac:dyDescent="0.35"/>
    <row r="318" ht="13.5" customHeight="1" x14ac:dyDescent="0.35"/>
    <row r="319" ht="13.5" customHeight="1" x14ac:dyDescent="0.35"/>
    <row r="320" ht="13.5" customHeight="1" x14ac:dyDescent="0.35"/>
    <row r="321" ht="13.5" customHeight="1" x14ac:dyDescent="0.35"/>
    <row r="322" ht="13.5" customHeight="1" x14ac:dyDescent="0.35"/>
    <row r="323" ht="13.5" customHeight="1" x14ac:dyDescent="0.35"/>
    <row r="324" ht="13.5" customHeight="1" x14ac:dyDescent="0.35"/>
    <row r="325" ht="13.5" customHeight="1" x14ac:dyDescent="0.35"/>
    <row r="326" ht="13.5" customHeight="1" x14ac:dyDescent="0.35"/>
    <row r="327" ht="13.5" customHeight="1" x14ac:dyDescent="0.35"/>
    <row r="328" ht="13.5" customHeight="1" x14ac:dyDescent="0.35"/>
    <row r="329" ht="13.5" customHeight="1" x14ac:dyDescent="0.35"/>
    <row r="330" ht="13.5" customHeight="1" x14ac:dyDescent="0.35"/>
    <row r="331" ht="13.5" customHeight="1" x14ac:dyDescent="0.35"/>
    <row r="332" ht="13.5" customHeight="1" x14ac:dyDescent="0.35"/>
    <row r="333" ht="13.5" customHeight="1" x14ac:dyDescent="0.35"/>
    <row r="334" ht="13.5" customHeight="1" x14ac:dyDescent="0.35"/>
    <row r="335" ht="13.5" customHeight="1" x14ac:dyDescent="0.35"/>
    <row r="336" ht="13.5" customHeight="1" x14ac:dyDescent="0.35"/>
    <row r="337" ht="13.5" customHeight="1" x14ac:dyDescent="0.35"/>
    <row r="338" ht="13.5" customHeight="1" x14ac:dyDescent="0.35"/>
    <row r="339" ht="13.5" customHeight="1" x14ac:dyDescent="0.35"/>
    <row r="340" ht="13.5" customHeight="1" x14ac:dyDescent="0.35"/>
    <row r="341" ht="13.5" customHeight="1" x14ac:dyDescent="0.35"/>
    <row r="342" ht="13.5" customHeight="1" x14ac:dyDescent="0.35"/>
    <row r="343" ht="13.5" customHeight="1" x14ac:dyDescent="0.35"/>
    <row r="344" ht="13.5" customHeight="1" x14ac:dyDescent="0.35"/>
    <row r="345" ht="13.5" customHeight="1" x14ac:dyDescent="0.35"/>
    <row r="346" ht="13.5" customHeight="1" x14ac:dyDescent="0.35"/>
    <row r="347" ht="13.5" customHeight="1" x14ac:dyDescent="0.35"/>
    <row r="348" ht="13.5" customHeight="1" x14ac:dyDescent="0.35"/>
    <row r="349" ht="13.5" customHeight="1" x14ac:dyDescent="0.35"/>
    <row r="350" ht="13.5" customHeight="1" x14ac:dyDescent="0.35"/>
    <row r="351" ht="13.5" customHeight="1" x14ac:dyDescent="0.35"/>
    <row r="352" ht="13.5" customHeight="1" x14ac:dyDescent="0.35"/>
    <row r="353" ht="13.5" customHeight="1" x14ac:dyDescent="0.35"/>
    <row r="354" ht="13.5" customHeight="1" x14ac:dyDescent="0.35"/>
    <row r="355" ht="13.5" customHeight="1" x14ac:dyDescent="0.35"/>
    <row r="356" ht="13.5" customHeight="1" x14ac:dyDescent="0.35"/>
    <row r="357" ht="13.5" customHeight="1" x14ac:dyDescent="0.35"/>
    <row r="358" ht="13.5" customHeight="1" x14ac:dyDescent="0.35"/>
    <row r="359" ht="13.5" customHeight="1" x14ac:dyDescent="0.35"/>
    <row r="360" ht="13.5" customHeight="1" x14ac:dyDescent="0.35"/>
    <row r="361" ht="13.5" customHeight="1" x14ac:dyDescent="0.35"/>
    <row r="362" ht="13.5" customHeight="1" x14ac:dyDescent="0.35"/>
    <row r="363" ht="13.5" customHeight="1" x14ac:dyDescent="0.35"/>
    <row r="364" ht="13.5" customHeight="1" x14ac:dyDescent="0.35"/>
    <row r="365" ht="13.5" customHeight="1" x14ac:dyDescent="0.35"/>
    <row r="366" ht="13.5" customHeight="1" x14ac:dyDescent="0.35"/>
    <row r="367" ht="13.5" customHeight="1" x14ac:dyDescent="0.35"/>
    <row r="368" ht="13.5" customHeight="1" x14ac:dyDescent="0.35"/>
    <row r="369" ht="13.5" customHeight="1" x14ac:dyDescent="0.35"/>
    <row r="370" ht="13.5" customHeight="1" x14ac:dyDescent="0.35"/>
    <row r="371" ht="13.5" customHeight="1" x14ac:dyDescent="0.35"/>
    <row r="372" ht="13.5" customHeight="1" x14ac:dyDescent="0.35"/>
    <row r="373" ht="13.5" customHeight="1" x14ac:dyDescent="0.35"/>
    <row r="374" ht="13.5" customHeight="1" x14ac:dyDescent="0.35"/>
    <row r="375" ht="13.5" customHeight="1" x14ac:dyDescent="0.35"/>
    <row r="376" ht="13.5" customHeight="1" x14ac:dyDescent="0.35"/>
    <row r="377" ht="13.5" customHeight="1" x14ac:dyDescent="0.35"/>
    <row r="378" ht="13.5" customHeight="1" x14ac:dyDescent="0.35"/>
    <row r="379" ht="13.5" customHeight="1" x14ac:dyDescent="0.35"/>
    <row r="380" ht="13.5" customHeight="1" x14ac:dyDescent="0.35"/>
    <row r="381" ht="13.5" customHeight="1" x14ac:dyDescent="0.35"/>
    <row r="382" ht="13.5" customHeight="1" x14ac:dyDescent="0.35"/>
    <row r="383" ht="13.5" customHeight="1" x14ac:dyDescent="0.35"/>
    <row r="384" ht="13.5" customHeight="1" x14ac:dyDescent="0.35"/>
    <row r="385" ht="13.5" customHeight="1" x14ac:dyDescent="0.35"/>
    <row r="386" ht="13.5" customHeight="1" x14ac:dyDescent="0.35"/>
    <row r="387" ht="13.5" customHeight="1" x14ac:dyDescent="0.35"/>
    <row r="388" ht="13.5" customHeight="1" x14ac:dyDescent="0.35"/>
    <row r="389" ht="13.5" customHeight="1" x14ac:dyDescent="0.35"/>
    <row r="390" ht="13.5" customHeight="1" x14ac:dyDescent="0.35"/>
    <row r="391" ht="13.5" customHeight="1" x14ac:dyDescent="0.35"/>
    <row r="392" ht="13.5" customHeight="1" x14ac:dyDescent="0.35"/>
    <row r="393" ht="13.5" customHeight="1" x14ac:dyDescent="0.35"/>
    <row r="394" ht="13.5" customHeight="1" x14ac:dyDescent="0.35"/>
    <row r="395" ht="13.5" customHeight="1" x14ac:dyDescent="0.35"/>
    <row r="396" ht="13.5" customHeight="1" x14ac:dyDescent="0.35"/>
    <row r="397" ht="13.5" customHeight="1" x14ac:dyDescent="0.35"/>
    <row r="398" ht="13.5" customHeight="1" x14ac:dyDescent="0.35"/>
    <row r="399" ht="13.5" customHeight="1" x14ac:dyDescent="0.35"/>
    <row r="400" ht="13.5" customHeight="1" x14ac:dyDescent="0.35"/>
    <row r="401" ht="13.5" customHeight="1" x14ac:dyDescent="0.35"/>
    <row r="402" ht="13.5" customHeight="1" x14ac:dyDescent="0.35"/>
    <row r="403" ht="13.5" customHeight="1" x14ac:dyDescent="0.35"/>
    <row r="404" ht="13.5" customHeight="1" x14ac:dyDescent="0.35"/>
    <row r="405" ht="13.5" customHeight="1" x14ac:dyDescent="0.35"/>
    <row r="406" ht="13.5" customHeight="1" x14ac:dyDescent="0.35"/>
    <row r="407" ht="13.5" customHeight="1" x14ac:dyDescent="0.35"/>
    <row r="408" ht="13.5" customHeight="1" x14ac:dyDescent="0.35"/>
    <row r="409" ht="13.5" customHeight="1" x14ac:dyDescent="0.35"/>
    <row r="410" ht="13.5" customHeight="1" x14ac:dyDescent="0.35"/>
    <row r="411" ht="13.5" customHeight="1" x14ac:dyDescent="0.35"/>
    <row r="412" ht="13.5" customHeight="1" x14ac:dyDescent="0.35"/>
    <row r="413" ht="13.5" customHeight="1" x14ac:dyDescent="0.35"/>
    <row r="414" ht="13.5" customHeight="1" x14ac:dyDescent="0.35"/>
    <row r="415" ht="13.5" customHeight="1" x14ac:dyDescent="0.35"/>
    <row r="416" ht="13.5" customHeight="1" x14ac:dyDescent="0.35"/>
    <row r="417" ht="13.5" customHeight="1" x14ac:dyDescent="0.35"/>
    <row r="418" ht="13.5" customHeight="1" x14ac:dyDescent="0.35"/>
    <row r="419" ht="13.5" customHeight="1" x14ac:dyDescent="0.35"/>
    <row r="420" ht="13.5" customHeight="1" x14ac:dyDescent="0.35"/>
    <row r="421" ht="13.5" customHeight="1" x14ac:dyDescent="0.35"/>
    <row r="422" ht="13.5" customHeight="1" x14ac:dyDescent="0.35"/>
    <row r="423" ht="13.5" customHeight="1" x14ac:dyDescent="0.35"/>
    <row r="424" ht="13.5" customHeight="1" x14ac:dyDescent="0.35"/>
    <row r="425" ht="13.5" customHeight="1" x14ac:dyDescent="0.35"/>
    <row r="426" ht="13.5" customHeight="1" x14ac:dyDescent="0.35"/>
    <row r="427" ht="13.5" customHeight="1" x14ac:dyDescent="0.35"/>
    <row r="428" ht="13.5" customHeight="1" x14ac:dyDescent="0.35"/>
    <row r="429" ht="13.5" customHeight="1" x14ac:dyDescent="0.35"/>
    <row r="430" ht="13.5" customHeight="1" x14ac:dyDescent="0.35"/>
    <row r="431" ht="13.5" customHeight="1" x14ac:dyDescent="0.35"/>
    <row r="432" ht="13.5" customHeight="1" x14ac:dyDescent="0.35"/>
    <row r="433" ht="13.5" customHeight="1" x14ac:dyDescent="0.35"/>
    <row r="434" ht="13.5" customHeight="1" x14ac:dyDescent="0.35"/>
    <row r="435" ht="13.5" customHeight="1" x14ac:dyDescent="0.35"/>
    <row r="436" ht="13.5" customHeight="1" x14ac:dyDescent="0.35"/>
    <row r="437" ht="13.5" customHeight="1" x14ac:dyDescent="0.35"/>
    <row r="438" ht="13.5" customHeight="1" x14ac:dyDescent="0.35"/>
    <row r="439" ht="13.5" customHeight="1" x14ac:dyDescent="0.35"/>
    <row r="440" ht="13.5" customHeight="1" x14ac:dyDescent="0.35"/>
    <row r="441" ht="13.5" customHeight="1" x14ac:dyDescent="0.35"/>
    <row r="442" ht="13.5" customHeight="1" x14ac:dyDescent="0.35"/>
    <row r="443" ht="13.5" customHeight="1" x14ac:dyDescent="0.35"/>
    <row r="444" ht="13.5" customHeight="1" x14ac:dyDescent="0.35"/>
    <row r="445" ht="13.5" customHeight="1" x14ac:dyDescent="0.35"/>
    <row r="446" ht="13.5" customHeight="1" x14ac:dyDescent="0.35"/>
    <row r="447" ht="13.5" customHeight="1" x14ac:dyDescent="0.35"/>
    <row r="448" ht="13.5" customHeight="1" x14ac:dyDescent="0.35"/>
    <row r="449" ht="13.5" customHeight="1" x14ac:dyDescent="0.35"/>
    <row r="450" ht="13.5" customHeight="1" x14ac:dyDescent="0.35"/>
    <row r="451" ht="13.5" customHeight="1" x14ac:dyDescent="0.35"/>
    <row r="452" ht="13.5" customHeight="1" x14ac:dyDescent="0.35"/>
    <row r="453" ht="13.5" customHeight="1" x14ac:dyDescent="0.35"/>
    <row r="454" ht="13.5" customHeight="1" x14ac:dyDescent="0.35"/>
    <row r="455" ht="13.5" customHeight="1" x14ac:dyDescent="0.35"/>
    <row r="456" ht="13.5" customHeight="1" x14ac:dyDescent="0.35"/>
    <row r="457" ht="13.5" customHeight="1" x14ac:dyDescent="0.35"/>
    <row r="458" ht="13.5" customHeight="1" x14ac:dyDescent="0.35"/>
    <row r="459" ht="13.5" customHeight="1" x14ac:dyDescent="0.35"/>
    <row r="460" ht="13.5" customHeight="1" x14ac:dyDescent="0.35"/>
    <row r="461" ht="13.5" customHeight="1" x14ac:dyDescent="0.35"/>
    <row r="462" ht="13.5" customHeight="1" x14ac:dyDescent="0.35"/>
    <row r="463" ht="13.5" customHeight="1" x14ac:dyDescent="0.35"/>
    <row r="464" ht="13.5" customHeight="1" x14ac:dyDescent="0.35"/>
    <row r="465" ht="13.5" customHeight="1" x14ac:dyDescent="0.35"/>
    <row r="466" ht="13.5" customHeight="1" x14ac:dyDescent="0.35"/>
    <row r="467" ht="13.5" customHeight="1" x14ac:dyDescent="0.35"/>
    <row r="468" ht="13.5" customHeight="1" x14ac:dyDescent="0.35"/>
    <row r="469" ht="13.5" customHeight="1" x14ac:dyDescent="0.35"/>
    <row r="470" ht="13.5" customHeight="1" x14ac:dyDescent="0.35"/>
    <row r="471" ht="13.5" customHeight="1" x14ac:dyDescent="0.35"/>
    <row r="472" ht="13.5" customHeight="1" x14ac:dyDescent="0.35"/>
    <row r="473" ht="13.5" customHeight="1" x14ac:dyDescent="0.35"/>
    <row r="474" ht="13.5" customHeight="1" x14ac:dyDescent="0.35"/>
    <row r="475" ht="13.5" customHeight="1" x14ac:dyDescent="0.35"/>
    <row r="476" ht="13.5" customHeight="1" x14ac:dyDescent="0.35"/>
    <row r="477" ht="13.5" customHeight="1" x14ac:dyDescent="0.35"/>
    <row r="478" ht="13.5" customHeight="1" x14ac:dyDescent="0.35"/>
    <row r="479" ht="13.5" customHeight="1" x14ac:dyDescent="0.35"/>
    <row r="480" ht="13.5" customHeight="1" x14ac:dyDescent="0.35"/>
    <row r="481" ht="13.5" customHeight="1" x14ac:dyDescent="0.35"/>
    <row r="482" ht="13.5" customHeight="1" x14ac:dyDescent="0.35"/>
    <row r="483" ht="13.5" customHeight="1" x14ac:dyDescent="0.35"/>
    <row r="484" ht="13.5" customHeight="1" x14ac:dyDescent="0.35"/>
    <row r="485" ht="13.5" customHeight="1" x14ac:dyDescent="0.35"/>
    <row r="486" ht="13.5" customHeight="1" x14ac:dyDescent="0.35"/>
    <row r="487" ht="13.5" customHeight="1" x14ac:dyDescent="0.35"/>
    <row r="488" ht="13.5" customHeight="1" x14ac:dyDescent="0.35"/>
    <row r="489" ht="13.5" customHeight="1" x14ac:dyDescent="0.35"/>
    <row r="490" ht="13.5" customHeight="1" x14ac:dyDescent="0.35"/>
    <row r="491" ht="13.5" customHeight="1" x14ac:dyDescent="0.35"/>
    <row r="492" ht="13.5" customHeight="1" x14ac:dyDescent="0.35"/>
    <row r="493" ht="13.5" customHeight="1" x14ac:dyDescent="0.35"/>
    <row r="494" ht="13.5" customHeight="1" x14ac:dyDescent="0.35"/>
    <row r="495" ht="13.5" customHeight="1" x14ac:dyDescent="0.35"/>
    <row r="496" ht="13.5" customHeight="1" x14ac:dyDescent="0.35"/>
    <row r="497" ht="13.5" customHeight="1" x14ac:dyDescent="0.35"/>
    <row r="498" ht="13.5" customHeight="1" x14ac:dyDescent="0.35"/>
    <row r="499" ht="13.5" customHeight="1" x14ac:dyDescent="0.35"/>
    <row r="500" ht="13.5" customHeight="1" x14ac:dyDescent="0.35"/>
    <row r="501" ht="13.5" customHeight="1" x14ac:dyDescent="0.35"/>
    <row r="502" ht="13.5" customHeight="1" x14ac:dyDescent="0.35"/>
    <row r="503" ht="13.5" customHeight="1" x14ac:dyDescent="0.35"/>
    <row r="504" ht="13.5" customHeight="1" x14ac:dyDescent="0.35"/>
    <row r="505" ht="13.5" customHeight="1" x14ac:dyDescent="0.35"/>
    <row r="506" ht="13.5" customHeight="1" x14ac:dyDescent="0.35"/>
    <row r="507" ht="13.5" customHeight="1" x14ac:dyDescent="0.35"/>
    <row r="508" ht="13.5" customHeight="1" x14ac:dyDescent="0.35"/>
    <row r="509" ht="13.5" customHeight="1" x14ac:dyDescent="0.35"/>
    <row r="510" ht="13.5" customHeight="1" x14ac:dyDescent="0.35"/>
    <row r="511" ht="13.5" customHeight="1" x14ac:dyDescent="0.35"/>
    <row r="512" ht="13.5" customHeight="1" x14ac:dyDescent="0.35"/>
    <row r="513" ht="13.5" customHeight="1" x14ac:dyDescent="0.35"/>
    <row r="514" ht="13.5" customHeight="1" x14ac:dyDescent="0.35"/>
    <row r="515" ht="13.5" customHeight="1" x14ac:dyDescent="0.35"/>
    <row r="516" ht="13.5" customHeight="1" x14ac:dyDescent="0.35"/>
    <row r="517" ht="13.5" customHeight="1" x14ac:dyDescent="0.35"/>
    <row r="518" ht="13.5" customHeight="1" x14ac:dyDescent="0.35"/>
    <row r="519" ht="13.5" customHeight="1" x14ac:dyDescent="0.35"/>
    <row r="520" ht="13.5" customHeight="1" x14ac:dyDescent="0.35"/>
    <row r="521" ht="13.5" customHeight="1" x14ac:dyDescent="0.35"/>
    <row r="522" ht="13.5" customHeight="1" x14ac:dyDescent="0.35"/>
    <row r="523" ht="13.5" customHeight="1" x14ac:dyDescent="0.35"/>
    <row r="524" ht="13.5" customHeight="1" x14ac:dyDescent="0.35"/>
    <row r="525" ht="13.5" customHeight="1" x14ac:dyDescent="0.35"/>
    <row r="526" ht="13.5" customHeight="1" x14ac:dyDescent="0.35"/>
    <row r="527" ht="13.5" customHeight="1" x14ac:dyDescent="0.35"/>
    <row r="528" ht="13.5" customHeight="1" x14ac:dyDescent="0.35"/>
    <row r="529" ht="13.5" customHeight="1" x14ac:dyDescent="0.35"/>
    <row r="530" ht="13.5" customHeight="1" x14ac:dyDescent="0.35"/>
    <row r="531" ht="13.5" customHeight="1" x14ac:dyDescent="0.35"/>
    <row r="532" ht="13.5" customHeight="1" x14ac:dyDescent="0.35"/>
    <row r="533" ht="13.5" customHeight="1" x14ac:dyDescent="0.35"/>
    <row r="534" ht="13.5" customHeight="1" x14ac:dyDescent="0.35"/>
    <row r="535" ht="13.5" customHeight="1" x14ac:dyDescent="0.35"/>
    <row r="536" ht="13.5" customHeight="1" x14ac:dyDescent="0.35"/>
    <row r="537" ht="13.5" customHeight="1" x14ac:dyDescent="0.35"/>
    <row r="538" ht="13.5" customHeight="1" x14ac:dyDescent="0.35"/>
    <row r="539" ht="13.5" customHeight="1" x14ac:dyDescent="0.35"/>
    <row r="540" ht="13.5" customHeight="1" x14ac:dyDescent="0.35"/>
    <row r="541" ht="13.5" customHeight="1" x14ac:dyDescent="0.35"/>
    <row r="542" ht="13.5" customHeight="1" x14ac:dyDescent="0.35"/>
    <row r="543" ht="13.5" customHeight="1" x14ac:dyDescent="0.35"/>
    <row r="544" ht="13.5" customHeight="1" x14ac:dyDescent="0.35"/>
    <row r="545" ht="13.5" customHeight="1" x14ac:dyDescent="0.35"/>
    <row r="546" ht="13.5" customHeight="1" x14ac:dyDescent="0.35"/>
    <row r="547" ht="13.5" customHeight="1" x14ac:dyDescent="0.35"/>
    <row r="548" ht="13.5" customHeight="1" x14ac:dyDescent="0.35"/>
    <row r="549" ht="13.5" customHeight="1" x14ac:dyDescent="0.35"/>
    <row r="550" ht="13.5" customHeight="1" x14ac:dyDescent="0.35"/>
    <row r="551" ht="13.5" customHeight="1" x14ac:dyDescent="0.35"/>
    <row r="552" ht="13.5" customHeight="1" x14ac:dyDescent="0.35"/>
    <row r="553" ht="13.5" customHeight="1" x14ac:dyDescent="0.35"/>
    <row r="554" ht="13.5" customHeight="1" x14ac:dyDescent="0.35"/>
    <row r="555" ht="13.5" customHeight="1" x14ac:dyDescent="0.35"/>
    <row r="556" ht="13.5" customHeight="1" x14ac:dyDescent="0.35"/>
    <row r="557" ht="13.5" customHeight="1" x14ac:dyDescent="0.35"/>
    <row r="558" ht="13.5" customHeight="1" x14ac:dyDescent="0.35"/>
    <row r="559" ht="13.5" customHeight="1" x14ac:dyDescent="0.35"/>
    <row r="560" ht="13.5" customHeight="1" x14ac:dyDescent="0.35"/>
    <row r="561" ht="13.5" customHeight="1" x14ac:dyDescent="0.35"/>
    <row r="562" ht="13.5" customHeight="1" x14ac:dyDescent="0.35"/>
    <row r="563" ht="13.5" customHeight="1" x14ac:dyDescent="0.35"/>
    <row r="564" ht="13.5" customHeight="1" x14ac:dyDescent="0.35"/>
    <row r="565" ht="13.5" customHeight="1" x14ac:dyDescent="0.35"/>
    <row r="566" ht="13.5" customHeight="1" x14ac:dyDescent="0.35"/>
    <row r="567" ht="13.5" customHeight="1" x14ac:dyDescent="0.35"/>
    <row r="568" ht="13.5" customHeight="1" x14ac:dyDescent="0.35"/>
    <row r="569" ht="13.5" customHeight="1" x14ac:dyDescent="0.35"/>
    <row r="570" ht="13.5" customHeight="1" x14ac:dyDescent="0.35"/>
    <row r="571" ht="13.5" customHeight="1" x14ac:dyDescent="0.35"/>
    <row r="572" ht="13.5" customHeight="1" x14ac:dyDescent="0.35"/>
    <row r="573" ht="13.5" customHeight="1" x14ac:dyDescent="0.35"/>
    <row r="574" ht="13.5" customHeight="1" x14ac:dyDescent="0.35"/>
    <row r="575" ht="13.5" customHeight="1" x14ac:dyDescent="0.35"/>
    <row r="576" ht="13.5" customHeight="1" x14ac:dyDescent="0.35"/>
    <row r="577" ht="13.5" customHeight="1" x14ac:dyDescent="0.35"/>
    <row r="578" ht="13.5" customHeight="1" x14ac:dyDescent="0.35"/>
    <row r="579" ht="13.5" customHeight="1" x14ac:dyDescent="0.35"/>
    <row r="580" ht="13.5" customHeight="1" x14ac:dyDescent="0.35"/>
    <row r="581" ht="13.5" customHeight="1" x14ac:dyDescent="0.35"/>
    <row r="582" ht="13.5" customHeight="1" x14ac:dyDescent="0.35"/>
    <row r="583" ht="13.5" customHeight="1" x14ac:dyDescent="0.35"/>
    <row r="584" ht="13.5" customHeight="1" x14ac:dyDescent="0.35"/>
    <row r="585" ht="13.5" customHeight="1" x14ac:dyDescent="0.35"/>
    <row r="586" ht="13.5" customHeight="1" x14ac:dyDescent="0.35"/>
    <row r="587" ht="13.5" customHeight="1" x14ac:dyDescent="0.35"/>
    <row r="588" ht="13.5" customHeight="1" x14ac:dyDescent="0.35"/>
    <row r="589" ht="13.5" customHeight="1" x14ac:dyDescent="0.35"/>
    <row r="590" ht="13.5" customHeight="1" x14ac:dyDescent="0.35"/>
    <row r="591" ht="13.5" customHeight="1" x14ac:dyDescent="0.35"/>
    <row r="592" ht="13.5" customHeight="1" x14ac:dyDescent="0.35"/>
    <row r="593" ht="13.5" customHeight="1" x14ac:dyDescent="0.35"/>
    <row r="594" ht="13.5" customHeight="1" x14ac:dyDescent="0.35"/>
    <row r="595" ht="13.5" customHeight="1" x14ac:dyDescent="0.35"/>
    <row r="596" ht="13.5" customHeight="1" x14ac:dyDescent="0.35"/>
    <row r="597" ht="13.5" customHeight="1" x14ac:dyDescent="0.35"/>
    <row r="598" ht="13.5" customHeight="1" x14ac:dyDescent="0.35"/>
    <row r="599" ht="13.5" customHeight="1" x14ac:dyDescent="0.35"/>
    <row r="600" ht="13.5" customHeight="1" x14ac:dyDescent="0.35"/>
    <row r="601" ht="13.5" customHeight="1" x14ac:dyDescent="0.35"/>
    <row r="602" ht="13.5" customHeight="1" x14ac:dyDescent="0.35"/>
    <row r="603" ht="13.5" customHeight="1" x14ac:dyDescent="0.35"/>
    <row r="604" ht="13.5" customHeight="1" x14ac:dyDescent="0.35"/>
    <row r="605" ht="13.5" customHeight="1" x14ac:dyDescent="0.35"/>
    <row r="606" ht="13.5" customHeight="1" x14ac:dyDescent="0.35"/>
    <row r="607" ht="13.5" customHeight="1" x14ac:dyDescent="0.35"/>
    <row r="608" ht="13.5" customHeight="1" x14ac:dyDescent="0.35"/>
    <row r="609" ht="13.5" customHeight="1" x14ac:dyDescent="0.35"/>
    <row r="610" ht="13.5" customHeight="1" x14ac:dyDescent="0.35"/>
    <row r="611" ht="13.5" customHeight="1" x14ac:dyDescent="0.35"/>
    <row r="612" ht="13.5" customHeight="1" x14ac:dyDescent="0.35"/>
    <row r="613" ht="13.5" customHeight="1" x14ac:dyDescent="0.35"/>
    <row r="614" ht="13.5" customHeight="1" x14ac:dyDescent="0.35"/>
    <row r="615" ht="13.5" customHeight="1" x14ac:dyDescent="0.35"/>
    <row r="616" ht="13.5" customHeight="1" x14ac:dyDescent="0.35"/>
    <row r="617" ht="13.5" customHeight="1" x14ac:dyDescent="0.35"/>
    <row r="618" ht="13.5" customHeight="1" x14ac:dyDescent="0.35"/>
    <row r="619" ht="13.5" customHeight="1" x14ac:dyDescent="0.35"/>
    <row r="620" ht="13.5" customHeight="1" x14ac:dyDescent="0.35"/>
    <row r="621" ht="13.5" customHeight="1" x14ac:dyDescent="0.35"/>
    <row r="622" ht="13.5" customHeight="1" x14ac:dyDescent="0.35"/>
    <row r="623" ht="13.5" customHeight="1" x14ac:dyDescent="0.35"/>
    <row r="624" ht="13.5" customHeight="1" x14ac:dyDescent="0.35"/>
    <row r="625" ht="13.5" customHeight="1" x14ac:dyDescent="0.35"/>
    <row r="626" ht="13.5" customHeight="1" x14ac:dyDescent="0.35"/>
    <row r="627" ht="13.5" customHeight="1" x14ac:dyDescent="0.35"/>
    <row r="628" ht="13.5" customHeight="1" x14ac:dyDescent="0.35"/>
    <row r="629" ht="13.5" customHeight="1" x14ac:dyDescent="0.35"/>
    <row r="630" ht="13.5" customHeight="1" x14ac:dyDescent="0.35"/>
    <row r="631" ht="13.5" customHeight="1" x14ac:dyDescent="0.35"/>
    <row r="632" ht="13.5" customHeight="1" x14ac:dyDescent="0.35"/>
    <row r="633" ht="13.5" customHeight="1" x14ac:dyDescent="0.35"/>
    <row r="634" ht="13.5" customHeight="1" x14ac:dyDescent="0.35"/>
    <row r="635" ht="13.5" customHeight="1" x14ac:dyDescent="0.35"/>
    <row r="636" ht="13.5" customHeight="1" x14ac:dyDescent="0.35"/>
    <row r="637" ht="13.5" customHeight="1" x14ac:dyDescent="0.35"/>
    <row r="638" ht="13.5" customHeight="1" x14ac:dyDescent="0.35"/>
    <row r="639" ht="13.5" customHeight="1" x14ac:dyDescent="0.35"/>
    <row r="640" ht="13.5" customHeight="1" x14ac:dyDescent="0.35"/>
    <row r="641" ht="13.5" customHeight="1" x14ac:dyDescent="0.35"/>
    <row r="642" ht="13.5" customHeight="1" x14ac:dyDescent="0.35"/>
    <row r="643" ht="13.5" customHeight="1" x14ac:dyDescent="0.35"/>
    <row r="644" ht="13.5" customHeight="1" x14ac:dyDescent="0.35"/>
    <row r="645" ht="13.5" customHeight="1" x14ac:dyDescent="0.35"/>
    <row r="646" ht="13.5" customHeight="1" x14ac:dyDescent="0.35"/>
    <row r="647" ht="13.5" customHeight="1" x14ac:dyDescent="0.35"/>
    <row r="648" ht="13.5" customHeight="1" x14ac:dyDescent="0.35"/>
    <row r="649" ht="13.5" customHeight="1" x14ac:dyDescent="0.35"/>
    <row r="650" ht="13.5" customHeight="1" x14ac:dyDescent="0.35"/>
    <row r="651" ht="13.5" customHeight="1" x14ac:dyDescent="0.35"/>
    <row r="652" ht="13.5" customHeight="1" x14ac:dyDescent="0.35"/>
    <row r="653" ht="13.5" customHeight="1" x14ac:dyDescent="0.35"/>
    <row r="654" ht="13.5" customHeight="1" x14ac:dyDescent="0.35"/>
    <row r="655" ht="13.5" customHeight="1" x14ac:dyDescent="0.35"/>
    <row r="656" ht="13.5" customHeight="1" x14ac:dyDescent="0.35"/>
    <row r="657" ht="13.5" customHeight="1" x14ac:dyDescent="0.35"/>
    <row r="658" ht="13.5" customHeight="1" x14ac:dyDescent="0.35"/>
    <row r="659" ht="13.5" customHeight="1" x14ac:dyDescent="0.35"/>
    <row r="660" ht="13.5" customHeight="1" x14ac:dyDescent="0.35"/>
    <row r="661" ht="13.5" customHeight="1" x14ac:dyDescent="0.35"/>
    <row r="662" ht="13.5" customHeight="1" x14ac:dyDescent="0.35"/>
    <row r="663" ht="13.5" customHeight="1" x14ac:dyDescent="0.35"/>
    <row r="664" ht="13.5" customHeight="1" x14ac:dyDescent="0.35"/>
    <row r="665" ht="13.5" customHeight="1" x14ac:dyDescent="0.35"/>
    <row r="666" ht="13.5" customHeight="1" x14ac:dyDescent="0.35"/>
    <row r="667" ht="13.5" customHeight="1" x14ac:dyDescent="0.35"/>
    <row r="668" ht="13.5" customHeight="1" x14ac:dyDescent="0.35"/>
    <row r="669" ht="13.5" customHeight="1" x14ac:dyDescent="0.35"/>
    <row r="670" ht="13.5" customHeight="1" x14ac:dyDescent="0.35"/>
    <row r="671" ht="13.5" customHeight="1" x14ac:dyDescent="0.35"/>
    <row r="672" ht="13.5" customHeight="1" x14ac:dyDescent="0.35"/>
    <row r="673" ht="13.5" customHeight="1" x14ac:dyDescent="0.35"/>
    <row r="674" ht="13.5" customHeight="1" x14ac:dyDescent="0.35"/>
    <row r="675" ht="13.5" customHeight="1" x14ac:dyDescent="0.35"/>
    <row r="676" ht="13.5" customHeight="1" x14ac:dyDescent="0.35"/>
    <row r="677" ht="13.5" customHeight="1" x14ac:dyDescent="0.35"/>
    <row r="678" ht="13.5" customHeight="1" x14ac:dyDescent="0.35"/>
    <row r="679" ht="13.5" customHeight="1" x14ac:dyDescent="0.35"/>
    <row r="680" ht="13.5" customHeight="1" x14ac:dyDescent="0.35"/>
    <row r="681" ht="13.5" customHeight="1" x14ac:dyDescent="0.35"/>
    <row r="682" ht="13.5" customHeight="1" x14ac:dyDescent="0.35"/>
    <row r="683" ht="13.5" customHeight="1" x14ac:dyDescent="0.35"/>
    <row r="684" ht="13.5" customHeight="1" x14ac:dyDescent="0.35"/>
    <row r="685" ht="13.5" customHeight="1" x14ac:dyDescent="0.35"/>
    <row r="686" ht="13.5" customHeight="1" x14ac:dyDescent="0.35"/>
    <row r="687" ht="13.5" customHeight="1" x14ac:dyDescent="0.35"/>
    <row r="688" ht="13.5" customHeight="1" x14ac:dyDescent="0.35"/>
    <row r="689" ht="13.5" customHeight="1" x14ac:dyDescent="0.35"/>
    <row r="690" ht="13.5" customHeight="1" x14ac:dyDescent="0.35"/>
    <row r="691" ht="13.5" customHeight="1" x14ac:dyDescent="0.35"/>
    <row r="692" ht="13.5" customHeight="1" x14ac:dyDescent="0.35"/>
    <row r="693" ht="13.5" customHeight="1" x14ac:dyDescent="0.35"/>
    <row r="694" ht="13.5" customHeight="1" x14ac:dyDescent="0.35"/>
    <row r="695" ht="13.5" customHeight="1" x14ac:dyDescent="0.35"/>
    <row r="696" ht="13.5" customHeight="1" x14ac:dyDescent="0.35"/>
    <row r="697" ht="13.5" customHeight="1" x14ac:dyDescent="0.35"/>
    <row r="698" ht="13.5" customHeight="1" x14ac:dyDescent="0.35"/>
    <row r="699" ht="13.5" customHeight="1" x14ac:dyDescent="0.35"/>
    <row r="700" ht="13.5" customHeight="1" x14ac:dyDescent="0.35"/>
    <row r="701" ht="13.5" customHeight="1" x14ac:dyDescent="0.35"/>
    <row r="702" ht="13.5" customHeight="1" x14ac:dyDescent="0.35"/>
    <row r="703" ht="13.5" customHeight="1" x14ac:dyDescent="0.35"/>
    <row r="704" ht="13.5" customHeight="1" x14ac:dyDescent="0.35"/>
    <row r="705" ht="13.5" customHeight="1" x14ac:dyDescent="0.35"/>
    <row r="706" ht="13.5" customHeight="1" x14ac:dyDescent="0.35"/>
    <row r="707" ht="13.5" customHeight="1" x14ac:dyDescent="0.35"/>
    <row r="708" ht="13.5" customHeight="1" x14ac:dyDescent="0.35"/>
    <row r="709" ht="13.5" customHeight="1" x14ac:dyDescent="0.35"/>
    <row r="710" ht="13.5" customHeight="1" x14ac:dyDescent="0.35"/>
    <row r="711" ht="13.5" customHeight="1" x14ac:dyDescent="0.35"/>
    <row r="712" ht="13.5" customHeight="1" x14ac:dyDescent="0.35"/>
    <row r="713" ht="13.5" customHeight="1" x14ac:dyDescent="0.35"/>
    <row r="714" ht="13.5" customHeight="1" x14ac:dyDescent="0.35"/>
    <row r="715" ht="13.5" customHeight="1" x14ac:dyDescent="0.35"/>
    <row r="716" ht="13.5" customHeight="1" x14ac:dyDescent="0.35"/>
    <row r="717" ht="13.5" customHeight="1" x14ac:dyDescent="0.35"/>
    <row r="718" ht="13.5" customHeight="1" x14ac:dyDescent="0.35"/>
    <row r="719" ht="13.5" customHeight="1" x14ac:dyDescent="0.35"/>
    <row r="720" ht="13.5" customHeight="1" x14ac:dyDescent="0.35"/>
    <row r="721" ht="13.5" customHeight="1" x14ac:dyDescent="0.35"/>
    <row r="722" ht="13.5" customHeight="1" x14ac:dyDescent="0.35"/>
    <row r="723" ht="13.5" customHeight="1" x14ac:dyDescent="0.35"/>
    <row r="724" ht="13.5" customHeight="1" x14ac:dyDescent="0.35"/>
    <row r="725" ht="13.5" customHeight="1" x14ac:dyDescent="0.35"/>
    <row r="726" ht="13.5" customHeight="1" x14ac:dyDescent="0.35"/>
    <row r="727" ht="13.5" customHeight="1" x14ac:dyDescent="0.35"/>
    <row r="728" ht="13.5" customHeight="1" x14ac:dyDescent="0.35"/>
    <row r="729" ht="13.5" customHeight="1" x14ac:dyDescent="0.35"/>
    <row r="730" ht="13.5" customHeight="1" x14ac:dyDescent="0.35"/>
    <row r="731" ht="13.5" customHeight="1" x14ac:dyDescent="0.35"/>
    <row r="732" ht="13.5" customHeight="1" x14ac:dyDescent="0.35"/>
    <row r="733" ht="13.5" customHeight="1" x14ac:dyDescent="0.35"/>
    <row r="734" ht="13.5" customHeight="1" x14ac:dyDescent="0.35"/>
    <row r="735" ht="13.5" customHeight="1" x14ac:dyDescent="0.35"/>
    <row r="736" ht="13.5" customHeight="1" x14ac:dyDescent="0.35"/>
    <row r="737" ht="13.5" customHeight="1" x14ac:dyDescent="0.35"/>
    <row r="738" ht="13.5" customHeight="1" x14ac:dyDescent="0.35"/>
    <row r="739" ht="13.5" customHeight="1" x14ac:dyDescent="0.35"/>
    <row r="740" ht="13.5" customHeight="1" x14ac:dyDescent="0.35"/>
    <row r="741" ht="13.5" customHeight="1" x14ac:dyDescent="0.35"/>
    <row r="742" ht="13.5" customHeight="1" x14ac:dyDescent="0.35"/>
    <row r="743" ht="13.5" customHeight="1" x14ac:dyDescent="0.35"/>
    <row r="744" ht="13.5" customHeight="1" x14ac:dyDescent="0.35"/>
    <row r="745" ht="13.5" customHeight="1" x14ac:dyDescent="0.35"/>
    <row r="746" ht="13.5" customHeight="1" x14ac:dyDescent="0.35"/>
    <row r="747" ht="13.5" customHeight="1" x14ac:dyDescent="0.35"/>
    <row r="748" ht="13.5" customHeight="1" x14ac:dyDescent="0.35"/>
    <row r="749" ht="13.5" customHeight="1" x14ac:dyDescent="0.35"/>
    <row r="750" ht="13.5" customHeight="1" x14ac:dyDescent="0.35"/>
    <row r="751" ht="13.5" customHeight="1" x14ac:dyDescent="0.35"/>
    <row r="752" ht="13.5" customHeight="1" x14ac:dyDescent="0.35"/>
    <row r="753" ht="13.5" customHeight="1" x14ac:dyDescent="0.35"/>
    <row r="754" ht="13.5" customHeight="1" x14ac:dyDescent="0.35"/>
    <row r="755" ht="13.5" customHeight="1" x14ac:dyDescent="0.35"/>
    <row r="756" ht="13.5" customHeight="1" x14ac:dyDescent="0.35"/>
    <row r="757" ht="13.5" customHeight="1" x14ac:dyDescent="0.35"/>
    <row r="758" ht="13.5" customHeight="1" x14ac:dyDescent="0.35"/>
    <row r="759" ht="13.5" customHeight="1" x14ac:dyDescent="0.35"/>
    <row r="760" ht="13.5" customHeight="1" x14ac:dyDescent="0.35"/>
    <row r="761" ht="13.5" customHeight="1" x14ac:dyDescent="0.35"/>
    <row r="762" ht="13.5" customHeight="1" x14ac:dyDescent="0.35"/>
    <row r="763" ht="13.5" customHeight="1" x14ac:dyDescent="0.35"/>
    <row r="764" ht="13.5" customHeight="1" x14ac:dyDescent="0.35"/>
    <row r="765" ht="13.5" customHeight="1" x14ac:dyDescent="0.35"/>
    <row r="766" ht="13.5" customHeight="1" x14ac:dyDescent="0.35"/>
    <row r="767" ht="13.5" customHeight="1" x14ac:dyDescent="0.35"/>
    <row r="768" ht="13.5" customHeight="1" x14ac:dyDescent="0.35"/>
    <row r="769" ht="13.5" customHeight="1" x14ac:dyDescent="0.35"/>
    <row r="770" ht="13.5" customHeight="1" x14ac:dyDescent="0.35"/>
    <row r="771" ht="13.5" customHeight="1" x14ac:dyDescent="0.35"/>
    <row r="772" ht="13.5" customHeight="1" x14ac:dyDescent="0.35"/>
    <row r="773" ht="13.5" customHeight="1" x14ac:dyDescent="0.35"/>
    <row r="774" ht="13.5" customHeight="1" x14ac:dyDescent="0.35"/>
    <row r="775" ht="13.5" customHeight="1" x14ac:dyDescent="0.35"/>
    <row r="776" ht="13.5" customHeight="1" x14ac:dyDescent="0.35"/>
    <row r="777" ht="13.5" customHeight="1" x14ac:dyDescent="0.35"/>
    <row r="778" ht="13.5" customHeight="1" x14ac:dyDescent="0.35"/>
    <row r="779" ht="13.5" customHeight="1" x14ac:dyDescent="0.35"/>
    <row r="780" ht="13.5" customHeight="1" x14ac:dyDescent="0.35"/>
    <row r="781" ht="13.5" customHeight="1" x14ac:dyDescent="0.35"/>
    <row r="782" ht="13.5" customHeight="1" x14ac:dyDescent="0.35"/>
    <row r="783" ht="13.5" customHeight="1" x14ac:dyDescent="0.35"/>
    <row r="784" ht="13.5" customHeight="1" x14ac:dyDescent="0.35"/>
    <row r="785" ht="13.5" customHeight="1" x14ac:dyDescent="0.35"/>
    <row r="786" ht="13.5" customHeight="1" x14ac:dyDescent="0.35"/>
    <row r="787" ht="13.5" customHeight="1" x14ac:dyDescent="0.35"/>
    <row r="788" ht="13.5" customHeight="1" x14ac:dyDescent="0.35"/>
    <row r="789" ht="13.5" customHeight="1" x14ac:dyDescent="0.35"/>
    <row r="790" ht="13.5" customHeight="1" x14ac:dyDescent="0.35"/>
    <row r="791" ht="13.5" customHeight="1" x14ac:dyDescent="0.35"/>
    <row r="792" ht="13.5" customHeight="1" x14ac:dyDescent="0.35"/>
    <row r="793" ht="13.5" customHeight="1" x14ac:dyDescent="0.35"/>
    <row r="794" ht="13.5" customHeight="1" x14ac:dyDescent="0.35"/>
    <row r="795" ht="13.5" customHeight="1" x14ac:dyDescent="0.35"/>
    <row r="796" ht="13.5" customHeight="1" x14ac:dyDescent="0.35"/>
    <row r="797" ht="13.5" customHeight="1" x14ac:dyDescent="0.35"/>
    <row r="798" ht="13.5" customHeight="1" x14ac:dyDescent="0.35"/>
    <row r="799" ht="13.5" customHeight="1" x14ac:dyDescent="0.35"/>
    <row r="800" ht="13.5" customHeight="1" x14ac:dyDescent="0.35"/>
    <row r="801" ht="13.5" customHeight="1" x14ac:dyDescent="0.35"/>
    <row r="802" ht="13.5" customHeight="1" x14ac:dyDescent="0.35"/>
    <row r="803" ht="13.5" customHeight="1" x14ac:dyDescent="0.35"/>
    <row r="804" ht="13.5" customHeight="1" x14ac:dyDescent="0.35"/>
    <row r="805" ht="13.5" customHeight="1" x14ac:dyDescent="0.35"/>
    <row r="806" ht="13.5" customHeight="1" x14ac:dyDescent="0.35"/>
    <row r="807" ht="13.5" customHeight="1" x14ac:dyDescent="0.35"/>
    <row r="808" ht="13.5" customHeight="1" x14ac:dyDescent="0.35"/>
    <row r="809" ht="13.5" customHeight="1" x14ac:dyDescent="0.35"/>
    <row r="810" ht="13.5" customHeight="1" x14ac:dyDescent="0.35"/>
    <row r="811" ht="13.5" customHeight="1" x14ac:dyDescent="0.35"/>
    <row r="812" ht="13.5" customHeight="1" x14ac:dyDescent="0.35"/>
    <row r="813" ht="13.5" customHeight="1" x14ac:dyDescent="0.35"/>
    <row r="814" ht="13.5" customHeight="1" x14ac:dyDescent="0.35"/>
    <row r="815" ht="13.5" customHeight="1" x14ac:dyDescent="0.35"/>
    <row r="816" ht="13.5" customHeight="1" x14ac:dyDescent="0.35"/>
    <row r="817" ht="13.5" customHeight="1" x14ac:dyDescent="0.35"/>
    <row r="818" ht="13.5" customHeight="1" x14ac:dyDescent="0.35"/>
    <row r="819" ht="13.5" customHeight="1" x14ac:dyDescent="0.35"/>
    <row r="820" ht="13.5" customHeight="1" x14ac:dyDescent="0.35"/>
    <row r="821" ht="13.5" customHeight="1" x14ac:dyDescent="0.35"/>
    <row r="822" ht="13.5" customHeight="1" x14ac:dyDescent="0.35"/>
    <row r="823" ht="13.5" customHeight="1" x14ac:dyDescent="0.35"/>
    <row r="824" ht="13.5" customHeight="1" x14ac:dyDescent="0.35"/>
    <row r="825" ht="13.5" customHeight="1" x14ac:dyDescent="0.35"/>
    <row r="826" ht="13.5" customHeight="1" x14ac:dyDescent="0.35"/>
    <row r="827" ht="13.5" customHeight="1" x14ac:dyDescent="0.35"/>
    <row r="828" ht="13.5" customHeight="1" x14ac:dyDescent="0.35"/>
    <row r="829" ht="13.5" customHeight="1" x14ac:dyDescent="0.35"/>
    <row r="830" ht="13.5" customHeight="1" x14ac:dyDescent="0.35"/>
    <row r="831" ht="13.5" customHeight="1" x14ac:dyDescent="0.35"/>
    <row r="832" ht="13.5" customHeight="1" x14ac:dyDescent="0.35"/>
    <row r="833" ht="13.5" customHeight="1" x14ac:dyDescent="0.35"/>
    <row r="834" ht="13.5" customHeight="1" x14ac:dyDescent="0.35"/>
    <row r="835" ht="13.5" customHeight="1" x14ac:dyDescent="0.35"/>
    <row r="836" ht="13.5" customHeight="1" x14ac:dyDescent="0.35"/>
    <row r="837" ht="13.5" customHeight="1" x14ac:dyDescent="0.35"/>
    <row r="838" ht="13.5" customHeight="1" x14ac:dyDescent="0.35"/>
    <row r="839" ht="13.5" customHeight="1" x14ac:dyDescent="0.35"/>
    <row r="840" ht="13.5" customHeight="1" x14ac:dyDescent="0.35"/>
    <row r="841" ht="13.5" customHeight="1" x14ac:dyDescent="0.35"/>
    <row r="842" ht="13.5" customHeight="1" x14ac:dyDescent="0.35"/>
    <row r="843" ht="13.5" customHeight="1" x14ac:dyDescent="0.35"/>
    <row r="844" ht="13.5" customHeight="1" x14ac:dyDescent="0.35"/>
    <row r="845" ht="13.5" customHeight="1" x14ac:dyDescent="0.35"/>
    <row r="846" ht="13.5" customHeight="1" x14ac:dyDescent="0.35"/>
    <row r="847" ht="13.5" customHeight="1" x14ac:dyDescent="0.35"/>
    <row r="848" ht="13.5" customHeight="1" x14ac:dyDescent="0.35"/>
    <row r="849" ht="13.5" customHeight="1" x14ac:dyDescent="0.35"/>
    <row r="850" ht="13.5" customHeight="1" x14ac:dyDescent="0.35"/>
    <row r="851" ht="13.5" customHeight="1" x14ac:dyDescent="0.35"/>
    <row r="852" ht="13.5" customHeight="1" x14ac:dyDescent="0.35"/>
    <row r="853" ht="13.5" customHeight="1" x14ac:dyDescent="0.35"/>
    <row r="854" ht="13.5" customHeight="1" x14ac:dyDescent="0.35"/>
    <row r="855" ht="13.5" customHeight="1" x14ac:dyDescent="0.35"/>
    <row r="856" ht="13.5" customHeight="1" x14ac:dyDescent="0.35"/>
    <row r="857" ht="13.5" customHeight="1" x14ac:dyDescent="0.35"/>
    <row r="858" ht="13.5" customHeight="1" x14ac:dyDescent="0.35"/>
    <row r="859" ht="13.5" customHeight="1" x14ac:dyDescent="0.35"/>
    <row r="860" ht="13.5" customHeight="1" x14ac:dyDescent="0.35"/>
    <row r="861" ht="13.5" customHeight="1" x14ac:dyDescent="0.35"/>
    <row r="862" ht="13.5" customHeight="1" x14ac:dyDescent="0.35"/>
    <row r="863" ht="13.5" customHeight="1" x14ac:dyDescent="0.35"/>
    <row r="864" ht="13.5" customHeight="1" x14ac:dyDescent="0.35"/>
    <row r="865" ht="13.5" customHeight="1" x14ac:dyDescent="0.35"/>
    <row r="866" ht="13.5" customHeight="1" x14ac:dyDescent="0.35"/>
    <row r="867" ht="13.5" customHeight="1" x14ac:dyDescent="0.35"/>
    <row r="868" ht="13.5" customHeight="1" x14ac:dyDescent="0.35"/>
    <row r="869" ht="13.5" customHeight="1" x14ac:dyDescent="0.35"/>
    <row r="870" ht="13.5" customHeight="1" x14ac:dyDescent="0.35"/>
    <row r="871" ht="13.5" customHeight="1" x14ac:dyDescent="0.35"/>
    <row r="872" ht="13.5" customHeight="1" x14ac:dyDescent="0.35"/>
    <row r="873" ht="13.5" customHeight="1" x14ac:dyDescent="0.35"/>
    <row r="874" ht="13.5" customHeight="1" x14ac:dyDescent="0.35"/>
    <row r="875" ht="13.5" customHeight="1" x14ac:dyDescent="0.35"/>
    <row r="876" ht="13.5" customHeight="1" x14ac:dyDescent="0.35"/>
    <row r="877" ht="13.5" customHeight="1" x14ac:dyDescent="0.35"/>
    <row r="878" ht="13.5" customHeight="1" x14ac:dyDescent="0.35"/>
    <row r="879" ht="13.5" customHeight="1" x14ac:dyDescent="0.35"/>
    <row r="880" ht="13.5" customHeight="1" x14ac:dyDescent="0.35"/>
    <row r="881" ht="13.5" customHeight="1" x14ac:dyDescent="0.35"/>
    <row r="882" ht="13.5" customHeight="1" x14ac:dyDescent="0.35"/>
    <row r="883" ht="13.5" customHeight="1" x14ac:dyDescent="0.35"/>
    <row r="884" ht="13.5" customHeight="1" x14ac:dyDescent="0.35"/>
    <row r="885" ht="13.5" customHeight="1" x14ac:dyDescent="0.35"/>
    <row r="886" ht="13.5" customHeight="1" x14ac:dyDescent="0.35"/>
    <row r="887" ht="13.5" customHeight="1" x14ac:dyDescent="0.35"/>
    <row r="888" ht="13.5" customHeight="1" x14ac:dyDescent="0.35"/>
    <row r="889" ht="13.5" customHeight="1" x14ac:dyDescent="0.35"/>
    <row r="890" ht="13.5" customHeight="1" x14ac:dyDescent="0.35"/>
    <row r="891" ht="13.5" customHeight="1" x14ac:dyDescent="0.35"/>
    <row r="892" ht="13.5" customHeight="1" x14ac:dyDescent="0.35"/>
    <row r="893" ht="13.5" customHeight="1" x14ac:dyDescent="0.35"/>
    <row r="894" ht="13.5" customHeight="1" x14ac:dyDescent="0.35"/>
    <row r="895" ht="13.5" customHeight="1" x14ac:dyDescent="0.35"/>
    <row r="896" ht="13.5" customHeight="1" x14ac:dyDescent="0.35"/>
    <row r="897" ht="13.5" customHeight="1" x14ac:dyDescent="0.35"/>
    <row r="898" ht="13.5" customHeight="1" x14ac:dyDescent="0.35"/>
    <row r="899" ht="13.5" customHeight="1" x14ac:dyDescent="0.35"/>
    <row r="900" ht="13.5" customHeight="1" x14ac:dyDescent="0.35"/>
    <row r="901" ht="13.5" customHeight="1" x14ac:dyDescent="0.35"/>
    <row r="902" ht="13.5" customHeight="1" x14ac:dyDescent="0.35"/>
    <row r="903" ht="13.5" customHeight="1" x14ac:dyDescent="0.35"/>
    <row r="904" ht="13.5" customHeight="1" x14ac:dyDescent="0.35"/>
    <row r="905" ht="13.5" customHeight="1" x14ac:dyDescent="0.35"/>
    <row r="906" ht="13.5" customHeight="1" x14ac:dyDescent="0.35"/>
    <row r="907" ht="13.5" customHeight="1" x14ac:dyDescent="0.35"/>
    <row r="908" ht="13.5" customHeight="1" x14ac:dyDescent="0.35"/>
    <row r="909" ht="13.5" customHeight="1" x14ac:dyDescent="0.35"/>
    <row r="910" ht="13.5" customHeight="1" x14ac:dyDescent="0.35"/>
    <row r="911" ht="13.5" customHeight="1" x14ac:dyDescent="0.35"/>
    <row r="912" ht="13.5" customHeight="1" x14ac:dyDescent="0.35"/>
    <row r="913" ht="13.5" customHeight="1" x14ac:dyDescent="0.35"/>
    <row r="914" ht="13.5" customHeight="1" x14ac:dyDescent="0.35"/>
    <row r="915" ht="13.5" customHeight="1" x14ac:dyDescent="0.35"/>
    <row r="916" ht="13.5" customHeight="1" x14ac:dyDescent="0.35"/>
    <row r="917" ht="13.5" customHeight="1" x14ac:dyDescent="0.35"/>
    <row r="918" ht="13.5" customHeight="1" x14ac:dyDescent="0.35"/>
    <row r="919" ht="13.5" customHeight="1" x14ac:dyDescent="0.35"/>
    <row r="920" ht="13.5" customHeight="1" x14ac:dyDescent="0.35"/>
    <row r="921" ht="13.5" customHeight="1" x14ac:dyDescent="0.35"/>
    <row r="922" ht="13.5" customHeight="1" x14ac:dyDescent="0.35"/>
    <row r="923" ht="13.5" customHeight="1" x14ac:dyDescent="0.35"/>
    <row r="924" ht="13.5" customHeight="1" x14ac:dyDescent="0.35"/>
    <row r="925" ht="13.5" customHeight="1" x14ac:dyDescent="0.35"/>
    <row r="926" ht="13.5" customHeight="1" x14ac:dyDescent="0.35"/>
    <row r="927" ht="13.5" customHeight="1" x14ac:dyDescent="0.35"/>
    <row r="928" ht="13.5" customHeight="1" x14ac:dyDescent="0.35"/>
    <row r="929" ht="13.5" customHeight="1" x14ac:dyDescent="0.35"/>
    <row r="930" ht="13.5" customHeight="1" x14ac:dyDescent="0.35"/>
    <row r="931" ht="13.5" customHeight="1" x14ac:dyDescent="0.35"/>
    <row r="932" ht="13.5" customHeight="1" x14ac:dyDescent="0.35"/>
    <row r="933" ht="13.5" customHeight="1" x14ac:dyDescent="0.35"/>
    <row r="934" ht="13.5" customHeight="1" x14ac:dyDescent="0.35"/>
    <row r="935" ht="13.5" customHeight="1" x14ac:dyDescent="0.35"/>
    <row r="936" ht="13.5" customHeight="1" x14ac:dyDescent="0.35"/>
    <row r="937" ht="13.5" customHeight="1" x14ac:dyDescent="0.35"/>
    <row r="938" ht="13.5" customHeight="1" x14ac:dyDescent="0.35"/>
    <row r="939" ht="13.5" customHeight="1" x14ac:dyDescent="0.35"/>
    <row r="940" ht="13.5" customHeight="1" x14ac:dyDescent="0.35"/>
    <row r="941" ht="13.5" customHeight="1" x14ac:dyDescent="0.35"/>
    <row r="942" ht="13.5" customHeight="1" x14ac:dyDescent="0.35"/>
    <row r="943" ht="13.5" customHeight="1" x14ac:dyDescent="0.35"/>
    <row r="944" ht="13.5" customHeight="1" x14ac:dyDescent="0.35"/>
    <row r="945" ht="13.5" customHeight="1" x14ac:dyDescent="0.35"/>
    <row r="946" ht="13.5" customHeight="1" x14ac:dyDescent="0.35"/>
    <row r="947" ht="13.5" customHeight="1" x14ac:dyDescent="0.35"/>
    <row r="948" ht="13.5" customHeight="1" x14ac:dyDescent="0.35"/>
    <row r="949" ht="13.5" customHeight="1" x14ac:dyDescent="0.35"/>
    <row r="950" ht="13.5" customHeight="1" x14ac:dyDescent="0.35"/>
    <row r="951" ht="13.5" customHeight="1" x14ac:dyDescent="0.35"/>
    <row r="952" ht="13.5" customHeight="1" x14ac:dyDescent="0.35"/>
    <row r="953" ht="13.5" customHeight="1" x14ac:dyDescent="0.35"/>
    <row r="954" ht="13.5" customHeight="1" x14ac:dyDescent="0.35"/>
    <row r="955" ht="13.5" customHeight="1" x14ac:dyDescent="0.35"/>
    <row r="956" ht="13.5" customHeight="1" x14ac:dyDescent="0.35"/>
    <row r="957" ht="13.5" customHeight="1" x14ac:dyDescent="0.35"/>
    <row r="958" ht="13.5" customHeight="1" x14ac:dyDescent="0.35"/>
    <row r="959" ht="13.5" customHeight="1" x14ac:dyDescent="0.35"/>
    <row r="960" ht="13.5" customHeight="1" x14ac:dyDescent="0.35"/>
    <row r="961" ht="13.5" customHeight="1" x14ac:dyDescent="0.35"/>
    <row r="962" ht="13.5" customHeight="1" x14ac:dyDescent="0.35"/>
    <row r="963" ht="13.5" customHeight="1" x14ac:dyDescent="0.35"/>
    <row r="964" ht="13.5" customHeight="1" x14ac:dyDescent="0.35"/>
    <row r="965" ht="13.5" customHeight="1" x14ac:dyDescent="0.35"/>
    <row r="966" ht="13.5" customHeight="1" x14ac:dyDescent="0.35"/>
    <row r="967" ht="13.5" customHeight="1" x14ac:dyDescent="0.35"/>
    <row r="968" ht="13.5" customHeight="1" x14ac:dyDescent="0.35"/>
    <row r="969" ht="13.5" customHeight="1" x14ac:dyDescent="0.35"/>
    <row r="970" ht="13.5" customHeight="1" x14ac:dyDescent="0.35"/>
    <row r="971" ht="13.5" customHeight="1" x14ac:dyDescent="0.35"/>
    <row r="972" ht="13.5" customHeight="1" x14ac:dyDescent="0.35"/>
    <row r="973" ht="13.5" customHeight="1" x14ac:dyDescent="0.35"/>
    <row r="974" ht="13.5" customHeight="1" x14ac:dyDescent="0.35"/>
    <row r="975" ht="13.5" customHeight="1" x14ac:dyDescent="0.35"/>
    <row r="976" ht="13.5" customHeight="1" x14ac:dyDescent="0.35"/>
    <row r="977" ht="13.5" customHeight="1" x14ac:dyDescent="0.35"/>
    <row r="978" ht="13.5" customHeight="1" x14ac:dyDescent="0.35"/>
    <row r="979" ht="13.5" customHeight="1" x14ac:dyDescent="0.35"/>
    <row r="980" ht="13.5" customHeight="1" x14ac:dyDescent="0.35"/>
    <row r="981" ht="13.5" customHeight="1" x14ac:dyDescent="0.35"/>
    <row r="982" ht="13.5" customHeight="1" x14ac:dyDescent="0.35"/>
    <row r="983" ht="13.5" customHeight="1" x14ac:dyDescent="0.35"/>
    <row r="984" ht="13.5" customHeight="1" x14ac:dyDescent="0.35"/>
    <row r="985" ht="13.5" customHeight="1" x14ac:dyDescent="0.35"/>
    <row r="986" ht="13.5" customHeight="1" x14ac:dyDescent="0.35"/>
    <row r="987" ht="13.5" customHeight="1" x14ac:dyDescent="0.35"/>
    <row r="988" ht="13.5" customHeight="1" x14ac:dyDescent="0.35"/>
    <row r="989" ht="13.5" customHeight="1" x14ac:dyDescent="0.35"/>
    <row r="990" ht="13.5" customHeight="1" x14ac:dyDescent="0.35"/>
    <row r="991" ht="13.5" customHeight="1" x14ac:dyDescent="0.35"/>
    <row r="992" ht="13.5" customHeight="1" x14ac:dyDescent="0.35"/>
    <row r="993" ht="13.5" customHeight="1" x14ac:dyDescent="0.35"/>
    <row r="994" ht="13.5" customHeight="1" x14ac:dyDescent="0.35"/>
    <row r="995" ht="13.5" customHeight="1" x14ac:dyDescent="0.35"/>
    <row r="996" ht="13.5" customHeight="1" x14ac:dyDescent="0.35"/>
    <row r="997" ht="13.5" customHeight="1" x14ac:dyDescent="0.35"/>
    <row r="998" ht="13.5" customHeight="1" x14ac:dyDescent="0.35"/>
    <row r="999" ht="13.5" customHeight="1" x14ac:dyDescent="0.35"/>
    <row r="1000" ht="13.5" customHeight="1" x14ac:dyDescent="0.35"/>
    <row r="1001" ht="13.5" customHeight="1" x14ac:dyDescent="0.35"/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9"/>
  <sheetViews>
    <sheetView workbookViewId="0">
      <selection activeCell="G24" sqref="G24"/>
    </sheetView>
  </sheetViews>
  <sheetFormatPr defaultColWidth="14.453125" defaultRowHeight="15" customHeight="1" x14ac:dyDescent="0.35"/>
  <cols>
    <col min="1" max="1" width="38" customWidth="1"/>
    <col min="2" max="2" width="9" customWidth="1"/>
    <col min="3" max="4" width="18.54296875" customWidth="1"/>
    <col min="5" max="5" width="8.90625" customWidth="1"/>
    <col min="6" max="6" width="12" customWidth="1"/>
    <col min="7" max="26" width="8.6328125" customWidth="1"/>
  </cols>
  <sheetData>
    <row r="1" spans="1:26" ht="22.75" customHeight="1" x14ac:dyDescent="0.35">
      <c r="A1" s="174" t="str">
        <f>+'Financial Model'!B1</f>
        <v>Pharma 48X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3.5" customHeight="1" x14ac:dyDescent="0.35">
      <c r="A2" s="4"/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4" customHeight="1" x14ac:dyDescent="0.35">
      <c r="A3" s="1" t="s">
        <v>103</v>
      </c>
      <c r="B3" s="2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3.5" customHeight="1" x14ac:dyDescent="0.35">
      <c r="A4" s="1" t="s">
        <v>124</v>
      </c>
      <c r="B4" s="2"/>
      <c r="C4" s="2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3.5" customHeight="1" x14ac:dyDescent="0.35">
      <c r="A5" s="19"/>
      <c r="B5" s="2"/>
      <c r="C5" s="2"/>
      <c r="D5" s="2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3.5" customHeight="1" x14ac:dyDescent="0.35">
      <c r="A6" s="19"/>
      <c r="B6" s="2"/>
      <c r="C6" s="2"/>
      <c r="D6" s="2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3.5" customHeight="1" x14ac:dyDescent="0.35">
      <c r="A7" s="19"/>
      <c r="B7" s="2"/>
      <c r="C7" s="7">
        <v>2022</v>
      </c>
      <c r="D7" s="7">
        <v>2023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3.5" customHeight="1" x14ac:dyDescent="0.35">
      <c r="A8" s="19"/>
      <c r="B8" s="2" t="s">
        <v>1</v>
      </c>
      <c r="C8" s="7" t="s">
        <v>100</v>
      </c>
      <c r="D8" s="7" t="s">
        <v>100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3.5" customHeight="1" x14ac:dyDescent="0.35">
      <c r="A9" s="1" t="s">
        <v>8</v>
      </c>
      <c r="B9" s="2"/>
      <c r="C9" s="20"/>
      <c r="D9" s="20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3.5" customHeight="1" x14ac:dyDescent="0.35">
      <c r="A10" s="5" t="s">
        <v>9</v>
      </c>
      <c r="B10" s="6"/>
      <c r="C10" s="7"/>
      <c r="D10" s="7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3.5" customHeight="1" x14ac:dyDescent="0.35">
      <c r="A11" s="3" t="s">
        <v>10</v>
      </c>
      <c r="B11" s="6"/>
      <c r="C11" s="21">
        <f>SUM('TB 2022'!C6:C9)</f>
        <v>9780.48</v>
      </c>
      <c r="D11" s="21">
        <f>SUM('TB 2023'!C6:C11)</f>
        <v>125658.24000000001</v>
      </c>
      <c r="E11" s="3"/>
      <c r="F11" s="36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3.5" customHeight="1" x14ac:dyDescent="0.35">
      <c r="A12" s="3" t="s">
        <v>11</v>
      </c>
      <c r="B12" s="6"/>
      <c r="C12" s="22">
        <f>'TB 2022'!C10</f>
        <v>10838.25</v>
      </c>
      <c r="D12" s="22">
        <f>'TB 2023'!C12</f>
        <v>10838.25</v>
      </c>
      <c r="E12" s="3"/>
      <c r="F12" s="36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3.5" customHeight="1" x14ac:dyDescent="0.35">
      <c r="A13" s="3"/>
      <c r="B13" s="6"/>
      <c r="C13" s="22"/>
      <c r="D13" s="22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3.5" customHeight="1" x14ac:dyDescent="0.35">
      <c r="A14" s="5"/>
      <c r="B14" s="6"/>
      <c r="C14" s="23">
        <f t="shared" ref="C14" si="0">SUM(C11:C12)</f>
        <v>20618.73</v>
      </c>
      <c r="D14" s="23">
        <f>SUM(D11:D12)</f>
        <v>136496.49</v>
      </c>
      <c r="E14" s="3"/>
      <c r="F14" s="36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3.5" customHeight="1" x14ac:dyDescent="0.35">
      <c r="A15" s="5"/>
      <c r="B15" s="6"/>
      <c r="C15" s="7"/>
      <c r="D15" s="7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3.5" customHeight="1" x14ac:dyDescent="0.35">
      <c r="A16" s="5" t="s">
        <v>12</v>
      </c>
      <c r="B16" s="6"/>
      <c r="C16" s="15"/>
      <c r="D16" s="15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3.5" customHeight="1" x14ac:dyDescent="0.35">
      <c r="A17" s="3" t="s">
        <v>13</v>
      </c>
      <c r="B17" s="6"/>
      <c r="C17" s="10">
        <f>SUM('TB 2022'!C11:C14)</f>
        <v>7942.57</v>
      </c>
      <c r="D17" s="10">
        <f>SUM('TB 2023'!C13:C16)</f>
        <v>26171.100000000002</v>
      </c>
      <c r="E17" s="3"/>
      <c r="F17" s="36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3.5" customHeight="1" x14ac:dyDescent="0.35">
      <c r="A18" s="3" t="s">
        <v>106</v>
      </c>
      <c r="B18" s="6">
        <v>3</v>
      </c>
      <c r="C18" s="10">
        <f>Notes!B76</f>
        <v>2169026.61</v>
      </c>
      <c r="D18" s="10">
        <f>Notes!C76</f>
        <v>1932136.84</v>
      </c>
      <c r="E18" s="3"/>
      <c r="F18" s="36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3.5" customHeight="1" x14ac:dyDescent="0.35">
      <c r="A19" s="3"/>
      <c r="B19" s="6"/>
      <c r="C19" s="15"/>
      <c r="D19" s="15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3.5" customHeight="1" x14ac:dyDescent="0.35">
      <c r="A20" s="5" t="s">
        <v>14</v>
      </c>
      <c r="B20" s="6"/>
      <c r="C20" s="23">
        <f>SUM(C17:C19)</f>
        <v>2176969.1799999997</v>
      </c>
      <c r="D20" s="23">
        <f>SUM(D17:D19)</f>
        <v>1958307.9400000002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3.5" customHeight="1" x14ac:dyDescent="0.35">
      <c r="A21" s="3"/>
      <c r="B21" s="6"/>
      <c r="C21" s="15"/>
      <c r="D21" s="15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3.5" customHeight="1" thickBot="1" x14ac:dyDescent="0.4">
      <c r="A22" s="5" t="s">
        <v>15</v>
      </c>
      <c r="B22" s="6"/>
      <c r="C22" s="17">
        <f>C14+C20</f>
        <v>2197587.9099999997</v>
      </c>
      <c r="D22" s="17">
        <f>D20+D14</f>
        <v>2094804.4300000002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3.5" customHeight="1" thickTop="1" x14ac:dyDescent="0.35">
      <c r="A23" s="19"/>
      <c r="B23" s="2"/>
      <c r="C23" s="24"/>
      <c r="D23" s="24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7.399999999999999" customHeight="1" x14ac:dyDescent="0.35">
      <c r="A24" s="1" t="s">
        <v>16</v>
      </c>
      <c r="B24" s="2"/>
      <c r="C24" s="24"/>
      <c r="D24" s="24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3.5" customHeight="1" x14ac:dyDescent="0.35">
      <c r="A25" s="1"/>
      <c r="B25" s="2"/>
      <c r="C25" s="24"/>
      <c r="D25" s="24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3.5" customHeight="1" x14ac:dyDescent="0.35">
      <c r="A26" s="5" t="s">
        <v>17</v>
      </c>
      <c r="B26" s="6"/>
      <c r="C26" s="15"/>
      <c r="D26" s="15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3.5" customHeight="1" x14ac:dyDescent="0.35">
      <c r="A27" s="3" t="s">
        <v>18</v>
      </c>
      <c r="B27" s="6"/>
      <c r="C27" s="10">
        <f>-'TB 2022'!C18</f>
        <v>1460</v>
      </c>
      <c r="D27" s="10">
        <f>-'TB 2023'!C20</f>
        <v>1460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3.5" customHeight="1" x14ac:dyDescent="0.35">
      <c r="A28" s="3" t="s">
        <v>19</v>
      </c>
      <c r="B28" s="6"/>
      <c r="C28" s="10">
        <f>-'TB 2022'!C21</f>
        <v>10263.1</v>
      </c>
      <c r="D28" s="10">
        <f>-'TB 2023'!C23</f>
        <v>10263.1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3.5" customHeight="1" x14ac:dyDescent="0.35">
      <c r="A29" s="3" t="s">
        <v>20</v>
      </c>
      <c r="B29" s="6"/>
      <c r="C29" s="10">
        <f>-'TB 2022'!C19</f>
        <v>2019160</v>
      </c>
      <c r="D29" s="10">
        <f>-'TB 2023'!C21</f>
        <v>2019160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3.5" customHeight="1" x14ac:dyDescent="0.35">
      <c r="A30" s="3" t="s">
        <v>104</v>
      </c>
      <c r="B30" s="6"/>
      <c r="C30" s="10">
        <f>-('TB 2022'!C20-'Income Statement'!D31)</f>
        <v>-139657.61999999997</v>
      </c>
      <c r="D30" s="10">
        <f>-('TB 2023'!C22-'Income Statement'!E31)</f>
        <v>-241429.22999999998</v>
      </c>
      <c r="E30" s="3"/>
      <c r="F30" s="11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3.5" customHeight="1" x14ac:dyDescent="0.35">
      <c r="A31" s="3"/>
      <c r="B31" s="6"/>
      <c r="C31" s="15"/>
      <c r="D31" s="15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3.5" customHeight="1" x14ac:dyDescent="0.35">
      <c r="A32" s="5" t="s">
        <v>21</v>
      </c>
      <c r="B32" s="6"/>
      <c r="C32" s="23">
        <f>SUM(C27:C31)</f>
        <v>1891225.4800000002</v>
      </c>
      <c r="D32" s="23">
        <f>SUM(D27:D31)</f>
        <v>1789453.87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3.5" customHeight="1" x14ac:dyDescent="0.35">
      <c r="A33" s="5"/>
      <c r="B33" s="6"/>
      <c r="C33" s="15"/>
      <c r="D33" s="15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3.5" customHeight="1" x14ac:dyDescent="0.35">
      <c r="A34" s="5" t="s">
        <v>22</v>
      </c>
      <c r="B34" s="6"/>
      <c r="C34" s="15"/>
      <c r="D34" s="15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3.5" customHeight="1" x14ac:dyDescent="0.35">
      <c r="A35" s="3" t="s">
        <v>105</v>
      </c>
      <c r="B35" s="6"/>
      <c r="C35" s="10">
        <f>Notes!B67+Notes!B81-'TB 2022'!C31</f>
        <v>4921.99</v>
      </c>
      <c r="D35" s="10">
        <f>Notes!C82+Notes!C67-'TB 2023'!C39-'TB 2023'!C38</f>
        <v>3910.3599999999997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3.5" customHeight="1" x14ac:dyDescent="0.35">
      <c r="A36" s="3" t="s">
        <v>23</v>
      </c>
      <c r="B36" s="6"/>
      <c r="C36" s="10">
        <f>-'TB 2022'!C32</f>
        <v>301439.43</v>
      </c>
      <c r="D36" s="10">
        <f>-'TB 2023'!C40</f>
        <v>301439.43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3.5" customHeight="1" x14ac:dyDescent="0.35">
      <c r="A37" s="3"/>
      <c r="B37" s="6"/>
      <c r="C37" s="15"/>
      <c r="D37" s="15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3.5" customHeight="1" x14ac:dyDescent="0.35">
      <c r="A38" s="5" t="s">
        <v>24</v>
      </c>
      <c r="B38" s="6"/>
      <c r="C38" s="23">
        <f>SUM(C35:C37)</f>
        <v>306361.42</v>
      </c>
      <c r="D38" s="23">
        <f>SUM(D35:D37)</f>
        <v>305349.78999999998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3.5" customHeight="1" x14ac:dyDescent="0.35">
      <c r="A39" s="3"/>
      <c r="B39" s="6"/>
      <c r="C39" s="15"/>
      <c r="D39" s="15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3.5" customHeight="1" thickBot="1" x14ac:dyDescent="0.4">
      <c r="A40" s="5" t="s">
        <v>25</v>
      </c>
      <c r="B40" s="6"/>
      <c r="C40" s="17">
        <f>C38+C32+1</f>
        <v>2197587.9000000004</v>
      </c>
      <c r="D40" s="17">
        <f t="shared" ref="D40" si="1">D38+D32</f>
        <v>2094803.6600000001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3.5" customHeight="1" thickTop="1" x14ac:dyDescent="0.35">
      <c r="A41" s="25"/>
      <c r="B41" s="2"/>
      <c r="C41" s="2"/>
      <c r="D41" s="2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3.5" customHeight="1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3.5" customHeight="1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3.5" customHeight="1" x14ac:dyDescent="0.35">
      <c r="A44" s="3"/>
      <c r="B44" s="3"/>
      <c r="C44" s="11"/>
      <c r="D44" s="11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3.5" customHeight="1" x14ac:dyDescent="0.35">
      <c r="A45" s="3"/>
      <c r="B45" s="3"/>
      <c r="C45" s="3"/>
      <c r="D45" s="11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3.5" customHeight="1" x14ac:dyDescent="0.35">
      <c r="A46" s="3"/>
      <c r="B46" s="3"/>
      <c r="C46" s="3"/>
      <c r="D46" s="11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3.5" customHeight="1" x14ac:dyDescent="0.3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3.5" customHeight="1" x14ac:dyDescent="0.3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3.5" customHeight="1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3.5" customHeight="1" x14ac:dyDescent="0.3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3.5" customHeight="1" x14ac:dyDescent="0.3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3.5" customHeight="1" x14ac:dyDescent="0.3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3.5" customHeight="1" x14ac:dyDescent="0.3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3.5" customHeight="1" x14ac:dyDescent="0.3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3.5" customHeight="1" x14ac:dyDescent="0.3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3.5" customHeight="1" x14ac:dyDescent="0.3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3.5" customHeight="1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3.5" customHeight="1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3.5" customHeight="1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3.5" customHeight="1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3.5" customHeight="1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3.5" customHeight="1" x14ac:dyDescent="0.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3.5" customHeight="1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3.5" customHeight="1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3.5" customHeight="1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3.5" customHeight="1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3.5" customHeight="1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3.5" customHeight="1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3.5" customHeight="1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3.5" customHeight="1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3.5" customHeight="1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3.5" customHeight="1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3.5" customHeight="1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3.5" customHeight="1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3.5" customHeight="1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3.5" customHeight="1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3.5" customHeight="1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3.5" customHeight="1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3.5" customHeight="1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3.5" customHeight="1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3.5" customHeight="1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3.5" customHeight="1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3.5" customHeight="1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3.5" customHeight="1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3.5" customHeight="1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3.5" customHeight="1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3.5" customHeight="1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3.5" customHeight="1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3.5" customHeight="1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3.5" customHeight="1" x14ac:dyDescent="0.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3.5" customHeight="1" x14ac:dyDescent="0.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3.5" customHeight="1" x14ac:dyDescent="0.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3.5" customHeight="1" x14ac:dyDescent="0.3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3.5" customHeight="1" x14ac:dyDescent="0.3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3.5" customHeight="1" x14ac:dyDescent="0.3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3.5" customHeight="1" x14ac:dyDescent="0.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3.5" customHeight="1" x14ac:dyDescent="0.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3.5" customHeight="1" x14ac:dyDescent="0.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3.5" customHeight="1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3.5" customHeight="1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3.5" customHeight="1" x14ac:dyDescent="0.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3.5" customHeight="1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3.5" customHeight="1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3.5" customHeight="1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3.5" customHeight="1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3.5" customHeight="1" x14ac:dyDescent="0.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3.5" customHeight="1" x14ac:dyDescent="0.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3.5" customHeight="1" x14ac:dyDescent="0.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3.5" customHeight="1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3.5" customHeight="1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3.5" customHeight="1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3.5" customHeight="1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3.5" customHeight="1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3.5" customHeight="1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3.5" customHeight="1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3.5" customHeight="1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3.5" customHeight="1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3.5" customHeight="1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3.5" customHeight="1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3.5" customHeight="1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3.5" customHeight="1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3.5" customHeight="1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3.5" customHeight="1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3.5" customHeight="1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3.5" customHeight="1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3.5" customHeight="1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3.5" customHeight="1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3.5" customHeight="1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3.5" customHeight="1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3.5" customHeight="1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3.5" customHeight="1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3.5" customHeight="1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3.5" customHeight="1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3.5" customHeight="1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3.5" customHeight="1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3.5" customHeight="1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3.5" customHeight="1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3.5" customHeight="1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3.5" customHeight="1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3.5" customHeight="1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3.5" customHeight="1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3.5" customHeight="1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3.5" customHeight="1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3.5" customHeight="1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3.5" customHeight="1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3.5" customHeight="1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3.5" customHeight="1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3.5" customHeight="1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3.5" customHeight="1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3.5" customHeight="1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3.5" customHeight="1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3.5" customHeight="1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3.5" customHeight="1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3.5" customHeight="1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3.5" customHeight="1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3.5" customHeight="1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3.5" customHeight="1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3.5" customHeight="1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3.5" customHeight="1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3.5" customHeight="1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3.5" customHeight="1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3.5" customHeight="1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3.5" customHeight="1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3.5" customHeight="1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3.5" customHeight="1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3.5" customHeight="1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3.5" customHeight="1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3.5" customHeight="1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3.5" customHeight="1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3.5" customHeight="1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3.5" customHeight="1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3.5" customHeight="1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3.5" customHeight="1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3.5" customHeight="1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3.5" customHeight="1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3.5" customHeight="1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3.5" customHeight="1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3.5" customHeight="1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3.5" customHeight="1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3.5" customHeight="1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3.5" customHeight="1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3.5" customHeight="1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3.5" customHeight="1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3.5" customHeight="1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3.5" customHeight="1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3.5" customHeight="1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3.5" customHeight="1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3.5" customHeight="1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3.5" customHeight="1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3.5" customHeight="1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3.5" customHeight="1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3.5" customHeight="1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3.5" customHeight="1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3.5" customHeight="1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3.5" customHeight="1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3.5" customHeight="1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3.5" customHeight="1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3.5" customHeight="1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3.5" customHeight="1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3.5" customHeight="1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3.5" customHeight="1" x14ac:dyDescent="0.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3.5" customHeight="1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3.5" customHeight="1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3.5" customHeight="1" x14ac:dyDescent="0.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3.5" customHeight="1" x14ac:dyDescent="0.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3.5" customHeight="1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3.5" customHeight="1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3.5" customHeight="1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3.5" customHeight="1" x14ac:dyDescent="0.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3.5" customHeight="1" x14ac:dyDescent="0.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3.5" customHeight="1" x14ac:dyDescent="0.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3.5" customHeight="1" x14ac:dyDescent="0.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3.5" customHeight="1" x14ac:dyDescent="0.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3.5" customHeight="1" x14ac:dyDescent="0.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3.5" customHeight="1" x14ac:dyDescent="0.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3.5" customHeight="1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3.5" customHeight="1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3.5" customHeight="1" x14ac:dyDescent="0.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3.5" customHeight="1" x14ac:dyDescent="0.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3.5" customHeight="1" x14ac:dyDescent="0.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3.5" customHeight="1" x14ac:dyDescent="0.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3.5" customHeight="1" x14ac:dyDescent="0.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3.5" customHeight="1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3.5" customHeight="1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3.5" customHeight="1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3.5" customHeight="1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3.5" customHeight="1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3.5" customHeight="1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3.5" customHeight="1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3.5" customHeight="1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3.5" customHeight="1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3.5" customHeight="1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3.5" customHeight="1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3.5" customHeight="1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3.5" customHeight="1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3.5" customHeight="1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3.5" customHeight="1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3.5" customHeight="1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3.5" customHeight="1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3.5" customHeight="1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3.5" customHeight="1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3.5" customHeight="1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3.5" customHeight="1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3.5" customHeight="1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3.5" customHeight="1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3.5" customHeight="1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3.5" customHeight="1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3.5" customHeight="1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3.5" customHeight="1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3.5" customHeight="1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3.5" customHeight="1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3.5" customHeight="1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3.5" customHeight="1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3.5" customHeight="1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3.5" customHeight="1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3.5" customHeight="1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3.5" customHeight="1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3.5" customHeight="1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3.5" customHeight="1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3.5" customHeight="1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3.5" customHeight="1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3.5" customHeight="1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3.5" customHeight="1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3.5" customHeight="1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3.5" customHeight="1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3.5" customHeight="1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3.5" customHeight="1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3.5" customHeight="1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3.5" customHeight="1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3.5" customHeight="1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3.5" customHeight="1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3.5" customHeight="1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3.5" customHeight="1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3.5" customHeight="1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3.5" customHeight="1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3.5" customHeight="1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3.5" customHeight="1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3.5" customHeight="1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3.5" customHeight="1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3.5" customHeight="1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3.5" customHeight="1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3.5" customHeight="1" x14ac:dyDescent="0.3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3.5" customHeight="1" x14ac:dyDescent="0.3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3.5" customHeight="1" x14ac:dyDescent="0.3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3.5" customHeight="1" x14ac:dyDescent="0.3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3.5" customHeight="1" x14ac:dyDescent="0.3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3.5" customHeight="1" x14ac:dyDescent="0.3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3.5" customHeight="1" x14ac:dyDescent="0.3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3.5" customHeight="1" x14ac:dyDescent="0.3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3.5" customHeight="1" x14ac:dyDescent="0.3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3.5" customHeight="1" x14ac:dyDescent="0.3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3.5" customHeight="1" x14ac:dyDescent="0.3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3.5" customHeight="1" x14ac:dyDescent="0.3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3.5" customHeight="1" x14ac:dyDescent="0.3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3.5" customHeight="1" x14ac:dyDescent="0.3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3.5" customHeight="1" x14ac:dyDescent="0.3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3.5" customHeight="1" x14ac:dyDescent="0.3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3.5" customHeight="1" x14ac:dyDescent="0.3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3.5" customHeight="1" x14ac:dyDescent="0.3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3.5" customHeight="1" x14ac:dyDescent="0.3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3.5" customHeight="1" x14ac:dyDescent="0.3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3.5" customHeight="1" x14ac:dyDescent="0.3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3.5" customHeight="1" x14ac:dyDescent="0.3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3.5" customHeight="1" x14ac:dyDescent="0.3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3.5" customHeight="1" x14ac:dyDescent="0.3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3.5" customHeight="1" x14ac:dyDescent="0.3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3.5" customHeight="1" x14ac:dyDescent="0.3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3.5" customHeight="1" x14ac:dyDescent="0.3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3.5" customHeight="1" x14ac:dyDescent="0.3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3.5" customHeight="1" x14ac:dyDescent="0.3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3.5" customHeight="1" x14ac:dyDescent="0.3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3.5" customHeight="1" x14ac:dyDescent="0.3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3.5" customHeight="1" x14ac:dyDescent="0.3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3.5" customHeight="1" x14ac:dyDescent="0.3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3.5" customHeight="1" x14ac:dyDescent="0.3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3.5" customHeight="1" x14ac:dyDescent="0.3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3.5" customHeight="1" x14ac:dyDescent="0.3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3.5" customHeight="1" x14ac:dyDescent="0.3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3.5" customHeight="1" x14ac:dyDescent="0.3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3.5" customHeight="1" x14ac:dyDescent="0.3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3.5" customHeight="1" x14ac:dyDescent="0.3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3.5" customHeight="1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3.5" customHeight="1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3.5" customHeight="1" x14ac:dyDescent="0.3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3.5" customHeight="1" x14ac:dyDescent="0.3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3.5" customHeight="1" x14ac:dyDescent="0.3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3.5" customHeight="1" x14ac:dyDescent="0.3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3.5" customHeight="1" x14ac:dyDescent="0.3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3.5" customHeight="1" x14ac:dyDescent="0.3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3.5" customHeight="1" x14ac:dyDescent="0.3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3.5" customHeight="1" x14ac:dyDescent="0.3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3.5" customHeight="1" x14ac:dyDescent="0.3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3.5" customHeight="1" x14ac:dyDescent="0.3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3.5" customHeight="1" x14ac:dyDescent="0.3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3.5" customHeight="1" x14ac:dyDescent="0.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3.5" customHeight="1" x14ac:dyDescent="0.3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3.5" customHeight="1" x14ac:dyDescent="0.3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3.5" customHeight="1" x14ac:dyDescent="0.3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3.5" customHeight="1" x14ac:dyDescent="0.3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3.5" customHeight="1" x14ac:dyDescent="0.3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3.5" customHeight="1" x14ac:dyDescent="0.3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3.5" customHeight="1" x14ac:dyDescent="0.3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3.5" customHeight="1" x14ac:dyDescent="0.3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3.5" customHeight="1" x14ac:dyDescent="0.3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3.5" customHeight="1" x14ac:dyDescent="0.3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3.5" customHeight="1" x14ac:dyDescent="0.3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3.5" customHeight="1" x14ac:dyDescent="0.3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3.5" customHeight="1" x14ac:dyDescent="0.3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3.5" customHeight="1" x14ac:dyDescent="0.3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3.5" customHeight="1" x14ac:dyDescent="0.3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3.5" customHeight="1" x14ac:dyDescent="0.3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3.5" customHeight="1" x14ac:dyDescent="0.3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3.5" customHeight="1" x14ac:dyDescent="0.3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3.5" customHeight="1" x14ac:dyDescent="0.3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3.5" customHeight="1" x14ac:dyDescent="0.3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3.5" customHeight="1" x14ac:dyDescent="0.3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3.5" customHeight="1" x14ac:dyDescent="0.3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3.5" customHeight="1" x14ac:dyDescent="0.3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3.5" customHeight="1" x14ac:dyDescent="0.3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3.5" customHeight="1" x14ac:dyDescent="0.3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3.5" customHeight="1" x14ac:dyDescent="0.3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3.5" customHeight="1" x14ac:dyDescent="0.3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3.5" customHeight="1" x14ac:dyDescent="0.3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3.5" customHeight="1" x14ac:dyDescent="0.3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3.5" customHeight="1" x14ac:dyDescent="0.3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3.5" customHeight="1" x14ac:dyDescent="0.3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3.5" customHeight="1" x14ac:dyDescent="0.3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3.5" customHeight="1" x14ac:dyDescent="0.3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3.5" customHeight="1" x14ac:dyDescent="0.3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3.5" customHeight="1" x14ac:dyDescent="0.3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3.5" customHeight="1" x14ac:dyDescent="0.3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3.5" customHeight="1" x14ac:dyDescent="0.3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3.5" customHeight="1" x14ac:dyDescent="0.3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3.5" customHeight="1" x14ac:dyDescent="0.3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3.5" customHeight="1" x14ac:dyDescent="0.3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3.5" customHeight="1" x14ac:dyDescent="0.3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3.5" customHeight="1" x14ac:dyDescent="0.3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3.5" customHeight="1" x14ac:dyDescent="0.3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3.5" customHeight="1" x14ac:dyDescent="0.3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3.5" customHeight="1" x14ac:dyDescent="0.3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3.5" customHeight="1" x14ac:dyDescent="0.3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3.5" customHeight="1" x14ac:dyDescent="0.3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3.5" customHeight="1" x14ac:dyDescent="0.3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3.5" customHeight="1" x14ac:dyDescent="0.3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3.5" customHeight="1" x14ac:dyDescent="0.3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3.5" customHeight="1" x14ac:dyDescent="0.3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3.5" customHeight="1" x14ac:dyDescent="0.3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3.5" customHeight="1" x14ac:dyDescent="0.3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3.5" customHeight="1" x14ac:dyDescent="0.3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3.5" customHeight="1" x14ac:dyDescent="0.3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3.5" customHeight="1" x14ac:dyDescent="0.3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3.5" customHeight="1" x14ac:dyDescent="0.3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3.5" customHeight="1" x14ac:dyDescent="0.3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3.5" customHeight="1" x14ac:dyDescent="0.3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3.5" customHeight="1" x14ac:dyDescent="0.3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3.5" customHeight="1" x14ac:dyDescent="0.3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3.5" customHeight="1" x14ac:dyDescent="0.3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3.5" customHeight="1" x14ac:dyDescent="0.3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3.5" customHeight="1" x14ac:dyDescent="0.3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3.5" customHeight="1" x14ac:dyDescent="0.3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3.5" customHeight="1" x14ac:dyDescent="0.3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3.5" customHeight="1" x14ac:dyDescent="0.3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3.5" customHeight="1" x14ac:dyDescent="0.3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3.5" customHeight="1" x14ac:dyDescent="0.3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3.5" customHeight="1" x14ac:dyDescent="0.3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3.5" customHeight="1" x14ac:dyDescent="0.3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3.5" customHeight="1" x14ac:dyDescent="0.3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3.5" customHeight="1" x14ac:dyDescent="0.3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3.5" customHeight="1" x14ac:dyDescent="0.3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3.5" customHeight="1" x14ac:dyDescent="0.3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3.5" customHeight="1" x14ac:dyDescent="0.3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3.5" customHeight="1" x14ac:dyDescent="0.3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3.5" customHeight="1" x14ac:dyDescent="0.3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3.5" customHeight="1" x14ac:dyDescent="0.3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3.5" customHeight="1" x14ac:dyDescent="0.3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3.5" customHeight="1" x14ac:dyDescent="0.3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3.5" customHeight="1" x14ac:dyDescent="0.3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3.5" customHeight="1" x14ac:dyDescent="0.3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3.5" customHeight="1" x14ac:dyDescent="0.3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3.5" customHeight="1" x14ac:dyDescent="0.3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3.5" customHeight="1" x14ac:dyDescent="0.3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3.5" customHeight="1" x14ac:dyDescent="0.3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3.5" customHeight="1" x14ac:dyDescent="0.3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3.5" customHeight="1" x14ac:dyDescent="0.3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3.5" customHeight="1" x14ac:dyDescent="0.3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3.5" customHeight="1" x14ac:dyDescent="0.3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3.5" customHeight="1" x14ac:dyDescent="0.3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3.5" customHeight="1" x14ac:dyDescent="0.3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3.5" customHeight="1" x14ac:dyDescent="0.3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3.5" customHeight="1" x14ac:dyDescent="0.3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3.5" customHeight="1" x14ac:dyDescent="0.3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3.5" customHeight="1" x14ac:dyDescent="0.3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3.5" customHeight="1" x14ac:dyDescent="0.3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3.5" customHeight="1" x14ac:dyDescent="0.3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3.5" customHeight="1" x14ac:dyDescent="0.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3.5" customHeight="1" x14ac:dyDescent="0.3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3.5" customHeight="1" x14ac:dyDescent="0.3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3.5" customHeight="1" x14ac:dyDescent="0.3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3.5" customHeight="1" x14ac:dyDescent="0.3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3.5" customHeight="1" x14ac:dyDescent="0.3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3.5" customHeight="1" x14ac:dyDescent="0.3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3.5" customHeight="1" x14ac:dyDescent="0.3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3.5" customHeight="1" x14ac:dyDescent="0.3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3.5" customHeight="1" x14ac:dyDescent="0.3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3.5" customHeight="1" x14ac:dyDescent="0.3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3.5" customHeight="1" x14ac:dyDescent="0.3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3.5" customHeight="1" x14ac:dyDescent="0.3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3.5" customHeight="1" x14ac:dyDescent="0.3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3.5" customHeight="1" x14ac:dyDescent="0.3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3.5" customHeight="1" x14ac:dyDescent="0.3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3.5" customHeight="1" x14ac:dyDescent="0.3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3.5" customHeight="1" x14ac:dyDescent="0.3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3.5" customHeight="1" x14ac:dyDescent="0.3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3.5" customHeight="1" x14ac:dyDescent="0.3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3.5" customHeight="1" x14ac:dyDescent="0.3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3.5" customHeight="1" x14ac:dyDescent="0.3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3.5" customHeight="1" x14ac:dyDescent="0.3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3.5" customHeight="1" x14ac:dyDescent="0.3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3.5" customHeight="1" x14ac:dyDescent="0.3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3.5" customHeight="1" x14ac:dyDescent="0.3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3.5" customHeight="1" x14ac:dyDescent="0.3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3.5" customHeight="1" x14ac:dyDescent="0.3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3.5" customHeight="1" x14ac:dyDescent="0.3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3.5" customHeight="1" x14ac:dyDescent="0.3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3.5" customHeight="1" x14ac:dyDescent="0.3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3.5" customHeight="1" x14ac:dyDescent="0.3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3.5" customHeight="1" x14ac:dyDescent="0.3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3.5" customHeight="1" x14ac:dyDescent="0.3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3.5" customHeight="1" x14ac:dyDescent="0.3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3.5" customHeight="1" x14ac:dyDescent="0.3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3.5" customHeight="1" x14ac:dyDescent="0.3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3.5" customHeight="1" x14ac:dyDescent="0.3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3.5" customHeight="1" x14ac:dyDescent="0.3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3.5" customHeight="1" x14ac:dyDescent="0.3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3.5" customHeight="1" x14ac:dyDescent="0.3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3.5" customHeight="1" x14ac:dyDescent="0.3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3.5" customHeight="1" x14ac:dyDescent="0.3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3.5" customHeight="1" x14ac:dyDescent="0.3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3.5" customHeight="1" x14ac:dyDescent="0.3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3.5" customHeight="1" x14ac:dyDescent="0.3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3.5" customHeight="1" x14ac:dyDescent="0.3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3.5" customHeight="1" x14ac:dyDescent="0.3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3.5" customHeight="1" x14ac:dyDescent="0.3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3.5" customHeight="1" x14ac:dyDescent="0.3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3.5" customHeight="1" x14ac:dyDescent="0.3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3.5" customHeight="1" x14ac:dyDescent="0.3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3.5" customHeight="1" x14ac:dyDescent="0.3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3.5" customHeight="1" x14ac:dyDescent="0.3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3.5" customHeight="1" x14ac:dyDescent="0.3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3.5" customHeight="1" x14ac:dyDescent="0.3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3.5" customHeight="1" x14ac:dyDescent="0.3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3.5" customHeight="1" x14ac:dyDescent="0.3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3.5" customHeight="1" x14ac:dyDescent="0.3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3.5" customHeight="1" x14ac:dyDescent="0.3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3.5" customHeight="1" x14ac:dyDescent="0.3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3.5" customHeight="1" x14ac:dyDescent="0.3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3.5" customHeight="1" x14ac:dyDescent="0.3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3.5" customHeight="1" x14ac:dyDescent="0.3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3.5" customHeight="1" x14ac:dyDescent="0.3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3.5" customHeight="1" x14ac:dyDescent="0.3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3.5" customHeight="1" x14ac:dyDescent="0.3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3.5" customHeight="1" x14ac:dyDescent="0.3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3.5" customHeight="1" x14ac:dyDescent="0.3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3.5" customHeight="1" x14ac:dyDescent="0.3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3.5" customHeight="1" x14ac:dyDescent="0.3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3.5" customHeight="1" x14ac:dyDescent="0.3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3.5" customHeight="1" x14ac:dyDescent="0.3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3.5" customHeight="1" x14ac:dyDescent="0.3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3.5" customHeight="1" x14ac:dyDescent="0.3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3.5" customHeight="1" x14ac:dyDescent="0.3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3.5" customHeight="1" x14ac:dyDescent="0.3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3.5" customHeight="1" x14ac:dyDescent="0.3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3.5" customHeight="1" x14ac:dyDescent="0.3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3.5" customHeight="1" x14ac:dyDescent="0.3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3.5" customHeight="1" x14ac:dyDescent="0.3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3.5" customHeight="1" x14ac:dyDescent="0.3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3.5" customHeight="1" x14ac:dyDescent="0.3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3.5" customHeight="1" x14ac:dyDescent="0.3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3.5" customHeight="1" x14ac:dyDescent="0.3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3.5" customHeight="1" x14ac:dyDescent="0.3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3.5" customHeight="1" x14ac:dyDescent="0.3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3.5" customHeight="1" x14ac:dyDescent="0.3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3.5" customHeight="1" x14ac:dyDescent="0.3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3.5" customHeight="1" x14ac:dyDescent="0.3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3.5" customHeight="1" x14ac:dyDescent="0.3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3.5" customHeight="1" x14ac:dyDescent="0.3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3.5" customHeight="1" x14ac:dyDescent="0.3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3.5" customHeight="1" x14ac:dyDescent="0.3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3.5" customHeight="1" x14ac:dyDescent="0.3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3.5" customHeight="1" x14ac:dyDescent="0.3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3.5" customHeight="1" x14ac:dyDescent="0.3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3.5" customHeight="1" x14ac:dyDescent="0.3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3.5" customHeight="1" x14ac:dyDescent="0.3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3.5" customHeight="1" x14ac:dyDescent="0.3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3.5" customHeight="1" x14ac:dyDescent="0.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3.5" customHeight="1" x14ac:dyDescent="0.3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3.5" customHeight="1" x14ac:dyDescent="0.3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3.5" customHeight="1" x14ac:dyDescent="0.3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3.5" customHeight="1" x14ac:dyDescent="0.3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3.5" customHeight="1" x14ac:dyDescent="0.3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3.5" customHeight="1" x14ac:dyDescent="0.3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3.5" customHeight="1" x14ac:dyDescent="0.3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3.5" customHeight="1" x14ac:dyDescent="0.3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3.5" customHeight="1" x14ac:dyDescent="0.3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3.5" customHeight="1" x14ac:dyDescent="0.3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3.5" customHeight="1" x14ac:dyDescent="0.3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3.5" customHeight="1" x14ac:dyDescent="0.3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3.5" customHeight="1" x14ac:dyDescent="0.3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3.5" customHeight="1" x14ac:dyDescent="0.3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3.5" customHeight="1" x14ac:dyDescent="0.3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3.5" customHeight="1" x14ac:dyDescent="0.3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3.5" customHeight="1" x14ac:dyDescent="0.3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3.5" customHeight="1" x14ac:dyDescent="0.3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3.5" customHeight="1" x14ac:dyDescent="0.3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3.5" customHeight="1" x14ac:dyDescent="0.3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3.5" customHeight="1" x14ac:dyDescent="0.3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3.5" customHeight="1" x14ac:dyDescent="0.3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3.5" customHeight="1" x14ac:dyDescent="0.3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3.5" customHeight="1" x14ac:dyDescent="0.3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3.5" customHeight="1" x14ac:dyDescent="0.3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3.5" customHeight="1" x14ac:dyDescent="0.3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3.5" customHeight="1" x14ac:dyDescent="0.3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3.5" customHeight="1" x14ac:dyDescent="0.3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3.5" customHeight="1" x14ac:dyDescent="0.3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3.5" customHeight="1" x14ac:dyDescent="0.3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3.5" customHeight="1" x14ac:dyDescent="0.3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3.5" customHeight="1" x14ac:dyDescent="0.3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3.5" customHeight="1" x14ac:dyDescent="0.3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3.5" customHeight="1" x14ac:dyDescent="0.3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3.5" customHeight="1" x14ac:dyDescent="0.3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3.5" customHeight="1" x14ac:dyDescent="0.3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3.5" customHeight="1" x14ac:dyDescent="0.3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3.5" customHeight="1" x14ac:dyDescent="0.3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3.5" customHeight="1" x14ac:dyDescent="0.3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3.5" customHeight="1" x14ac:dyDescent="0.3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3.5" customHeight="1" x14ac:dyDescent="0.3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3.5" customHeight="1" x14ac:dyDescent="0.3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3.5" customHeight="1" x14ac:dyDescent="0.3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3.5" customHeight="1" x14ac:dyDescent="0.3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3.5" customHeight="1" x14ac:dyDescent="0.3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3.5" customHeight="1" x14ac:dyDescent="0.3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3.5" customHeight="1" x14ac:dyDescent="0.3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3.5" customHeight="1" x14ac:dyDescent="0.3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3.5" customHeight="1" x14ac:dyDescent="0.3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3.5" customHeight="1" x14ac:dyDescent="0.3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3.5" customHeight="1" x14ac:dyDescent="0.3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3.5" customHeight="1" x14ac:dyDescent="0.3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3.5" customHeight="1" x14ac:dyDescent="0.3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3.5" customHeight="1" x14ac:dyDescent="0.3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3.5" customHeight="1" x14ac:dyDescent="0.3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3.5" customHeight="1" x14ac:dyDescent="0.3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3.5" customHeight="1" x14ac:dyDescent="0.3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3.5" customHeight="1" x14ac:dyDescent="0.3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3.5" customHeight="1" x14ac:dyDescent="0.3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3.5" customHeight="1" x14ac:dyDescent="0.3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3.5" customHeight="1" x14ac:dyDescent="0.3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3.5" customHeight="1" x14ac:dyDescent="0.3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3.5" customHeight="1" x14ac:dyDescent="0.3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3.5" customHeight="1" x14ac:dyDescent="0.3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3.5" customHeight="1" x14ac:dyDescent="0.3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3.5" customHeight="1" x14ac:dyDescent="0.3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3.5" customHeight="1" x14ac:dyDescent="0.3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3.5" customHeight="1" x14ac:dyDescent="0.3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3.5" customHeight="1" x14ac:dyDescent="0.3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3.5" customHeight="1" x14ac:dyDescent="0.3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3.5" customHeight="1" x14ac:dyDescent="0.3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3.5" customHeight="1" x14ac:dyDescent="0.3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3.5" customHeight="1" x14ac:dyDescent="0.3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3.5" customHeight="1" x14ac:dyDescent="0.3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3.5" customHeight="1" x14ac:dyDescent="0.3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3.5" customHeight="1" x14ac:dyDescent="0.3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3.5" customHeight="1" x14ac:dyDescent="0.3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3.5" customHeight="1" x14ac:dyDescent="0.3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3.5" customHeight="1" x14ac:dyDescent="0.3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3.5" customHeight="1" x14ac:dyDescent="0.3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3.5" customHeight="1" x14ac:dyDescent="0.3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3.5" customHeight="1" x14ac:dyDescent="0.3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3.5" customHeight="1" x14ac:dyDescent="0.3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3.5" customHeight="1" x14ac:dyDescent="0.3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3.5" customHeight="1" x14ac:dyDescent="0.3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3.5" customHeight="1" x14ac:dyDescent="0.3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3.5" customHeight="1" x14ac:dyDescent="0.3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3.5" customHeight="1" x14ac:dyDescent="0.3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3.5" customHeight="1" x14ac:dyDescent="0.3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3.5" customHeight="1" x14ac:dyDescent="0.3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3.5" customHeight="1" x14ac:dyDescent="0.3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3.5" customHeight="1" x14ac:dyDescent="0.3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3.5" customHeight="1" x14ac:dyDescent="0.3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3.5" customHeight="1" x14ac:dyDescent="0.3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3.5" customHeight="1" x14ac:dyDescent="0.3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3.5" customHeight="1" x14ac:dyDescent="0.3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3.5" customHeight="1" x14ac:dyDescent="0.3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3.5" customHeight="1" x14ac:dyDescent="0.3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3.5" customHeight="1" x14ac:dyDescent="0.3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3.5" customHeight="1" x14ac:dyDescent="0.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3.5" customHeight="1" x14ac:dyDescent="0.3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3.5" customHeight="1" x14ac:dyDescent="0.3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3.5" customHeight="1" x14ac:dyDescent="0.3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3.5" customHeight="1" x14ac:dyDescent="0.3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3.5" customHeight="1" x14ac:dyDescent="0.3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3.5" customHeight="1" x14ac:dyDescent="0.3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3.5" customHeight="1" x14ac:dyDescent="0.3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3.5" customHeight="1" x14ac:dyDescent="0.3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3.5" customHeight="1" x14ac:dyDescent="0.3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3.5" customHeight="1" x14ac:dyDescent="0.3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3.5" customHeight="1" x14ac:dyDescent="0.3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3.5" customHeight="1" x14ac:dyDescent="0.3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3.5" customHeight="1" x14ac:dyDescent="0.3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3.5" customHeight="1" x14ac:dyDescent="0.3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3.5" customHeight="1" x14ac:dyDescent="0.3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3.5" customHeight="1" x14ac:dyDescent="0.3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3.5" customHeight="1" x14ac:dyDescent="0.3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3.5" customHeight="1" x14ac:dyDescent="0.3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3.5" customHeight="1" x14ac:dyDescent="0.3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3.5" customHeight="1" x14ac:dyDescent="0.3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3.5" customHeight="1" x14ac:dyDescent="0.3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3.5" customHeight="1" x14ac:dyDescent="0.3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3.5" customHeight="1" x14ac:dyDescent="0.3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3.5" customHeight="1" x14ac:dyDescent="0.3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3.5" customHeight="1" x14ac:dyDescent="0.3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3.5" customHeight="1" x14ac:dyDescent="0.3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3.5" customHeight="1" x14ac:dyDescent="0.3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3.5" customHeight="1" x14ac:dyDescent="0.3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3.5" customHeight="1" x14ac:dyDescent="0.3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3.5" customHeight="1" x14ac:dyDescent="0.3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3.5" customHeight="1" x14ac:dyDescent="0.3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3.5" customHeight="1" x14ac:dyDescent="0.3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3.5" customHeight="1" x14ac:dyDescent="0.3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3.5" customHeight="1" x14ac:dyDescent="0.3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3.5" customHeight="1" x14ac:dyDescent="0.3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3.5" customHeight="1" x14ac:dyDescent="0.3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3.5" customHeight="1" x14ac:dyDescent="0.3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3.5" customHeight="1" x14ac:dyDescent="0.3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3.5" customHeight="1" x14ac:dyDescent="0.3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3.5" customHeight="1" x14ac:dyDescent="0.3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3.5" customHeight="1" x14ac:dyDescent="0.3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3.5" customHeight="1" x14ac:dyDescent="0.3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3.5" customHeight="1" x14ac:dyDescent="0.3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3.5" customHeight="1" x14ac:dyDescent="0.3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3.5" customHeight="1" x14ac:dyDescent="0.3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3.5" customHeight="1" x14ac:dyDescent="0.3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3.5" customHeight="1" x14ac:dyDescent="0.3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3.5" customHeight="1" x14ac:dyDescent="0.3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3.5" customHeight="1" x14ac:dyDescent="0.3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3.5" customHeight="1" x14ac:dyDescent="0.3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3.5" customHeight="1" x14ac:dyDescent="0.3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3.5" customHeight="1" x14ac:dyDescent="0.3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3.5" customHeight="1" x14ac:dyDescent="0.3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3.5" customHeight="1" x14ac:dyDescent="0.3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3.5" customHeight="1" x14ac:dyDescent="0.3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3.5" customHeight="1" x14ac:dyDescent="0.3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3.5" customHeight="1" x14ac:dyDescent="0.3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3.5" customHeight="1" x14ac:dyDescent="0.3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3.5" customHeight="1" x14ac:dyDescent="0.3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3.5" customHeight="1" x14ac:dyDescent="0.3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3.5" customHeight="1" x14ac:dyDescent="0.3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3.5" customHeight="1" x14ac:dyDescent="0.3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3.5" customHeight="1" x14ac:dyDescent="0.3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3.5" customHeight="1" x14ac:dyDescent="0.3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3.5" customHeight="1" x14ac:dyDescent="0.3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3.5" customHeight="1" x14ac:dyDescent="0.3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3.5" customHeight="1" x14ac:dyDescent="0.3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3.5" customHeight="1" x14ac:dyDescent="0.3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3.5" customHeight="1" x14ac:dyDescent="0.3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3.5" customHeight="1" x14ac:dyDescent="0.3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3.5" customHeight="1" x14ac:dyDescent="0.3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3.5" customHeight="1" x14ac:dyDescent="0.3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3.5" customHeight="1" x14ac:dyDescent="0.3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3.5" customHeight="1" x14ac:dyDescent="0.3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3.5" customHeight="1" x14ac:dyDescent="0.3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3.5" customHeight="1" x14ac:dyDescent="0.3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3.5" customHeight="1" x14ac:dyDescent="0.3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3.5" customHeight="1" x14ac:dyDescent="0.3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3.5" customHeight="1" x14ac:dyDescent="0.3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3.5" customHeight="1" x14ac:dyDescent="0.3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3.5" customHeight="1" x14ac:dyDescent="0.3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3.5" customHeight="1" x14ac:dyDescent="0.3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3.5" customHeight="1" x14ac:dyDescent="0.3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3.5" customHeight="1" x14ac:dyDescent="0.3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3.5" customHeight="1" x14ac:dyDescent="0.3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3.5" customHeight="1" x14ac:dyDescent="0.3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3.5" customHeight="1" x14ac:dyDescent="0.3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3.5" customHeight="1" x14ac:dyDescent="0.3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3.5" customHeight="1" x14ac:dyDescent="0.3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3.5" customHeight="1" x14ac:dyDescent="0.3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3.5" customHeight="1" x14ac:dyDescent="0.3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3.5" customHeight="1" x14ac:dyDescent="0.3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3.5" customHeight="1" x14ac:dyDescent="0.3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3.5" customHeight="1" x14ac:dyDescent="0.3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3.5" customHeight="1" x14ac:dyDescent="0.3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3.5" customHeight="1" x14ac:dyDescent="0.3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3.5" customHeight="1" x14ac:dyDescent="0.3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3.5" customHeight="1" x14ac:dyDescent="0.3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3.5" customHeight="1" x14ac:dyDescent="0.3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3.5" customHeight="1" x14ac:dyDescent="0.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3.5" customHeight="1" x14ac:dyDescent="0.3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3.5" customHeight="1" x14ac:dyDescent="0.3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3.5" customHeight="1" x14ac:dyDescent="0.3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3.5" customHeight="1" x14ac:dyDescent="0.3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3.5" customHeight="1" x14ac:dyDescent="0.3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3.5" customHeight="1" x14ac:dyDescent="0.3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3.5" customHeight="1" x14ac:dyDescent="0.3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3.5" customHeight="1" x14ac:dyDescent="0.3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3.5" customHeight="1" x14ac:dyDescent="0.3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3.5" customHeight="1" x14ac:dyDescent="0.3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3.5" customHeight="1" x14ac:dyDescent="0.3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3.5" customHeight="1" x14ac:dyDescent="0.3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3.5" customHeight="1" x14ac:dyDescent="0.3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3.5" customHeight="1" x14ac:dyDescent="0.3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3.5" customHeight="1" x14ac:dyDescent="0.3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3.5" customHeight="1" x14ac:dyDescent="0.3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3.5" customHeight="1" x14ac:dyDescent="0.3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3.5" customHeight="1" x14ac:dyDescent="0.3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3.5" customHeight="1" x14ac:dyDescent="0.3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3.5" customHeight="1" x14ac:dyDescent="0.3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3.5" customHeight="1" x14ac:dyDescent="0.3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3.5" customHeight="1" x14ac:dyDescent="0.3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3.5" customHeight="1" x14ac:dyDescent="0.3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3.5" customHeight="1" x14ac:dyDescent="0.3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3.5" customHeight="1" x14ac:dyDescent="0.3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3.5" customHeight="1" x14ac:dyDescent="0.3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3.5" customHeight="1" x14ac:dyDescent="0.3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3.5" customHeight="1" x14ac:dyDescent="0.3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3.5" customHeight="1" x14ac:dyDescent="0.3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3.5" customHeight="1" x14ac:dyDescent="0.3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3.5" customHeight="1" x14ac:dyDescent="0.3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3.5" customHeight="1" x14ac:dyDescent="0.3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3.5" customHeight="1" x14ac:dyDescent="0.3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3.5" customHeight="1" x14ac:dyDescent="0.3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3.5" customHeight="1" x14ac:dyDescent="0.3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3.5" customHeight="1" x14ac:dyDescent="0.3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3.5" customHeight="1" x14ac:dyDescent="0.3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3.5" customHeight="1" x14ac:dyDescent="0.3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3.5" customHeight="1" x14ac:dyDescent="0.3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3.5" customHeight="1" x14ac:dyDescent="0.3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3.5" customHeight="1" x14ac:dyDescent="0.3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3.5" customHeight="1" x14ac:dyDescent="0.3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3.5" customHeight="1" x14ac:dyDescent="0.3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3.5" customHeight="1" x14ac:dyDescent="0.3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3.5" customHeight="1" x14ac:dyDescent="0.3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3.5" customHeight="1" x14ac:dyDescent="0.3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3.5" customHeight="1" x14ac:dyDescent="0.3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3.5" customHeight="1" x14ac:dyDescent="0.3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3.5" customHeight="1" x14ac:dyDescent="0.3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3.5" customHeight="1" x14ac:dyDescent="0.3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3.5" customHeight="1" x14ac:dyDescent="0.3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3.5" customHeight="1" x14ac:dyDescent="0.3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3.5" customHeight="1" x14ac:dyDescent="0.3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3.5" customHeight="1" x14ac:dyDescent="0.3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3.5" customHeight="1" x14ac:dyDescent="0.3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3.5" customHeight="1" x14ac:dyDescent="0.3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3.5" customHeight="1" x14ac:dyDescent="0.3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3.5" customHeight="1" x14ac:dyDescent="0.3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3.5" customHeight="1" x14ac:dyDescent="0.3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3.5" customHeight="1" x14ac:dyDescent="0.3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3.5" customHeight="1" x14ac:dyDescent="0.3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3.5" customHeight="1" x14ac:dyDescent="0.3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3.5" customHeight="1" x14ac:dyDescent="0.3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3.5" customHeight="1" x14ac:dyDescent="0.3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3.5" customHeight="1" x14ac:dyDescent="0.3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3.5" customHeight="1" x14ac:dyDescent="0.3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3.5" customHeight="1" x14ac:dyDescent="0.3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3.5" customHeight="1" x14ac:dyDescent="0.3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3.5" customHeight="1" x14ac:dyDescent="0.3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3.5" customHeight="1" x14ac:dyDescent="0.3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3.5" customHeight="1" x14ac:dyDescent="0.3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3.5" customHeight="1" x14ac:dyDescent="0.3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3.5" customHeight="1" x14ac:dyDescent="0.3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3.5" customHeight="1" x14ac:dyDescent="0.3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3.5" customHeight="1" x14ac:dyDescent="0.3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3.5" customHeight="1" x14ac:dyDescent="0.3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3.5" customHeight="1" x14ac:dyDescent="0.3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3.5" customHeight="1" x14ac:dyDescent="0.3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3.5" customHeight="1" x14ac:dyDescent="0.3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3.5" customHeight="1" x14ac:dyDescent="0.3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3.5" customHeight="1" x14ac:dyDescent="0.3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3.5" customHeight="1" x14ac:dyDescent="0.3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3.5" customHeight="1" x14ac:dyDescent="0.3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3.5" customHeight="1" x14ac:dyDescent="0.3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3.5" customHeight="1" x14ac:dyDescent="0.3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3.5" customHeight="1" x14ac:dyDescent="0.3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3.5" customHeight="1" x14ac:dyDescent="0.3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3.5" customHeight="1" x14ac:dyDescent="0.3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3.5" customHeight="1" x14ac:dyDescent="0.3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3.5" customHeight="1" x14ac:dyDescent="0.3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3.5" customHeight="1" x14ac:dyDescent="0.3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3.5" customHeight="1" x14ac:dyDescent="0.3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3.5" customHeight="1" x14ac:dyDescent="0.3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3.5" customHeight="1" x14ac:dyDescent="0.3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3.5" customHeight="1" x14ac:dyDescent="0.3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3.5" customHeight="1" x14ac:dyDescent="0.3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3.5" customHeight="1" x14ac:dyDescent="0.3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3.5" customHeight="1" x14ac:dyDescent="0.3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3.5" customHeight="1" x14ac:dyDescent="0.3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3.5" customHeight="1" x14ac:dyDescent="0.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3.5" customHeight="1" x14ac:dyDescent="0.3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3.5" customHeight="1" x14ac:dyDescent="0.3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3.5" customHeight="1" x14ac:dyDescent="0.3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3.5" customHeight="1" x14ac:dyDescent="0.3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3.5" customHeight="1" x14ac:dyDescent="0.3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3.5" customHeight="1" x14ac:dyDescent="0.3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3.5" customHeight="1" x14ac:dyDescent="0.3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3.5" customHeight="1" x14ac:dyDescent="0.3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3.5" customHeight="1" x14ac:dyDescent="0.3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3.5" customHeight="1" x14ac:dyDescent="0.3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3.5" customHeight="1" x14ac:dyDescent="0.3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3.5" customHeight="1" x14ac:dyDescent="0.3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3.5" customHeight="1" x14ac:dyDescent="0.3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3.5" customHeight="1" x14ac:dyDescent="0.3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3.5" customHeight="1" x14ac:dyDescent="0.3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3.5" customHeight="1" x14ac:dyDescent="0.3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3.5" customHeight="1" x14ac:dyDescent="0.3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3.5" customHeight="1" x14ac:dyDescent="0.3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3.5" customHeight="1" x14ac:dyDescent="0.3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3.5" customHeight="1" x14ac:dyDescent="0.3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3.5" customHeight="1" x14ac:dyDescent="0.3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3.5" customHeight="1" x14ac:dyDescent="0.3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3.5" customHeight="1" x14ac:dyDescent="0.3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3.5" customHeight="1" x14ac:dyDescent="0.3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3.5" customHeight="1" x14ac:dyDescent="0.3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3.5" customHeight="1" x14ac:dyDescent="0.3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3.5" customHeight="1" x14ac:dyDescent="0.3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3.5" customHeight="1" x14ac:dyDescent="0.3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3.5" customHeight="1" x14ac:dyDescent="0.3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3.5" customHeight="1" x14ac:dyDescent="0.3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3.5" customHeight="1" x14ac:dyDescent="0.3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3.5" customHeight="1" x14ac:dyDescent="0.3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3.5" customHeight="1" x14ac:dyDescent="0.3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3.5" customHeight="1" x14ac:dyDescent="0.3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3.5" customHeight="1" x14ac:dyDescent="0.3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3.5" customHeight="1" x14ac:dyDescent="0.3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3.5" customHeight="1" x14ac:dyDescent="0.3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3.5" customHeight="1" x14ac:dyDescent="0.3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3.5" customHeight="1" x14ac:dyDescent="0.3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3.5" customHeight="1" x14ac:dyDescent="0.3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3.5" customHeight="1" x14ac:dyDescent="0.3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3.5" customHeight="1" x14ac:dyDescent="0.3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3.5" customHeight="1" x14ac:dyDescent="0.3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3.5" customHeight="1" x14ac:dyDescent="0.3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3.5" customHeight="1" x14ac:dyDescent="0.3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3.5" customHeight="1" x14ac:dyDescent="0.3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3.5" customHeight="1" x14ac:dyDescent="0.3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3.5" customHeight="1" x14ac:dyDescent="0.3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3.5" customHeight="1" x14ac:dyDescent="0.3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3.5" customHeight="1" x14ac:dyDescent="0.3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3.5" customHeight="1" x14ac:dyDescent="0.3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3.5" customHeight="1" x14ac:dyDescent="0.3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3.5" customHeight="1" x14ac:dyDescent="0.3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3.5" customHeight="1" x14ac:dyDescent="0.3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3.5" customHeight="1" x14ac:dyDescent="0.3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3.5" customHeight="1" x14ac:dyDescent="0.3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3.5" customHeight="1" x14ac:dyDescent="0.3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3.5" customHeight="1" x14ac:dyDescent="0.3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3.5" customHeight="1" x14ac:dyDescent="0.3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3.5" customHeight="1" x14ac:dyDescent="0.3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3.5" customHeight="1" x14ac:dyDescent="0.3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3.5" customHeight="1" x14ac:dyDescent="0.3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3.5" customHeight="1" x14ac:dyDescent="0.3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3.5" customHeight="1" x14ac:dyDescent="0.3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3.5" customHeight="1" x14ac:dyDescent="0.3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3.5" customHeight="1" x14ac:dyDescent="0.3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3.5" customHeight="1" x14ac:dyDescent="0.3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3.5" customHeight="1" x14ac:dyDescent="0.3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3.5" customHeight="1" x14ac:dyDescent="0.3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3.5" customHeight="1" x14ac:dyDescent="0.3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3.5" customHeight="1" x14ac:dyDescent="0.3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3.5" customHeight="1" x14ac:dyDescent="0.3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3.5" customHeight="1" x14ac:dyDescent="0.3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3.5" customHeight="1" x14ac:dyDescent="0.3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3.5" customHeight="1" x14ac:dyDescent="0.3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3.5" customHeight="1" x14ac:dyDescent="0.3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3.5" customHeight="1" x14ac:dyDescent="0.3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3.5" customHeight="1" x14ac:dyDescent="0.3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3.5" customHeight="1" x14ac:dyDescent="0.3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3.5" customHeight="1" x14ac:dyDescent="0.3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3.5" customHeight="1" x14ac:dyDescent="0.3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3.5" customHeight="1" x14ac:dyDescent="0.3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3.5" customHeight="1" x14ac:dyDescent="0.3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3.5" customHeight="1" x14ac:dyDescent="0.3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3.5" customHeight="1" x14ac:dyDescent="0.3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3.5" customHeight="1" x14ac:dyDescent="0.3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3.5" customHeight="1" x14ac:dyDescent="0.3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3.5" customHeight="1" x14ac:dyDescent="0.3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3.5" customHeight="1" x14ac:dyDescent="0.3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3.5" customHeight="1" x14ac:dyDescent="0.3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3.5" customHeight="1" x14ac:dyDescent="0.3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3.5" customHeight="1" x14ac:dyDescent="0.3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3.5" customHeight="1" x14ac:dyDescent="0.3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3.5" customHeight="1" x14ac:dyDescent="0.3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3.5" customHeight="1" x14ac:dyDescent="0.3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3.5" customHeight="1" x14ac:dyDescent="0.3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3.5" customHeight="1" x14ac:dyDescent="0.3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3.5" customHeight="1" x14ac:dyDescent="0.3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3.5" customHeight="1" x14ac:dyDescent="0.3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3.5" customHeight="1" x14ac:dyDescent="0.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3.5" customHeight="1" x14ac:dyDescent="0.3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3.5" customHeight="1" x14ac:dyDescent="0.3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3.5" customHeight="1" x14ac:dyDescent="0.3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3.5" customHeight="1" x14ac:dyDescent="0.3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3.5" customHeight="1" x14ac:dyDescent="0.3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3.5" customHeight="1" x14ac:dyDescent="0.3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3.5" customHeight="1" x14ac:dyDescent="0.3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3.5" customHeight="1" x14ac:dyDescent="0.3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3.5" customHeight="1" x14ac:dyDescent="0.3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3.5" customHeight="1" x14ac:dyDescent="0.3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3.5" customHeight="1" x14ac:dyDescent="0.3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3.5" customHeight="1" x14ac:dyDescent="0.3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3.5" customHeight="1" x14ac:dyDescent="0.3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3.5" customHeight="1" x14ac:dyDescent="0.3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3.5" customHeight="1" x14ac:dyDescent="0.3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3.5" customHeight="1" x14ac:dyDescent="0.3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3.5" customHeight="1" x14ac:dyDescent="0.3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3.5" customHeight="1" x14ac:dyDescent="0.3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3.5" customHeight="1" x14ac:dyDescent="0.3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3.5" customHeight="1" x14ac:dyDescent="0.3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3.5" customHeight="1" x14ac:dyDescent="0.3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3.5" customHeight="1" x14ac:dyDescent="0.3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3.5" customHeight="1" x14ac:dyDescent="0.3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3.5" customHeight="1" x14ac:dyDescent="0.3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3.5" customHeight="1" x14ac:dyDescent="0.3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3.5" customHeight="1" x14ac:dyDescent="0.3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3.5" customHeight="1" x14ac:dyDescent="0.3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3.5" customHeight="1" x14ac:dyDescent="0.3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3.5" customHeight="1" x14ac:dyDescent="0.3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3.5" customHeight="1" x14ac:dyDescent="0.3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3.5" customHeight="1" x14ac:dyDescent="0.3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3.5" customHeight="1" x14ac:dyDescent="0.3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3.5" customHeight="1" x14ac:dyDescent="0.3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3.5" customHeight="1" x14ac:dyDescent="0.3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3.5" customHeight="1" x14ac:dyDescent="0.3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3.5" customHeight="1" x14ac:dyDescent="0.3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3.5" customHeight="1" x14ac:dyDescent="0.3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3.5" customHeight="1" x14ac:dyDescent="0.3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3.5" customHeight="1" x14ac:dyDescent="0.3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3.5" customHeight="1" x14ac:dyDescent="0.3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3.5" customHeight="1" x14ac:dyDescent="0.3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3.5" customHeight="1" x14ac:dyDescent="0.3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3.5" customHeight="1" x14ac:dyDescent="0.3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3.5" customHeight="1" x14ac:dyDescent="0.3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3.5" customHeight="1" x14ac:dyDescent="0.3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3.5" customHeight="1" x14ac:dyDescent="0.3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3.5" customHeight="1" x14ac:dyDescent="0.3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3.5" customHeight="1" x14ac:dyDescent="0.3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3.5" customHeight="1" x14ac:dyDescent="0.3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3.5" customHeight="1" x14ac:dyDescent="0.3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3.5" customHeight="1" x14ac:dyDescent="0.3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3.5" customHeight="1" x14ac:dyDescent="0.3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3.5" customHeight="1" x14ac:dyDescent="0.3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3.5" customHeight="1" x14ac:dyDescent="0.3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3.5" customHeight="1" x14ac:dyDescent="0.3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3.5" customHeight="1" x14ac:dyDescent="0.3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3.5" customHeight="1" x14ac:dyDescent="0.3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3.5" customHeight="1" x14ac:dyDescent="0.3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3.5" customHeight="1" x14ac:dyDescent="0.3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3.5" customHeight="1" x14ac:dyDescent="0.3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3.5" customHeight="1" x14ac:dyDescent="0.3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3.5" customHeight="1" x14ac:dyDescent="0.3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3.5" customHeight="1" x14ac:dyDescent="0.3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3.5" customHeight="1" x14ac:dyDescent="0.3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07"/>
  <sheetViews>
    <sheetView topLeftCell="A40" workbookViewId="0">
      <selection activeCell="B94" sqref="B94"/>
    </sheetView>
  </sheetViews>
  <sheetFormatPr defaultColWidth="14.453125" defaultRowHeight="15" customHeight="1" x14ac:dyDescent="0.35"/>
  <cols>
    <col min="1" max="1" width="56.6328125" style="3" customWidth="1"/>
    <col min="2" max="2" width="16.36328125" style="3" customWidth="1"/>
    <col min="3" max="3" width="16.6328125" style="3" customWidth="1"/>
    <col min="4" max="6" width="8.90625" style="3" customWidth="1"/>
    <col min="7" max="7" width="9.90625" style="3" customWidth="1"/>
    <col min="8" max="8" width="11.54296875" style="3" customWidth="1"/>
    <col min="9" max="9" width="31.6328125" style="3" bestFit="1" customWidth="1"/>
    <col min="10" max="10" width="11.54296875" style="3" customWidth="1"/>
    <col min="11" max="11" width="8.90625" style="3" customWidth="1"/>
    <col min="12" max="26" width="8.6328125" style="3" customWidth="1"/>
    <col min="27" max="16384" width="14.453125" style="3"/>
  </cols>
  <sheetData>
    <row r="1" spans="1:10" ht="21.65" customHeight="1" x14ac:dyDescent="0.35">
      <c r="A1" s="1" t="s">
        <v>0</v>
      </c>
      <c r="C1" s="1"/>
    </row>
    <row r="2" spans="1:10" ht="13.5" customHeight="1" x14ac:dyDescent="0.35">
      <c r="A2" s="4"/>
      <c r="C2" s="4"/>
    </row>
    <row r="3" spans="1:10" ht="13.5" customHeight="1" x14ac:dyDescent="0.35">
      <c r="A3" s="1" t="s">
        <v>26</v>
      </c>
      <c r="C3" s="1"/>
    </row>
    <row r="4" spans="1:10" ht="13.5" customHeight="1" x14ac:dyDescent="0.35">
      <c r="A4" s="1"/>
      <c r="C4" s="1"/>
    </row>
    <row r="5" spans="1:10" ht="13.5" customHeight="1" x14ac:dyDescent="0.35">
      <c r="A5" s="5"/>
      <c r="C5" s="5"/>
    </row>
    <row r="6" spans="1:10" ht="13.5" customHeight="1" x14ac:dyDescent="0.35">
      <c r="A6" s="5"/>
      <c r="C6" s="5"/>
    </row>
    <row r="7" spans="1:10" ht="13.5" customHeight="1" x14ac:dyDescent="0.35">
      <c r="C7" s="5"/>
    </row>
    <row r="8" spans="1:10" ht="13.5" customHeight="1" x14ac:dyDescent="0.35">
      <c r="A8" s="5"/>
      <c r="B8" s="7"/>
      <c r="C8" s="7"/>
    </row>
    <row r="9" spans="1:10" ht="13.5" customHeight="1" x14ac:dyDescent="0.35">
      <c r="A9" s="5"/>
      <c r="B9" s="27"/>
      <c r="C9" s="27"/>
      <c r="J9" s="12"/>
    </row>
    <row r="10" spans="1:10" ht="13.5" customHeight="1" x14ac:dyDescent="0.35">
      <c r="A10" s="5" t="s">
        <v>27</v>
      </c>
      <c r="B10" s="7">
        <v>2022</v>
      </c>
      <c r="C10" s="7">
        <v>2023</v>
      </c>
      <c r="G10" s="12"/>
      <c r="J10" s="12"/>
    </row>
    <row r="11" spans="1:10" ht="13.5" customHeight="1" x14ac:dyDescent="0.35">
      <c r="B11" s="7" t="s">
        <v>100</v>
      </c>
      <c r="C11" s="7" t="s">
        <v>100</v>
      </c>
      <c r="G11" s="12"/>
    </row>
    <row r="12" spans="1:10" ht="13.5" customHeight="1" x14ac:dyDescent="0.35">
      <c r="B12" s="7"/>
      <c r="C12" s="7"/>
      <c r="G12" s="12"/>
    </row>
    <row r="13" spans="1:10" ht="13.5" customHeight="1" x14ac:dyDescent="0.35">
      <c r="A13" s="3" t="str">
        <f>'TB 2023'!B42</f>
        <v>Salaries and Wages</v>
      </c>
      <c r="B13" s="42">
        <f>'TB 2022'!C33</f>
        <v>59824.58</v>
      </c>
      <c r="C13" s="42">
        <f>'TB 2023'!C42</f>
        <v>42545.2</v>
      </c>
      <c r="G13" s="12"/>
    </row>
    <row r="14" spans="1:10" ht="13.5" customHeight="1" x14ac:dyDescent="0.35">
      <c r="A14" s="3" t="str">
        <f>'TB 2022'!B34</f>
        <v>Employer's Contribution</v>
      </c>
      <c r="B14" s="42">
        <f>'TB 2022'!C34</f>
        <v>8915.01</v>
      </c>
      <c r="C14" s="42">
        <f>'TB 2023'!C43</f>
        <v>6339.72</v>
      </c>
      <c r="G14" s="12"/>
    </row>
    <row r="15" spans="1:10" ht="13.5" customHeight="1" x14ac:dyDescent="0.35">
      <c r="A15" s="3" t="s">
        <v>30</v>
      </c>
      <c r="B15" s="42">
        <f>'TB 2022'!C35</f>
        <v>1000</v>
      </c>
      <c r="C15" s="11">
        <v>0</v>
      </c>
      <c r="G15" s="12"/>
    </row>
    <row r="16" spans="1:10" ht="13.5" customHeight="1" x14ac:dyDescent="0.35">
      <c r="A16" s="3" t="s">
        <v>88</v>
      </c>
      <c r="B16" s="42">
        <f>'TB 2022'!C36</f>
        <v>700</v>
      </c>
      <c r="C16" s="11">
        <v>0</v>
      </c>
      <c r="G16" s="12"/>
    </row>
    <row r="17" spans="1:10" ht="13.5" customHeight="1" x14ac:dyDescent="0.35">
      <c r="A17" s="3" t="s">
        <v>31</v>
      </c>
      <c r="B17" s="42">
        <f>'TB 2022'!C37</f>
        <v>605.44000000000005</v>
      </c>
      <c r="C17" s="42">
        <f>'TB 2023'!C44</f>
        <v>20</v>
      </c>
      <c r="G17" s="12"/>
    </row>
    <row r="18" spans="1:10" ht="13.5" customHeight="1" x14ac:dyDescent="0.35">
      <c r="A18" s="3" t="s">
        <v>32</v>
      </c>
      <c r="B18" s="42">
        <f>'TB 2022'!C38</f>
        <v>58.16</v>
      </c>
      <c r="C18" s="42">
        <f>'TB 2023'!C45</f>
        <v>4.78</v>
      </c>
      <c r="G18" s="12"/>
    </row>
    <row r="19" spans="1:10" ht="13.5" customHeight="1" x14ac:dyDescent="0.35">
      <c r="A19" s="3" t="s">
        <v>33</v>
      </c>
      <c r="B19" s="42">
        <f>'TB 2022'!C39</f>
        <v>5880</v>
      </c>
      <c r="C19" s="42">
        <f>'TB 2023'!C46</f>
        <v>3395</v>
      </c>
      <c r="G19" s="12"/>
    </row>
    <row r="20" spans="1:10" ht="13.5" customHeight="1" x14ac:dyDescent="0.35">
      <c r="A20" s="3" t="s">
        <v>34</v>
      </c>
      <c r="B20" s="42">
        <f>'TB 2022'!C40</f>
        <v>7000</v>
      </c>
      <c r="C20" s="11">
        <v>0</v>
      </c>
      <c r="G20" s="12"/>
    </row>
    <row r="21" spans="1:10" ht="13.5" customHeight="1" x14ac:dyDescent="0.35">
      <c r="A21" s="3" t="s">
        <v>35</v>
      </c>
      <c r="B21" s="42">
        <f>'TB 2022'!C41</f>
        <v>7374.18</v>
      </c>
      <c r="C21" s="42">
        <f>'TB 2023'!C47</f>
        <v>4022.28</v>
      </c>
      <c r="G21" s="12"/>
    </row>
    <row r="22" spans="1:10" ht="13.5" customHeight="1" x14ac:dyDescent="0.35">
      <c r="A22" s="3" t="s">
        <v>36</v>
      </c>
      <c r="B22" s="42">
        <f>'TB 2022'!C42</f>
        <v>198.4</v>
      </c>
      <c r="C22" s="42">
        <f>'TB 2023'!C48</f>
        <v>236.93</v>
      </c>
      <c r="G22" s="12"/>
    </row>
    <row r="23" spans="1:10" ht="13.5" customHeight="1" x14ac:dyDescent="0.35">
      <c r="A23" s="3" t="s">
        <v>37</v>
      </c>
      <c r="B23" s="42">
        <f>'TB 2022'!C43</f>
        <v>297.08</v>
      </c>
      <c r="C23" s="42">
        <f>'TB 2023'!C51</f>
        <v>678.71</v>
      </c>
      <c r="G23" s="12"/>
    </row>
    <row r="24" spans="1:10" ht="13.5" customHeight="1" x14ac:dyDescent="0.35">
      <c r="A24" s="3" t="s">
        <v>128</v>
      </c>
      <c r="B24" s="11">
        <v>0</v>
      </c>
      <c r="C24" s="42">
        <f>'TB 2023'!C52</f>
        <v>5912.97</v>
      </c>
      <c r="G24" s="12"/>
    </row>
    <row r="25" spans="1:10" ht="13.5" customHeight="1" x14ac:dyDescent="0.35">
      <c r="A25" s="3" t="s">
        <v>38</v>
      </c>
      <c r="B25" s="42">
        <f>'TB 2022'!C44</f>
        <v>1666</v>
      </c>
      <c r="C25" s="42">
        <f>'TB 2023'!C53</f>
        <v>1207.2</v>
      </c>
      <c r="G25" s="12"/>
    </row>
    <row r="26" spans="1:10" ht="13.5" customHeight="1" x14ac:dyDescent="0.35">
      <c r="A26" s="3" t="s">
        <v>39</v>
      </c>
      <c r="B26" s="42">
        <f>'TB 2022'!C45</f>
        <v>119.73</v>
      </c>
      <c r="C26" s="42">
        <f>'TB 2023'!C54</f>
        <v>10.18</v>
      </c>
      <c r="J26" s="12"/>
    </row>
    <row r="27" spans="1:10" ht="13.5" customHeight="1" x14ac:dyDescent="0.35">
      <c r="A27" s="3" t="s">
        <v>125</v>
      </c>
      <c r="B27" s="42">
        <f>'TB 2022'!C46</f>
        <v>2347.9299999999998</v>
      </c>
      <c r="C27" s="42">
        <f>'TB 2023'!C55</f>
        <v>8758.7099999999991</v>
      </c>
    </row>
    <row r="28" spans="1:10" ht="13.5" customHeight="1" x14ac:dyDescent="0.35">
      <c r="A28" s="3" t="s">
        <v>41</v>
      </c>
      <c r="B28" s="42">
        <f>'TB 2022'!C48</f>
        <v>461.65</v>
      </c>
      <c r="C28" s="11">
        <v>0</v>
      </c>
    </row>
    <row r="29" spans="1:10" ht="13.5" customHeight="1" x14ac:dyDescent="0.35">
      <c r="A29" s="3" t="s">
        <v>42</v>
      </c>
      <c r="B29" s="42">
        <f>'TB 2022'!C49</f>
        <v>350</v>
      </c>
      <c r="C29" s="11">
        <v>0</v>
      </c>
      <c r="H29" s="12"/>
      <c r="J29" s="12"/>
    </row>
    <row r="30" spans="1:10" ht="13.5" customHeight="1" x14ac:dyDescent="0.35">
      <c r="A30" s="3" t="s">
        <v>43</v>
      </c>
      <c r="B30" s="42">
        <f>'TB 2022'!C50</f>
        <v>2237.87</v>
      </c>
      <c r="C30" s="11">
        <f>'TB 2023'!C57</f>
        <v>2308.2399999999998</v>
      </c>
      <c r="H30" s="12"/>
      <c r="J30" s="12"/>
    </row>
    <row r="31" spans="1:10" ht="13.5" customHeight="1" x14ac:dyDescent="0.35">
      <c r="A31" s="3" t="s">
        <v>44</v>
      </c>
      <c r="B31" s="42">
        <f>'TB 2022'!C51</f>
        <v>2000</v>
      </c>
      <c r="C31" s="11">
        <v>0</v>
      </c>
      <c r="H31" s="12"/>
      <c r="J31" s="12"/>
    </row>
    <row r="32" spans="1:10" ht="13.5" customHeight="1" x14ac:dyDescent="0.35">
      <c r="A32" s="3" t="s">
        <v>45</v>
      </c>
      <c r="B32" s="42">
        <f>'TB 2022'!C52</f>
        <v>44.32</v>
      </c>
      <c r="C32" s="11">
        <v>0</v>
      </c>
      <c r="G32" s="16"/>
      <c r="H32" s="16"/>
      <c r="J32" s="12"/>
    </row>
    <row r="33" spans="1:10" ht="13.5" customHeight="1" x14ac:dyDescent="0.35">
      <c r="A33" s="3" t="s">
        <v>46</v>
      </c>
      <c r="B33" s="42">
        <f>'TB 2022'!C53</f>
        <v>24871.45</v>
      </c>
      <c r="C33" s="42">
        <f>'TB 2023'!C58</f>
        <v>3984.36</v>
      </c>
      <c r="H33" s="16"/>
      <c r="J33" s="12"/>
    </row>
    <row r="34" spans="1:10" ht="13.5" customHeight="1" x14ac:dyDescent="0.35">
      <c r="A34" s="3" t="s">
        <v>47</v>
      </c>
      <c r="B34" s="42">
        <f>'TB 2022'!C54</f>
        <v>250</v>
      </c>
      <c r="C34" s="11">
        <f>'TB 2023'!C64</f>
        <v>0</v>
      </c>
      <c r="H34" s="12"/>
      <c r="J34" s="12"/>
    </row>
    <row r="35" spans="1:10" ht="13.5" customHeight="1" x14ac:dyDescent="0.35">
      <c r="A35" s="3" t="s">
        <v>132</v>
      </c>
      <c r="B35" s="42">
        <f>'TB 2022'!C55</f>
        <v>678</v>
      </c>
      <c r="C35" s="42">
        <f>'TB 2023'!C59</f>
        <v>2257.92</v>
      </c>
      <c r="G35" s="12"/>
      <c r="H35" s="12"/>
      <c r="J35" s="12"/>
    </row>
    <row r="36" spans="1:10" ht="13.5" customHeight="1" x14ac:dyDescent="0.35">
      <c r="A36" s="3" t="s">
        <v>49</v>
      </c>
      <c r="B36" s="42">
        <f>'TB 2022'!C56</f>
        <v>420.42</v>
      </c>
      <c r="C36" s="42">
        <f>'TB 2023'!C60</f>
        <v>162.18</v>
      </c>
      <c r="G36" s="12"/>
      <c r="H36" s="12"/>
      <c r="J36" s="12"/>
    </row>
    <row r="37" spans="1:10" ht="13.5" customHeight="1" x14ac:dyDescent="0.35">
      <c r="A37" s="3" t="s">
        <v>127</v>
      </c>
      <c r="B37" s="11">
        <v>0</v>
      </c>
      <c r="C37" s="42">
        <f>'TB 2023'!C50</f>
        <v>15685</v>
      </c>
      <c r="G37" s="12"/>
      <c r="H37" s="12"/>
      <c r="J37" s="12"/>
    </row>
    <row r="38" spans="1:10" ht="13.5" customHeight="1" x14ac:dyDescent="0.35">
      <c r="A38" s="3" t="s">
        <v>119</v>
      </c>
      <c r="B38" s="11">
        <v>0</v>
      </c>
      <c r="C38" s="42">
        <f>'TB 2023'!C49</f>
        <v>4574</v>
      </c>
      <c r="H38" s="12"/>
    </row>
    <row r="39" spans="1:10" ht="13.5" customHeight="1" x14ac:dyDescent="0.35">
      <c r="A39" s="3" t="s">
        <v>129</v>
      </c>
      <c r="B39" s="11">
        <v>0</v>
      </c>
      <c r="C39" s="42">
        <f>'TB 2023'!C62</f>
        <v>200.02</v>
      </c>
      <c r="H39" s="12"/>
    </row>
    <row r="40" spans="1:10" ht="13.5" customHeight="1" thickBot="1" x14ac:dyDescent="0.4">
      <c r="B40" s="43">
        <f>SUM(B13:B38)</f>
        <v>127300.21999999997</v>
      </c>
      <c r="C40" s="43">
        <f>SUM(C13:C39)</f>
        <v>102303.4</v>
      </c>
    </row>
    <row r="41" spans="1:10" ht="13.5" customHeight="1" thickTop="1" x14ac:dyDescent="0.35">
      <c r="B41" s="39"/>
      <c r="C41" s="39"/>
    </row>
    <row r="42" spans="1:10" ht="13.5" customHeight="1" x14ac:dyDescent="0.35">
      <c r="B42" s="37"/>
      <c r="C42" s="37"/>
    </row>
    <row r="43" spans="1:10" ht="14.25" customHeight="1" x14ac:dyDescent="0.35">
      <c r="A43" s="5" t="s">
        <v>52</v>
      </c>
      <c r="B43" s="7">
        <v>2022</v>
      </c>
      <c r="C43" s="7">
        <v>2023</v>
      </c>
      <c r="I43" s="30"/>
    </row>
    <row r="44" spans="1:10" ht="14.25" customHeight="1" x14ac:dyDescent="0.35">
      <c r="B44" s="7" t="s">
        <v>100</v>
      </c>
      <c r="C44" s="7" t="s">
        <v>100</v>
      </c>
      <c r="I44" s="30"/>
    </row>
    <row r="45" spans="1:10" ht="14.25" customHeight="1" x14ac:dyDescent="0.35">
      <c r="B45" s="7"/>
      <c r="C45" s="7"/>
      <c r="I45" s="30"/>
    </row>
    <row r="46" spans="1:10" ht="13.5" customHeight="1" x14ac:dyDescent="0.35">
      <c r="A46" s="3" t="str">
        <f>'TB 2023'!B61</f>
        <v>Realized For. Exchange Gains/Loss</v>
      </c>
      <c r="B46" s="38">
        <f>'TB 2022'!C58</f>
        <v>238.34</v>
      </c>
      <c r="C46" s="38">
        <f>'TB 2023'!C61</f>
        <v>42.92</v>
      </c>
    </row>
    <row r="47" spans="1:10" ht="13.5" customHeight="1" x14ac:dyDescent="0.35">
      <c r="A47" s="3" t="s">
        <v>53</v>
      </c>
      <c r="B47" s="38">
        <f>'TB 2022'!C47</f>
        <v>1071.8</v>
      </c>
      <c r="C47" s="38">
        <f>'TB 2023'!C56</f>
        <v>688.74</v>
      </c>
    </row>
    <row r="48" spans="1:10" ht="13.5" customHeight="1" thickBot="1" x14ac:dyDescent="0.4">
      <c r="B48" s="41">
        <f>SUM(B46:B47)</f>
        <v>1310.1399999999999</v>
      </c>
      <c r="C48" s="41">
        <f t="shared" ref="C48" si="0">SUM(C46:C47)</f>
        <v>731.66</v>
      </c>
    </row>
    <row r="49" spans="1:3" ht="13.5" customHeight="1" thickTop="1" x14ac:dyDescent="0.35">
      <c r="B49" s="42"/>
      <c r="C49" s="42"/>
    </row>
    <row r="50" spans="1:3" ht="13.5" customHeight="1" x14ac:dyDescent="0.35">
      <c r="B50" s="40"/>
      <c r="C50" s="40"/>
    </row>
    <row r="51" spans="1:3" ht="13.5" hidden="1" customHeight="1" x14ac:dyDescent="0.35">
      <c r="A51" s="5" t="s">
        <v>54</v>
      </c>
      <c r="B51" s="7">
        <v>2022</v>
      </c>
      <c r="C51" s="7">
        <v>2023</v>
      </c>
    </row>
    <row r="52" spans="1:3" ht="13.5" hidden="1" customHeight="1" x14ac:dyDescent="0.35">
      <c r="B52" s="7" t="s">
        <v>100</v>
      </c>
      <c r="C52" s="7" t="s">
        <v>100</v>
      </c>
    </row>
    <row r="53" spans="1:3" ht="13.5" hidden="1" customHeight="1" x14ac:dyDescent="0.35">
      <c r="B53" s="7"/>
      <c r="C53" s="7"/>
    </row>
    <row r="54" spans="1:3" ht="13.5" hidden="1" customHeight="1" x14ac:dyDescent="0.35">
      <c r="A54" s="3" t="s">
        <v>55</v>
      </c>
      <c r="B54" s="38">
        <f>-'TB 2022'!C23</f>
        <v>922.1</v>
      </c>
      <c r="C54" s="11">
        <v>0</v>
      </c>
    </row>
    <row r="55" spans="1:3" ht="13.5" hidden="1" customHeight="1" x14ac:dyDescent="0.35">
      <c r="A55" s="3" t="s">
        <v>56</v>
      </c>
      <c r="B55" s="38">
        <f>-'TB 2022'!C24</f>
        <v>1338.08</v>
      </c>
      <c r="C55" s="11">
        <v>0</v>
      </c>
    </row>
    <row r="56" spans="1:3" ht="13.5" hidden="1" customHeight="1" x14ac:dyDescent="0.35">
      <c r="A56" s="3" t="s">
        <v>57</v>
      </c>
      <c r="B56" s="38">
        <f>-'TB 2022'!C25</f>
        <v>190.4</v>
      </c>
      <c r="C56" s="49">
        <f>-'TB 2023'!C27</f>
        <v>464.1</v>
      </c>
    </row>
    <row r="57" spans="1:3" ht="13.5" hidden="1" customHeight="1" x14ac:dyDescent="0.35">
      <c r="A57" s="3" t="s">
        <v>58</v>
      </c>
      <c r="B57" s="38">
        <f>-'TB 2022'!C26</f>
        <v>-54.31</v>
      </c>
      <c r="C57" s="38">
        <f>-'TB 2023'!C28</f>
        <v>-54.31</v>
      </c>
    </row>
    <row r="58" spans="1:3" ht="13.5" hidden="1" customHeight="1" x14ac:dyDescent="0.35">
      <c r="A58" s="3" t="s">
        <v>59</v>
      </c>
      <c r="B58" s="38">
        <f>-'TB 2022'!C27</f>
        <v>11.19</v>
      </c>
      <c r="C58" s="49">
        <f>-'TB 2023'!C29</f>
        <v>-119.09</v>
      </c>
    </row>
    <row r="59" spans="1:3" ht="13.5" hidden="1" customHeight="1" x14ac:dyDescent="0.35">
      <c r="A59" s="3" t="s">
        <v>60</v>
      </c>
      <c r="B59" s="38">
        <f>-'TB 2022'!C28</f>
        <v>311.7</v>
      </c>
      <c r="C59" s="11">
        <v>0</v>
      </c>
    </row>
    <row r="60" spans="1:3" ht="13.5" hidden="1" customHeight="1" x14ac:dyDescent="0.35">
      <c r="A60" s="3" t="s">
        <v>107</v>
      </c>
      <c r="B60" s="38">
        <f>-'TB 2022'!C29</f>
        <v>641.83000000000004</v>
      </c>
      <c r="C60" s="11">
        <v>0</v>
      </c>
    </row>
    <row r="61" spans="1:3" ht="13.5" hidden="1" customHeight="1" x14ac:dyDescent="0.35">
      <c r="A61" s="3" t="s">
        <v>111</v>
      </c>
      <c r="B61" s="11">
        <v>0</v>
      </c>
      <c r="C61" s="38">
        <f>-'TB 2023'!C30</f>
        <v>-445.89</v>
      </c>
    </row>
    <row r="62" spans="1:3" ht="13.5" hidden="1" customHeight="1" x14ac:dyDescent="0.35">
      <c r="A62" s="3" t="s">
        <v>113</v>
      </c>
      <c r="B62" s="11">
        <v>0</v>
      </c>
      <c r="C62" s="38">
        <f>-'TB 2023'!C32</f>
        <v>2716.95</v>
      </c>
    </row>
    <row r="63" spans="1:3" ht="13.5" hidden="1" customHeight="1" x14ac:dyDescent="0.35">
      <c r="A63" s="3" t="s">
        <v>114</v>
      </c>
      <c r="B63" s="11">
        <v>0</v>
      </c>
      <c r="C63" s="38">
        <f>-'TB 2023'!C33</f>
        <v>10.35</v>
      </c>
    </row>
    <row r="64" spans="1:3" ht="13.5" hidden="1" customHeight="1" x14ac:dyDescent="0.35">
      <c r="A64" s="3" t="s">
        <v>115</v>
      </c>
      <c r="B64" s="11">
        <v>0</v>
      </c>
      <c r="C64" s="38">
        <f>-'TB 2023'!C34</f>
        <v>-12.46</v>
      </c>
    </row>
    <row r="65" spans="1:3" ht="13.5" hidden="1" customHeight="1" x14ac:dyDescent="0.35">
      <c r="A65" s="3" t="s">
        <v>117</v>
      </c>
      <c r="B65" s="11">
        <v>0</v>
      </c>
      <c r="C65" s="38">
        <f>-'TB 2023'!C36</f>
        <v>-53.12</v>
      </c>
    </row>
    <row r="66" spans="1:3" ht="13.5" hidden="1" customHeight="1" x14ac:dyDescent="0.35">
      <c r="A66" s="3" t="s">
        <v>126</v>
      </c>
      <c r="B66" s="11">
        <v>0</v>
      </c>
      <c r="C66" s="38">
        <f>-'TB 2023'!C24</f>
        <v>-56.17</v>
      </c>
    </row>
    <row r="67" spans="1:3" ht="13.5" hidden="1" customHeight="1" thickBot="1" x14ac:dyDescent="0.4">
      <c r="B67" s="43">
        <f>SUM(B54:B66)</f>
        <v>3360.99</v>
      </c>
      <c r="C67" s="43">
        <f>SUM(C54:C66)-1</f>
        <v>2449.3599999999997</v>
      </c>
    </row>
    <row r="68" spans="1:3" ht="13.5" customHeight="1" x14ac:dyDescent="0.35">
      <c r="B68" s="42"/>
      <c r="C68" s="42"/>
    </row>
    <row r="69" spans="1:3" ht="13.5" customHeight="1" x14ac:dyDescent="0.35">
      <c r="B69" s="42"/>
      <c r="C69" s="42"/>
    </row>
    <row r="70" spans="1:3" ht="13.5" customHeight="1" x14ac:dyDescent="0.35">
      <c r="A70" s="5" t="s">
        <v>133</v>
      </c>
      <c r="B70" s="7">
        <v>2022</v>
      </c>
      <c r="C70" s="7">
        <v>2023</v>
      </c>
    </row>
    <row r="71" spans="1:3" ht="13.5" customHeight="1" x14ac:dyDescent="0.35">
      <c r="B71" s="7" t="s">
        <v>100</v>
      </c>
      <c r="C71" s="7" t="s">
        <v>100</v>
      </c>
    </row>
    <row r="72" spans="1:3" ht="13.5" customHeight="1" x14ac:dyDescent="0.35">
      <c r="B72" s="37"/>
      <c r="C72" s="37"/>
    </row>
    <row r="73" spans="1:3" ht="13.5" customHeight="1" x14ac:dyDescent="0.35">
      <c r="A73" s="3" t="s">
        <v>63</v>
      </c>
      <c r="B73" s="42">
        <f>'TB 2022'!C15</f>
        <v>506898.33</v>
      </c>
      <c r="C73" s="42">
        <f>'TB 2023'!C17</f>
        <v>270042.56</v>
      </c>
    </row>
    <row r="74" spans="1:3" ht="13.5" customHeight="1" x14ac:dyDescent="0.35">
      <c r="A74" s="3" t="s">
        <v>64</v>
      </c>
      <c r="B74" s="42">
        <f>'TB 2022'!C16</f>
        <v>40.28</v>
      </c>
      <c r="C74" s="42">
        <f>'TB 2023'!C18</f>
        <v>31.28</v>
      </c>
    </row>
    <row r="75" spans="1:3" ht="13.5" customHeight="1" x14ac:dyDescent="0.35">
      <c r="A75" s="3" t="s">
        <v>65</v>
      </c>
      <c r="B75" s="38">
        <f>'TB 2022'!C17</f>
        <v>1662088</v>
      </c>
      <c r="C75" s="42">
        <f>'TB 2023'!C19</f>
        <v>1662063</v>
      </c>
    </row>
    <row r="76" spans="1:3" ht="13.5" customHeight="1" thickBot="1" x14ac:dyDescent="0.4">
      <c r="B76" s="43">
        <f>SUM(B72:B75)</f>
        <v>2169026.61</v>
      </c>
      <c r="C76" s="43">
        <f>SUM(C72:C75)</f>
        <v>1932136.84</v>
      </c>
    </row>
    <row r="77" spans="1:3" ht="13.5" customHeight="1" thickTop="1" x14ac:dyDescent="0.35">
      <c r="B77" s="42"/>
      <c r="C77" s="42"/>
    </row>
    <row r="78" spans="1:3" ht="13.5" hidden="1" customHeight="1" x14ac:dyDescent="0.35">
      <c r="A78" s="5" t="s">
        <v>66</v>
      </c>
      <c r="B78" s="7">
        <v>2022</v>
      </c>
      <c r="C78" s="7">
        <v>2023</v>
      </c>
    </row>
    <row r="79" spans="1:3" ht="13.5" hidden="1" customHeight="1" x14ac:dyDescent="0.35">
      <c r="B79" s="7" t="s">
        <v>100</v>
      </c>
      <c r="C79" s="7" t="s">
        <v>100</v>
      </c>
    </row>
    <row r="80" spans="1:3" ht="13.5" hidden="1" customHeight="1" x14ac:dyDescent="0.35">
      <c r="B80" s="37"/>
      <c r="C80" s="37"/>
    </row>
    <row r="81" spans="1:3" ht="13.5" hidden="1" customHeight="1" x14ac:dyDescent="0.35">
      <c r="A81" s="3" t="s">
        <v>67</v>
      </c>
      <c r="B81" s="38">
        <f>-'TB 2022'!C30</f>
        <v>1000</v>
      </c>
      <c r="C81" s="38">
        <f>-'TB 2023'!C37</f>
        <v>1000</v>
      </c>
    </row>
    <row r="82" spans="1:3" ht="13.5" hidden="1" customHeight="1" thickBot="1" x14ac:dyDescent="0.4">
      <c r="B82" s="43">
        <f t="shared" ref="B82" si="1">SUM(B80:B81)</f>
        <v>1000</v>
      </c>
      <c r="C82" s="43">
        <f>SUM(C80:C81)</f>
        <v>1000</v>
      </c>
    </row>
    <row r="83" spans="1:3" ht="13.5" customHeight="1" x14ac:dyDescent="0.35"/>
    <row r="84" spans="1:3" ht="13.5" customHeight="1" x14ac:dyDescent="0.35"/>
    <row r="85" spans="1:3" ht="13.5" customHeight="1" x14ac:dyDescent="0.35"/>
    <row r="86" spans="1:3" ht="13.5" customHeight="1" x14ac:dyDescent="0.35"/>
    <row r="87" spans="1:3" ht="13.5" customHeight="1" x14ac:dyDescent="0.35"/>
    <row r="88" spans="1:3" ht="13.5" customHeight="1" x14ac:dyDescent="0.35"/>
    <row r="89" spans="1:3" ht="13.5" customHeight="1" x14ac:dyDescent="0.35"/>
    <row r="90" spans="1:3" ht="13.5" customHeight="1" x14ac:dyDescent="0.35"/>
    <row r="91" spans="1:3" ht="13.5" customHeight="1" x14ac:dyDescent="0.35"/>
    <row r="92" spans="1:3" ht="13.5" customHeight="1" x14ac:dyDescent="0.35"/>
    <row r="93" spans="1:3" ht="13.5" customHeight="1" x14ac:dyDescent="0.35"/>
    <row r="94" spans="1:3" ht="13.5" customHeight="1" x14ac:dyDescent="0.35"/>
    <row r="95" spans="1:3" ht="13.5" customHeight="1" x14ac:dyDescent="0.35"/>
    <row r="96" spans="1:3" ht="13.5" customHeight="1" x14ac:dyDescent="0.35"/>
    <row r="97" ht="13.5" customHeight="1" x14ac:dyDescent="0.35"/>
    <row r="98" ht="13.5" customHeight="1" x14ac:dyDescent="0.35"/>
    <row r="99" ht="13.5" customHeight="1" x14ac:dyDescent="0.35"/>
    <row r="100" ht="13.5" customHeight="1" x14ac:dyDescent="0.35"/>
    <row r="101" ht="13.5" customHeight="1" x14ac:dyDescent="0.35"/>
    <row r="102" ht="13.5" customHeight="1" x14ac:dyDescent="0.35"/>
    <row r="103" ht="13.5" customHeight="1" x14ac:dyDescent="0.35"/>
    <row r="104" ht="13.5" customHeight="1" x14ac:dyDescent="0.35"/>
    <row r="105" ht="13.5" customHeight="1" x14ac:dyDescent="0.35"/>
    <row r="106" ht="13.5" customHeight="1" x14ac:dyDescent="0.35"/>
    <row r="107" ht="13.5" customHeight="1" x14ac:dyDescent="0.35"/>
    <row r="108" ht="13.5" customHeight="1" x14ac:dyDescent="0.35"/>
    <row r="109" ht="13.5" customHeight="1" x14ac:dyDescent="0.35"/>
    <row r="110" ht="13.5" customHeight="1" x14ac:dyDescent="0.35"/>
    <row r="111" ht="13.5" customHeight="1" x14ac:dyDescent="0.35"/>
    <row r="112" ht="13.5" customHeight="1" x14ac:dyDescent="0.35"/>
    <row r="113" ht="13.5" customHeight="1" x14ac:dyDescent="0.35"/>
    <row r="114" ht="13.5" customHeight="1" x14ac:dyDescent="0.35"/>
    <row r="115" ht="13.5" customHeight="1" x14ac:dyDescent="0.35"/>
    <row r="116" ht="13.5" customHeight="1" x14ac:dyDescent="0.35"/>
    <row r="117" ht="13.5" customHeight="1" x14ac:dyDescent="0.35"/>
    <row r="118" ht="13.5" customHeight="1" x14ac:dyDescent="0.35"/>
    <row r="119" ht="13.5" customHeight="1" x14ac:dyDescent="0.35"/>
    <row r="120" ht="13.5" customHeight="1" x14ac:dyDescent="0.35"/>
    <row r="121" ht="13.5" customHeight="1" x14ac:dyDescent="0.35"/>
    <row r="122" ht="13.5" customHeight="1" x14ac:dyDescent="0.35"/>
    <row r="123" ht="13.5" customHeight="1" x14ac:dyDescent="0.35"/>
    <row r="124" ht="13.5" customHeight="1" x14ac:dyDescent="0.35"/>
    <row r="125" ht="13.5" customHeight="1" x14ac:dyDescent="0.35"/>
    <row r="126" ht="13.5" customHeight="1" x14ac:dyDescent="0.35"/>
    <row r="127" ht="13.5" customHeight="1" x14ac:dyDescent="0.35"/>
    <row r="128" ht="13.5" customHeight="1" x14ac:dyDescent="0.35"/>
    <row r="129" ht="13.5" customHeight="1" x14ac:dyDescent="0.35"/>
    <row r="130" ht="13.5" customHeight="1" x14ac:dyDescent="0.35"/>
    <row r="131" ht="13.5" customHeight="1" x14ac:dyDescent="0.35"/>
    <row r="132" ht="13.5" customHeight="1" x14ac:dyDescent="0.35"/>
    <row r="133" ht="13.5" customHeight="1" x14ac:dyDescent="0.35"/>
    <row r="134" ht="13.5" customHeight="1" x14ac:dyDescent="0.35"/>
    <row r="135" ht="13.5" customHeight="1" x14ac:dyDescent="0.35"/>
    <row r="136" ht="13.5" customHeight="1" x14ac:dyDescent="0.35"/>
    <row r="137" ht="13.5" customHeight="1" x14ac:dyDescent="0.35"/>
    <row r="138" ht="13.5" customHeight="1" x14ac:dyDescent="0.35"/>
    <row r="139" ht="13.5" customHeight="1" x14ac:dyDescent="0.35"/>
    <row r="140" ht="13.5" customHeight="1" x14ac:dyDescent="0.35"/>
    <row r="141" ht="13.5" customHeight="1" x14ac:dyDescent="0.35"/>
    <row r="142" ht="13.5" customHeight="1" x14ac:dyDescent="0.35"/>
    <row r="143" ht="13.5" customHeight="1" x14ac:dyDescent="0.35"/>
    <row r="144" ht="13.5" customHeight="1" x14ac:dyDescent="0.35"/>
    <row r="145" ht="13.5" customHeight="1" x14ac:dyDescent="0.35"/>
    <row r="146" ht="13.5" customHeight="1" x14ac:dyDescent="0.35"/>
    <row r="147" ht="13.5" customHeight="1" x14ac:dyDescent="0.35"/>
    <row r="148" ht="13.5" customHeight="1" x14ac:dyDescent="0.35"/>
    <row r="149" ht="13.5" customHeight="1" x14ac:dyDescent="0.35"/>
    <row r="150" ht="13.5" customHeight="1" x14ac:dyDescent="0.35"/>
    <row r="151" ht="13.5" customHeight="1" x14ac:dyDescent="0.35"/>
    <row r="152" ht="13.5" customHeight="1" x14ac:dyDescent="0.35"/>
    <row r="153" ht="13.5" customHeight="1" x14ac:dyDescent="0.35"/>
    <row r="154" ht="13.5" customHeight="1" x14ac:dyDescent="0.35"/>
    <row r="155" ht="13.5" customHeight="1" x14ac:dyDescent="0.35"/>
    <row r="156" ht="13.5" customHeight="1" x14ac:dyDescent="0.35"/>
    <row r="157" ht="13.5" customHeight="1" x14ac:dyDescent="0.35"/>
    <row r="158" ht="13.5" customHeight="1" x14ac:dyDescent="0.35"/>
    <row r="159" ht="13.5" customHeight="1" x14ac:dyDescent="0.35"/>
    <row r="160" ht="13.5" customHeight="1" x14ac:dyDescent="0.35"/>
    <row r="161" ht="13.5" customHeight="1" x14ac:dyDescent="0.35"/>
    <row r="162" ht="13.5" customHeight="1" x14ac:dyDescent="0.35"/>
    <row r="163" ht="13.5" customHeight="1" x14ac:dyDescent="0.35"/>
    <row r="164" ht="13.5" customHeight="1" x14ac:dyDescent="0.35"/>
    <row r="165" ht="13.5" customHeight="1" x14ac:dyDescent="0.35"/>
    <row r="166" ht="13.5" customHeight="1" x14ac:dyDescent="0.35"/>
    <row r="167" ht="13.5" customHeight="1" x14ac:dyDescent="0.35"/>
    <row r="168" ht="13.5" customHeight="1" x14ac:dyDescent="0.35"/>
    <row r="169" ht="13.5" customHeight="1" x14ac:dyDescent="0.35"/>
    <row r="170" ht="13.5" customHeight="1" x14ac:dyDescent="0.35"/>
    <row r="171" ht="13.5" customHeight="1" x14ac:dyDescent="0.35"/>
    <row r="172" ht="13.5" customHeight="1" x14ac:dyDescent="0.35"/>
    <row r="173" ht="13.5" customHeight="1" x14ac:dyDescent="0.35"/>
    <row r="174" ht="13.5" customHeight="1" x14ac:dyDescent="0.35"/>
    <row r="175" ht="13.5" customHeight="1" x14ac:dyDescent="0.35"/>
    <row r="176" ht="13.5" customHeight="1" x14ac:dyDescent="0.35"/>
    <row r="177" ht="13.5" customHeight="1" x14ac:dyDescent="0.35"/>
    <row r="178" ht="13.5" customHeight="1" x14ac:dyDescent="0.35"/>
    <row r="179" ht="13.5" customHeight="1" x14ac:dyDescent="0.35"/>
    <row r="180" ht="13.5" customHeight="1" x14ac:dyDescent="0.35"/>
    <row r="181" ht="13.5" customHeight="1" x14ac:dyDescent="0.35"/>
    <row r="182" ht="13.5" customHeight="1" x14ac:dyDescent="0.35"/>
    <row r="183" ht="13.5" customHeight="1" x14ac:dyDescent="0.35"/>
    <row r="184" ht="13.5" customHeight="1" x14ac:dyDescent="0.35"/>
    <row r="185" ht="13.5" customHeight="1" x14ac:dyDescent="0.35"/>
    <row r="186" ht="13.5" customHeight="1" x14ac:dyDescent="0.35"/>
    <row r="187" ht="13.5" customHeight="1" x14ac:dyDescent="0.35"/>
    <row r="188" ht="13.5" customHeight="1" x14ac:dyDescent="0.35"/>
    <row r="189" ht="13.5" customHeight="1" x14ac:dyDescent="0.35"/>
    <row r="190" ht="13.5" customHeight="1" x14ac:dyDescent="0.35"/>
    <row r="191" ht="13.5" customHeight="1" x14ac:dyDescent="0.35"/>
    <row r="192" ht="13.5" customHeight="1" x14ac:dyDescent="0.35"/>
    <row r="193" ht="13.5" customHeight="1" x14ac:dyDescent="0.35"/>
    <row r="194" ht="13.5" customHeight="1" x14ac:dyDescent="0.35"/>
    <row r="195" ht="13.5" customHeight="1" x14ac:dyDescent="0.35"/>
    <row r="196" ht="13.5" customHeight="1" x14ac:dyDescent="0.35"/>
    <row r="197" ht="13.5" customHeight="1" x14ac:dyDescent="0.35"/>
    <row r="198" ht="13.5" customHeight="1" x14ac:dyDescent="0.35"/>
    <row r="199" ht="13.5" customHeight="1" x14ac:dyDescent="0.35"/>
    <row r="200" ht="13.5" customHeight="1" x14ac:dyDescent="0.35"/>
    <row r="201" ht="13.5" customHeight="1" x14ac:dyDescent="0.35"/>
    <row r="202" ht="13.5" customHeight="1" x14ac:dyDescent="0.35"/>
    <row r="203" ht="13.5" customHeight="1" x14ac:dyDescent="0.35"/>
    <row r="204" ht="13.5" customHeight="1" x14ac:dyDescent="0.35"/>
    <row r="205" ht="13.5" customHeight="1" x14ac:dyDescent="0.35"/>
    <row r="206" ht="13.5" customHeight="1" x14ac:dyDescent="0.35"/>
    <row r="207" ht="13.5" customHeight="1" x14ac:dyDescent="0.35"/>
    <row r="208" ht="13.5" customHeight="1" x14ac:dyDescent="0.35"/>
    <row r="209" ht="13.5" customHeight="1" x14ac:dyDescent="0.35"/>
    <row r="210" ht="13.5" customHeight="1" x14ac:dyDescent="0.35"/>
    <row r="211" ht="13.5" customHeight="1" x14ac:dyDescent="0.35"/>
    <row r="212" ht="13.5" customHeight="1" x14ac:dyDescent="0.35"/>
    <row r="213" ht="13.5" customHeight="1" x14ac:dyDescent="0.35"/>
    <row r="214" ht="13.5" customHeight="1" x14ac:dyDescent="0.35"/>
    <row r="215" ht="13.5" customHeight="1" x14ac:dyDescent="0.35"/>
    <row r="216" ht="13.5" customHeight="1" x14ac:dyDescent="0.35"/>
    <row r="217" ht="13.5" customHeight="1" x14ac:dyDescent="0.35"/>
    <row r="218" ht="13.5" customHeight="1" x14ac:dyDescent="0.35"/>
    <row r="219" ht="13.5" customHeight="1" x14ac:dyDescent="0.35"/>
    <row r="220" ht="13.5" customHeight="1" x14ac:dyDescent="0.35"/>
    <row r="221" ht="13.5" customHeight="1" x14ac:dyDescent="0.35"/>
    <row r="222" ht="13.5" customHeight="1" x14ac:dyDescent="0.35"/>
    <row r="223" ht="13.5" customHeight="1" x14ac:dyDescent="0.35"/>
    <row r="224" ht="13.5" customHeight="1" x14ac:dyDescent="0.35"/>
    <row r="225" ht="13.5" customHeight="1" x14ac:dyDescent="0.35"/>
    <row r="226" ht="13.5" customHeight="1" x14ac:dyDescent="0.35"/>
    <row r="227" ht="13.5" customHeight="1" x14ac:dyDescent="0.35"/>
    <row r="228" ht="13.5" customHeight="1" x14ac:dyDescent="0.35"/>
    <row r="229" ht="13.5" customHeight="1" x14ac:dyDescent="0.35"/>
    <row r="230" ht="13.5" customHeight="1" x14ac:dyDescent="0.35"/>
    <row r="231" ht="13.5" customHeight="1" x14ac:dyDescent="0.35"/>
    <row r="232" ht="13.5" customHeight="1" x14ac:dyDescent="0.35"/>
    <row r="233" ht="13.5" customHeight="1" x14ac:dyDescent="0.35"/>
    <row r="234" ht="13.5" customHeight="1" x14ac:dyDescent="0.35"/>
    <row r="235" ht="13.5" customHeight="1" x14ac:dyDescent="0.35"/>
    <row r="236" ht="13.5" customHeight="1" x14ac:dyDescent="0.35"/>
    <row r="237" ht="13.5" customHeight="1" x14ac:dyDescent="0.35"/>
    <row r="238" ht="13.5" customHeight="1" x14ac:dyDescent="0.35"/>
    <row r="239" ht="13.5" customHeight="1" x14ac:dyDescent="0.35"/>
    <row r="240" ht="13.5" customHeight="1" x14ac:dyDescent="0.35"/>
    <row r="241" ht="13.5" customHeight="1" x14ac:dyDescent="0.35"/>
    <row r="242" ht="13.5" customHeight="1" x14ac:dyDescent="0.35"/>
    <row r="243" ht="13.5" customHeight="1" x14ac:dyDescent="0.35"/>
    <row r="244" ht="13.5" customHeight="1" x14ac:dyDescent="0.35"/>
    <row r="245" ht="13.5" customHeight="1" x14ac:dyDescent="0.35"/>
    <row r="246" ht="13.5" customHeight="1" x14ac:dyDescent="0.35"/>
    <row r="247" ht="13.5" customHeight="1" x14ac:dyDescent="0.35"/>
    <row r="248" ht="13.5" customHeight="1" x14ac:dyDescent="0.35"/>
    <row r="249" ht="13.5" customHeight="1" x14ac:dyDescent="0.35"/>
    <row r="250" ht="13.5" customHeight="1" x14ac:dyDescent="0.35"/>
    <row r="251" ht="13.5" customHeight="1" x14ac:dyDescent="0.35"/>
    <row r="252" ht="13.5" customHeight="1" x14ac:dyDescent="0.35"/>
    <row r="253" ht="13.5" customHeight="1" x14ac:dyDescent="0.35"/>
    <row r="254" ht="13.5" customHeight="1" x14ac:dyDescent="0.35"/>
    <row r="255" ht="13.5" customHeight="1" x14ac:dyDescent="0.35"/>
    <row r="256" ht="13.5" customHeight="1" x14ac:dyDescent="0.35"/>
    <row r="257" ht="13.5" customHeight="1" x14ac:dyDescent="0.35"/>
    <row r="258" ht="13.5" customHeight="1" x14ac:dyDescent="0.35"/>
    <row r="259" ht="13.5" customHeight="1" x14ac:dyDescent="0.35"/>
    <row r="260" ht="13.5" customHeight="1" x14ac:dyDescent="0.35"/>
    <row r="261" ht="13.5" customHeight="1" x14ac:dyDescent="0.35"/>
    <row r="262" ht="13.5" customHeight="1" x14ac:dyDescent="0.35"/>
    <row r="263" ht="13.5" customHeight="1" x14ac:dyDescent="0.35"/>
    <row r="264" ht="13.5" customHeight="1" x14ac:dyDescent="0.35"/>
    <row r="265" ht="13.5" customHeight="1" x14ac:dyDescent="0.35"/>
    <row r="266" ht="13.5" customHeight="1" x14ac:dyDescent="0.35"/>
    <row r="267" ht="13.5" customHeight="1" x14ac:dyDescent="0.35"/>
    <row r="268" ht="13.5" customHeight="1" x14ac:dyDescent="0.35"/>
    <row r="269" ht="13.5" customHeight="1" x14ac:dyDescent="0.35"/>
    <row r="270" ht="13.5" customHeight="1" x14ac:dyDescent="0.35"/>
    <row r="271" ht="13.5" customHeight="1" x14ac:dyDescent="0.35"/>
    <row r="272" ht="13.5" customHeight="1" x14ac:dyDescent="0.35"/>
    <row r="273" ht="13.5" customHeight="1" x14ac:dyDescent="0.35"/>
    <row r="274" ht="13.5" customHeight="1" x14ac:dyDescent="0.35"/>
    <row r="275" ht="13.5" customHeight="1" x14ac:dyDescent="0.35"/>
    <row r="276" ht="13.5" customHeight="1" x14ac:dyDescent="0.35"/>
    <row r="277" ht="13.5" customHeight="1" x14ac:dyDescent="0.35"/>
    <row r="278" ht="13.5" customHeight="1" x14ac:dyDescent="0.35"/>
    <row r="279" ht="13.5" customHeight="1" x14ac:dyDescent="0.35"/>
    <row r="280" ht="13.5" customHeight="1" x14ac:dyDescent="0.35"/>
    <row r="281" ht="13.5" customHeight="1" x14ac:dyDescent="0.35"/>
    <row r="282" ht="13.5" customHeight="1" x14ac:dyDescent="0.35"/>
    <row r="283" ht="13.5" customHeight="1" x14ac:dyDescent="0.35"/>
    <row r="284" ht="13.5" customHeight="1" x14ac:dyDescent="0.35"/>
    <row r="285" ht="13.5" customHeight="1" x14ac:dyDescent="0.35"/>
    <row r="286" ht="13.5" customHeight="1" x14ac:dyDescent="0.35"/>
    <row r="287" ht="13.5" customHeight="1" x14ac:dyDescent="0.35"/>
    <row r="288" ht="13.5" customHeight="1" x14ac:dyDescent="0.35"/>
    <row r="289" ht="13.5" customHeight="1" x14ac:dyDescent="0.35"/>
    <row r="290" ht="13.5" customHeight="1" x14ac:dyDescent="0.35"/>
    <row r="291" ht="13.5" customHeight="1" x14ac:dyDescent="0.35"/>
    <row r="292" ht="13.5" customHeight="1" x14ac:dyDescent="0.35"/>
    <row r="293" ht="13.5" customHeight="1" x14ac:dyDescent="0.35"/>
    <row r="294" ht="13.5" customHeight="1" x14ac:dyDescent="0.35"/>
    <row r="295" ht="13.5" customHeight="1" x14ac:dyDescent="0.35"/>
    <row r="296" ht="13.5" customHeight="1" x14ac:dyDescent="0.35"/>
    <row r="297" ht="13.5" customHeight="1" x14ac:dyDescent="0.35"/>
    <row r="298" ht="13.5" customHeight="1" x14ac:dyDescent="0.35"/>
    <row r="299" ht="13.5" customHeight="1" x14ac:dyDescent="0.35"/>
    <row r="300" ht="13.5" customHeight="1" x14ac:dyDescent="0.35"/>
    <row r="301" ht="13.5" customHeight="1" x14ac:dyDescent="0.35"/>
    <row r="302" ht="13.5" customHeight="1" x14ac:dyDescent="0.35"/>
    <row r="303" ht="13.5" customHeight="1" x14ac:dyDescent="0.35"/>
    <row r="304" ht="13.5" customHeight="1" x14ac:dyDescent="0.35"/>
    <row r="305" ht="13.5" customHeight="1" x14ac:dyDescent="0.35"/>
    <row r="306" ht="13.5" customHeight="1" x14ac:dyDescent="0.35"/>
    <row r="307" ht="13.5" customHeight="1" x14ac:dyDescent="0.35"/>
    <row r="308" ht="13.5" customHeight="1" x14ac:dyDescent="0.35"/>
    <row r="309" ht="13.5" customHeight="1" x14ac:dyDescent="0.35"/>
    <row r="310" ht="13.5" customHeight="1" x14ac:dyDescent="0.35"/>
    <row r="311" ht="13.5" customHeight="1" x14ac:dyDescent="0.35"/>
    <row r="312" ht="13.5" customHeight="1" x14ac:dyDescent="0.35"/>
    <row r="313" ht="13.5" customHeight="1" x14ac:dyDescent="0.35"/>
    <row r="314" ht="13.5" customHeight="1" x14ac:dyDescent="0.35"/>
    <row r="315" ht="13.5" customHeight="1" x14ac:dyDescent="0.35"/>
    <row r="316" ht="13.5" customHeight="1" x14ac:dyDescent="0.35"/>
    <row r="317" ht="13.5" customHeight="1" x14ac:dyDescent="0.35"/>
    <row r="318" ht="13.5" customHeight="1" x14ac:dyDescent="0.35"/>
    <row r="319" ht="13.5" customHeight="1" x14ac:dyDescent="0.35"/>
    <row r="320" ht="13.5" customHeight="1" x14ac:dyDescent="0.35"/>
    <row r="321" ht="13.5" customHeight="1" x14ac:dyDescent="0.35"/>
    <row r="322" ht="13.5" customHeight="1" x14ac:dyDescent="0.35"/>
    <row r="323" ht="13.5" customHeight="1" x14ac:dyDescent="0.35"/>
    <row r="324" ht="13.5" customHeight="1" x14ac:dyDescent="0.35"/>
    <row r="325" ht="13.5" customHeight="1" x14ac:dyDescent="0.35"/>
    <row r="326" ht="13.5" customHeight="1" x14ac:dyDescent="0.35"/>
    <row r="327" ht="13.5" customHeight="1" x14ac:dyDescent="0.35"/>
    <row r="328" ht="13.5" customHeight="1" x14ac:dyDescent="0.35"/>
    <row r="329" ht="13.5" customHeight="1" x14ac:dyDescent="0.35"/>
    <row r="330" ht="13.5" customHeight="1" x14ac:dyDescent="0.35"/>
    <row r="331" ht="13.5" customHeight="1" x14ac:dyDescent="0.35"/>
    <row r="332" ht="13.5" customHeight="1" x14ac:dyDescent="0.35"/>
    <row r="333" ht="13.5" customHeight="1" x14ac:dyDescent="0.35"/>
    <row r="334" ht="13.5" customHeight="1" x14ac:dyDescent="0.35"/>
    <row r="335" ht="13.5" customHeight="1" x14ac:dyDescent="0.35"/>
    <row r="336" ht="13.5" customHeight="1" x14ac:dyDescent="0.35"/>
    <row r="337" ht="13.5" customHeight="1" x14ac:dyDescent="0.35"/>
    <row r="338" ht="13.5" customHeight="1" x14ac:dyDescent="0.35"/>
    <row r="339" ht="13.5" customHeight="1" x14ac:dyDescent="0.35"/>
    <row r="340" ht="13.5" customHeight="1" x14ac:dyDescent="0.35"/>
    <row r="341" ht="13.5" customHeight="1" x14ac:dyDescent="0.35"/>
    <row r="342" ht="13.5" customHeight="1" x14ac:dyDescent="0.35"/>
    <row r="343" ht="13.5" customHeight="1" x14ac:dyDescent="0.35"/>
    <row r="344" ht="13.5" customHeight="1" x14ac:dyDescent="0.35"/>
    <row r="345" ht="13.5" customHeight="1" x14ac:dyDescent="0.35"/>
    <row r="346" ht="13.5" customHeight="1" x14ac:dyDescent="0.35"/>
    <row r="347" ht="13.5" customHeight="1" x14ac:dyDescent="0.35"/>
    <row r="348" ht="13.5" customHeight="1" x14ac:dyDescent="0.35"/>
    <row r="349" ht="13.5" customHeight="1" x14ac:dyDescent="0.35"/>
    <row r="350" ht="13.5" customHeight="1" x14ac:dyDescent="0.35"/>
    <row r="351" ht="13.5" customHeight="1" x14ac:dyDescent="0.35"/>
    <row r="352" ht="13.5" customHeight="1" x14ac:dyDescent="0.35"/>
    <row r="353" ht="13.5" customHeight="1" x14ac:dyDescent="0.35"/>
    <row r="354" ht="13.5" customHeight="1" x14ac:dyDescent="0.35"/>
    <row r="355" ht="13.5" customHeight="1" x14ac:dyDescent="0.35"/>
    <row r="356" ht="13.5" customHeight="1" x14ac:dyDescent="0.35"/>
    <row r="357" ht="13.5" customHeight="1" x14ac:dyDescent="0.35"/>
    <row r="358" ht="13.5" customHeight="1" x14ac:dyDescent="0.35"/>
    <row r="359" ht="13.5" customHeight="1" x14ac:dyDescent="0.35"/>
    <row r="360" ht="13.5" customHeight="1" x14ac:dyDescent="0.35"/>
    <row r="361" ht="13.5" customHeight="1" x14ac:dyDescent="0.35"/>
    <row r="362" ht="13.5" customHeight="1" x14ac:dyDescent="0.35"/>
    <row r="363" ht="13.5" customHeight="1" x14ac:dyDescent="0.35"/>
    <row r="364" ht="13.5" customHeight="1" x14ac:dyDescent="0.35"/>
    <row r="365" ht="13.5" customHeight="1" x14ac:dyDescent="0.35"/>
    <row r="366" ht="13.5" customHeight="1" x14ac:dyDescent="0.35"/>
    <row r="367" ht="13.5" customHeight="1" x14ac:dyDescent="0.35"/>
    <row r="368" ht="13.5" customHeight="1" x14ac:dyDescent="0.35"/>
    <row r="369" ht="13.5" customHeight="1" x14ac:dyDescent="0.35"/>
    <row r="370" ht="13.5" customHeight="1" x14ac:dyDescent="0.35"/>
    <row r="371" ht="13.5" customHeight="1" x14ac:dyDescent="0.35"/>
    <row r="372" ht="13.5" customHeight="1" x14ac:dyDescent="0.35"/>
    <row r="373" ht="13.5" customHeight="1" x14ac:dyDescent="0.35"/>
    <row r="374" ht="13.5" customHeight="1" x14ac:dyDescent="0.35"/>
    <row r="375" ht="13.5" customHeight="1" x14ac:dyDescent="0.35"/>
    <row r="376" ht="13.5" customHeight="1" x14ac:dyDescent="0.35"/>
    <row r="377" ht="13.5" customHeight="1" x14ac:dyDescent="0.35"/>
    <row r="378" ht="13.5" customHeight="1" x14ac:dyDescent="0.35"/>
    <row r="379" ht="13.5" customHeight="1" x14ac:dyDescent="0.35"/>
    <row r="380" ht="13.5" customHeight="1" x14ac:dyDescent="0.35"/>
    <row r="381" ht="13.5" customHeight="1" x14ac:dyDescent="0.35"/>
    <row r="382" ht="13.5" customHeight="1" x14ac:dyDescent="0.35"/>
    <row r="383" ht="13.5" customHeight="1" x14ac:dyDescent="0.35"/>
    <row r="384" ht="13.5" customHeight="1" x14ac:dyDescent="0.35"/>
    <row r="385" ht="13.5" customHeight="1" x14ac:dyDescent="0.35"/>
    <row r="386" ht="13.5" customHeight="1" x14ac:dyDescent="0.35"/>
    <row r="387" ht="13.5" customHeight="1" x14ac:dyDescent="0.35"/>
    <row r="388" ht="13.5" customHeight="1" x14ac:dyDescent="0.35"/>
    <row r="389" ht="13.5" customHeight="1" x14ac:dyDescent="0.35"/>
    <row r="390" ht="13.5" customHeight="1" x14ac:dyDescent="0.35"/>
    <row r="391" ht="13.5" customHeight="1" x14ac:dyDescent="0.35"/>
    <row r="392" ht="13.5" customHeight="1" x14ac:dyDescent="0.35"/>
    <row r="393" ht="13.5" customHeight="1" x14ac:dyDescent="0.35"/>
    <row r="394" ht="13.5" customHeight="1" x14ac:dyDescent="0.35"/>
    <row r="395" ht="13.5" customHeight="1" x14ac:dyDescent="0.35"/>
    <row r="396" ht="13.5" customHeight="1" x14ac:dyDescent="0.35"/>
    <row r="397" ht="13.5" customHeight="1" x14ac:dyDescent="0.35"/>
    <row r="398" ht="13.5" customHeight="1" x14ac:dyDescent="0.35"/>
    <row r="399" ht="13.5" customHeight="1" x14ac:dyDescent="0.35"/>
    <row r="400" ht="13.5" customHeight="1" x14ac:dyDescent="0.35"/>
    <row r="401" ht="13.5" customHeight="1" x14ac:dyDescent="0.35"/>
    <row r="402" ht="13.5" customHeight="1" x14ac:dyDescent="0.35"/>
    <row r="403" ht="13.5" customHeight="1" x14ac:dyDescent="0.35"/>
    <row r="404" ht="13.5" customHeight="1" x14ac:dyDescent="0.35"/>
    <row r="405" ht="13.5" customHeight="1" x14ac:dyDescent="0.35"/>
    <row r="406" ht="13.5" customHeight="1" x14ac:dyDescent="0.35"/>
    <row r="407" ht="13.5" customHeight="1" x14ac:dyDescent="0.35"/>
    <row r="408" ht="13.5" customHeight="1" x14ac:dyDescent="0.35"/>
    <row r="409" ht="13.5" customHeight="1" x14ac:dyDescent="0.35"/>
    <row r="410" ht="13.5" customHeight="1" x14ac:dyDescent="0.35"/>
    <row r="411" ht="13.5" customHeight="1" x14ac:dyDescent="0.35"/>
    <row r="412" ht="13.5" customHeight="1" x14ac:dyDescent="0.35"/>
    <row r="413" ht="13.5" customHeight="1" x14ac:dyDescent="0.35"/>
    <row r="414" ht="13.5" customHeight="1" x14ac:dyDescent="0.35"/>
    <row r="415" ht="13.5" customHeight="1" x14ac:dyDescent="0.35"/>
    <row r="416" ht="13.5" customHeight="1" x14ac:dyDescent="0.35"/>
    <row r="417" ht="13.5" customHeight="1" x14ac:dyDescent="0.35"/>
    <row r="418" ht="13.5" customHeight="1" x14ac:dyDescent="0.35"/>
    <row r="419" ht="13.5" customHeight="1" x14ac:dyDescent="0.35"/>
    <row r="420" ht="13.5" customHeight="1" x14ac:dyDescent="0.35"/>
    <row r="421" ht="13.5" customHeight="1" x14ac:dyDescent="0.35"/>
    <row r="422" ht="13.5" customHeight="1" x14ac:dyDescent="0.35"/>
    <row r="423" ht="13.5" customHeight="1" x14ac:dyDescent="0.35"/>
    <row r="424" ht="13.5" customHeight="1" x14ac:dyDescent="0.35"/>
    <row r="425" ht="13.5" customHeight="1" x14ac:dyDescent="0.35"/>
    <row r="426" ht="13.5" customHeight="1" x14ac:dyDescent="0.35"/>
    <row r="427" ht="13.5" customHeight="1" x14ac:dyDescent="0.35"/>
    <row r="428" ht="13.5" customHeight="1" x14ac:dyDescent="0.35"/>
    <row r="429" ht="13.5" customHeight="1" x14ac:dyDescent="0.35"/>
    <row r="430" ht="13.5" customHeight="1" x14ac:dyDescent="0.35"/>
    <row r="431" ht="13.5" customHeight="1" x14ac:dyDescent="0.35"/>
    <row r="432" ht="13.5" customHeight="1" x14ac:dyDescent="0.35"/>
    <row r="433" ht="13.5" customHeight="1" x14ac:dyDescent="0.35"/>
    <row r="434" ht="13.5" customHeight="1" x14ac:dyDescent="0.35"/>
    <row r="435" ht="13.5" customHeight="1" x14ac:dyDescent="0.35"/>
    <row r="436" ht="13.5" customHeight="1" x14ac:dyDescent="0.35"/>
    <row r="437" ht="13.5" customHeight="1" x14ac:dyDescent="0.35"/>
    <row r="438" ht="13.5" customHeight="1" x14ac:dyDescent="0.35"/>
    <row r="439" ht="13.5" customHeight="1" x14ac:dyDescent="0.35"/>
    <row r="440" ht="13.5" customHeight="1" x14ac:dyDescent="0.35"/>
    <row r="441" ht="13.5" customHeight="1" x14ac:dyDescent="0.35"/>
    <row r="442" ht="13.5" customHeight="1" x14ac:dyDescent="0.35"/>
    <row r="443" ht="13.5" customHeight="1" x14ac:dyDescent="0.35"/>
    <row r="444" ht="13.5" customHeight="1" x14ac:dyDescent="0.35"/>
    <row r="445" ht="13.5" customHeight="1" x14ac:dyDescent="0.35"/>
    <row r="446" ht="13.5" customHeight="1" x14ac:dyDescent="0.35"/>
    <row r="447" ht="13.5" customHeight="1" x14ac:dyDescent="0.35"/>
    <row r="448" ht="13.5" customHeight="1" x14ac:dyDescent="0.35"/>
    <row r="449" ht="13.5" customHeight="1" x14ac:dyDescent="0.35"/>
    <row r="450" ht="13.5" customHeight="1" x14ac:dyDescent="0.35"/>
    <row r="451" ht="13.5" customHeight="1" x14ac:dyDescent="0.35"/>
    <row r="452" ht="13.5" customHeight="1" x14ac:dyDescent="0.35"/>
    <row r="453" ht="13.5" customHeight="1" x14ac:dyDescent="0.35"/>
    <row r="454" ht="13.5" customHeight="1" x14ac:dyDescent="0.35"/>
    <row r="455" ht="13.5" customHeight="1" x14ac:dyDescent="0.35"/>
    <row r="456" ht="13.5" customHeight="1" x14ac:dyDescent="0.35"/>
    <row r="457" ht="13.5" customHeight="1" x14ac:dyDescent="0.35"/>
    <row r="458" ht="13.5" customHeight="1" x14ac:dyDescent="0.35"/>
    <row r="459" ht="13.5" customHeight="1" x14ac:dyDescent="0.35"/>
    <row r="460" ht="13.5" customHeight="1" x14ac:dyDescent="0.35"/>
    <row r="461" ht="13.5" customHeight="1" x14ac:dyDescent="0.35"/>
    <row r="462" ht="13.5" customHeight="1" x14ac:dyDescent="0.35"/>
    <row r="463" ht="13.5" customHeight="1" x14ac:dyDescent="0.35"/>
    <row r="464" ht="13.5" customHeight="1" x14ac:dyDescent="0.35"/>
    <row r="465" ht="13.5" customHeight="1" x14ac:dyDescent="0.35"/>
    <row r="466" ht="13.5" customHeight="1" x14ac:dyDescent="0.35"/>
    <row r="467" ht="13.5" customHeight="1" x14ac:dyDescent="0.35"/>
    <row r="468" ht="13.5" customHeight="1" x14ac:dyDescent="0.35"/>
    <row r="469" ht="13.5" customHeight="1" x14ac:dyDescent="0.35"/>
    <row r="470" ht="13.5" customHeight="1" x14ac:dyDescent="0.35"/>
    <row r="471" ht="13.5" customHeight="1" x14ac:dyDescent="0.35"/>
    <row r="472" ht="13.5" customHeight="1" x14ac:dyDescent="0.35"/>
    <row r="473" ht="13.5" customHeight="1" x14ac:dyDescent="0.35"/>
    <row r="474" ht="13.5" customHeight="1" x14ac:dyDescent="0.35"/>
    <row r="475" ht="13.5" customHeight="1" x14ac:dyDescent="0.35"/>
    <row r="476" ht="13.5" customHeight="1" x14ac:dyDescent="0.35"/>
    <row r="477" ht="13.5" customHeight="1" x14ac:dyDescent="0.35"/>
    <row r="478" ht="13.5" customHeight="1" x14ac:dyDescent="0.35"/>
    <row r="479" ht="13.5" customHeight="1" x14ac:dyDescent="0.35"/>
    <row r="480" ht="13.5" customHeight="1" x14ac:dyDescent="0.35"/>
    <row r="481" ht="13.5" customHeight="1" x14ac:dyDescent="0.35"/>
    <row r="482" ht="13.5" customHeight="1" x14ac:dyDescent="0.35"/>
    <row r="483" ht="13.5" customHeight="1" x14ac:dyDescent="0.35"/>
    <row r="484" ht="13.5" customHeight="1" x14ac:dyDescent="0.35"/>
    <row r="485" ht="13.5" customHeight="1" x14ac:dyDescent="0.35"/>
    <row r="486" ht="13.5" customHeight="1" x14ac:dyDescent="0.35"/>
    <row r="487" ht="13.5" customHeight="1" x14ac:dyDescent="0.35"/>
    <row r="488" ht="13.5" customHeight="1" x14ac:dyDescent="0.35"/>
    <row r="489" ht="13.5" customHeight="1" x14ac:dyDescent="0.35"/>
    <row r="490" ht="13.5" customHeight="1" x14ac:dyDescent="0.35"/>
    <row r="491" ht="13.5" customHeight="1" x14ac:dyDescent="0.35"/>
    <row r="492" ht="13.5" customHeight="1" x14ac:dyDescent="0.35"/>
    <row r="493" ht="13.5" customHeight="1" x14ac:dyDescent="0.35"/>
    <row r="494" ht="13.5" customHeight="1" x14ac:dyDescent="0.35"/>
    <row r="495" ht="13.5" customHeight="1" x14ac:dyDescent="0.35"/>
    <row r="496" ht="13.5" customHeight="1" x14ac:dyDescent="0.35"/>
    <row r="497" ht="13.5" customHeight="1" x14ac:dyDescent="0.35"/>
    <row r="498" ht="13.5" customHeight="1" x14ac:dyDescent="0.35"/>
    <row r="499" ht="13.5" customHeight="1" x14ac:dyDescent="0.35"/>
    <row r="500" ht="13.5" customHeight="1" x14ac:dyDescent="0.35"/>
    <row r="501" ht="13.5" customHeight="1" x14ac:dyDescent="0.35"/>
    <row r="502" ht="13.5" customHeight="1" x14ac:dyDescent="0.35"/>
    <row r="503" ht="13.5" customHeight="1" x14ac:dyDescent="0.35"/>
    <row r="504" ht="13.5" customHeight="1" x14ac:dyDescent="0.35"/>
    <row r="505" ht="13.5" customHeight="1" x14ac:dyDescent="0.35"/>
    <row r="506" ht="13.5" customHeight="1" x14ac:dyDescent="0.35"/>
    <row r="507" ht="13.5" customHeight="1" x14ac:dyDescent="0.35"/>
    <row r="508" ht="13.5" customHeight="1" x14ac:dyDescent="0.35"/>
    <row r="509" ht="13.5" customHeight="1" x14ac:dyDescent="0.35"/>
    <row r="510" ht="13.5" customHeight="1" x14ac:dyDescent="0.35"/>
    <row r="511" ht="13.5" customHeight="1" x14ac:dyDescent="0.35"/>
    <row r="512" ht="13.5" customHeight="1" x14ac:dyDescent="0.35"/>
    <row r="513" ht="13.5" customHeight="1" x14ac:dyDescent="0.35"/>
    <row r="514" ht="13.5" customHeight="1" x14ac:dyDescent="0.35"/>
    <row r="515" ht="13.5" customHeight="1" x14ac:dyDescent="0.35"/>
    <row r="516" ht="13.5" customHeight="1" x14ac:dyDescent="0.35"/>
    <row r="517" ht="13.5" customHeight="1" x14ac:dyDescent="0.35"/>
    <row r="518" ht="13.5" customHeight="1" x14ac:dyDescent="0.35"/>
    <row r="519" ht="13.5" customHeight="1" x14ac:dyDescent="0.35"/>
    <row r="520" ht="13.5" customHeight="1" x14ac:dyDescent="0.35"/>
    <row r="521" ht="13.5" customHeight="1" x14ac:dyDescent="0.35"/>
    <row r="522" ht="13.5" customHeight="1" x14ac:dyDescent="0.35"/>
    <row r="523" ht="13.5" customHeight="1" x14ac:dyDescent="0.35"/>
    <row r="524" ht="13.5" customHeight="1" x14ac:dyDescent="0.35"/>
    <row r="525" ht="13.5" customHeight="1" x14ac:dyDescent="0.35"/>
    <row r="526" ht="13.5" customHeight="1" x14ac:dyDescent="0.35"/>
    <row r="527" ht="13.5" customHeight="1" x14ac:dyDescent="0.35"/>
    <row r="528" ht="13.5" customHeight="1" x14ac:dyDescent="0.35"/>
    <row r="529" ht="13.5" customHeight="1" x14ac:dyDescent="0.35"/>
    <row r="530" ht="13.5" customHeight="1" x14ac:dyDescent="0.35"/>
    <row r="531" ht="13.5" customHeight="1" x14ac:dyDescent="0.35"/>
    <row r="532" ht="13.5" customHeight="1" x14ac:dyDescent="0.35"/>
    <row r="533" ht="13.5" customHeight="1" x14ac:dyDescent="0.35"/>
    <row r="534" ht="13.5" customHeight="1" x14ac:dyDescent="0.35"/>
    <row r="535" ht="13.5" customHeight="1" x14ac:dyDescent="0.35"/>
    <row r="536" ht="13.5" customHeight="1" x14ac:dyDescent="0.35"/>
    <row r="537" ht="13.5" customHeight="1" x14ac:dyDescent="0.35"/>
    <row r="538" ht="13.5" customHeight="1" x14ac:dyDescent="0.35"/>
    <row r="539" ht="13.5" customHeight="1" x14ac:dyDescent="0.35"/>
    <row r="540" ht="13.5" customHeight="1" x14ac:dyDescent="0.35"/>
    <row r="541" ht="13.5" customHeight="1" x14ac:dyDescent="0.35"/>
    <row r="542" ht="13.5" customHeight="1" x14ac:dyDescent="0.35"/>
    <row r="543" ht="13.5" customHeight="1" x14ac:dyDescent="0.35"/>
    <row r="544" ht="13.5" customHeight="1" x14ac:dyDescent="0.35"/>
    <row r="545" ht="13.5" customHeight="1" x14ac:dyDescent="0.35"/>
    <row r="546" ht="13.5" customHeight="1" x14ac:dyDescent="0.35"/>
    <row r="547" ht="13.5" customHeight="1" x14ac:dyDescent="0.35"/>
    <row r="548" ht="13.5" customHeight="1" x14ac:dyDescent="0.35"/>
    <row r="549" ht="13.5" customHeight="1" x14ac:dyDescent="0.35"/>
    <row r="550" ht="13.5" customHeight="1" x14ac:dyDescent="0.35"/>
    <row r="551" ht="13.5" customHeight="1" x14ac:dyDescent="0.35"/>
    <row r="552" ht="13.5" customHeight="1" x14ac:dyDescent="0.35"/>
    <row r="553" ht="13.5" customHeight="1" x14ac:dyDescent="0.35"/>
    <row r="554" ht="13.5" customHeight="1" x14ac:dyDescent="0.35"/>
    <row r="555" ht="13.5" customHeight="1" x14ac:dyDescent="0.35"/>
    <row r="556" ht="13.5" customHeight="1" x14ac:dyDescent="0.35"/>
    <row r="557" ht="13.5" customHeight="1" x14ac:dyDescent="0.35"/>
    <row r="558" ht="13.5" customHeight="1" x14ac:dyDescent="0.35"/>
    <row r="559" ht="13.5" customHeight="1" x14ac:dyDescent="0.35"/>
    <row r="560" ht="13.5" customHeight="1" x14ac:dyDescent="0.35"/>
    <row r="561" ht="13.5" customHeight="1" x14ac:dyDescent="0.35"/>
    <row r="562" ht="13.5" customHeight="1" x14ac:dyDescent="0.35"/>
    <row r="563" ht="13.5" customHeight="1" x14ac:dyDescent="0.35"/>
    <row r="564" ht="13.5" customHeight="1" x14ac:dyDescent="0.35"/>
    <row r="565" ht="13.5" customHeight="1" x14ac:dyDescent="0.35"/>
    <row r="566" ht="13.5" customHeight="1" x14ac:dyDescent="0.35"/>
    <row r="567" ht="13.5" customHeight="1" x14ac:dyDescent="0.35"/>
    <row r="568" ht="13.5" customHeight="1" x14ac:dyDescent="0.35"/>
    <row r="569" ht="13.5" customHeight="1" x14ac:dyDescent="0.35"/>
    <row r="570" ht="13.5" customHeight="1" x14ac:dyDescent="0.35"/>
    <row r="571" ht="13.5" customHeight="1" x14ac:dyDescent="0.35"/>
    <row r="572" ht="13.5" customHeight="1" x14ac:dyDescent="0.35"/>
    <row r="573" ht="13.5" customHeight="1" x14ac:dyDescent="0.35"/>
    <row r="574" ht="13.5" customHeight="1" x14ac:dyDescent="0.35"/>
    <row r="575" ht="13.5" customHeight="1" x14ac:dyDescent="0.35"/>
    <row r="576" ht="13.5" customHeight="1" x14ac:dyDescent="0.35"/>
    <row r="577" ht="13.5" customHeight="1" x14ac:dyDescent="0.35"/>
    <row r="578" ht="13.5" customHeight="1" x14ac:dyDescent="0.35"/>
    <row r="579" ht="13.5" customHeight="1" x14ac:dyDescent="0.35"/>
    <row r="580" ht="13.5" customHeight="1" x14ac:dyDescent="0.35"/>
    <row r="581" ht="13.5" customHeight="1" x14ac:dyDescent="0.35"/>
    <row r="582" ht="13.5" customHeight="1" x14ac:dyDescent="0.35"/>
    <row r="583" ht="13.5" customHeight="1" x14ac:dyDescent="0.35"/>
    <row r="584" ht="13.5" customHeight="1" x14ac:dyDescent="0.35"/>
    <row r="585" ht="13.5" customHeight="1" x14ac:dyDescent="0.35"/>
    <row r="586" ht="13.5" customHeight="1" x14ac:dyDescent="0.35"/>
    <row r="587" ht="13.5" customHeight="1" x14ac:dyDescent="0.35"/>
    <row r="588" ht="13.5" customHeight="1" x14ac:dyDescent="0.35"/>
    <row r="589" ht="13.5" customHeight="1" x14ac:dyDescent="0.35"/>
    <row r="590" ht="13.5" customHeight="1" x14ac:dyDescent="0.35"/>
    <row r="591" ht="13.5" customHeight="1" x14ac:dyDescent="0.35"/>
    <row r="592" ht="13.5" customHeight="1" x14ac:dyDescent="0.35"/>
    <row r="593" ht="13.5" customHeight="1" x14ac:dyDescent="0.35"/>
    <row r="594" ht="13.5" customHeight="1" x14ac:dyDescent="0.35"/>
    <row r="595" ht="13.5" customHeight="1" x14ac:dyDescent="0.35"/>
    <row r="596" ht="13.5" customHeight="1" x14ac:dyDescent="0.35"/>
    <row r="597" ht="13.5" customHeight="1" x14ac:dyDescent="0.35"/>
    <row r="598" ht="13.5" customHeight="1" x14ac:dyDescent="0.35"/>
    <row r="599" ht="13.5" customHeight="1" x14ac:dyDescent="0.35"/>
    <row r="600" ht="13.5" customHeight="1" x14ac:dyDescent="0.35"/>
    <row r="601" ht="13.5" customHeight="1" x14ac:dyDescent="0.35"/>
    <row r="602" ht="13.5" customHeight="1" x14ac:dyDescent="0.35"/>
    <row r="603" ht="13.5" customHeight="1" x14ac:dyDescent="0.35"/>
    <row r="604" ht="13.5" customHeight="1" x14ac:dyDescent="0.35"/>
    <row r="605" ht="13.5" customHeight="1" x14ac:dyDescent="0.35"/>
    <row r="606" ht="13.5" customHeight="1" x14ac:dyDescent="0.35"/>
    <row r="607" ht="13.5" customHeight="1" x14ac:dyDescent="0.35"/>
    <row r="608" ht="13.5" customHeight="1" x14ac:dyDescent="0.35"/>
    <row r="609" ht="13.5" customHeight="1" x14ac:dyDescent="0.35"/>
    <row r="610" ht="13.5" customHeight="1" x14ac:dyDescent="0.35"/>
    <row r="611" ht="13.5" customHeight="1" x14ac:dyDescent="0.35"/>
    <row r="612" ht="13.5" customHeight="1" x14ac:dyDescent="0.35"/>
    <row r="613" ht="13.5" customHeight="1" x14ac:dyDescent="0.35"/>
    <row r="614" ht="13.5" customHeight="1" x14ac:dyDescent="0.35"/>
    <row r="615" ht="13.5" customHeight="1" x14ac:dyDescent="0.35"/>
    <row r="616" ht="13.5" customHeight="1" x14ac:dyDescent="0.35"/>
    <row r="617" ht="13.5" customHeight="1" x14ac:dyDescent="0.35"/>
    <row r="618" ht="13.5" customHeight="1" x14ac:dyDescent="0.35"/>
    <row r="619" ht="13.5" customHeight="1" x14ac:dyDescent="0.35"/>
    <row r="620" ht="13.5" customHeight="1" x14ac:dyDescent="0.35"/>
    <row r="621" ht="13.5" customHeight="1" x14ac:dyDescent="0.35"/>
    <row r="622" ht="13.5" customHeight="1" x14ac:dyDescent="0.35"/>
    <row r="623" ht="13.5" customHeight="1" x14ac:dyDescent="0.35"/>
    <row r="624" ht="13.5" customHeight="1" x14ac:dyDescent="0.35"/>
    <row r="625" ht="13.5" customHeight="1" x14ac:dyDescent="0.35"/>
    <row r="626" ht="13.5" customHeight="1" x14ac:dyDescent="0.35"/>
    <row r="627" ht="13.5" customHeight="1" x14ac:dyDescent="0.35"/>
    <row r="628" ht="13.5" customHeight="1" x14ac:dyDescent="0.35"/>
    <row r="629" ht="13.5" customHeight="1" x14ac:dyDescent="0.35"/>
    <row r="630" ht="13.5" customHeight="1" x14ac:dyDescent="0.35"/>
    <row r="631" ht="13.5" customHeight="1" x14ac:dyDescent="0.35"/>
    <row r="632" ht="13.5" customHeight="1" x14ac:dyDescent="0.35"/>
    <row r="633" ht="13.5" customHeight="1" x14ac:dyDescent="0.35"/>
    <row r="634" ht="13.5" customHeight="1" x14ac:dyDescent="0.35"/>
    <row r="635" ht="13.5" customHeight="1" x14ac:dyDescent="0.35"/>
    <row r="636" ht="13.5" customHeight="1" x14ac:dyDescent="0.35"/>
    <row r="637" ht="13.5" customHeight="1" x14ac:dyDescent="0.35"/>
    <row r="638" ht="13.5" customHeight="1" x14ac:dyDescent="0.35"/>
    <row r="639" ht="13.5" customHeight="1" x14ac:dyDescent="0.35"/>
    <row r="640" ht="13.5" customHeight="1" x14ac:dyDescent="0.35"/>
    <row r="641" ht="13.5" customHeight="1" x14ac:dyDescent="0.35"/>
    <row r="642" ht="13.5" customHeight="1" x14ac:dyDescent="0.35"/>
    <row r="643" ht="13.5" customHeight="1" x14ac:dyDescent="0.35"/>
    <row r="644" ht="13.5" customHeight="1" x14ac:dyDescent="0.35"/>
    <row r="645" ht="13.5" customHeight="1" x14ac:dyDescent="0.35"/>
    <row r="646" ht="13.5" customHeight="1" x14ac:dyDescent="0.35"/>
    <row r="647" ht="13.5" customHeight="1" x14ac:dyDescent="0.35"/>
    <row r="648" ht="13.5" customHeight="1" x14ac:dyDescent="0.35"/>
    <row r="649" ht="13.5" customHeight="1" x14ac:dyDescent="0.35"/>
    <row r="650" ht="13.5" customHeight="1" x14ac:dyDescent="0.35"/>
    <row r="651" ht="13.5" customHeight="1" x14ac:dyDescent="0.35"/>
    <row r="652" ht="13.5" customHeight="1" x14ac:dyDescent="0.35"/>
    <row r="653" ht="13.5" customHeight="1" x14ac:dyDescent="0.35"/>
    <row r="654" ht="13.5" customHeight="1" x14ac:dyDescent="0.35"/>
    <row r="655" ht="13.5" customHeight="1" x14ac:dyDescent="0.35"/>
    <row r="656" ht="13.5" customHeight="1" x14ac:dyDescent="0.35"/>
    <row r="657" ht="13.5" customHeight="1" x14ac:dyDescent="0.35"/>
    <row r="658" ht="13.5" customHeight="1" x14ac:dyDescent="0.35"/>
    <row r="659" ht="13.5" customHeight="1" x14ac:dyDescent="0.35"/>
    <row r="660" ht="13.5" customHeight="1" x14ac:dyDescent="0.35"/>
    <row r="661" ht="13.5" customHeight="1" x14ac:dyDescent="0.35"/>
    <row r="662" ht="13.5" customHeight="1" x14ac:dyDescent="0.35"/>
    <row r="663" ht="13.5" customHeight="1" x14ac:dyDescent="0.35"/>
    <row r="664" ht="13.5" customHeight="1" x14ac:dyDescent="0.35"/>
    <row r="665" ht="13.5" customHeight="1" x14ac:dyDescent="0.35"/>
    <row r="666" ht="13.5" customHeight="1" x14ac:dyDescent="0.35"/>
    <row r="667" ht="13.5" customHeight="1" x14ac:dyDescent="0.35"/>
    <row r="668" ht="13.5" customHeight="1" x14ac:dyDescent="0.35"/>
    <row r="669" ht="13.5" customHeight="1" x14ac:dyDescent="0.35"/>
    <row r="670" ht="13.5" customHeight="1" x14ac:dyDescent="0.35"/>
    <row r="671" ht="13.5" customHeight="1" x14ac:dyDescent="0.35"/>
    <row r="672" ht="13.5" customHeight="1" x14ac:dyDescent="0.35"/>
    <row r="673" ht="13.5" customHeight="1" x14ac:dyDescent="0.35"/>
    <row r="674" ht="13.5" customHeight="1" x14ac:dyDescent="0.35"/>
    <row r="675" ht="13.5" customHeight="1" x14ac:dyDescent="0.35"/>
    <row r="676" ht="13.5" customHeight="1" x14ac:dyDescent="0.35"/>
    <row r="677" ht="13.5" customHeight="1" x14ac:dyDescent="0.35"/>
    <row r="678" ht="13.5" customHeight="1" x14ac:dyDescent="0.35"/>
    <row r="679" ht="13.5" customHeight="1" x14ac:dyDescent="0.35"/>
    <row r="680" ht="13.5" customHeight="1" x14ac:dyDescent="0.35"/>
    <row r="681" ht="13.5" customHeight="1" x14ac:dyDescent="0.35"/>
    <row r="682" ht="13.5" customHeight="1" x14ac:dyDescent="0.35"/>
    <row r="683" ht="13.5" customHeight="1" x14ac:dyDescent="0.35"/>
    <row r="684" ht="13.5" customHeight="1" x14ac:dyDescent="0.35"/>
    <row r="685" ht="13.5" customHeight="1" x14ac:dyDescent="0.35"/>
    <row r="686" ht="13.5" customHeight="1" x14ac:dyDescent="0.35"/>
    <row r="687" ht="13.5" customHeight="1" x14ac:dyDescent="0.35"/>
    <row r="688" ht="13.5" customHeight="1" x14ac:dyDescent="0.35"/>
    <row r="689" ht="13.5" customHeight="1" x14ac:dyDescent="0.35"/>
    <row r="690" ht="13.5" customHeight="1" x14ac:dyDescent="0.35"/>
    <row r="691" ht="13.5" customHeight="1" x14ac:dyDescent="0.35"/>
    <row r="692" ht="13.5" customHeight="1" x14ac:dyDescent="0.35"/>
    <row r="693" ht="13.5" customHeight="1" x14ac:dyDescent="0.35"/>
    <row r="694" ht="13.5" customHeight="1" x14ac:dyDescent="0.35"/>
    <row r="695" ht="13.5" customHeight="1" x14ac:dyDescent="0.35"/>
    <row r="696" ht="13.5" customHeight="1" x14ac:dyDescent="0.35"/>
    <row r="697" ht="13.5" customHeight="1" x14ac:dyDescent="0.35"/>
    <row r="698" ht="13.5" customHeight="1" x14ac:dyDescent="0.35"/>
    <row r="699" ht="13.5" customHeight="1" x14ac:dyDescent="0.35"/>
    <row r="700" ht="13.5" customHeight="1" x14ac:dyDescent="0.35"/>
    <row r="701" ht="13.5" customHeight="1" x14ac:dyDescent="0.35"/>
    <row r="702" ht="13.5" customHeight="1" x14ac:dyDescent="0.35"/>
    <row r="703" ht="13.5" customHeight="1" x14ac:dyDescent="0.35"/>
    <row r="704" ht="13.5" customHeight="1" x14ac:dyDescent="0.35"/>
    <row r="705" ht="13.5" customHeight="1" x14ac:dyDescent="0.35"/>
    <row r="706" ht="13.5" customHeight="1" x14ac:dyDescent="0.35"/>
    <row r="707" ht="13.5" customHeight="1" x14ac:dyDescent="0.35"/>
    <row r="708" ht="13.5" customHeight="1" x14ac:dyDescent="0.35"/>
    <row r="709" ht="13.5" customHeight="1" x14ac:dyDescent="0.35"/>
    <row r="710" ht="13.5" customHeight="1" x14ac:dyDescent="0.35"/>
    <row r="711" ht="13.5" customHeight="1" x14ac:dyDescent="0.35"/>
    <row r="712" ht="13.5" customHeight="1" x14ac:dyDescent="0.35"/>
    <row r="713" ht="13.5" customHeight="1" x14ac:dyDescent="0.35"/>
    <row r="714" ht="13.5" customHeight="1" x14ac:dyDescent="0.35"/>
    <row r="715" ht="13.5" customHeight="1" x14ac:dyDescent="0.35"/>
    <row r="716" ht="13.5" customHeight="1" x14ac:dyDescent="0.35"/>
    <row r="717" ht="13.5" customHeight="1" x14ac:dyDescent="0.35"/>
    <row r="718" ht="13.5" customHeight="1" x14ac:dyDescent="0.35"/>
    <row r="719" ht="13.5" customHeight="1" x14ac:dyDescent="0.35"/>
    <row r="720" ht="13.5" customHeight="1" x14ac:dyDescent="0.35"/>
    <row r="721" ht="13.5" customHeight="1" x14ac:dyDescent="0.35"/>
    <row r="722" ht="13.5" customHeight="1" x14ac:dyDescent="0.35"/>
    <row r="723" ht="13.5" customHeight="1" x14ac:dyDescent="0.35"/>
    <row r="724" ht="13.5" customHeight="1" x14ac:dyDescent="0.35"/>
    <row r="725" ht="13.5" customHeight="1" x14ac:dyDescent="0.35"/>
    <row r="726" ht="13.5" customHeight="1" x14ac:dyDescent="0.35"/>
    <row r="727" ht="13.5" customHeight="1" x14ac:dyDescent="0.35"/>
    <row r="728" ht="13.5" customHeight="1" x14ac:dyDescent="0.35"/>
    <row r="729" ht="13.5" customHeight="1" x14ac:dyDescent="0.35"/>
    <row r="730" ht="13.5" customHeight="1" x14ac:dyDescent="0.35"/>
    <row r="731" ht="13.5" customHeight="1" x14ac:dyDescent="0.35"/>
    <row r="732" ht="13.5" customHeight="1" x14ac:dyDescent="0.35"/>
    <row r="733" ht="13.5" customHeight="1" x14ac:dyDescent="0.35"/>
    <row r="734" ht="13.5" customHeight="1" x14ac:dyDescent="0.35"/>
    <row r="735" ht="13.5" customHeight="1" x14ac:dyDescent="0.35"/>
    <row r="736" ht="13.5" customHeight="1" x14ac:dyDescent="0.35"/>
    <row r="737" ht="13.5" customHeight="1" x14ac:dyDescent="0.35"/>
    <row r="738" ht="13.5" customHeight="1" x14ac:dyDescent="0.35"/>
    <row r="739" ht="13.5" customHeight="1" x14ac:dyDescent="0.35"/>
    <row r="740" ht="13.5" customHeight="1" x14ac:dyDescent="0.35"/>
    <row r="741" ht="13.5" customHeight="1" x14ac:dyDescent="0.35"/>
    <row r="742" ht="13.5" customHeight="1" x14ac:dyDescent="0.35"/>
    <row r="743" ht="13.5" customHeight="1" x14ac:dyDescent="0.35"/>
    <row r="744" ht="13.5" customHeight="1" x14ac:dyDescent="0.35"/>
    <row r="745" ht="13.5" customHeight="1" x14ac:dyDescent="0.35"/>
    <row r="746" ht="13.5" customHeight="1" x14ac:dyDescent="0.35"/>
    <row r="747" ht="13.5" customHeight="1" x14ac:dyDescent="0.35"/>
    <row r="748" ht="13.5" customHeight="1" x14ac:dyDescent="0.35"/>
    <row r="749" ht="13.5" customHeight="1" x14ac:dyDescent="0.35"/>
    <row r="750" ht="13.5" customHeight="1" x14ac:dyDescent="0.35"/>
    <row r="751" ht="13.5" customHeight="1" x14ac:dyDescent="0.35"/>
    <row r="752" ht="13.5" customHeight="1" x14ac:dyDescent="0.35"/>
    <row r="753" ht="13.5" customHeight="1" x14ac:dyDescent="0.35"/>
    <row r="754" ht="13.5" customHeight="1" x14ac:dyDescent="0.35"/>
    <row r="755" ht="13.5" customHeight="1" x14ac:dyDescent="0.35"/>
    <row r="756" ht="13.5" customHeight="1" x14ac:dyDescent="0.35"/>
    <row r="757" ht="13.5" customHeight="1" x14ac:dyDescent="0.35"/>
    <row r="758" ht="13.5" customHeight="1" x14ac:dyDescent="0.35"/>
    <row r="759" ht="13.5" customHeight="1" x14ac:dyDescent="0.35"/>
    <row r="760" ht="13.5" customHeight="1" x14ac:dyDescent="0.35"/>
    <row r="761" ht="13.5" customHeight="1" x14ac:dyDescent="0.35"/>
    <row r="762" ht="13.5" customHeight="1" x14ac:dyDescent="0.35"/>
    <row r="763" ht="13.5" customHeight="1" x14ac:dyDescent="0.35"/>
    <row r="764" ht="13.5" customHeight="1" x14ac:dyDescent="0.35"/>
    <row r="765" ht="13.5" customHeight="1" x14ac:dyDescent="0.35"/>
    <row r="766" ht="13.5" customHeight="1" x14ac:dyDescent="0.35"/>
    <row r="767" ht="13.5" customHeight="1" x14ac:dyDescent="0.35"/>
    <row r="768" ht="13.5" customHeight="1" x14ac:dyDescent="0.35"/>
    <row r="769" ht="13.5" customHeight="1" x14ac:dyDescent="0.35"/>
    <row r="770" ht="13.5" customHeight="1" x14ac:dyDescent="0.35"/>
    <row r="771" ht="13.5" customHeight="1" x14ac:dyDescent="0.35"/>
    <row r="772" ht="13.5" customHeight="1" x14ac:dyDescent="0.35"/>
    <row r="773" ht="13.5" customHeight="1" x14ac:dyDescent="0.35"/>
    <row r="774" ht="13.5" customHeight="1" x14ac:dyDescent="0.35"/>
    <row r="775" ht="13.5" customHeight="1" x14ac:dyDescent="0.35"/>
    <row r="776" ht="13.5" customHeight="1" x14ac:dyDescent="0.35"/>
    <row r="777" ht="13.5" customHeight="1" x14ac:dyDescent="0.35"/>
    <row r="778" ht="13.5" customHeight="1" x14ac:dyDescent="0.35"/>
    <row r="779" ht="13.5" customHeight="1" x14ac:dyDescent="0.35"/>
    <row r="780" ht="13.5" customHeight="1" x14ac:dyDescent="0.35"/>
    <row r="781" ht="13.5" customHeight="1" x14ac:dyDescent="0.35"/>
    <row r="782" ht="13.5" customHeight="1" x14ac:dyDescent="0.35"/>
    <row r="783" ht="13.5" customHeight="1" x14ac:dyDescent="0.35"/>
    <row r="784" ht="13.5" customHeight="1" x14ac:dyDescent="0.35"/>
    <row r="785" ht="13.5" customHeight="1" x14ac:dyDescent="0.35"/>
    <row r="786" ht="13.5" customHeight="1" x14ac:dyDescent="0.35"/>
    <row r="787" ht="13.5" customHeight="1" x14ac:dyDescent="0.35"/>
    <row r="788" ht="13.5" customHeight="1" x14ac:dyDescent="0.35"/>
    <row r="789" ht="13.5" customHeight="1" x14ac:dyDescent="0.35"/>
    <row r="790" ht="13.5" customHeight="1" x14ac:dyDescent="0.35"/>
    <row r="791" ht="13.5" customHeight="1" x14ac:dyDescent="0.35"/>
    <row r="792" ht="13.5" customHeight="1" x14ac:dyDescent="0.35"/>
    <row r="793" ht="13.5" customHeight="1" x14ac:dyDescent="0.35"/>
    <row r="794" ht="13.5" customHeight="1" x14ac:dyDescent="0.35"/>
    <row r="795" ht="13.5" customHeight="1" x14ac:dyDescent="0.35"/>
    <row r="796" ht="13.5" customHeight="1" x14ac:dyDescent="0.35"/>
    <row r="797" ht="13.5" customHeight="1" x14ac:dyDescent="0.35"/>
    <row r="798" ht="13.5" customHeight="1" x14ac:dyDescent="0.35"/>
    <row r="799" ht="13.5" customHeight="1" x14ac:dyDescent="0.35"/>
    <row r="800" ht="13.5" customHeight="1" x14ac:dyDescent="0.35"/>
    <row r="801" ht="13.5" customHeight="1" x14ac:dyDescent="0.35"/>
    <row r="802" ht="13.5" customHeight="1" x14ac:dyDescent="0.35"/>
    <row r="803" ht="13.5" customHeight="1" x14ac:dyDescent="0.35"/>
    <row r="804" ht="13.5" customHeight="1" x14ac:dyDescent="0.35"/>
    <row r="805" ht="13.5" customHeight="1" x14ac:dyDescent="0.35"/>
    <row r="806" ht="13.5" customHeight="1" x14ac:dyDescent="0.35"/>
    <row r="807" ht="13.5" customHeight="1" x14ac:dyDescent="0.35"/>
    <row r="808" ht="13.5" customHeight="1" x14ac:dyDescent="0.35"/>
    <row r="809" ht="13.5" customHeight="1" x14ac:dyDescent="0.35"/>
    <row r="810" ht="13.5" customHeight="1" x14ac:dyDescent="0.35"/>
    <row r="811" ht="13.5" customHeight="1" x14ac:dyDescent="0.35"/>
    <row r="812" ht="13.5" customHeight="1" x14ac:dyDescent="0.35"/>
    <row r="813" ht="13.5" customHeight="1" x14ac:dyDescent="0.35"/>
    <row r="814" ht="13.5" customHeight="1" x14ac:dyDescent="0.35"/>
    <row r="815" ht="13.5" customHeight="1" x14ac:dyDescent="0.35"/>
    <row r="816" ht="13.5" customHeight="1" x14ac:dyDescent="0.35"/>
    <row r="817" ht="13.5" customHeight="1" x14ac:dyDescent="0.35"/>
    <row r="818" ht="13.5" customHeight="1" x14ac:dyDescent="0.35"/>
    <row r="819" ht="13.5" customHeight="1" x14ac:dyDescent="0.35"/>
    <row r="820" ht="13.5" customHeight="1" x14ac:dyDescent="0.35"/>
    <row r="821" ht="13.5" customHeight="1" x14ac:dyDescent="0.35"/>
    <row r="822" ht="13.5" customHeight="1" x14ac:dyDescent="0.35"/>
    <row r="823" ht="13.5" customHeight="1" x14ac:dyDescent="0.35"/>
    <row r="824" ht="13.5" customHeight="1" x14ac:dyDescent="0.35"/>
    <row r="825" ht="13.5" customHeight="1" x14ac:dyDescent="0.35"/>
    <row r="826" ht="13.5" customHeight="1" x14ac:dyDescent="0.35"/>
    <row r="827" ht="13.5" customHeight="1" x14ac:dyDescent="0.35"/>
    <row r="828" ht="13.5" customHeight="1" x14ac:dyDescent="0.35"/>
    <row r="829" ht="13.5" customHeight="1" x14ac:dyDescent="0.35"/>
    <row r="830" ht="13.5" customHeight="1" x14ac:dyDescent="0.35"/>
    <row r="831" ht="13.5" customHeight="1" x14ac:dyDescent="0.35"/>
    <row r="832" ht="13.5" customHeight="1" x14ac:dyDescent="0.35"/>
    <row r="833" ht="13.5" customHeight="1" x14ac:dyDescent="0.35"/>
    <row r="834" ht="13.5" customHeight="1" x14ac:dyDescent="0.35"/>
    <row r="835" ht="13.5" customHeight="1" x14ac:dyDescent="0.35"/>
    <row r="836" ht="13.5" customHeight="1" x14ac:dyDescent="0.35"/>
    <row r="837" ht="13.5" customHeight="1" x14ac:dyDescent="0.35"/>
    <row r="838" ht="13.5" customHeight="1" x14ac:dyDescent="0.35"/>
    <row r="839" ht="13.5" customHeight="1" x14ac:dyDescent="0.35"/>
    <row r="840" ht="13.5" customHeight="1" x14ac:dyDescent="0.35"/>
    <row r="841" ht="13.5" customHeight="1" x14ac:dyDescent="0.35"/>
    <row r="842" ht="13.5" customHeight="1" x14ac:dyDescent="0.35"/>
    <row r="843" ht="13.5" customHeight="1" x14ac:dyDescent="0.35"/>
    <row r="844" ht="13.5" customHeight="1" x14ac:dyDescent="0.35"/>
    <row r="845" ht="13.5" customHeight="1" x14ac:dyDescent="0.35"/>
    <row r="846" ht="13.5" customHeight="1" x14ac:dyDescent="0.35"/>
    <row r="847" ht="13.5" customHeight="1" x14ac:dyDescent="0.35"/>
    <row r="848" ht="13.5" customHeight="1" x14ac:dyDescent="0.35"/>
    <row r="849" ht="13.5" customHeight="1" x14ac:dyDescent="0.35"/>
    <row r="850" ht="13.5" customHeight="1" x14ac:dyDescent="0.35"/>
    <row r="851" ht="13.5" customHeight="1" x14ac:dyDescent="0.35"/>
    <row r="852" ht="13.5" customHeight="1" x14ac:dyDescent="0.35"/>
    <row r="853" ht="13.5" customHeight="1" x14ac:dyDescent="0.35"/>
    <row r="854" ht="13.5" customHeight="1" x14ac:dyDescent="0.35"/>
    <row r="855" ht="13.5" customHeight="1" x14ac:dyDescent="0.35"/>
    <row r="856" ht="13.5" customHeight="1" x14ac:dyDescent="0.35"/>
    <row r="857" ht="13.5" customHeight="1" x14ac:dyDescent="0.35"/>
    <row r="858" ht="13.5" customHeight="1" x14ac:dyDescent="0.35"/>
    <row r="859" ht="13.5" customHeight="1" x14ac:dyDescent="0.35"/>
    <row r="860" ht="13.5" customHeight="1" x14ac:dyDescent="0.35"/>
    <row r="861" ht="13.5" customHeight="1" x14ac:dyDescent="0.35"/>
    <row r="862" ht="13.5" customHeight="1" x14ac:dyDescent="0.35"/>
    <row r="863" ht="13.5" customHeight="1" x14ac:dyDescent="0.35"/>
    <row r="864" ht="13.5" customHeight="1" x14ac:dyDescent="0.35"/>
    <row r="865" ht="13.5" customHeight="1" x14ac:dyDescent="0.35"/>
    <row r="866" ht="13.5" customHeight="1" x14ac:dyDescent="0.35"/>
    <row r="867" ht="13.5" customHeight="1" x14ac:dyDescent="0.35"/>
    <row r="868" ht="13.5" customHeight="1" x14ac:dyDescent="0.35"/>
    <row r="869" ht="13.5" customHeight="1" x14ac:dyDescent="0.35"/>
    <row r="870" ht="13.5" customHeight="1" x14ac:dyDescent="0.35"/>
    <row r="871" ht="13.5" customHeight="1" x14ac:dyDescent="0.35"/>
    <row r="872" ht="13.5" customHeight="1" x14ac:dyDescent="0.35"/>
    <row r="873" ht="13.5" customHeight="1" x14ac:dyDescent="0.35"/>
    <row r="874" ht="13.5" customHeight="1" x14ac:dyDescent="0.35"/>
    <row r="875" ht="13.5" customHeight="1" x14ac:dyDescent="0.35"/>
    <row r="876" ht="13.5" customHeight="1" x14ac:dyDescent="0.35"/>
    <row r="877" ht="13.5" customHeight="1" x14ac:dyDescent="0.35"/>
    <row r="878" ht="13.5" customHeight="1" x14ac:dyDescent="0.35"/>
    <row r="879" ht="13.5" customHeight="1" x14ac:dyDescent="0.35"/>
    <row r="880" ht="13.5" customHeight="1" x14ac:dyDescent="0.35"/>
    <row r="881" ht="13.5" customHeight="1" x14ac:dyDescent="0.35"/>
    <row r="882" ht="13.5" customHeight="1" x14ac:dyDescent="0.35"/>
    <row r="883" ht="13.5" customHeight="1" x14ac:dyDescent="0.35"/>
    <row r="884" ht="13.5" customHeight="1" x14ac:dyDescent="0.35"/>
    <row r="885" ht="13.5" customHeight="1" x14ac:dyDescent="0.35"/>
    <row r="886" ht="13.5" customHeight="1" x14ac:dyDescent="0.35"/>
    <row r="887" ht="13.5" customHeight="1" x14ac:dyDescent="0.35"/>
    <row r="888" ht="13.5" customHeight="1" x14ac:dyDescent="0.35"/>
    <row r="889" ht="13.5" customHeight="1" x14ac:dyDescent="0.35"/>
    <row r="890" ht="13.5" customHeight="1" x14ac:dyDescent="0.35"/>
    <row r="891" ht="13.5" customHeight="1" x14ac:dyDescent="0.35"/>
    <row r="892" ht="13.5" customHeight="1" x14ac:dyDescent="0.35"/>
    <row r="893" ht="13.5" customHeight="1" x14ac:dyDescent="0.35"/>
    <row r="894" ht="13.5" customHeight="1" x14ac:dyDescent="0.35"/>
    <row r="895" ht="13.5" customHeight="1" x14ac:dyDescent="0.35"/>
    <row r="896" ht="13.5" customHeight="1" x14ac:dyDescent="0.35"/>
    <row r="897" ht="13.5" customHeight="1" x14ac:dyDescent="0.35"/>
    <row r="898" ht="13.5" customHeight="1" x14ac:dyDescent="0.35"/>
    <row r="899" ht="13.5" customHeight="1" x14ac:dyDescent="0.35"/>
    <row r="900" ht="13.5" customHeight="1" x14ac:dyDescent="0.35"/>
    <row r="901" ht="13.5" customHeight="1" x14ac:dyDescent="0.35"/>
    <row r="902" ht="13.5" customHeight="1" x14ac:dyDescent="0.35"/>
    <row r="903" ht="13.5" customHeight="1" x14ac:dyDescent="0.35"/>
    <row r="904" ht="13.5" customHeight="1" x14ac:dyDescent="0.35"/>
    <row r="905" ht="13.5" customHeight="1" x14ac:dyDescent="0.35"/>
    <row r="906" ht="13.5" customHeight="1" x14ac:dyDescent="0.35"/>
    <row r="907" ht="13.5" customHeight="1" x14ac:dyDescent="0.35"/>
    <row r="908" ht="13.5" customHeight="1" x14ac:dyDescent="0.35"/>
    <row r="909" ht="13.5" customHeight="1" x14ac:dyDescent="0.35"/>
    <row r="910" ht="13.5" customHeight="1" x14ac:dyDescent="0.35"/>
    <row r="911" ht="13.5" customHeight="1" x14ac:dyDescent="0.35"/>
    <row r="912" ht="13.5" customHeight="1" x14ac:dyDescent="0.35"/>
    <row r="913" ht="13.5" customHeight="1" x14ac:dyDescent="0.35"/>
    <row r="914" ht="13.5" customHeight="1" x14ac:dyDescent="0.35"/>
    <row r="915" ht="13.5" customHeight="1" x14ac:dyDescent="0.35"/>
    <row r="916" ht="13.5" customHeight="1" x14ac:dyDescent="0.35"/>
    <row r="917" ht="13.5" customHeight="1" x14ac:dyDescent="0.35"/>
    <row r="918" ht="13.5" customHeight="1" x14ac:dyDescent="0.35"/>
    <row r="919" ht="13.5" customHeight="1" x14ac:dyDescent="0.35"/>
    <row r="920" ht="13.5" customHeight="1" x14ac:dyDescent="0.35"/>
    <row r="921" ht="13.5" customHeight="1" x14ac:dyDescent="0.35"/>
    <row r="922" ht="13.5" customHeight="1" x14ac:dyDescent="0.35"/>
    <row r="923" ht="13.5" customHeight="1" x14ac:dyDescent="0.35"/>
    <row r="924" ht="13.5" customHeight="1" x14ac:dyDescent="0.35"/>
    <row r="925" ht="13.5" customHeight="1" x14ac:dyDescent="0.35"/>
    <row r="926" ht="13.5" customHeight="1" x14ac:dyDescent="0.35"/>
    <row r="927" ht="13.5" customHeight="1" x14ac:dyDescent="0.35"/>
    <row r="928" ht="13.5" customHeight="1" x14ac:dyDescent="0.35"/>
    <row r="929" ht="13.5" customHeight="1" x14ac:dyDescent="0.35"/>
    <row r="930" ht="13.5" customHeight="1" x14ac:dyDescent="0.35"/>
    <row r="931" ht="13.5" customHeight="1" x14ac:dyDescent="0.35"/>
    <row r="932" ht="13.5" customHeight="1" x14ac:dyDescent="0.35"/>
    <row r="933" ht="13.5" customHeight="1" x14ac:dyDescent="0.35"/>
    <row r="934" ht="13.5" customHeight="1" x14ac:dyDescent="0.35"/>
    <row r="935" ht="13.5" customHeight="1" x14ac:dyDescent="0.35"/>
    <row r="936" ht="13.5" customHeight="1" x14ac:dyDescent="0.35"/>
    <row r="937" ht="13.5" customHeight="1" x14ac:dyDescent="0.35"/>
    <row r="938" ht="13.5" customHeight="1" x14ac:dyDescent="0.35"/>
    <row r="939" ht="13.5" customHeight="1" x14ac:dyDescent="0.35"/>
    <row r="940" ht="13.5" customHeight="1" x14ac:dyDescent="0.35"/>
    <row r="941" ht="13.5" customHeight="1" x14ac:dyDescent="0.35"/>
    <row r="942" ht="13.5" customHeight="1" x14ac:dyDescent="0.35"/>
    <row r="943" ht="13.5" customHeight="1" x14ac:dyDescent="0.35"/>
    <row r="944" ht="13.5" customHeight="1" x14ac:dyDescent="0.35"/>
    <row r="945" ht="13.5" customHeight="1" x14ac:dyDescent="0.35"/>
    <row r="946" ht="13.5" customHeight="1" x14ac:dyDescent="0.35"/>
    <row r="947" ht="13.5" customHeight="1" x14ac:dyDescent="0.35"/>
    <row r="948" ht="13.5" customHeight="1" x14ac:dyDescent="0.35"/>
    <row r="949" ht="13.5" customHeight="1" x14ac:dyDescent="0.35"/>
    <row r="950" ht="13.5" customHeight="1" x14ac:dyDescent="0.35"/>
    <row r="951" ht="13.5" customHeight="1" x14ac:dyDescent="0.35"/>
    <row r="952" ht="13.5" customHeight="1" x14ac:dyDescent="0.35"/>
    <row r="953" ht="13.5" customHeight="1" x14ac:dyDescent="0.35"/>
    <row r="954" ht="13.5" customHeight="1" x14ac:dyDescent="0.35"/>
    <row r="955" ht="13.5" customHeight="1" x14ac:dyDescent="0.35"/>
    <row r="956" ht="13.5" customHeight="1" x14ac:dyDescent="0.35"/>
    <row r="957" ht="13.5" customHeight="1" x14ac:dyDescent="0.35"/>
    <row r="958" ht="13.5" customHeight="1" x14ac:dyDescent="0.35"/>
    <row r="959" ht="13.5" customHeight="1" x14ac:dyDescent="0.35"/>
    <row r="960" ht="13.5" customHeight="1" x14ac:dyDescent="0.35"/>
    <row r="961" ht="13.5" customHeight="1" x14ac:dyDescent="0.35"/>
    <row r="962" ht="13.5" customHeight="1" x14ac:dyDescent="0.35"/>
    <row r="963" ht="13.5" customHeight="1" x14ac:dyDescent="0.35"/>
    <row r="964" ht="13.5" customHeight="1" x14ac:dyDescent="0.35"/>
    <row r="965" ht="13.5" customHeight="1" x14ac:dyDescent="0.35"/>
    <row r="966" ht="13.5" customHeight="1" x14ac:dyDescent="0.35"/>
    <row r="967" ht="13.5" customHeight="1" x14ac:dyDescent="0.35"/>
    <row r="968" ht="13.5" customHeight="1" x14ac:dyDescent="0.35"/>
    <row r="969" ht="13.5" customHeight="1" x14ac:dyDescent="0.35"/>
    <row r="970" ht="13.5" customHeight="1" x14ac:dyDescent="0.35"/>
    <row r="971" ht="13.5" customHeight="1" x14ac:dyDescent="0.35"/>
    <row r="972" ht="13.5" customHeight="1" x14ac:dyDescent="0.35"/>
    <row r="973" ht="13.5" customHeight="1" x14ac:dyDescent="0.35"/>
    <row r="974" ht="13.5" customHeight="1" x14ac:dyDescent="0.35"/>
    <row r="975" ht="13.5" customHeight="1" x14ac:dyDescent="0.35"/>
    <row r="976" ht="13.5" customHeight="1" x14ac:dyDescent="0.35"/>
    <row r="977" ht="13.5" customHeight="1" x14ac:dyDescent="0.35"/>
    <row r="978" ht="13.5" customHeight="1" x14ac:dyDescent="0.35"/>
    <row r="979" ht="13.5" customHeight="1" x14ac:dyDescent="0.35"/>
    <row r="980" ht="13.5" customHeight="1" x14ac:dyDescent="0.35"/>
    <row r="981" ht="13.5" customHeight="1" x14ac:dyDescent="0.35"/>
    <row r="982" ht="13.5" customHeight="1" x14ac:dyDescent="0.35"/>
    <row r="983" ht="13.5" customHeight="1" x14ac:dyDescent="0.35"/>
    <row r="984" ht="13.5" customHeight="1" x14ac:dyDescent="0.35"/>
    <row r="985" ht="13.5" customHeight="1" x14ac:dyDescent="0.35"/>
    <row r="986" ht="13.5" customHeight="1" x14ac:dyDescent="0.35"/>
    <row r="987" ht="13.5" customHeight="1" x14ac:dyDescent="0.35"/>
    <row r="988" ht="13.5" customHeight="1" x14ac:dyDescent="0.35"/>
    <row r="989" ht="13.5" customHeight="1" x14ac:dyDescent="0.35"/>
    <row r="990" ht="13.5" customHeight="1" x14ac:dyDescent="0.35"/>
    <row r="991" ht="13.5" customHeight="1" x14ac:dyDescent="0.35"/>
    <row r="992" ht="13.5" customHeight="1" x14ac:dyDescent="0.35"/>
    <row r="993" ht="13.5" customHeight="1" x14ac:dyDescent="0.35"/>
    <row r="994" ht="13.5" customHeight="1" x14ac:dyDescent="0.35"/>
    <row r="995" ht="13.5" customHeight="1" x14ac:dyDescent="0.35"/>
    <row r="996" ht="13.5" customHeight="1" x14ac:dyDescent="0.35"/>
    <row r="997" ht="13.5" customHeight="1" x14ac:dyDescent="0.35"/>
    <row r="998" ht="13.5" customHeight="1" x14ac:dyDescent="0.35"/>
    <row r="999" ht="13.5" customHeight="1" x14ac:dyDescent="0.35"/>
    <row r="1000" ht="13.5" customHeight="1" x14ac:dyDescent="0.35"/>
    <row r="1001" ht="13.5" customHeight="1" x14ac:dyDescent="0.35"/>
    <row r="1002" ht="13.5" customHeight="1" x14ac:dyDescent="0.35"/>
    <row r="1003" ht="13.5" customHeight="1" x14ac:dyDescent="0.35"/>
    <row r="1004" ht="13.5" customHeight="1" x14ac:dyDescent="0.35"/>
    <row r="1005" ht="13.5" customHeight="1" x14ac:dyDescent="0.35"/>
    <row r="1006" ht="13.5" customHeight="1" x14ac:dyDescent="0.35"/>
    <row r="1007" ht="13.5" customHeight="1" x14ac:dyDescent="0.35"/>
  </sheetData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5F967-DEF4-47E3-AB8D-6EA4C2C9EA54}">
  <dimension ref="A1:D1001"/>
  <sheetViews>
    <sheetView topLeftCell="A31" workbookViewId="0">
      <selection activeCell="C6" sqref="C6:C64"/>
    </sheetView>
  </sheetViews>
  <sheetFormatPr defaultColWidth="14.453125" defaultRowHeight="14.5" x14ac:dyDescent="0.35"/>
  <cols>
    <col min="1" max="1" width="10" style="3" customWidth="1"/>
    <col min="2" max="2" width="31.6328125" style="3" bestFit="1" customWidth="1"/>
    <col min="3" max="3" width="16.54296875" style="46" bestFit="1" customWidth="1"/>
    <col min="4" max="4" width="18.90625" style="3" customWidth="1"/>
    <col min="5" max="6" width="8.90625" style="3" customWidth="1"/>
    <col min="7" max="26" width="8.6328125" style="3" customWidth="1"/>
    <col min="27" max="16384" width="14.453125" style="3"/>
  </cols>
  <sheetData>
    <row r="1" spans="1:4" ht="13.5" customHeight="1" x14ac:dyDescent="0.35">
      <c r="A1" s="5" t="s">
        <v>0</v>
      </c>
    </row>
    <row r="2" spans="1:4" ht="13.5" customHeight="1" x14ac:dyDescent="0.35">
      <c r="A2" s="5" t="s">
        <v>122</v>
      </c>
    </row>
    <row r="3" spans="1:4" ht="13.5" customHeight="1" x14ac:dyDescent="0.35"/>
    <row r="4" spans="1:4" ht="13.5" customHeight="1" x14ac:dyDescent="0.35"/>
    <row r="5" spans="1:4" ht="13.5" customHeight="1" x14ac:dyDescent="0.35">
      <c r="A5" s="5" t="s">
        <v>69</v>
      </c>
      <c r="B5" s="5" t="s">
        <v>70</v>
      </c>
      <c r="C5" s="47" t="s">
        <v>108</v>
      </c>
    </row>
    <row r="6" spans="1:4" ht="13.5" customHeight="1" x14ac:dyDescent="0.35">
      <c r="A6">
        <v>111310</v>
      </c>
      <c r="B6" t="s">
        <v>109</v>
      </c>
      <c r="C6" s="35">
        <v>118186</v>
      </c>
      <c r="D6" s="12"/>
    </row>
    <row r="7" spans="1:4" ht="13.5" customHeight="1" x14ac:dyDescent="0.35">
      <c r="A7">
        <v>111340</v>
      </c>
      <c r="B7" t="s">
        <v>131</v>
      </c>
      <c r="C7" s="34">
        <v>-1324.41</v>
      </c>
    </row>
    <row r="8" spans="1:4" ht="13.5" customHeight="1" x14ac:dyDescent="0.35">
      <c r="A8">
        <v>111410</v>
      </c>
      <c r="B8" t="s">
        <v>72</v>
      </c>
      <c r="C8" s="34">
        <v>4200.3500000000004</v>
      </c>
      <c r="D8" s="12"/>
    </row>
    <row r="9" spans="1:4" ht="13.5" customHeight="1" x14ac:dyDescent="0.35">
      <c r="A9">
        <v>111440</v>
      </c>
      <c r="B9" t="s">
        <v>73</v>
      </c>
      <c r="C9">
        <v>-561.34</v>
      </c>
      <c r="D9" s="12"/>
    </row>
    <row r="10" spans="1:4" ht="13.5" customHeight="1" x14ac:dyDescent="0.35">
      <c r="A10">
        <v>111610</v>
      </c>
      <c r="B10" t="s">
        <v>74</v>
      </c>
      <c r="C10" s="35">
        <v>9950</v>
      </c>
      <c r="D10" s="12"/>
    </row>
    <row r="11" spans="1:4" ht="13.5" customHeight="1" x14ac:dyDescent="0.35">
      <c r="A11">
        <v>111640</v>
      </c>
      <c r="B11" t="s">
        <v>75</v>
      </c>
      <c r="C11" s="34">
        <v>-4792.3599999999997</v>
      </c>
      <c r="D11" s="12"/>
    </row>
    <row r="12" spans="1:4" ht="13.5" customHeight="1" x14ac:dyDescent="0.35">
      <c r="A12">
        <v>113130</v>
      </c>
      <c r="B12" t="s">
        <v>76</v>
      </c>
      <c r="C12" s="34">
        <v>10838.25</v>
      </c>
      <c r="D12" s="12"/>
    </row>
    <row r="13" spans="1:4" ht="13.5" customHeight="1" x14ac:dyDescent="0.35">
      <c r="A13">
        <v>122510</v>
      </c>
      <c r="B13" t="s">
        <v>77</v>
      </c>
      <c r="C13" s="35">
        <v>1550</v>
      </c>
      <c r="D13" s="12"/>
    </row>
    <row r="14" spans="1:4" ht="13.5" customHeight="1" x14ac:dyDescent="0.35">
      <c r="A14">
        <v>122610</v>
      </c>
      <c r="B14" t="s">
        <v>130</v>
      </c>
      <c r="C14" s="34"/>
      <c r="D14" s="12"/>
    </row>
    <row r="15" spans="1:4" ht="13.5" customHeight="1" x14ac:dyDescent="0.35">
      <c r="A15">
        <v>122620</v>
      </c>
      <c r="B15" t="s">
        <v>78</v>
      </c>
      <c r="C15" s="34">
        <v>32297.66</v>
      </c>
      <c r="D15" s="12"/>
    </row>
    <row r="16" spans="1:4" ht="13.5" customHeight="1" x14ac:dyDescent="0.35">
      <c r="A16">
        <v>122630</v>
      </c>
      <c r="B16" t="s">
        <v>79</v>
      </c>
      <c r="C16" s="34">
        <v>-7676.56</v>
      </c>
      <c r="D16" s="12"/>
    </row>
    <row r="17" spans="1:4" ht="13.5" customHeight="1" x14ac:dyDescent="0.35">
      <c r="A17">
        <v>125220</v>
      </c>
      <c r="B17" t="s">
        <v>63</v>
      </c>
      <c r="C17" s="34">
        <v>270042.56</v>
      </c>
    </row>
    <row r="18" spans="1:4" ht="13.5" customHeight="1" x14ac:dyDescent="0.35">
      <c r="A18">
        <v>125230</v>
      </c>
      <c r="B18" t="s">
        <v>64</v>
      </c>
      <c r="C18">
        <v>31.28</v>
      </c>
      <c r="D18" s="12"/>
    </row>
    <row r="19" spans="1:4" ht="13.5" customHeight="1" x14ac:dyDescent="0.35">
      <c r="A19">
        <v>125240</v>
      </c>
      <c r="B19" t="s">
        <v>80</v>
      </c>
      <c r="C19" s="35">
        <v>1662063</v>
      </c>
      <c r="D19" s="12"/>
    </row>
    <row r="20" spans="1:4" ht="13.5" customHeight="1" x14ac:dyDescent="0.35">
      <c r="A20">
        <v>211300</v>
      </c>
      <c r="B20" t="s">
        <v>81</v>
      </c>
      <c r="C20" s="35">
        <v>-1460</v>
      </c>
      <c r="D20" s="12"/>
    </row>
    <row r="21" spans="1:4" ht="13.5" customHeight="1" x14ac:dyDescent="0.35">
      <c r="A21">
        <v>212100</v>
      </c>
      <c r="B21" t="s">
        <v>82</v>
      </c>
      <c r="C21" s="35">
        <v>-2019160</v>
      </c>
      <c r="D21" s="12"/>
    </row>
    <row r="22" spans="1:4" ht="13.5" customHeight="1" x14ac:dyDescent="0.35">
      <c r="A22">
        <v>215100</v>
      </c>
      <c r="B22" t="s">
        <v>83</v>
      </c>
      <c r="C22" s="34">
        <v>139656.62</v>
      </c>
      <c r="D22" s="12"/>
    </row>
    <row r="23" spans="1:4" ht="13.5" customHeight="1" x14ac:dyDescent="0.35">
      <c r="A23">
        <v>215110</v>
      </c>
      <c r="B23" t="s">
        <v>84</v>
      </c>
      <c r="C23" s="34">
        <v>-10263.1</v>
      </c>
      <c r="D23" s="12"/>
    </row>
    <row r="24" spans="1:4" ht="13.5" customHeight="1" x14ac:dyDescent="0.35">
      <c r="A24">
        <v>231110</v>
      </c>
      <c r="B24" t="s">
        <v>110</v>
      </c>
      <c r="C24">
        <v>56.17</v>
      </c>
      <c r="D24" s="12"/>
    </row>
    <row r="25" spans="1:4" ht="13.5" customHeight="1" x14ac:dyDescent="0.35">
      <c r="A25">
        <v>231220</v>
      </c>
      <c r="B25" t="s">
        <v>55</v>
      </c>
      <c r="C25">
        <v>-0.01</v>
      </c>
      <c r="D25" s="12"/>
    </row>
    <row r="26" spans="1:4" ht="13.5" customHeight="1" x14ac:dyDescent="0.35">
      <c r="A26">
        <v>231230</v>
      </c>
      <c r="B26" t="s">
        <v>56</v>
      </c>
      <c r="C26">
        <v>-0.13</v>
      </c>
      <c r="D26" s="12"/>
    </row>
    <row r="27" spans="1:4" ht="13.5" customHeight="1" x14ac:dyDescent="0.35">
      <c r="A27">
        <v>231415</v>
      </c>
      <c r="B27" t="s">
        <v>57</v>
      </c>
      <c r="C27">
        <v>-464.1</v>
      </c>
      <c r="D27" s="12"/>
    </row>
    <row r="28" spans="1:4" ht="13.5" customHeight="1" x14ac:dyDescent="0.35">
      <c r="A28">
        <v>231419</v>
      </c>
      <c r="B28" t="s">
        <v>58</v>
      </c>
      <c r="C28">
        <v>54.31</v>
      </c>
      <c r="D28" s="12"/>
    </row>
    <row r="29" spans="1:4" ht="13.5" customHeight="1" x14ac:dyDescent="0.35">
      <c r="A29">
        <v>231421</v>
      </c>
      <c r="B29" t="s">
        <v>59</v>
      </c>
      <c r="C29">
        <v>119.09</v>
      </c>
      <c r="D29" s="12"/>
    </row>
    <row r="30" spans="1:4" ht="13.5" customHeight="1" x14ac:dyDescent="0.35">
      <c r="A30">
        <v>231422</v>
      </c>
      <c r="B30" t="s">
        <v>111</v>
      </c>
      <c r="C30">
        <v>445.89</v>
      </c>
      <c r="D30" s="12"/>
    </row>
    <row r="31" spans="1:4" ht="13.5" customHeight="1" x14ac:dyDescent="0.35">
      <c r="A31">
        <v>231429</v>
      </c>
      <c r="B31" t="s">
        <v>112</v>
      </c>
      <c r="C31">
        <v>0.45</v>
      </c>
      <c r="D31" s="12"/>
    </row>
    <row r="32" spans="1:4" ht="13.5" customHeight="1" x14ac:dyDescent="0.35">
      <c r="A32">
        <v>231435</v>
      </c>
      <c r="B32" t="s">
        <v>113</v>
      </c>
      <c r="C32" s="34">
        <v>-2716.95</v>
      </c>
      <c r="D32" s="12"/>
    </row>
    <row r="33" spans="1:4" ht="13.5" customHeight="1" x14ac:dyDescent="0.35">
      <c r="A33">
        <v>231438</v>
      </c>
      <c r="B33" t="s">
        <v>114</v>
      </c>
      <c r="C33">
        <v>-10.35</v>
      </c>
      <c r="D33" s="12"/>
    </row>
    <row r="34" spans="1:4" ht="13.5" customHeight="1" x14ac:dyDescent="0.35">
      <c r="A34">
        <v>231439</v>
      </c>
      <c r="B34" t="s">
        <v>115</v>
      </c>
      <c r="C34">
        <v>12.46</v>
      </c>
      <c r="D34" s="12"/>
    </row>
    <row r="35" spans="1:4" ht="13.5" customHeight="1" x14ac:dyDescent="0.35">
      <c r="A35">
        <v>231443</v>
      </c>
      <c r="B35" t="s">
        <v>116</v>
      </c>
      <c r="C35">
        <v>-0.08</v>
      </c>
      <c r="D35" s="12"/>
    </row>
    <row r="36" spans="1:4" ht="13.5" customHeight="1" x14ac:dyDescent="0.35">
      <c r="A36">
        <v>231444</v>
      </c>
      <c r="B36" t="s">
        <v>117</v>
      </c>
      <c r="C36">
        <v>53.12</v>
      </c>
      <c r="D36" s="12"/>
    </row>
    <row r="37" spans="1:4" ht="13.5" customHeight="1" x14ac:dyDescent="0.35">
      <c r="A37">
        <v>231520</v>
      </c>
      <c r="B37" t="s">
        <v>85</v>
      </c>
      <c r="C37" s="35">
        <v>-1000</v>
      </c>
      <c r="D37" s="12"/>
    </row>
    <row r="38" spans="1:4" ht="13.5" customHeight="1" x14ac:dyDescent="0.35">
      <c r="A38">
        <v>232110</v>
      </c>
      <c r="B38" t="s">
        <v>118</v>
      </c>
      <c r="C38">
        <v>100</v>
      </c>
      <c r="D38" s="12"/>
    </row>
    <row r="39" spans="1:4" ht="13.5" customHeight="1" x14ac:dyDescent="0.35">
      <c r="A39">
        <v>232210</v>
      </c>
      <c r="B39" t="s">
        <v>86</v>
      </c>
      <c r="C39">
        <v>-561</v>
      </c>
    </row>
    <row r="40" spans="1:4" ht="13.5" customHeight="1" x14ac:dyDescent="0.35">
      <c r="A40">
        <v>234200</v>
      </c>
      <c r="B40" t="s">
        <v>87</v>
      </c>
      <c r="C40" s="34">
        <v>-301439.43</v>
      </c>
    </row>
    <row r="41" spans="1:4" ht="13.5" customHeight="1" x14ac:dyDescent="0.35">
      <c r="A41">
        <v>330100</v>
      </c>
      <c r="B41" t="s">
        <v>91</v>
      </c>
      <c r="C41" s="34">
        <v>-1381.29</v>
      </c>
    </row>
    <row r="42" spans="1:4" ht="13.5" customHeight="1" x14ac:dyDescent="0.35">
      <c r="A42">
        <v>601100</v>
      </c>
      <c r="B42" t="s">
        <v>28</v>
      </c>
      <c r="C42" s="34">
        <v>42545.2</v>
      </c>
    </row>
    <row r="43" spans="1:4" ht="13.5" customHeight="1" x14ac:dyDescent="0.35">
      <c r="A43">
        <v>601200</v>
      </c>
      <c r="B43" t="s">
        <v>29</v>
      </c>
      <c r="C43" s="34">
        <v>6339.72</v>
      </c>
    </row>
    <row r="44" spans="1:4" ht="13.5" customHeight="1" x14ac:dyDescent="0.35">
      <c r="A44">
        <v>602030</v>
      </c>
      <c r="B44" t="s">
        <v>31</v>
      </c>
      <c r="C44">
        <v>20</v>
      </c>
    </row>
    <row r="45" spans="1:4" ht="13.5" customHeight="1" x14ac:dyDescent="0.35">
      <c r="A45">
        <v>602040</v>
      </c>
      <c r="B45" t="s">
        <v>32</v>
      </c>
      <c r="C45">
        <v>4.78</v>
      </c>
    </row>
    <row r="46" spans="1:4" ht="13.5" customHeight="1" x14ac:dyDescent="0.35">
      <c r="A46">
        <v>602060</v>
      </c>
      <c r="B46" t="s">
        <v>33</v>
      </c>
      <c r="C46" s="35">
        <v>3395</v>
      </c>
    </row>
    <row r="47" spans="1:4" ht="13.5" customHeight="1" x14ac:dyDescent="0.35">
      <c r="A47">
        <v>602121</v>
      </c>
      <c r="B47" t="s">
        <v>35</v>
      </c>
      <c r="C47" s="34">
        <v>4022.28</v>
      </c>
    </row>
    <row r="48" spans="1:4" ht="13.5" customHeight="1" x14ac:dyDescent="0.35">
      <c r="A48">
        <v>602126</v>
      </c>
      <c r="B48" t="s">
        <v>36</v>
      </c>
      <c r="C48">
        <v>236.93</v>
      </c>
    </row>
    <row r="49" spans="1:3" ht="13.5" customHeight="1" x14ac:dyDescent="0.35">
      <c r="A49">
        <v>602128</v>
      </c>
      <c r="B49" t="s">
        <v>119</v>
      </c>
      <c r="C49" s="35">
        <v>4574</v>
      </c>
    </row>
    <row r="50" spans="1:3" ht="13.5" customHeight="1" x14ac:dyDescent="0.35">
      <c r="A50">
        <v>602132</v>
      </c>
      <c r="B50" t="s">
        <v>95</v>
      </c>
      <c r="C50" s="35">
        <v>15685</v>
      </c>
    </row>
    <row r="51" spans="1:3" ht="13.5" customHeight="1" x14ac:dyDescent="0.35">
      <c r="A51">
        <v>602140</v>
      </c>
      <c r="B51" t="s">
        <v>37</v>
      </c>
      <c r="C51">
        <v>678.71</v>
      </c>
    </row>
    <row r="52" spans="1:3" ht="13.5" customHeight="1" x14ac:dyDescent="0.35">
      <c r="A52">
        <v>602160</v>
      </c>
      <c r="B52" t="s">
        <v>120</v>
      </c>
      <c r="C52" s="34">
        <v>5912.97</v>
      </c>
    </row>
    <row r="53" spans="1:3" ht="13.5" customHeight="1" x14ac:dyDescent="0.35">
      <c r="A53">
        <v>602170</v>
      </c>
      <c r="B53" t="s">
        <v>38</v>
      </c>
      <c r="C53" s="34">
        <v>1207.2</v>
      </c>
    </row>
    <row r="54" spans="1:3" ht="13.5" customHeight="1" x14ac:dyDescent="0.35">
      <c r="A54">
        <v>602172</v>
      </c>
      <c r="B54" t="s">
        <v>39</v>
      </c>
      <c r="C54">
        <v>10.18</v>
      </c>
    </row>
    <row r="55" spans="1:3" ht="13.5" customHeight="1" x14ac:dyDescent="0.35">
      <c r="A55">
        <v>602190</v>
      </c>
      <c r="B55" t="s">
        <v>40</v>
      </c>
      <c r="C55" s="34">
        <v>8758.7099999999991</v>
      </c>
    </row>
    <row r="56" spans="1:3" ht="13.5" customHeight="1" x14ac:dyDescent="0.35">
      <c r="A56">
        <v>602200</v>
      </c>
      <c r="B56" t="s">
        <v>53</v>
      </c>
      <c r="C56">
        <v>688.74</v>
      </c>
    </row>
    <row r="57" spans="1:3" ht="13.5" customHeight="1" x14ac:dyDescent="0.35">
      <c r="A57">
        <v>602230</v>
      </c>
      <c r="B57" t="s">
        <v>43</v>
      </c>
      <c r="C57" s="34">
        <v>2308.2399999999998</v>
      </c>
    </row>
    <row r="58" spans="1:3" ht="13.5" customHeight="1" x14ac:dyDescent="0.35">
      <c r="A58">
        <v>602430</v>
      </c>
      <c r="B58" t="s">
        <v>46</v>
      </c>
      <c r="C58" s="34">
        <v>3984.36</v>
      </c>
    </row>
    <row r="59" spans="1:3" ht="13.5" customHeight="1" x14ac:dyDescent="0.35">
      <c r="A59">
        <v>602471</v>
      </c>
      <c r="B59" t="s">
        <v>48</v>
      </c>
      <c r="C59" s="34">
        <v>2257.92</v>
      </c>
    </row>
    <row r="60" spans="1:3" ht="13.5" customHeight="1" x14ac:dyDescent="0.35">
      <c r="A60">
        <v>602472</v>
      </c>
      <c r="B60" t="s">
        <v>49</v>
      </c>
      <c r="C60">
        <v>162.18</v>
      </c>
    </row>
    <row r="61" spans="1:3" ht="13.5" customHeight="1" x14ac:dyDescent="0.35">
      <c r="A61">
        <v>714100</v>
      </c>
      <c r="B61" t="s">
        <v>90</v>
      </c>
      <c r="C61">
        <v>42.92</v>
      </c>
    </row>
    <row r="62" spans="1:3" ht="13.5" customHeight="1" x14ac:dyDescent="0.35">
      <c r="A62">
        <v>800020</v>
      </c>
      <c r="B62" t="s">
        <v>121</v>
      </c>
      <c r="C62">
        <v>200.02</v>
      </c>
    </row>
    <row r="63" spans="1:3" ht="13.5" customHeight="1" x14ac:dyDescent="0.35">
      <c r="A63">
        <v>800030</v>
      </c>
      <c r="B63" t="s">
        <v>86</v>
      </c>
      <c r="C63">
        <v>118.84</v>
      </c>
    </row>
    <row r="64" spans="1:3" ht="13.5" customHeight="1" x14ac:dyDescent="0.35"/>
    <row r="65" ht="13.5" customHeight="1" x14ac:dyDescent="0.35"/>
    <row r="66" ht="13.5" customHeight="1" x14ac:dyDescent="0.35"/>
    <row r="67" ht="13.5" customHeight="1" x14ac:dyDescent="0.35"/>
    <row r="68" ht="13.5" customHeight="1" x14ac:dyDescent="0.35"/>
    <row r="69" ht="13.5" customHeight="1" x14ac:dyDescent="0.35"/>
    <row r="70" ht="13.5" customHeight="1" x14ac:dyDescent="0.35"/>
    <row r="71" ht="13.5" customHeight="1" x14ac:dyDescent="0.35"/>
    <row r="72" ht="13.5" customHeight="1" x14ac:dyDescent="0.35"/>
    <row r="73" ht="13.5" customHeight="1" x14ac:dyDescent="0.35"/>
    <row r="74" ht="13.5" customHeight="1" x14ac:dyDescent="0.35"/>
    <row r="75" ht="13.5" customHeight="1" x14ac:dyDescent="0.35"/>
    <row r="76" ht="13.5" customHeight="1" x14ac:dyDescent="0.35"/>
    <row r="77" ht="13.5" customHeight="1" x14ac:dyDescent="0.35"/>
    <row r="78" ht="13.5" customHeight="1" x14ac:dyDescent="0.35"/>
    <row r="79" ht="13.5" customHeight="1" x14ac:dyDescent="0.35"/>
    <row r="80" ht="13.5" customHeight="1" x14ac:dyDescent="0.35"/>
    <row r="81" ht="13.5" customHeight="1" x14ac:dyDescent="0.35"/>
    <row r="82" ht="13.5" customHeight="1" x14ac:dyDescent="0.35"/>
    <row r="83" ht="13.5" customHeight="1" x14ac:dyDescent="0.35"/>
    <row r="84" ht="13.5" customHeight="1" x14ac:dyDescent="0.35"/>
    <row r="85" ht="13.5" customHeight="1" x14ac:dyDescent="0.35"/>
    <row r="86" ht="13.5" customHeight="1" x14ac:dyDescent="0.35"/>
    <row r="87" ht="13.5" customHeight="1" x14ac:dyDescent="0.35"/>
    <row r="88" ht="13.5" customHeight="1" x14ac:dyDescent="0.35"/>
    <row r="89" ht="13.5" customHeight="1" x14ac:dyDescent="0.35"/>
    <row r="90" ht="13.5" customHeight="1" x14ac:dyDescent="0.35"/>
    <row r="91" ht="13.5" customHeight="1" x14ac:dyDescent="0.35"/>
    <row r="92" ht="13.5" customHeight="1" x14ac:dyDescent="0.35"/>
    <row r="93" ht="13.5" customHeight="1" x14ac:dyDescent="0.35"/>
    <row r="94" ht="13.5" customHeight="1" x14ac:dyDescent="0.35"/>
    <row r="95" ht="13.5" customHeight="1" x14ac:dyDescent="0.35"/>
    <row r="96" ht="13.5" customHeight="1" x14ac:dyDescent="0.35"/>
    <row r="97" ht="13.5" customHeight="1" x14ac:dyDescent="0.35"/>
    <row r="98" ht="13.5" customHeight="1" x14ac:dyDescent="0.35"/>
    <row r="99" ht="13.5" customHeight="1" x14ac:dyDescent="0.35"/>
    <row r="100" ht="13.5" customHeight="1" x14ac:dyDescent="0.35"/>
    <row r="101" ht="13.5" customHeight="1" x14ac:dyDescent="0.35"/>
    <row r="102" ht="13.5" customHeight="1" x14ac:dyDescent="0.35"/>
    <row r="103" ht="13.5" customHeight="1" x14ac:dyDescent="0.35"/>
    <row r="104" ht="13.5" customHeight="1" x14ac:dyDescent="0.35"/>
    <row r="105" ht="13.5" customHeight="1" x14ac:dyDescent="0.35"/>
    <row r="106" ht="13.5" customHeight="1" x14ac:dyDescent="0.35"/>
    <row r="107" ht="13.5" customHeight="1" x14ac:dyDescent="0.35"/>
    <row r="108" ht="13.5" customHeight="1" x14ac:dyDescent="0.35"/>
    <row r="109" ht="13.5" customHeight="1" x14ac:dyDescent="0.35"/>
    <row r="110" ht="13.5" customHeight="1" x14ac:dyDescent="0.35"/>
    <row r="111" ht="13.5" customHeight="1" x14ac:dyDescent="0.35"/>
    <row r="112" ht="13.5" customHeight="1" x14ac:dyDescent="0.35"/>
    <row r="113" ht="13.5" customHeight="1" x14ac:dyDescent="0.35"/>
    <row r="114" ht="13.5" customHeight="1" x14ac:dyDescent="0.35"/>
    <row r="115" ht="13.5" customHeight="1" x14ac:dyDescent="0.35"/>
    <row r="116" ht="13.5" customHeight="1" x14ac:dyDescent="0.35"/>
    <row r="117" ht="13.5" customHeight="1" x14ac:dyDescent="0.35"/>
    <row r="118" ht="13.5" customHeight="1" x14ac:dyDescent="0.35"/>
    <row r="119" ht="13.5" customHeight="1" x14ac:dyDescent="0.35"/>
    <row r="120" ht="13.5" customHeight="1" x14ac:dyDescent="0.35"/>
    <row r="121" ht="13.5" customHeight="1" x14ac:dyDescent="0.35"/>
    <row r="122" ht="13.5" customHeight="1" x14ac:dyDescent="0.35"/>
    <row r="123" ht="13.5" customHeight="1" x14ac:dyDescent="0.35"/>
    <row r="124" ht="13.5" customHeight="1" x14ac:dyDescent="0.35"/>
    <row r="125" ht="13.5" customHeight="1" x14ac:dyDescent="0.35"/>
    <row r="126" ht="13.5" customHeight="1" x14ac:dyDescent="0.35"/>
    <row r="127" ht="13.5" customHeight="1" x14ac:dyDescent="0.35"/>
    <row r="128" ht="13.5" customHeight="1" x14ac:dyDescent="0.35"/>
    <row r="129" ht="13.5" customHeight="1" x14ac:dyDescent="0.35"/>
    <row r="130" ht="13.5" customHeight="1" x14ac:dyDescent="0.35"/>
    <row r="131" ht="13.5" customHeight="1" x14ac:dyDescent="0.35"/>
    <row r="132" ht="13.5" customHeight="1" x14ac:dyDescent="0.35"/>
    <row r="133" ht="13.5" customHeight="1" x14ac:dyDescent="0.35"/>
    <row r="134" ht="13.5" customHeight="1" x14ac:dyDescent="0.35"/>
    <row r="135" ht="13.5" customHeight="1" x14ac:dyDescent="0.35"/>
    <row r="136" ht="13.5" customHeight="1" x14ac:dyDescent="0.35"/>
    <row r="137" ht="13.5" customHeight="1" x14ac:dyDescent="0.35"/>
    <row r="138" ht="13.5" customHeight="1" x14ac:dyDescent="0.35"/>
    <row r="139" ht="13.5" customHeight="1" x14ac:dyDescent="0.35"/>
    <row r="140" ht="13.5" customHeight="1" x14ac:dyDescent="0.35"/>
    <row r="141" ht="13.5" customHeight="1" x14ac:dyDescent="0.35"/>
    <row r="142" ht="13.5" customHeight="1" x14ac:dyDescent="0.35"/>
    <row r="143" ht="13.5" customHeight="1" x14ac:dyDescent="0.35"/>
    <row r="144" ht="13.5" customHeight="1" x14ac:dyDescent="0.35"/>
    <row r="145" ht="13.5" customHeight="1" x14ac:dyDescent="0.35"/>
    <row r="146" ht="13.5" customHeight="1" x14ac:dyDescent="0.35"/>
    <row r="147" ht="13.5" customHeight="1" x14ac:dyDescent="0.35"/>
    <row r="148" ht="13.5" customHeight="1" x14ac:dyDescent="0.35"/>
    <row r="149" ht="13.5" customHeight="1" x14ac:dyDescent="0.35"/>
    <row r="150" ht="13.5" customHeight="1" x14ac:dyDescent="0.35"/>
    <row r="151" ht="13.5" customHeight="1" x14ac:dyDescent="0.35"/>
    <row r="152" ht="13.5" customHeight="1" x14ac:dyDescent="0.35"/>
    <row r="153" ht="13.5" customHeight="1" x14ac:dyDescent="0.35"/>
    <row r="154" ht="13.5" customHeight="1" x14ac:dyDescent="0.35"/>
    <row r="155" ht="13.5" customHeight="1" x14ac:dyDescent="0.35"/>
    <row r="156" ht="13.5" customHeight="1" x14ac:dyDescent="0.35"/>
    <row r="157" ht="13.5" customHeight="1" x14ac:dyDescent="0.35"/>
    <row r="158" ht="13.5" customHeight="1" x14ac:dyDescent="0.35"/>
    <row r="159" ht="13.5" customHeight="1" x14ac:dyDescent="0.35"/>
    <row r="160" ht="13.5" customHeight="1" x14ac:dyDescent="0.35"/>
    <row r="161" ht="13.5" customHeight="1" x14ac:dyDescent="0.35"/>
    <row r="162" ht="13.5" customHeight="1" x14ac:dyDescent="0.35"/>
    <row r="163" ht="13.5" customHeight="1" x14ac:dyDescent="0.35"/>
    <row r="164" ht="13.5" customHeight="1" x14ac:dyDescent="0.35"/>
    <row r="165" ht="13.5" customHeight="1" x14ac:dyDescent="0.35"/>
    <row r="166" ht="13.5" customHeight="1" x14ac:dyDescent="0.35"/>
    <row r="167" ht="13.5" customHeight="1" x14ac:dyDescent="0.35"/>
    <row r="168" ht="13.5" customHeight="1" x14ac:dyDescent="0.35"/>
    <row r="169" ht="13.5" customHeight="1" x14ac:dyDescent="0.35"/>
    <row r="170" ht="13.5" customHeight="1" x14ac:dyDescent="0.35"/>
    <row r="171" ht="13.5" customHeight="1" x14ac:dyDescent="0.35"/>
    <row r="172" ht="13.5" customHeight="1" x14ac:dyDescent="0.35"/>
    <row r="173" ht="13.5" customHeight="1" x14ac:dyDescent="0.35"/>
    <row r="174" ht="13.5" customHeight="1" x14ac:dyDescent="0.35"/>
    <row r="175" ht="13.5" customHeight="1" x14ac:dyDescent="0.35"/>
    <row r="176" ht="13.5" customHeight="1" x14ac:dyDescent="0.35"/>
    <row r="177" ht="13.5" customHeight="1" x14ac:dyDescent="0.35"/>
    <row r="178" ht="13.5" customHeight="1" x14ac:dyDescent="0.35"/>
    <row r="179" ht="13.5" customHeight="1" x14ac:dyDescent="0.35"/>
    <row r="180" ht="13.5" customHeight="1" x14ac:dyDescent="0.35"/>
    <row r="181" ht="13.5" customHeight="1" x14ac:dyDescent="0.35"/>
    <row r="182" ht="13.5" customHeight="1" x14ac:dyDescent="0.35"/>
    <row r="183" ht="13.5" customHeight="1" x14ac:dyDescent="0.35"/>
    <row r="184" ht="13.5" customHeight="1" x14ac:dyDescent="0.35"/>
    <row r="185" ht="13.5" customHeight="1" x14ac:dyDescent="0.35"/>
    <row r="186" ht="13.5" customHeight="1" x14ac:dyDescent="0.35"/>
    <row r="187" ht="13.5" customHeight="1" x14ac:dyDescent="0.35"/>
    <row r="188" ht="13.5" customHeight="1" x14ac:dyDescent="0.35"/>
    <row r="189" ht="13.5" customHeight="1" x14ac:dyDescent="0.35"/>
    <row r="190" ht="13.5" customHeight="1" x14ac:dyDescent="0.35"/>
    <row r="191" ht="13.5" customHeight="1" x14ac:dyDescent="0.35"/>
    <row r="192" ht="13.5" customHeight="1" x14ac:dyDescent="0.35"/>
    <row r="193" ht="13.5" customHeight="1" x14ac:dyDescent="0.35"/>
    <row r="194" ht="13.5" customHeight="1" x14ac:dyDescent="0.35"/>
    <row r="195" ht="13.5" customHeight="1" x14ac:dyDescent="0.35"/>
    <row r="196" ht="13.5" customHeight="1" x14ac:dyDescent="0.35"/>
    <row r="197" ht="13.5" customHeight="1" x14ac:dyDescent="0.35"/>
    <row r="198" ht="13.5" customHeight="1" x14ac:dyDescent="0.35"/>
    <row r="199" ht="13.5" customHeight="1" x14ac:dyDescent="0.35"/>
    <row r="200" ht="13.5" customHeight="1" x14ac:dyDescent="0.35"/>
    <row r="201" ht="13.5" customHeight="1" x14ac:dyDescent="0.35"/>
    <row r="202" ht="13.5" customHeight="1" x14ac:dyDescent="0.35"/>
    <row r="203" ht="13.5" customHeight="1" x14ac:dyDescent="0.35"/>
    <row r="204" ht="13.5" customHeight="1" x14ac:dyDescent="0.35"/>
    <row r="205" ht="13.5" customHeight="1" x14ac:dyDescent="0.35"/>
    <row r="206" ht="13.5" customHeight="1" x14ac:dyDescent="0.35"/>
    <row r="207" ht="13.5" customHeight="1" x14ac:dyDescent="0.35"/>
    <row r="208" ht="13.5" customHeight="1" x14ac:dyDescent="0.35"/>
    <row r="209" ht="13.5" customHeight="1" x14ac:dyDescent="0.35"/>
    <row r="210" ht="13.5" customHeight="1" x14ac:dyDescent="0.35"/>
    <row r="211" ht="13.5" customHeight="1" x14ac:dyDescent="0.35"/>
    <row r="212" ht="13.5" customHeight="1" x14ac:dyDescent="0.35"/>
    <row r="213" ht="13.5" customHeight="1" x14ac:dyDescent="0.35"/>
    <row r="214" ht="13.5" customHeight="1" x14ac:dyDescent="0.35"/>
    <row r="215" ht="13.5" customHeight="1" x14ac:dyDescent="0.35"/>
    <row r="216" ht="13.5" customHeight="1" x14ac:dyDescent="0.35"/>
    <row r="217" ht="13.5" customHeight="1" x14ac:dyDescent="0.35"/>
    <row r="218" ht="13.5" customHeight="1" x14ac:dyDescent="0.35"/>
    <row r="219" ht="13.5" customHeight="1" x14ac:dyDescent="0.35"/>
    <row r="220" ht="13.5" customHeight="1" x14ac:dyDescent="0.35"/>
    <row r="221" ht="13.5" customHeight="1" x14ac:dyDescent="0.35"/>
    <row r="222" ht="13.5" customHeight="1" x14ac:dyDescent="0.35"/>
    <row r="223" ht="13.5" customHeight="1" x14ac:dyDescent="0.35"/>
    <row r="224" ht="13.5" customHeight="1" x14ac:dyDescent="0.35"/>
    <row r="225" ht="13.5" customHeight="1" x14ac:dyDescent="0.35"/>
    <row r="226" ht="13.5" customHeight="1" x14ac:dyDescent="0.35"/>
    <row r="227" ht="13.5" customHeight="1" x14ac:dyDescent="0.35"/>
    <row r="228" ht="13.5" customHeight="1" x14ac:dyDescent="0.35"/>
    <row r="229" ht="13.5" customHeight="1" x14ac:dyDescent="0.35"/>
    <row r="230" ht="13.5" customHeight="1" x14ac:dyDescent="0.35"/>
    <row r="231" ht="13.5" customHeight="1" x14ac:dyDescent="0.35"/>
    <row r="232" ht="13.5" customHeight="1" x14ac:dyDescent="0.35"/>
    <row r="233" ht="13.5" customHeight="1" x14ac:dyDescent="0.35"/>
    <row r="234" ht="13.5" customHeight="1" x14ac:dyDescent="0.35"/>
    <row r="235" ht="13.5" customHeight="1" x14ac:dyDescent="0.35"/>
    <row r="236" ht="13.5" customHeight="1" x14ac:dyDescent="0.35"/>
    <row r="237" ht="13.5" customHeight="1" x14ac:dyDescent="0.35"/>
    <row r="238" ht="13.5" customHeight="1" x14ac:dyDescent="0.35"/>
    <row r="239" ht="13.5" customHeight="1" x14ac:dyDescent="0.35"/>
    <row r="240" ht="13.5" customHeight="1" x14ac:dyDescent="0.35"/>
    <row r="241" ht="13.5" customHeight="1" x14ac:dyDescent="0.35"/>
    <row r="242" ht="13.5" customHeight="1" x14ac:dyDescent="0.35"/>
    <row r="243" ht="13.5" customHeight="1" x14ac:dyDescent="0.35"/>
    <row r="244" ht="13.5" customHeight="1" x14ac:dyDescent="0.35"/>
    <row r="245" ht="13.5" customHeight="1" x14ac:dyDescent="0.35"/>
    <row r="246" ht="13.5" customHeight="1" x14ac:dyDescent="0.35"/>
    <row r="247" ht="13.5" customHeight="1" x14ac:dyDescent="0.35"/>
    <row r="248" ht="13.5" customHeight="1" x14ac:dyDescent="0.35"/>
    <row r="249" ht="13.5" customHeight="1" x14ac:dyDescent="0.35"/>
    <row r="250" ht="13.5" customHeight="1" x14ac:dyDescent="0.35"/>
    <row r="251" ht="13.5" customHeight="1" x14ac:dyDescent="0.35"/>
    <row r="252" ht="13.5" customHeight="1" x14ac:dyDescent="0.35"/>
    <row r="253" ht="13.5" customHeight="1" x14ac:dyDescent="0.35"/>
    <row r="254" ht="13.5" customHeight="1" x14ac:dyDescent="0.35"/>
    <row r="255" ht="13.5" customHeight="1" x14ac:dyDescent="0.35"/>
    <row r="256" ht="13.5" customHeight="1" x14ac:dyDescent="0.35"/>
    <row r="257" ht="13.5" customHeight="1" x14ac:dyDescent="0.35"/>
    <row r="258" ht="13.5" customHeight="1" x14ac:dyDescent="0.35"/>
    <row r="259" ht="13.5" customHeight="1" x14ac:dyDescent="0.35"/>
    <row r="260" ht="13.5" customHeight="1" x14ac:dyDescent="0.35"/>
    <row r="261" ht="13.5" customHeight="1" x14ac:dyDescent="0.35"/>
    <row r="262" ht="13.5" customHeight="1" x14ac:dyDescent="0.35"/>
    <row r="263" ht="13.5" customHeight="1" x14ac:dyDescent="0.35"/>
    <row r="264" ht="13.5" customHeight="1" x14ac:dyDescent="0.35"/>
    <row r="265" ht="13.5" customHeight="1" x14ac:dyDescent="0.35"/>
    <row r="266" ht="13.5" customHeight="1" x14ac:dyDescent="0.35"/>
    <row r="267" ht="13.5" customHeight="1" x14ac:dyDescent="0.35"/>
    <row r="268" ht="13.5" customHeight="1" x14ac:dyDescent="0.35"/>
    <row r="269" ht="13.5" customHeight="1" x14ac:dyDescent="0.35"/>
    <row r="270" ht="13.5" customHeight="1" x14ac:dyDescent="0.35"/>
    <row r="271" ht="13.5" customHeight="1" x14ac:dyDescent="0.35"/>
    <row r="272" ht="13.5" customHeight="1" x14ac:dyDescent="0.35"/>
    <row r="273" ht="13.5" customHeight="1" x14ac:dyDescent="0.35"/>
    <row r="274" ht="13.5" customHeight="1" x14ac:dyDescent="0.35"/>
    <row r="275" ht="13.5" customHeight="1" x14ac:dyDescent="0.35"/>
    <row r="276" ht="13.5" customHeight="1" x14ac:dyDescent="0.35"/>
    <row r="277" ht="13.5" customHeight="1" x14ac:dyDescent="0.35"/>
    <row r="278" ht="13.5" customHeight="1" x14ac:dyDescent="0.35"/>
    <row r="279" ht="13.5" customHeight="1" x14ac:dyDescent="0.35"/>
    <row r="280" ht="13.5" customHeight="1" x14ac:dyDescent="0.35"/>
    <row r="281" ht="13.5" customHeight="1" x14ac:dyDescent="0.35"/>
    <row r="282" ht="13.5" customHeight="1" x14ac:dyDescent="0.35"/>
    <row r="283" ht="13.5" customHeight="1" x14ac:dyDescent="0.35"/>
    <row r="284" ht="13.5" customHeight="1" x14ac:dyDescent="0.35"/>
    <row r="285" ht="13.5" customHeight="1" x14ac:dyDescent="0.35"/>
    <row r="286" ht="13.5" customHeight="1" x14ac:dyDescent="0.35"/>
    <row r="287" ht="13.5" customHeight="1" x14ac:dyDescent="0.35"/>
    <row r="288" ht="13.5" customHeight="1" x14ac:dyDescent="0.35"/>
    <row r="289" ht="13.5" customHeight="1" x14ac:dyDescent="0.35"/>
    <row r="290" ht="13.5" customHeight="1" x14ac:dyDescent="0.35"/>
    <row r="291" ht="13.5" customHeight="1" x14ac:dyDescent="0.35"/>
    <row r="292" ht="13.5" customHeight="1" x14ac:dyDescent="0.35"/>
    <row r="293" ht="13.5" customHeight="1" x14ac:dyDescent="0.35"/>
    <row r="294" ht="13.5" customHeight="1" x14ac:dyDescent="0.35"/>
    <row r="295" ht="13.5" customHeight="1" x14ac:dyDescent="0.35"/>
    <row r="296" ht="13.5" customHeight="1" x14ac:dyDescent="0.35"/>
    <row r="297" ht="13.5" customHeight="1" x14ac:dyDescent="0.35"/>
    <row r="298" ht="13.5" customHeight="1" x14ac:dyDescent="0.35"/>
    <row r="299" ht="13.5" customHeight="1" x14ac:dyDescent="0.35"/>
    <row r="300" ht="13.5" customHeight="1" x14ac:dyDescent="0.35"/>
    <row r="301" ht="13.5" customHeight="1" x14ac:dyDescent="0.35"/>
    <row r="302" ht="13.5" customHeight="1" x14ac:dyDescent="0.35"/>
    <row r="303" ht="13.5" customHeight="1" x14ac:dyDescent="0.35"/>
    <row r="304" ht="13.5" customHeight="1" x14ac:dyDescent="0.35"/>
    <row r="305" ht="13.5" customHeight="1" x14ac:dyDescent="0.35"/>
    <row r="306" ht="13.5" customHeight="1" x14ac:dyDescent="0.35"/>
    <row r="307" ht="13.5" customHeight="1" x14ac:dyDescent="0.35"/>
    <row r="308" ht="13.5" customHeight="1" x14ac:dyDescent="0.35"/>
    <row r="309" ht="13.5" customHeight="1" x14ac:dyDescent="0.35"/>
    <row r="310" ht="13.5" customHeight="1" x14ac:dyDescent="0.35"/>
    <row r="311" ht="13.5" customHeight="1" x14ac:dyDescent="0.35"/>
    <row r="312" ht="13.5" customHeight="1" x14ac:dyDescent="0.35"/>
    <row r="313" ht="13.5" customHeight="1" x14ac:dyDescent="0.35"/>
    <row r="314" ht="13.5" customHeight="1" x14ac:dyDescent="0.35"/>
    <row r="315" ht="13.5" customHeight="1" x14ac:dyDescent="0.35"/>
    <row r="316" ht="13.5" customHeight="1" x14ac:dyDescent="0.35"/>
    <row r="317" ht="13.5" customHeight="1" x14ac:dyDescent="0.35"/>
    <row r="318" ht="13.5" customHeight="1" x14ac:dyDescent="0.35"/>
    <row r="319" ht="13.5" customHeight="1" x14ac:dyDescent="0.35"/>
    <row r="320" ht="13.5" customHeight="1" x14ac:dyDescent="0.35"/>
    <row r="321" ht="13.5" customHeight="1" x14ac:dyDescent="0.35"/>
    <row r="322" ht="13.5" customHeight="1" x14ac:dyDescent="0.35"/>
    <row r="323" ht="13.5" customHeight="1" x14ac:dyDescent="0.35"/>
    <row r="324" ht="13.5" customHeight="1" x14ac:dyDescent="0.35"/>
    <row r="325" ht="13.5" customHeight="1" x14ac:dyDescent="0.35"/>
    <row r="326" ht="13.5" customHeight="1" x14ac:dyDescent="0.35"/>
    <row r="327" ht="13.5" customHeight="1" x14ac:dyDescent="0.35"/>
    <row r="328" ht="13.5" customHeight="1" x14ac:dyDescent="0.35"/>
    <row r="329" ht="13.5" customHeight="1" x14ac:dyDescent="0.35"/>
    <row r="330" ht="13.5" customHeight="1" x14ac:dyDescent="0.35"/>
    <row r="331" ht="13.5" customHeight="1" x14ac:dyDescent="0.35"/>
    <row r="332" ht="13.5" customHeight="1" x14ac:dyDescent="0.35"/>
    <row r="333" ht="13.5" customHeight="1" x14ac:dyDescent="0.35"/>
    <row r="334" ht="13.5" customHeight="1" x14ac:dyDescent="0.35"/>
    <row r="335" ht="13.5" customHeight="1" x14ac:dyDescent="0.35"/>
    <row r="336" ht="13.5" customHeight="1" x14ac:dyDescent="0.35"/>
    <row r="337" ht="13.5" customHeight="1" x14ac:dyDescent="0.35"/>
    <row r="338" ht="13.5" customHeight="1" x14ac:dyDescent="0.35"/>
    <row r="339" ht="13.5" customHeight="1" x14ac:dyDescent="0.35"/>
    <row r="340" ht="13.5" customHeight="1" x14ac:dyDescent="0.35"/>
    <row r="341" ht="13.5" customHeight="1" x14ac:dyDescent="0.35"/>
    <row r="342" ht="13.5" customHeight="1" x14ac:dyDescent="0.35"/>
    <row r="343" ht="13.5" customHeight="1" x14ac:dyDescent="0.35"/>
    <row r="344" ht="13.5" customHeight="1" x14ac:dyDescent="0.35"/>
    <row r="345" ht="13.5" customHeight="1" x14ac:dyDescent="0.35"/>
    <row r="346" ht="13.5" customHeight="1" x14ac:dyDescent="0.35"/>
    <row r="347" ht="13.5" customHeight="1" x14ac:dyDescent="0.35"/>
    <row r="348" ht="13.5" customHeight="1" x14ac:dyDescent="0.35"/>
    <row r="349" ht="13.5" customHeight="1" x14ac:dyDescent="0.35"/>
    <row r="350" ht="13.5" customHeight="1" x14ac:dyDescent="0.35"/>
    <row r="351" ht="13.5" customHeight="1" x14ac:dyDescent="0.35"/>
    <row r="352" ht="13.5" customHeight="1" x14ac:dyDescent="0.35"/>
    <row r="353" ht="13.5" customHeight="1" x14ac:dyDescent="0.35"/>
    <row r="354" ht="13.5" customHeight="1" x14ac:dyDescent="0.35"/>
    <row r="355" ht="13.5" customHeight="1" x14ac:dyDescent="0.35"/>
    <row r="356" ht="13.5" customHeight="1" x14ac:dyDescent="0.35"/>
    <row r="357" ht="13.5" customHeight="1" x14ac:dyDescent="0.35"/>
    <row r="358" ht="13.5" customHeight="1" x14ac:dyDescent="0.35"/>
    <row r="359" ht="13.5" customHeight="1" x14ac:dyDescent="0.35"/>
    <row r="360" ht="13.5" customHeight="1" x14ac:dyDescent="0.35"/>
    <row r="361" ht="13.5" customHeight="1" x14ac:dyDescent="0.35"/>
    <row r="362" ht="13.5" customHeight="1" x14ac:dyDescent="0.35"/>
    <row r="363" ht="13.5" customHeight="1" x14ac:dyDescent="0.35"/>
    <row r="364" ht="13.5" customHeight="1" x14ac:dyDescent="0.35"/>
    <row r="365" ht="13.5" customHeight="1" x14ac:dyDescent="0.35"/>
    <row r="366" ht="13.5" customHeight="1" x14ac:dyDescent="0.35"/>
    <row r="367" ht="13.5" customHeight="1" x14ac:dyDescent="0.35"/>
    <row r="368" ht="13.5" customHeight="1" x14ac:dyDescent="0.35"/>
    <row r="369" ht="13.5" customHeight="1" x14ac:dyDescent="0.35"/>
    <row r="370" ht="13.5" customHeight="1" x14ac:dyDescent="0.35"/>
    <row r="371" ht="13.5" customHeight="1" x14ac:dyDescent="0.35"/>
    <row r="372" ht="13.5" customHeight="1" x14ac:dyDescent="0.35"/>
    <row r="373" ht="13.5" customHeight="1" x14ac:dyDescent="0.35"/>
    <row r="374" ht="13.5" customHeight="1" x14ac:dyDescent="0.35"/>
    <row r="375" ht="13.5" customHeight="1" x14ac:dyDescent="0.35"/>
    <row r="376" ht="13.5" customHeight="1" x14ac:dyDescent="0.35"/>
    <row r="377" ht="13.5" customHeight="1" x14ac:dyDescent="0.35"/>
    <row r="378" ht="13.5" customHeight="1" x14ac:dyDescent="0.35"/>
    <row r="379" ht="13.5" customHeight="1" x14ac:dyDescent="0.35"/>
    <row r="380" ht="13.5" customHeight="1" x14ac:dyDescent="0.35"/>
    <row r="381" ht="13.5" customHeight="1" x14ac:dyDescent="0.35"/>
    <row r="382" ht="13.5" customHeight="1" x14ac:dyDescent="0.35"/>
    <row r="383" ht="13.5" customHeight="1" x14ac:dyDescent="0.35"/>
    <row r="384" ht="13.5" customHeight="1" x14ac:dyDescent="0.35"/>
    <row r="385" ht="13.5" customHeight="1" x14ac:dyDescent="0.35"/>
    <row r="386" ht="13.5" customHeight="1" x14ac:dyDescent="0.35"/>
    <row r="387" ht="13.5" customHeight="1" x14ac:dyDescent="0.35"/>
    <row r="388" ht="13.5" customHeight="1" x14ac:dyDescent="0.35"/>
    <row r="389" ht="13.5" customHeight="1" x14ac:dyDescent="0.35"/>
    <row r="390" ht="13.5" customHeight="1" x14ac:dyDescent="0.35"/>
    <row r="391" ht="13.5" customHeight="1" x14ac:dyDescent="0.35"/>
    <row r="392" ht="13.5" customHeight="1" x14ac:dyDescent="0.35"/>
    <row r="393" ht="13.5" customHeight="1" x14ac:dyDescent="0.35"/>
    <row r="394" ht="13.5" customHeight="1" x14ac:dyDescent="0.35"/>
    <row r="395" ht="13.5" customHeight="1" x14ac:dyDescent="0.35"/>
    <row r="396" ht="13.5" customHeight="1" x14ac:dyDescent="0.35"/>
    <row r="397" ht="13.5" customHeight="1" x14ac:dyDescent="0.35"/>
    <row r="398" ht="13.5" customHeight="1" x14ac:dyDescent="0.35"/>
    <row r="399" ht="13.5" customHeight="1" x14ac:dyDescent="0.35"/>
    <row r="400" ht="13.5" customHeight="1" x14ac:dyDescent="0.35"/>
    <row r="401" ht="13.5" customHeight="1" x14ac:dyDescent="0.35"/>
    <row r="402" ht="13.5" customHeight="1" x14ac:dyDescent="0.35"/>
    <row r="403" ht="13.5" customHeight="1" x14ac:dyDescent="0.35"/>
    <row r="404" ht="13.5" customHeight="1" x14ac:dyDescent="0.35"/>
    <row r="405" ht="13.5" customHeight="1" x14ac:dyDescent="0.35"/>
    <row r="406" ht="13.5" customHeight="1" x14ac:dyDescent="0.35"/>
    <row r="407" ht="13.5" customHeight="1" x14ac:dyDescent="0.35"/>
    <row r="408" ht="13.5" customHeight="1" x14ac:dyDescent="0.35"/>
    <row r="409" ht="13.5" customHeight="1" x14ac:dyDescent="0.35"/>
    <row r="410" ht="13.5" customHeight="1" x14ac:dyDescent="0.35"/>
    <row r="411" ht="13.5" customHeight="1" x14ac:dyDescent="0.35"/>
    <row r="412" ht="13.5" customHeight="1" x14ac:dyDescent="0.35"/>
    <row r="413" ht="13.5" customHeight="1" x14ac:dyDescent="0.35"/>
    <row r="414" ht="13.5" customHeight="1" x14ac:dyDescent="0.35"/>
    <row r="415" ht="13.5" customHeight="1" x14ac:dyDescent="0.35"/>
    <row r="416" ht="13.5" customHeight="1" x14ac:dyDescent="0.35"/>
    <row r="417" ht="13.5" customHeight="1" x14ac:dyDescent="0.35"/>
    <row r="418" ht="13.5" customHeight="1" x14ac:dyDescent="0.35"/>
    <row r="419" ht="13.5" customHeight="1" x14ac:dyDescent="0.35"/>
    <row r="420" ht="13.5" customHeight="1" x14ac:dyDescent="0.35"/>
    <row r="421" ht="13.5" customHeight="1" x14ac:dyDescent="0.35"/>
    <row r="422" ht="13.5" customHeight="1" x14ac:dyDescent="0.35"/>
    <row r="423" ht="13.5" customHeight="1" x14ac:dyDescent="0.35"/>
    <row r="424" ht="13.5" customHeight="1" x14ac:dyDescent="0.35"/>
    <row r="425" ht="13.5" customHeight="1" x14ac:dyDescent="0.35"/>
    <row r="426" ht="13.5" customHeight="1" x14ac:dyDescent="0.35"/>
    <row r="427" ht="13.5" customHeight="1" x14ac:dyDescent="0.35"/>
    <row r="428" ht="13.5" customHeight="1" x14ac:dyDescent="0.35"/>
    <row r="429" ht="13.5" customHeight="1" x14ac:dyDescent="0.35"/>
    <row r="430" ht="13.5" customHeight="1" x14ac:dyDescent="0.35"/>
    <row r="431" ht="13.5" customHeight="1" x14ac:dyDescent="0.35"/>
    <row r="432" ht="13.5" customHeight="1" x14ac:dyDescent="0.35"/>
    <row r="433" ht="13.5" customHeight="1" x14ac:dyDescent="0.35"/>
    <row r="434" ht="13.5" customHeight="1" x14ac:dyDescent="0.35"/>
    <row r="435" ht="13.5" customHeight="1" x14ac:dyDescent="0.35"/>
    <row r="436" ht="13.5" customHeight="1" x14ac:dyDescent="0.35"/>
    <row r="437" ht="13.5" customHeight="1" x14ac:dyDescent="0.35"/>
    <row r="438" ht="13.5" customHeight="1" x14ac:dyDescent="0.35"/>
    <row r="439" ht="13.5" customHeight="1" x14ac:dyDescent="0.35"/>
    <row r="440" ht="13.5" customHeight="1" x14ac:dyDescent="0.35"/>
    <row r="441" ht="13.5" customHeight="1" x14ac:dyDescent="0.35"/>
    <row r="442" ht="13.5" customHeight="1" x14ac:dyDescent="0.35"/>
    <row r="443" ht="13.5" customHeight="1" x14ac:dyDescent="0.35"/>
    <row r="444" ht="13.5" customHeight="1" x14ac:dyDescent="0.35"/>
    <row r="445" ht="13.5" customHeight="1" x14ac:dyDescent="0.35"/>
    <row r="446" ht="13.5" customHeight="1" x14ac:dyDescent="0.35"/>
    <row r="447" ht="13.5" customHeight="1" x14ac:dyDescent="0.35"/>
    <row r="448" ht="13.5" customHeight="1" x14ac:dyDescent="0.35"/>
    <row r="449" ht="13.5" customHeight="1" x14ac:dyDescent="0.35"/>
    <row r="450" ht="13.5" customHeight="1" x14ac:dyDescent="0.35"/>
    <row r="451" ht="13.5" customHeight="1" x14ac:dyDescent="0.35"/>
    <row r="452" ht="13.5" customHeight="1" x14ac:dyDescent="0.35"/>
    <row r="453" ht="13.5" customHeight="1" x14ac:dyDescent="0.35"/>
    <row r="454" ht="13.5" customHeight="1" x14ac:dyDescent="0.35"/>
    <row r="455" ht="13.5" customHeight="1" x14ac:dyDescent="0.35"/>
    <row r="456" ht="13.5" customHeight="1" x14ac:dyDescent="0.35"/>
    <row r="457" ht="13.5" customHeight="1" x14ac:dyDescent="0.35"/>
    <row r="458" ht="13.5" customHeight="1" x14ac:dyDescent="0.35"/>
    <row r="459" ht="13.5" customHeight="1" x14ac:dyDescent="0.35"/>
    <row r="460" ht="13.5" customHeight="1" x14ac:dyDescent="0.35"/>
    <row r="461" ht="13.5" customHeight="1" x14ac:dyDescent="0.35"/>
    <row r="462" ht="13.5" customHeight="1" x14ac:dyDescent="0.35"/>
    <row r="463" ht="13.5" customHeight="1" x14ac:dyDescent="0.35"/>
    <row r="464" ht="13.5" customHeight="1" x14ac:dyDescent="0.35"/>
    <row r="465" ht="13.5" customHeight="1" x14ac:dyDescent="0.35"/>
    <row r="466" ht="13.5" customHeight="1" x14ac:dyDescent="0.35"/>
    <row r="467" ht="13.5" customHeight="1" x14ac:dyDescent="0.35"/>
    <row r="468" ht="13.5" customHeight="1" x14ac:dyDescent="0.35"/>
    <row r="469" ht="13.5" customHeight="1" x14ac:dyDescent="0.35"/>
    <row r="470" ht="13.5" customHeight="1" x14ac:dyDescent="0.35"/>
    <row r="471" ht="13.5" customHeight="1" x14ac:dyDescent="0.35"/>
    <row r="472" ht="13.5" customHeight="1" x14ac:dyDescent="0.35"/>
    <row r="473" ht="13.5" customHeight="1" x14ac:dyDescent="0.35"/>
    <row r="474" ht="13.5" customHeight="1" x14ac:dyDescent="0.35"/>
    <row r="475" ht="13.5" customHeight="1" x14ac:dyDescent="0.35"/>
    <row r="476" ht="13.5" customHeight="1" x14ac:dyDescent="0.35"/>
    <row r="477" ht="13.5" customHeight="1" x14ac:dyDescent="0.35"/>
    <row r="478" ht="13.5" customHeight="1" x14ac:dyDescent="0.35"/>
    <row r="479" ht="13.5" customHeight="1" x14ac:dyDescent="0.35"/>
    <row r="480" ht="13.5" customHeight="1" x14ac:dyDescent="0.35"/>
    <row r="481" ht="13.5" customHeight="1" x14ac:dyDescent="0.35"/>
    <row r="482" ht="13.5" customHeight="1" x14ac:dyDescent="0.35"/>
    <row r="483" ht="13.5" customHeight="1" x14ac:dyDescent="0.35"/>
    <row r="484" ht="13.5" customHeight="1" x14ac:dyDescent="0.35"/>
    <row r="485" ht="13.5" customHeight="1" x14ac:dyDescent="0.35"/>
    <row r="486" ht="13.5" customHeight="1" x14ac:dyDescent="0.35"/>
    <row r="487" ht="13.5" customHeight="1" x14ac:dyDescent="0.35"/>
    <row r="488" ht="13.5" customHeight="1" x14ac:dyDescent="0.35"/>
    <row r="489" ht="13.5" customHeight="1" x14ac:dyDescent="0.35"/>
    <row r="490" ht="13.5" customHeight="1" x14ac:dyDescent="0.35"/>
    <row r="491" ht="13.5" customHeight="1" x14ac:dyDescent="0.35"/>
    <row r="492" ht="13.5" customHeight="1" x14ac:dyDescent="0.35"/>
    <row r="493" ht="13.5" customHeight="1" x14ac:dyDescent="0.35"/>
    <row r="494" ht="13.5" customHeight="1" x14ac:dyDescent="0.35"/>
    <row r="495" ht="13.5" customHeight="1" x14ac:dyDescent="0.35"/>
    <row r="496" ht="13.5" customHeight="1" x14ac:dyDescent="0.35"/>
    <row r="497" ht="13.5" customHeight="1" x14ac:dyDescent="0.35"/>
    <row r="498" ht="13.5" customHeight="1" x14ac:dyDescent="0.35"/>
    <row r="499" ht="13.5" customHeight="1" x14ac:dyDescent="0.35"/>
    <row r="500" ht="13.5" customHeight="1" x14ac:dyDescent="0.35"/>
    <row r="501" ht="13.5" customHeight="1" x14ac:dyDescent="0.35"/>
    <row r="502" ht="13.5" customHeight="1" x14ac:dyDescent="0.35"/>
    <row r="503" ht="13.5" customHeight="1" x14ac:dyDescent="0.35"/>
    <row r="504" ht="13.5" customHeight="1" x14ac:dyDescent="0.35"/>
    <row r="505" ht="13.5" customHeight="1" x14ac:dyDescent="0.35"/>
    <row r="506" ht="13.5" customHeight="1" x14ac:dyDescent="0.35"/>
    <row r="507" ht="13.5" customHeight="1" x14ac:dyDescent="0.35"/>
    <row r="508" ht="13.5" customHeight="1" x14ac:dyDescent="0.35"/>
    <row r="509" ht="13.5" customHeight="1" x14ac:dyDescent="0.35"/>
    <row r="510" ht="13.5" customHeight="1" x14ac:dyDescent="0.35"/>
    <row r="511" ht="13.5" customHeight="1" x14ac:dyDescent="0.35"/>
    <row r="512" ht="13.5" customHeight="1" x14ac:dyDescent="0.35"/>
    <row r="513" ht="13.5" customHeight="1" x14ac:dyDescent="0.35"/>
    <row r="514" ht="13.5" customHeight="1" x14ac:dyDescent="0.35"/>
    <row r="515" ht="13.5" customHeight="1" x14ac:dyDescent="0.35"/>
    <row r="516" ht="13.5" customHeight="1" x14ac:dyDescent="0.35"/>
    <row r="517" ht="13.5" customHeight="1" x14ac:dyDescent="0.35"/>
    <row r="518" ht="13.5" customHeight="1" x14ac:dyDescent="0.35"/>
    <row r="519" ht="13.5" customHeight="1" x14ac:dyDescent="0.35"/>
    <row r="520" ht="13.5" customHeight="1" x14ac:dyDescent="0.35"/>
    <row r="521" ht="13.5" customHeight="1" x14ac:dyDescent="0.35"/>
    <row r="522" ht="13.5" customHeight="1" x14ac:dyDescent="0.35"/>
    <row r="523" ht="13.5" customHeight="1" x14ac:dyDescent="0.35"/>
    <row r="524" ht="13.5" customHeight="1" x14ac:dyDescent="0.35"/>
    <row r="525" ht="13.5" customHeight="1" x14ac:dyDescent="0.35"/>
    <row r="526" ht="13.5" customHeight="1" x14ac:dyDescent="0.35"/>
    <row r="527" ht="13.5" customHeight="1" x14ac:dyDescent="0.35"/>
    <row r="528" ht="13.5" customHeight="1" x14ac:dyDescent="0.35"/>
    <row r="529" ht="13.5" customHeight="1" x14ac:dyDescent="0.35"/>
    <row r="530" ht="13.5" customHeight="1" x14ac:dyDescent="0.35"/>
    <row r="531" ht="13.5" customHeight="1" x14ac:dyDescent="0.35"/>
    <row r="532" ht="13.5" customHeight="1" x14ac:dyDescent="0.35"/>
    <row r="533" ht="13.5" customHeight="1" x14ac:dyDescent="0.35"/>
    <row r="534" ht="13.5" customHeight="1" x14ac:dyDescent="0.35"/>
    <row r="535" ht="13.5" customHeight="1" x14ac:dyDescent="0.35"/>
    <row r="536" ht="13.5" customHeight="1" x14ac:dyDescent="0.35"/>
    <row r="537" ht="13.5" customHeight="1" x14ac:dyDescent="0.35"/>
    <row r="538" ht="13.5" customHeight="1" x14ac:dyDescent="0.35"/>
    <row r="539" ht="13.5" customHeight="1" x14ac:dyDescent="0.35"/>
    <row r="540" ht="13.5" customHeight="1" x14ac:dyDescent="0.35"/>
    <row r="541" ht="13.5" customHeight="1" x14ac:dyDescent="0.35"/>
    <row r="542" ht="13.5" customHeight="1" x14ac:dyDescent="0.35"/>
    <row r="543" ht="13.5" customHeight="1" x14ac:dyDescent="0.35"/>
    <row r="544" ht="13.5" customHeight="1" x14ac:dyDescent="0.35"/>
    <row r="545" ht="13.5" customHeight="1" x14ac:dyDescent="0.35"/>
    <row r="546" ht="13.5" customHeight="1" x14ac:dyDescent="0.35"/>
    <row r="547" ht="13.5" customHeight="1" x14ac:dyDescent="0.35"/>
    <row r="548" ht="13.5" customHeight="1" x14ac:dyDescent="0.35"/>
    <row r="549" ht="13.5" customHeight="1" x14ac:dyDescent="0.35"/>
    <row r="550" ht="13.5" customHeight="1" x14ac:dyDescent="0.35"/>
    <row r="551" ht="13.5" customHeight="1" x14ac:dyDescent="0.35"/>
    <row r="552" ht="13.5" customHeight="1" x14ac:dyDescent="0.35"/>
    <row r="553" ht="13.5" customHeight="1" x14ac:dyDescent="0.35"/>
    <row r="554" ht="13.5" customHeight="1" x14ac:dyDescent="0.35"/>
    <row r="555" ht="13.5" customHeight="1" x14ac:dyDescent="0.35"/>
    <row r="556" ht="13.5" customHeight="1" x14ac:dyDescent="0.35"/>
    <row r="557" ht="13.5" customHeight="1" x14ac:dyDescent="0.35"/>
    <row r="558" ht="13.5" customHeight="1" x14ac:dyDescent="0.35"/>
    <row r="559" ht="13.5" customHeight="1" x14ac:dyDescent="0.35"/>
    <row r="560" ht="13.5" customHeight="1" x14ac:dyDescent="0.35"/>
    <row r="561" ht="13.5" customHeight="1" x14ac:dyDescent="0.35"/>
    <row r="562" ht="13.5" customHeight="1" x14ac:dyDescent="0.35"/>
    <row r="563" ht="13.5" customHeight="1" x14ac:dyDescent="0.35"/>
    <row r="564" ht="13.5" customHeight="1" x14ac:dyDescent="0.35"/>
    <row r="565" ht="13.5" customHeight="1" x14ac:dyDescent="0.35"/>
    <row r="566" ht="13.5" customHeight="1" x14ac:dyDescent="0.35"/>
    <row r="567" ht="13.5" customHeight="1" x14ac:dyDescent="0.35"/>
    <row r="568" ht="13.5" customHeight="1" x14ac:dyDescent="0.35"/>
    <row r="569" ht="13.5" customHeight="1" x14ac:dyDescent="0.35"/>
    <row r="570" ht="13.5" customHeight="1" x14ac:dyDescent="0.35"/>
    <row r="571" ht="13.5" customHeight="1" x14ac:dyDescent="0.35"/>
    <row r="572" ht="13.5" customHeight="1" x14ac:dyDescent="0.35"/>
    <row r="573" ht="13.5" customHeight="1" x14ac:dyDescent="0.35"/>
    <row r="574" ht="13.5" customHeight="1" x14ac:dyDescent="0.35"/>
    <row r="575" ht="13.5" customHeight="1" x14ac:dyDescent="0.35"/>
    <row r="576" ht="13.5" customHeight="1" x14ac:dyDescent="0.35"/>
    <row r="577" ht="13.5" customHeight="1" x14ac:dyDescent="0.35"/>
    <row r="578" ht="13.5" customHeight="1" x14ac:dyDescent="0.35"/>
    <row r="579" ht="13.5" customHeight="1" x14ac:dyDescent="0.35"/>
    <row r="580" ht="13.5" customHeight="1" x14ac:dyDescent="0.35"/>
    <row r="581" ht="13.5" customHeight="1" x14ac:dyDescent="0.35"/>
    <row r="582" ht="13.5" customHeight="1" x14ac:dyDescent="0.35"/>
    <row r="583" ht="13.5" customHeight="1" x14ac:dyDescent="0.35"/>
    <row r="584" ht="13.5" customHeight="1" x14ac:dyDescent="0.35"/>
    <row r="585" ht="13.5" customHeight="1" x14ac:dyDescent="0.35"/>
    <row r="586" ht="13.5" customHeight="1" x14ac:dyDescent="0.35"/>
    <row r="587" ht="13.5" customHeight="1" x14ac:dyDescent="0.35"/>
    <row r="588" ht="13.5" customHeight="1" x14ac:dyDescent="0.35"/>
    <row r="589" ht="13.5" customHeight="1" x14ac:dyDescent="0.35"/>
    <row r="590" ht="13.5" customHeight="1" x14ac:dyDescent="0.35"/>
    <row r="591" ht="13.5" customHeight="1" x14ac:dyDescent="0.35"/>
    <row r="592" ht="13.5" customHeight="1" x14ac:dyDescent="0.35"/>
    <row r="593" ht="13.5" customHeight="1" x14ac:dyDescent="0.35"/>
    <row r="594" ht="13.5" customHeight="1" x14ac:dyDescent="0.35"/>
    <row r="595" ht="13.5" customHeight="1" x14ac:dyDescent="0.35"/>
    <row r="596" ht="13.5" customHeight="1" x14ac:dyDescent="0.35"/>
    <row r="597" ht="13.5" customHeight="1" x14ac:dyDescent="0.35"/>
    <row r="598" ht="13.5" customHeight="1" x14ac:dyDescent="0.35"/>
    <row r="599" ht="13.5" customHeight="1" x14ac:dyDescent="0.35"/>
    <row r="600" ht="13.5" customHeight="1" x14ac:dyDescent="0.35"/>
    <row r="601" ht="13.5" customHeight="1" x14ac:dyDescent="0.35"/>
    <row r="602" ht="13.5" customHeight="1" x14ac:dyDescent="0.35"/>
    <row r="603" ht="13.5" customHeight="1" x14ac:dyDescent="0.35"/>
    <row r="604" ht="13.5" customHeight="1" x14ac:dyDescent="0.35"/>
    <row r="605" ht="13.5" customHeight="1" x14ac:dyDescent="0.35"/>
    <row r="606" ht="13.5" customHeight="1" x14ac:dyDescent="0.35"/>
    <row r="607" ht="13.5" customHeight="1" x14ac:dyDescent="0.35"/>
    <row r="608" ht="13.5" customHeight="1" x14ac:dyDescent="0.35"/>
    <row r="609" ht="13.5" customHeight="1" x14ac:dyDescent="0.35"/>
    <row r="610" ht="13.5" customHeight="1" x14ac:dyDescent="0.35"/>
    <row r="611" ht="13.5" customHeight="1" x14ac:dyDescent="0.35"/>
    <row r="612" ht="13.5" customHeight="1" x14ac:dyDescent="0.35"/>
    <row r="613" ht="13.5" customHeight="1" x14ac:dyDescent="0.35"/>
    <row r="614" ht="13.5" customHeight="1" x14ac:dyDescent="0.35"/>
    <row r="615" ht="13.5" customHeight="1" x14ac:dyDescent="0.35"/>
    <row r="616" ht="13.5" customHeight="1" x14ac:dyDescent="0.35"/>
    <row r="617" ht="13.5" customHeight="1" x14ac:dyDescent="0.35"/>
    <row r="618" ht="13.5" customHeight="1" x14ac:dyDescent="0.35"/>
    <row r="619" ht="13.5" customHeight="1" x14ac:dyDescent="0.35"/>
    <row r="620" ht="13.5" customHeight="1" x14ac:dyDescent="0.35"/>
    <row r="621" ht="13.5" customHeight="1" x14ac:dyDescent="0.35"/>
    <row r="622" ht="13.5" customHeight="1" x14ac:dyDescent="0.35"/>
    <row r="623" ht="13.5" customHeight="1" x14ac:dyDescent="0.35"/>
    <row r="624" ht="13.5" customHeight="1" x14ac:dyDescent="0.35"/>
    <row r="625" ht="13.5" customHeight="1" x14ac:dyDescent="0.35"/>
    <row r="626" ht="13.5" customHeight="1" x14ac:dyDescent="0.35"/>
    <row r="627" ht="13.5" customHeight="1" x14ac:dyDescent="0.35"/>
    <row r="628" ht="13.5" customHeight="1" x14ac:dyDescent="0.35"/>
    <row r="629" ht="13.5" customHeight="1" x14ac:dyDescent="0.35"/>
    <row r="630" ht="13.5" customHeight="1" x14ac:dyDescent="0.35"/>
    <row r="631" ht="13.5" customHeight="1" x14ac:dyDescent="0.35"/>
    <row r="632" ht="13.5" customHeight="1" x14ac:dyDescent="0.35"/>
    <row r="633" ht="13.5" customHeight="1" x14ac:dyDescent="0.35"/>
    <row r="634" ht="13.5" customHeight="1" x14ac:dyDescent="0.35"/>
    <row r="635" ht="13.5" customHeight="1" x14ac:dyDescent="0.35"/>
    <row r="636" ht="13.5" customHeight="1" x14ac:dyDescent="0.35"/>
    <row r="637" ht="13.5" customHeight="1" x14ac:dyDescent="0.35"/>
    <row r="638" ht="13.5" customHeight="1" x14ac:dyDescent="0.35"/>
    <row r="639" ht="13.5" customHeight="1" x14ac:dyDescent="0.35"/>
    <row r="640" ht="13.5" customHeight="1" x14ac:dyDescent="0.35"/>
    <row r="641" ht="13.5" customHeight="1" x14ac:dyDescent="0.35"/>
    <row r="642" ht="13.5" customHeight="1" x14ac:dyDescent="0.35"/>
    <row r="643" ht="13.5" customHeight="1" x14ac:dyDescent="0.35"/>
    <row r="644" ht="13.5" customHeight="1" x14ac:dyDescent="0.35"/>
    <row r="645" ht="13.5" customHeight="1" x14ac:dyDescent="0.35"/>
    <row r="646" ht="13.5" customHeight="1" x14ac:dyDescent="0.35"/>
    <row r="647" ht="13.5" customHeight="1" x14ac:dyDescent="0.35"/>
    <row r="648" ht="13.5" customHeight="1" x14ac:dyDescent="0.35"/>
    <row r="649" ht="13.5" customHeight="1" x14ac:dyDescent="0.35"/>
    <row r="650" ht="13.5" customHeight="1" x14ac:dyDescent="0.35"/>
    <row r="651" ht="13.5" customHeight="1" x14ac:dyDescent="0.35"/>
    <row r="652" ht="13.5" customHeight="1" x14ac:dyDescent="0.35"/>
    <row r="653" ht="13.5" customHeight="1" x14ac:dyDescent="0.35"/>
    <row r="654" ht="13.5" customHeight="1" x14ac:dyDescent="0.35"/>
    <row r="655" ht="13.5" customHeight="1" x14ac:dyDescent="0.35"/>
    <row r="656" ht="13.5" customHeight="1" x14ac:dyDescent="0.35"/>
    <row r="657" ht="13.5" customHeight="1" x14ac:dyDescent="0.35"/>
    <row r="658" ht="13.5" customHeight="1" x14ac:dyDescent="0.35"/>
    <row r="659" ht="13.5" customHeight="1" x14ac:dyDescent="0.35"/>
    <row r="660" ht="13.5" customHeight="1" x14ac:dyDescent="0.35"/>
    <row r="661" ht="13.5" customHeight="1" x14ac:dyDescent="0.35"/>
    <row r="662" ht="13.5" customHeight="1" x14ac:dyDescent="0.35"/>
    <row r="663" ht="13.5" customHeight="1" x14ac:dyDescent="0.35"/>
    <row r="664" ht="13.5" customHeight="1" x14ac:dyDescent="0.35"/>
    <row r="665" ht="13.5" customHeight="1" x14ac:dyDescent="0.35"/>
    <row r="666" ht="13.5" customHeight="1" x14ac:dyDescent="0.35"/>
    <row r="667" ht="13.5" customHeight="1" x14ac:dyDescent="0.35"/>
    <row r="668" ht="13.5" customHeight="1" x14ac:dyDescent="0.35"/>
    <row r="669" ht="13.5" customHeight="1" x14ac:dyDescent="0.35"/>
    <row r="670" ht="13.5" customHeight="1" x14ac:dyDescent="0.35"/>
    <row r="671" ht="13.5" customHeight="1" x14ac:dyDescent="0.35"/>
    <row r="672" ht="13.5" customHeight="1" x14ac:dyDescent="0.35"/>
    <row r="673" ht="13.5" customHeight="1" x14ac:dyDescent="0.35"/>
    <row r="674" ht="13.5" customHeight="1" x14ac:dyDescent="0.35"/>
    <row r="675" ht="13.5" customHeight="1" x14ac:dyDescent="0.35"/>
    <row r="676" ht="13.5" customHeight="1" x14ac:dyDescent="0.35"/>
    <row r="677" ht="13.5" customHeight="1" x14ac:dyDescent="0.35"/>
    <row r="678" ht="13.5" customHeight="1" x14ac:dyDescent="0.35"/>
    <row r="679" ht="13.5" customHeight="1" x14ac:dyDescent="0.35"/>
    <row r="680" ht="13.5" customHeight="1" x14ac:dyDescent="0.35"/>
    <row r="681" ht="13.5" customHeight="1" x14ac:dyDescent="0.35"/>
    <row r="682" ht="13.5" customHeight="1" x14ac:dyDescent="0.35"/>
    <row r="683" ht="13.5" customHeight="1" x14ac:dyDescent="0.35"/>
    <row r="684" ht="13.5" customHeight="1" x14ac:dyDescent="0.35"/>
    <row r="685" ht="13.5" customHeight="1" x14ac:dyDescent="0.35"/>
    <row r="686" ht="13.5" customHeight="1" x14ac:dyDescent="0.35"/>
    <row r="687" ht="13.5" customHeight="1" x14ac:dyDescent="0.35"/>
    <row r="688" ht="13.5" customHeight="1" x14ac:dyDescent="0.35"/>
    <row r="689" ht="13.5" customHeight="1" x14ac:dyDescent="0.35"/>
    <row r="690" ht="13.5" customHeight="1" x14ac:dyDescent="0.35"/>
    <row r="691" ht="13.5" customHeight="1" x14ac:dyDescent="0.35"/>
    <row r="692" ht="13.5" customHeight="1" x14ac:dyDescent="0.35"/>
    <row r="693" ht="13.5" customHeight="1" x14ac:dyDescent="0.35"/>
    <row r="694" ht="13.5" customHeight="1" x14ac:dyDescent="0.35"/>
    <row r="695" ht="13.5" customHeight="1" x14ac:dyDescent="0.35"/>
    <row r="696" ht="13.5" customHeight="1" x14ac:dyDescent="0.35"/>
    <row r="697" ht="13.5" customHeight="1" x14ac:dyDescent="0.35"/>
    <row r="698" ht="13.5" customHeight="1" x14ac:dyDescent="0.35"/>
    <row r="699" ht="13.5" customHeight="1" x14ac:dyDescent="0.35"/>
    <row r="700" ht="13.5" customHeight="1" x14ac:dyDescent="0.35"/>
    <row r="701" ht="13.5" customHeight="1" x14ac:dyDescent="0.35"/>
    <row r="702" ht="13.5" customHeight="1" x14ac:dyDescent="0.35"/>
    <row r="703" ht="13.5" customHeight="1" x14ac:dyDescent="0.35"/>
    <row r="704" ht="13.5" customHeight="1" x14ac:dyDescent="0.35"/>
    <row r="705" ht="13.5" customHeight="1" x14ac:dyDescent="0.35"/>
    <row r="706" ht="13.5" customHeight="1" x14ac:dyDescent="0.35"/>
    <row r="707" ht="13.5" customHeight="1" x14ac:dyDescent="0.35"/>
    <row r="708" ht="13.5" customHeight="1" x14ac:dyDescent="0.35"/>
    <row r="709" ht="13.5" customHeight="1" x14ac:dyDescent="0.35"/>
    <row r="710" ht="13.5" customHeight="1" x14ac:dyDescent="0.35"/>
    <row r="711" ht="13.5" customHeight="1" x14ac:dyDescent="0.35"/>
    <row r="712" ht="13.5" customHeight="1" x14ac:dyDescent="0.35"/>
    <row r="713" ht="13.5" customHeight="1" x14ac:dyDescent="0.35"/>
    <row r="714" ht="13.5" customHeight="1" x14ac:dyDescent="0.35"/>
    <row r="715" ht="13.5" customHeight="1" x14ac:dyDescent="0.35"/>
    <row r="716" ht="13.5" customHeight="1" x14ac:dyDescent="0.35"/>
    <row r="717" ht="13.5" customHeight="1" x14ac:dyDescent="0.35"/>
    <row r="718" ht="13.5" customHeight="1" x14ac:dyDescent="0.35"/>
    <row r="719" ht="13.5" customHeight="1" x14ac:dyDescent="0.35"/>
    <row r="720" ht="13.5" customHeight="1" x14ac:dyDescent="0.35"/>
    <row r="721" ht="13.5" customHeight="1" x14ac:dyDescent="0.35"/>
    <row r="722" ht="13.5" customHeight="1" x14ac:dyDescent="0.35"/>
    <row r="723" ht="13.5" customHeight="1" x14ac:dyDescent="0.35"/>
    <row r="724" ht="13.5" customHeight="1" x14ac:dyDescent="0.35"/>
    <row r="725" ht="13.5" customHeight="1" x14ac:dyDescent="0.35"/>
    <row r="726" ht="13.5" customHeight="1" x14ac:dyDescent="0.35"/>
    <row r="727" ht="13.5" customHeight="1" x14ac:dyDescent="0.35"/>
    <row r="728" ht="13.5" customHeight="1" x14ac:dyDescent="0.35"/>
    <row r="729" ht="13.5" customHeight="1" x14ac:dyDescent="0.35"/>
    <row r="730" ht="13.5" customHeight="1" x14ac:dyDescent="0.35"/>
    <row r="731" ht="13.5" customHeight="1" x14ac:dyDescent="0.35"/>
    <row r="732" ht="13.5" customHeight="1" x14ac:dyDescent="0.35"/>
    <row r="733" ht="13.5" customHeight="1" x14ac:dyDescent="0.35"/>
    <row r="734" ht="13.5" customHeight="1" x14ac:dyDescent="0.35"/>
    <row r="735" ht="13.5" customHeight="1" x14ac:dyDescent="0.35"/>
    <row r="736" ht="13.5" customHeight="1" x14ac:dyDescent="0.35"/>
    <row r="737" ht="13.5" customHeight="1" x14ac:dyDescent="0.35"/>
    <row r="738" ht="13.5" customHeight="1" x14ac:dyDescent="0.35"/>
    <row r="739" ht="13.5" customHeight="1" x14ac:dyDescent="0.35"/>
    <row r="740" ht="13.5" customHeight="1" x14ac:dyDescent="0.35"/>
    <row r="741" ht="13.5" customHeight="1" x14ac:dyDescent="0.35"/>
    <row r="742" ht="13.5" customHeight="1" x14ac:dyDescent="0.35"/>
    <row r="743" ht="13.5" customHeight="1" x14ac:dyDescent="0.35"/>
    <row r="744" ht="13.5" customHeight="1" x14ac:dyDescent="0.35"/>
    <row r="745" ht="13.5" customHeight="1" x14ac:dyDescent="0.35"/>
    <row r="746" ht="13.5" customHeight="1" x14ac:dyDescent="0.35"/>
    <row r="747" ht="13.5" customHeight="1" x14ac:dyDescent="0.35"/>
    <row r="748" ht="13.5" customHeight="1" x14ac:dyDescent="0.35"/>
    <row r="749" ht="13.5" customHeight="1" x14ac:dyDescent="0.35"/>
    <row r="750" ht="13.5" customHeight="1" x14ac:dyDescent="0.35"/>
    <row r="751" ht="13.5" customHeight="1" x14ac:dyDescent="0.35"/>
    <row r="752" ht="13.5" customHeight="1" x14ac:dyDescent="0.35"/>
    <row r="753" ht="13.5" customHeight="1" x14ac:dyDescent="0.35"/>
    <row r="754" ht="13.5" customHeight="1" x14ac:dyDescent="0.35"/>
    <row r="755" ht="13.5" customHeight="1" x14ac:dyDescent="0.35"/>
    <row r="756" ht="13.5" customHeight="1" x14ac:dyDescent="0.35"/>
    <row r="757" ht="13.5" customHeight="1" x14ac:dyDescent="0.35"/>
    <row r="758" ht="13.5" customHeight="1" x14ac:dyDescent="0.35"/>
    <row r="759" ht="13.5" customHeight="1" x14ac:dyDescent="0.35"/>
    <row r="760" ht="13.5" customHeight="1" x14ac:dyDescent="0.35"/>
    <row r="761" ht="13.5" customHeight="1" x14ac:dyDescent="0.35"/>
    <row r="762" ht="13.5" customHeight="1" x14ac:dyDescent="0.35"/>
    <row r="763" ht="13.5" customHeight="1" x14ac:dyDescent="0.35"/>
    <row r="764" ht="13.5" customHeight="1" x14ac:dyDescent="0.35"/>
    <row r="765" ht="13.5" customHeight="1" x14ac:dyDescent="0.35"/>
    <row r="766" ht="13.5" customHeight="1" x14ac:dyDescent="0.35"/>
    <row r="767" ht="13.5" customHeight="1" x14ac:dyDescent="0.35"/>
    <row r="768" ht="13.5" customHeight="1" x14ac:dyDescent="0.35"/>
    <row r="769" ht="13.5" customHeight="1" x14ac:dyDescent="0.35"/>
    <row r="770" ht="13.5" customHeight="1" x14ac:dyDescent="0.35"/>
    <row r="771" ht="13.5" customHeight="1" x14ac:dyDescent="0.35"/>
    <row r="772" ht="13.5" customHeight="1" x14ac:dyDescent="0.35"/>
    <row r="773" ht="13.5" customHeight="1" x14ac:dyDescent="0.35"/>
    <row r="774" ht="13.5" customHeight="1" x14ac:dyDescent="0.35"/>
    <row r="775" ht="13.5" customHeight="1" x14ac:dyDescent="0.35"/>
    <row r="776" ht="13.5" customHeight="1" x14ac:dyDescent="0.35"/>
    <row r="777" ht="13.5" customHeight="1" x14ac:dyDescent="0.35"/>
    <row r="778" ht="13.5" customHeight="1" x14ac:dyDescent="0.35"/>
    <row r="779" ht="13.5" customHeight="1" x14ac:dyDescent="0.35"/>
    <row r="780" ht="13.5" customHeight="1" x14ac:dyDescent="0.35"/>
    <row r="781" ht="13.5" customHeight="1" x14ac:dyDescent="0.35"/>
    <row r="782" ht="13.5" customHeight="1" x14ac:dyDescent="0.35"/>
    <row r="783" ht="13.5" customHeight="1" x14ac:dyDescent="0.35"/>
    <row r="784" ht="13.5" customHeight="1" x14ac:dyDescent="0.35"/>
    <row r="785" ht="13.5" customHeight="1" x14ac:dyDescent="0.35"/>
    <row r="786" ht="13.5" customHeight="1" x14ac:dyDescent="0.35"/>
    <row r="787" ht="13.5" customHeight="1" x14ac:dyDescent="0.35"/>
    <row r="788" ht="13.5" customHeight="1" x14ac:dyDescent="0.35"/>
    <row r="789" ht="13.5" customHeight="1" x14ac:dyDescent="0.35"/>
    <row r="790" ht="13.5" customHeight="1" x14ac:dyDescent="0.35"/>
    <row r="791" ht="13.5" customHeight="1" x14ac:dyDescent="0.35"/>
    <row r="792" ht="13.5" customHeight="1" x14ac:dyDescent="0.35"/>
    <row r="793" ht="13.5" customHeight="1" x14ac:dyDescent="0.35"/>
    <row r="794" ht="13.5" customHeight="1" x14ac:dyDescent="0.35"/>
    <row r="795" ht="13.5" customHeight="1" x14ac:dyDescent="0.35"/>
    <row r="796" ht="13.5" customHeight="1" x14ac:dyDescent="0.35"/>
    <row r="797" ht="13.5" customHeight="1" x14ac:dyDescent="0.35"/>
    <row r="798" ht="13.5" customHeight="1" x14ac:dyDescent="0.35"/>
    <row r="799" ht="13.5" customHeight="1" x14ac:dyDescent="0.35"/>
    <row r="800" ht="13.5" customHeight="1" x14ac:dyDescent="0.35"/>
    <row r="801" ht="13.5" customHeight="1" x14ac:dyDescent="0.35"/>
    <row r="802" ht="13.5" customHeight="1" x14ac:dyDescent="0.35"/>
    <row r="803" ht="13.5" customHeight="1" x14ac:dyDescent="0.35"/>
    <row r="804" ht="13.5" customHeight="1" x14ac:dyDescent="0.35"/>
    <row r="805" ht="13.5" customHeight="1" x14ac:dyDescent="0.35"/>
    <row r="806" ht="13.5" customHeight="1" x14ac:dyDescent="0.35"/>
    <row r="807" ht="13.5" customHeight="1" x14ac:dyDescent="0.35"/>
    <row r="808" ht="13.5" customHeight="1" x14ac:dyDescent="0.35"/>
    <row r="809" ht="13.5" customHeight="1" x14ac:dyDescent="0.35"/>
    <row r="810" ht="13.5" customHeight="1" x14ac:dyDescent="0.35"/>
    <row r="811" ht="13.5" customHeight="1" x14ac:dyDescent="0.35"/>
    <row r="812" ht="13.5" customHeight="1" x14ac:dyDescent="0.35"/>
    <row r="813" ht="13.5" customHeight="1" x14ac:dyDescent="0.35"/>
    <row r="814" ht="13.5" customHeight="1" x14ac:dyDescent="0.35"/>
    <row r="815" ht="13.5" customHeight="1" x14ac:dyDescent="0.35"/>
    <row r="816" ht="13.5" customHeight="1" x14ac:dyDescent="0.35"/>
    <row r="817" ht="13.5" customHeight="1" x14ac:dyDescent="0.35"/>
    <row r="818" ht="13.5" customHeight="1" x14ac:dyDescent="0.35"/>
    <row r="819" ht="13.5" customHeight="1" x14ac:dyDescent="0.35"/>
    <row r="820" ht="13.5" customHeight="1" x14ac:dyDescent="0.35"/>
    <row r="821" ht="13.5" customHeight="1" x14ac:dyDescent="0.35"/>
    <row r="822" ht="13.5" customHeight="1" x14ac:dyDescent="0.35"/>
    <row r="823" ht="13.5" customHeight="1" x14ac:dyDescent="0.35"/>
    <row r="824" ht="13.5" customHeight="1" x14ac:dyDescent="0.35"/>
    <row r="825" ht="13.5" customHeight="1" x14ac:dyDescent="0.35"/>
    <row r="826" ht="13.5" customHeight="1" x14ac:dyDescent="0.35"/>
    <row r="827" ht="13.5" customHeight="1" x14ac:dyDescent="0.35"/>
    <row r="828" ht="13.5" customHeight="1" x14ac:dyDescent="0.35"/>
    <row r="829" ht="13.5" customHeight="1" x14ac:dyDescent="0.35"/>
    <row r="830" ht="13.5" customHeight="1" x14ac:dyDescent="0.35"/>
    <row r="831" ht="13.5" customHeight="1" x14ac:dyDescent="0.35"/>
    <row r="832" ht="13.5" customHeight="1" x14ac:dyDescent="0.35"/>
    <row r="833" ht="13.5" customHeight="1" x14ac:dyDescent="0.35"/>
    <row r="834" ht="13.5" customHeight="1" x14ac:dyDescent="0.35"/>
    <row r="835" ht="13.5" customHeight="1" x14ac:dyDescent="0.35"/>
    <row r="836" ht="13.5" customHeight="1" x14ac:dyDescent="0.35"/>
    <row r="837" ht="13.5" customHeight="1" x14ac:dyDescent="0.35"/>
    <row r="838" ht="13.5" customHeight="1" x14ac:dyDescent="0.35"/>
    <row r="839" ht="13.5" customHeight="1" x14ac:dyDescent="0.35"/>
    <row r="840" ht="13.5" customHeight="1" x14ac:dyDescent="0.35"/>
    <row r="841" ht="13.5" customHeight="1" x14ac:dyDescent="0.35"/>
    <row r="842" ht="13.5" customHeight="1" x14ac:dyDescent="0.35"/>
    <row r="843" ht="13.5" customHeight="1" x14ac:dyDescent="0.35"/>
    <row r="844" ht="13.5" customHeight="1" x14ac:dyDescent="0.35"/>
    <row r="845" ht="13.5" customHeight="1" x14ac:dyDescent="0.35"/>
    <row r="846" ht="13.5" customHeight="1" x14ac:dyDescent="0.35"/>
    <row r="847" ht="13.5" customHeight="1" x14ac:dyDescent="0.35"/>
    <row r="848" ht="13.5" customHeight="1" x14ac:dyDescent="0.35"/>
    <row r="849" ht="13.5" customHeight="1" x14ac:dyDescent="0.35"/>
    <row r="850" ht="13.5" customHeight="1" x14ac:dyDescent="0.35"/>
    <row r="851" ht="13.5" customHeight="1" x14ac:dyDescent="0.35"/>
    <row r="852" ht="13.5" customHeight="1" x14ac:dyDescent="0.35"/>
    <row r="853" ht="13.5" customHeight="1" x14ac:dyDescent="0.35"/>
    <row r="854" ht="13.5" customHeight="1" x14ac:dyDescent="0.35"/>
    <row r="855" ht="13.5" customHeight="1" x14ac:dyDescent="0.35"/>
    <row r="856" ht="13.5" customHeight="1" x14ac:dyDescent="0.35"/>
    <row r="857" ht="13.5" customHeight="1" x14ac:dyDescent="0.35"/>
    <row r="858" ht="13.5" customHeight="1" x14ac:dyDescent="0.35"/>
    <row r="859" ht="13.5" customHeight="1" x14ac:dyDescent="0.35"/>
    <row r="860" ht="13.5" customHeight="1" x14ac:dyDescent="0.35"/>
    <row r="861" ht="13.5" customHeight="1" x14ac:dyDescent="0.35"/>
    <row r="862" ht="13.5" customHeight="1" x14ac:dyDescent="0.35"/>
    <row r="863" ht="13.5" customHeight="1" x14ac:dyDescent="0.35"/>
    <row r="864" ht="13.5" customHeight="1" x14ac:dyDescent="0.35"/>
    <row r="865" ht="13.5" customHeight="1" x14ac:dyDescent="0.35"/>
    <row r="866" ht="13.5" customHeight="1" x14ac:dyDescent="0.35"/>
    <row r="867" ht="13.5" customHeight="1" x14ac:dyDescent="0.35"/>
    <row r="868" ht="13.5" customHeight="1" x14ac:dyDescent="0.35"/>
    <row r="869" ht="13.5" customHeight="1" x14ac:dyDescent="0.35"/>
    <row r="870" ht="13.5" customHeight="1" x14ac:dyDescent="0.35"/>
    <row r="871" ht="13.5" customHeight="1" x14ac:dyDescent="0.35"/>
    <row r="872" ht="13.5" customHeight="1" x14ac:dyDescent="0.35"/>
    <row r="873" ht="13.5" customHeight="1" x14ac:dyDescent="0.35"/>
    <row r="874" ht="13.5" customHeight="1" x14ac:dyDescent="0.35"/>
    <row r="875" ht="13.5" customHeight="1" x14ac:dyDescent="0.35"/>
    <row r="876" ht="13.5" customHeight="1" x14ac:dyDescent="0.35"/>
    <row r="877" ht="13.5" customHeight="1" x14ac:dyDescent="0.35"/>
    <row r="878" ht="13.5" customHeight="1" x14ac:dyDescent="0.35"/>
    <row r="879" ht="13.5" customHeight="1" x14ac:dyDescent="0.35"/>
    <row r="880" ht="13.5" customHeight="1" x14ac:dyDescent="0.35"/>
    <row r="881" ht="13.5" customHeight="1" x14ac:dyDescent="0.35"/>
    <row r="882" ht="13.5" customHeight="1" x14ac:dyDescent="0.35"/>
    <row r="883" ht="13.5" customHeight="1" x14ac:dyDescent="0.35"/>
    <row r="884" ht="13.5" customHeight="1" x14ac:dyDescent="0.35"/>
    <row r="885" ht="13.5" customHeight="1" x14ac:dyDescent="0.35"/>
    <row r="886" ht="13.5" customHeight="1" x14ac:dyDescent="0.35"/>
    <row r="887" ht="13.5" customHeight="1" x14ac:dyDescent="0.35"/>
    <row r="888" ht="13.5" customHeight="1" x14ac:dyDescent="0.35"/>
    <row r="889" ht="13.5" customHeight="1" x14ac:dyDescent="0.35"/>
    <row r="890" ht="13.5" customHeight="1" x14ac:dyDescent="0.35"/>
    <row r="891" ht="13.5" customHeight="1" x14ac:dyDescent="0.35"/>
    <row r="892" ht="13.5" customHeight="1" x14ac:dyDescent="0.35"/>
    <row r="893" ht="13.5" customHeight="1" x14ac:dyDescent="0.35"/>
    <row r="894" ht="13.5" customHeight="1" x14ac:dyDescent="0.35"/>
    <row r="895" ht="13.5" customHeight="1" x14ac:dyDescent="0.35"/>
    <row r="896" ht="13.5" customHeight="1" x14ac:dyDescent="0.35"/>
    <row r="897" ht="13.5" customHeight="1" x14ac:dyDescent="0.35"/>
    <row r="898" ht="13.5" customHeight="1" x14ac:dyDescent="0.35"/>
    <row r="899" ht="13.5" customHeight="1" x14ac:dyDescent="0.35"/>
    <row r="900" ht="13.5" customHeight="1" x14ac:dyDescent="0.35"/>
    <row r="901" ht="13.5" customHeight="1" x14ac:dyDescent="0.35"/>
    <row r="902" ht="13.5" customHeight="1" x14ac:dyDescent="0.35"/>
    <row r="903" ht="13.5" customHeight="1" x14ac:dyDescent="0.35"/>
    <row r="904" ht="13.5" customHeight="1" x14ac:dyDescent="0.35"/>
    <row r="905" ht="13.5" customHeight="1" x14ac:dyDescent="0.35"/>
    <row r="906" ht="13.5" customHeight="1" x14ac:dyDescent="0.35"/>
    <row r="907" ht="13.5" customHeight="1" x14ac:dyDescent="0.35"/>
    <row r="908" ht="13.5" customHeight="1" x14ac:dyDescent="0.35"/>
    <row r="909" ht="13.5" customHeight="1" x14ac:dyDescent="0.35"/>
    <row r="910" ht="13.5" customHeight="1" x14ac:dyDescent="0.35"/>
    <row r="911" ht="13.5" customHeight="1" x14ac:dyDescent="0.35"/>
    <row r="912" ht="13.5" customHeight="1" x14ac:dyDescent="0.35"/>
    <row r="913" ht="13.5" customHeight="1" x14ac:dyDescent="0.35"/>
    <row r="914" ht="13.5" customHeight="1" x14ac:dyDescent="0.35"/>
    <row r="915" ht="13.5" customHeight="1" x14ac:dyDescent="0.35"/>
    <row r="916" ht="13.5" customHeight="1" x14ac:dyDescent="0.35"/>
    <row r="917" ht="13.5" customHeight="1" x14ac:dyDescent="0.35"/>
    <row r="918" ht="13.5" customHeight="1" x14ac:dyDescent="0.35"/>
    <row r="919" ht="13.5" customHeight="1" x14ac:dyDescent="0.35"/>
    <row r="920" ht="13.5" customHeight="1" x14ac:dyDescent="0.35"/>
    <row r="921" ht="13.5" customHeight="1" x14ac:dyDescent="0.35"/>
    <row r="922" ht="13.5" customHeight="1" x14ac:dyDescent="0.35"/>
    <row r="923" ht="13.5" customHeight="1" x14ac:dyDescent="0.35"/>
    <row r="924" ht="13.5" customHeight="1" x14ac:dyDescent="0.35"/>
    <row r="925" ht="13.5" customHeight="1" x14ac:dyDescent="0.35"/>
    <row r="926" ht="13.5" customHeight="1" x14ac:dyDescent="0.35"/>
    <row r="927" ht="13.5" customHeight="1" x14ac:dyDescent="0.35"/>
    <row r="928" ht="13.5" customHeight="1" x14ac:dyDescent="0.35"/>
    <row r="929" ht="13.5" customHeight="1" x14ac:dyDescent="0.35"/>
    <row r="930" ht="13.5" customHeight="1" x14ac:dyDescent="0.35"/>
    <row r="931" ht="13.5" customHeight="1" x14ac:dyDescent="0.35"/>
    <row r="932" ht="13.5" customHeight="1" x14ac:dyDescent="0.35"/>
    <row r="933" ht="13.5" customHeight="1" x14ac:dyDescent="0.35"/>
    <row r="934" ht="13.5" customHeight="1" x14ac:dyDescent="0.35"/>
    <row r="935" ht="13.5" customHeight="1" x14ac:dyDescent="0.35"/>
    <row r="936" ht="13.5" customHeight="1" x14ac:dyDescent="0.35"/>
    <row r="937" ht="13.5" customHeight="1" x14ac:dyDescent="0.35"/>
    <row r="938" ht="13.5" customHeight="1" x14ac:dyDescent="0.35"/>
    <row r="939" ht="13.5" customHeight="1" x14ac:dyDescent="0.35"/>
    <row r="940" ht="13.5" customHeight="1" x14ac:dyDescent="0.35"/>
    <row r="941" ht="13.5" customHeight="1" x14ac:dyDescent="0.35"/>
    <row r="942" ht="13.5" customHeight="1" x14ac:dyDescent="0.35"/>
    <row r="943" ht="13.5" customHeight="1" x14ac:dyDescent="0.35"/>
    <row r="944" ht="13.5" customHeight="1" x14ac:dyDescent="0.35"/>
    <row r="945" ht="13.5" customHeight="1" x14ac:dyDescent="0.35"/>
    <row r="946" ht="13.5" customHeight="1" x14ac:dyDescent="0.35"/>
    <row r="947" ht="13.5" customHeight="1" x14ac:dyDescent="0.35"/>
    <row r="948" ht="13.5" customHeight="1" x14ac:dyDescent="0.35"/>
    <row r="949" ht="13.5" customHeight="1" x14ac:dyDescent="0.35"/>
    <row r="950" ht="13.5" customHeight="1" x14ac:dyDescent="0.35"/>
    <row r="951" ht="13.5" customHeight="1" x14ac:dyDescent="0.35"/>
    <row r="952" ht="13.5" customHeight="1" x14ac:dyDescent="0.35"/>
    <row r="953" ht="13.5" customHeight="1" x14ac:dyDescent="0.35"/>
    <row r="954" ht="13.5" customHeight="1" x14ac:dyDescent="0.35"/>
    <row r="955" ht="13.5" customHeight="1" x14ac:dyDescent="0.35"/>
    <row r="956" ht="13.5" customHeight="1" x14ac:dyDescent="0.35"/>
    <row r="957" ht="13.5" customHeight="1" x14ac:dyDescent="0.35"/>
    <row r="958" ht="13.5" customHeight="1" x14ac:dyDescent="0.35"/>
    <row r="959" ht="13.5" customHeight="1" x14ac:dyDescent="0.35"/>
    <row r="960" ht="13.5" customHeight="1" x14ac:dyDescent="0.35"/>
    <row r="961" ht="13.5" customHeight="1" x14ac:dyDescent="0.35"/>
    <row r="962" ht="13.5" customHeight="1" x14ac:dyDescent="0.35"/>
    <row r="963" ht="13.5" customHeight="1" x14ac:dyDescent="0.35"/>
    <row r="964" ht="13.5" customHeight="1" x14ac:dyDescent="0.35"/>
    <row r="965" ht="13.5" customHeight="1" x14ac:dyDescent="0.35"/>
    <row r="966" ht="13.5" customHeight="1" x14ac:dyDescent="0.35"/>
    <row r="967" ht="13.5" customHeight="1" x14ac:dyDescent="0.35"/>
    <row r="968" ht="13.5" customHeight="1" x14ac:dyDescent="0.35"/>
    <row r="969" ht="13.5" customHeight="1" x14ac:dyDescent="0.35"/>
    <row r="970" ht="13.5" customHeight="1" x14ac:dyDescent="0.35"/>
    <row r="971" ht="13.5" customHeight="1" x14ac:dyDescent="0.35"/>
    <row r="972" ht="13.5" customHeight="1" x14ac:dyDescent="0.35"/>
    <row r="973" ht="13.5" customHeight="1" x14ac:dyDescent="0.35"/>
    <row r="974" ht="13.5" customHeight="1" x14ac:dyDescent="0.35"/>
    <row r="975" ht="13.5" customHeight="1" x14ac:dyDescent="0.35"/>
    <row r="976" ht="13.5" customHeight="1" x14ac:dyDescent="0.35"/>
    <row r="977" ht="13.5" customHeight="1" x14ac:dyDescent="0.35"/>
    <row r="978" ht="13.5" customHeight="1" x14ac:dyDescent="0.35"/>
    <row r="979" ht="13.5" customHeight="1" x14ac:dyDescent="0.35"/>
    <row r="980" ht="13.5" customHeight="1" x14ac:dyDescent="0.35"/>
    <row r="981" ht="13.5" customHeight="1" x14ac:dyDescent="0.35"/>
    <row r="982" ht="13.5" customHeight="1" x14ac:dyDescent="0.35"/>
    <row r="983" ht="13.5" customHeight="1" x14ac:dyDescent="0.35"/>
    <row r="984" ht="13.5" customHeight="1" x14ac:dyDescent="0.35"/>
    <row r="985" ht="13.5" customHeight="1" x14ac:dyDescent="0.35"/>
    <row r="986" ht="13.5" customHeight="1" x14ac:dyDescent="0.35"/>
    <row r="987" ht="13.5" customHeight="1" x14ac:dyDescent="0.35"/>
    <row r="988" ht="13.5" customHeight="1" x14ac:dyDescent="0.35"/>
    <row r="989" ht="13.5" customHeight="1" x14ac:dyDescent="0.35"/>
    <row r="990" ht="13.5" customHeight="1" x14ac:dyDescent="0.35"/>
    <row r="991" ht="13.5" customHeight="1" x14ac:dyDescent="0.35"/>
    <row r="992" ht="13.5" customHeight="1" x14ac:dyDescent="0.35"/>
    <row r="993" ht="13.5" customHeight="1" x14ac:dyDescent="0.35"/>
    <row r="994" ht="13.5" customHeight="1" x14ac:dyDescent="0.35"/>
    <row r="995" ht="13.5" customHeight="1" x14ac:dyDescent="0.35"/>
    <row r="996" ht="13.5" customHeight="1" x14ac:dyDescent="0.35"/>
    <row r="997" ht="13.5" customHeight="1" x14ac:dyDescent="0.35"/>
    <row r="998" ht="13.5" customHeight="1" x14ac:dyDescent="0.35"/>
    <row r="999" ht="13.5" customHeight="1" x14ac:dyDescent="0.35"/>
    <row r="1000" ht="13.5" customHeight="1" x14ac:dyDescent="0.35"/>
    <row r="1001" ht="13.5" customHeight="1" x14ac:dyDescent="0.35"/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01"/>
  <sheetViews>
    <sheetView topLeftCell="A32" workbookViewId="0">
      <selection activeCell="A33" sqref="A33:C58"/>
    </sheetView>
  </sheetViews>
  <sheetFormatPr defaultColWidth="14.453125" defaultRowHeight="15" customHeight="1" x14ac:dyDescent="0.35"/>
  <cols>
    <col min="1" max="1" width="10" style="3" customWidth="1"/>
    <col min="2" max="2" width="31.6328125" style="3" bestFit="1" customWidth="1"/>
    <col min="3" max="3" width="16.54296875" style="46" bestFit="1" customWidth="1"/>
    <col min="4" max="4" width="18.90625" style="3" customWidth="1"/>
    <col min="5" max="6" width="8.90625" style="3" customWidth="1"/>
    <col min="7" max="26" width="8.6328125" style="3" customWidth="1"/>
    <col min="27" max="16384" width="14.453125" style="3"/>
  </cols>
  <sheetData>
    <row r="1" spans="1:4" ht="13.5" customHeight="1" x14ac:dyDescent="0.35">
      <c r="A1" s="5" t="s">
        <v>0</v>
      </c>
    </row>
    <row r="2" spans="1:4" ht="13.5" customHeight="1" x14ac:dyDescent="0.35">
      <c r="A2" s="5" t="s">
        <v>68</v>
      </c>
    </row>
    <row r="3" spans="1:4" ht="13.5" customHeight="1" x14ac:dyDescent="0.35"/>
    <row r="4" spans="1:4" ht="13.5" customHeight="1" x14ac:dyDescent="0.35"/>
    <row r="5" spans="1:4" ht="13.5" customHeight="1" x14ac:dyDescent="0.35">
      <c r="A5" s="5" t="s">
        <v>69</v>
      </c>
      <c r="B5" s="5" t="s">
        <v>70</v>
      </c>
      <c r="C5" s="47" t="s">
        <v>71</v>
      </c>
    </row>
    <row r="6" spans="1:4" ht="13.5" customHeight="1" x14ac:dyDescent="0.35">
      <c r="A6">
        <v>111410</v>
      </c>
      <c r="B6" t="s">
        <v>72</v>
      </c>
      <c r="C6" s="34">
        <v>4200.3500000000004</v>
      </c>
      <c r="D6" s="12"/>
    </row>
    <row r="7" spans="1:4" ht="13.5" customHeight="1" x14ac:dyDescent="0.35">
      <c r="A7">
        <v>111440</v>
      </c>
      <c r="B7" t="s">
        <v>73</v>
      </c>
      <c r="C7">
        <v>-389.87</v>
      </c>
    </row>
    <row r="8" spans="1:4" ht="13.5" customHeight="1" x14ac:dyDescent="0.35">
      <c r="A8">
        <v>111610</v>
      </c>
      <c r="B8" t="s">
        <v>74</v>
      </c>
      <c r="C8" s="35">
        <v>9950</v>
      </c>
      <c r="D8" s="12"/>
    </row>
    <row r="9" spans="1:4" ht="13.5" customHeight="1" x14ac:dyDescent="0.35">
      <c r="A9">
        <v>111640</v>
      </c>
      <c r="B9" t="s">
        <v>75</v>
      </c>
      <c r="C9" s="35">
        <v>-3980</v>
      </c>
      <c r="D9" s="12"/>
    </row>
    <row r="10" spans="1:4" ht="13.5" customHeight="1" x14ac:dyDescent="0.35">
      <c r="A10">
        <v>113130</v>
      </c>
      <c r="B10" t="s">
        <v>76</v>
      </c>
      <c r="C10" s="34">
        <v>10838.25</v>
      </c>
      <c r="D10" s="12"/>
    </row>
    <row r="11" spans="1:4" ht="13.5" customHeight="1" x14ac:dyDescent="0.35">
      <c r="A11">
        <v>122510</v>
      </c>
      <c r="B11" t="s">
        <v>77</v>
      </c>
      <c r="C11" s="35">
        <v>1550</v>
      </c>
      <c r="D11" s="12"/>
    </row>
    <row r="12" spans="1:4" ht="13.5" customHeight="1" x14ac:dyDescent="0.35">
      <c r="A12">
        <v>122610</v>
      </c>
      <c r="B12" t="s">
        <v>130</v>
      </c>
      <c r="C12" s="34">
        <v>5439.93</v>
      </c>
      <c r="D12" s="12"/>
    </row>
    <row r="13" spans="1:4" ht="13.5" customHeight="1" x14ac:dyDescent="0.35">
      <c r="A13">
        <v>122620</v>
      </c>
      <c r="B13" t="s">
        <v>78</v>
      </c>
      <c r="C13" s="34">
        <v>-12534.04</v>
      </c>
      <c r="D13" s="12"/>
    </row>
    <row r="14" spans="1:4" ht="13.5" customHeight="1" x14ac:dyDescent="0.35">
      <c r="A14">
        <v>122630</v>
      </c>
      <c r="B14" t="s">
        <v>79</v>
      </c>
      <c r="C14" s="34">
        <v>13486.68</v>
      </c>
      <c r="D14" s="12"/>
    </row>
    <row r="15" spans="1:4" ht="13.5" customHeight="1" x14ac:dyDescent="0.35">
      <c r="A15">
        <v>125220</v>
      </c>
      <c r="B15" t="s">
        <v>63</v>
      </c>
      <c r="C15" s="34">
        <v>506898.33</v>
      </c>
      <c r="D15" s="12"/>
    </row>
    <row r="16" spans="1:4" ht="13.5" customHeight="1" x14ac:dyDescent="0.35">
      <c r="A16">
        <v>125230</v>
      </c>
      <c r="B16" t="s">
        <v>64</v>
      </c>
      <c r="C16">
        <v>40.28</v>
      </c>
      <c r="D16" s="12"/>
    </row>
    <row r="17" spans="1:4" ht="13.5" customHeight="1" x14ac:dyDescent="0.35">
      <c r="A17">
        <v>125240</v>
      </c>
      <c r="B17" t="s">
        <v>80</v>
      </c>
      <c r="C17" s="35">
        <v>1662088</v>
      </c>
    </row>
    <row r="18" spans="1:4" ht="13.5" customHeight="1" x14ac:dyDescent="0.35">
      <c r="A18">
        <v>211300</v>
      </c>
      <c r="B18" t="s">
        <v>81</v>
      </c>
      <c r="C18" s="35">
        <v>-1460</v>
      </c>
      <c r="D18" s="12"/>
    </row>
    <row r="19" spans="1:4" ht="13.5" customHeight="1" x14ac:dyDescent="0.35">
      <c r="A19">
        <v>212100</v>
      </c>
      <c r="B19" t="s">
        <v>82</v>
      </c>
      <c r="C19" s="35">
        <v>-2019160</v>
      </c>
      <c r="D19" s="12"/>
    </row>
    <row r="20" spans="1:4" ht="13.5" customHeight="1" x14ac:dyDescent="0.35">
      <c r="A20">
        <v>215100</v>
      </c>
      <c r="B20" t="s">
        <v>83</v>
      </c>
      <c r="C20" s="34">
        <v>8206.6</v>
      </c>
      <c r="D20" s="12"/>
    </row>
    <row r="21" spans="1:4" ht="13.5" customHeight="1" x14ac:dyDescent="0.35">
      <c r="A21">
        <v>215110</v>
      </c>
      <c r="B21" t="s">
        <v>84</v>
      </c>
      <c r="C21" s="34">
        <v>-10263.1</v>
      </c>
      <c r="D21" s="12"/>
    </row>
    <row r="22" spans="1:4" ht="13.5" customHeight="1" x14ac:dyDescent="0.35">
      <c r="A22">
        <v>231210</v>
      </c>
      <c r="B22" t="s">
        <v>28</v>
      </c>
      <c r="C22">
        <v>-0.01</v>
      </c>
      <c r="D22" s="12"/>
    </row>
    <row r="23" spans="1:4" ht="13.5" customHeight="1" x14ac:dyDescent="0.35">
      <c r="A23">
        <v>231220</v>
      </c>
      <c r="B23" t="s">
        <v>55</v>
      </c>
      <c r="C23">
        <v>-922.1</v>
      </c>
      <c r="D23" s="12"/>
    </row>
    <row r="24" spans="1:4" ht="13.5" customHeight="1" x14ac:dyDescent="0.35">
      <c r="A24">
        <v>231230</v>
      </c>
      <c r="B24" t="s">
        <v>56</v>
      </c>
      <c r="C24" s="34">
        <v>-1338.08</v>
      </c>
      <c r="D24" s="12"/>
    </row>
    <row r="25" spans="1:4" ht="13.5" customHeight="1" x14ac:dyDescent="0.35">
      <c r="A25">
        <v>231415</v>
      </c>
      <c r="B25" t="s">
        <v>57</v>
      </c>
      <c r="C25">
        <v>-190.4</v>
      </c>
      <c r="D25" s="12"/>
    </row>
    <row r="26" spans="1:4" ht="13.5" customHeight="1" x14ac:dyDescent="0.35">
      <c r="A26">
        <v>231419</v>
      </c>
      <c r="B26" t="s">
        <v>58</v>
      </c>
      <c r="C26">
        <v>54.31</v>
      </c>
      <c r="D26" s="12"/>
    </row>
    <row r="27" spans="1:4" ht="13.5" customHeight="1" x14ac:dyDescent="0.35">
      <c r="A27">
        <v>231421</v>
      </c>
      <c r="B27" t="s">
        <v>59</v>
      </c>
      <c r="C27">
        <v>-11.19</v>
      </c>
      <c r="D27" s="12"/>
    </row>
    <row r="28" spans="1:4" ht="13.5" customHeight="1" x14ac:dyDescent="0.35">
      <c r="A28">
        <v>231426</v>
      </c>
      <c r="B28" t="s">
        <v>60</v>
      </c>
      <c r="C28">
        <v>-311.7</v>
      </c>
      <c r="D28" s="12"/>
    </row>
    <row r="29" spans="1:4" ht="13.5" customHeight="1" x14ac:dyDescent="0.35">
      <c r="A29">
        <v>231434</v>
      </c>
      <c r="B29" t="s">
        <v>107</v>
      </c>
      <c r="C29">
        <v>-641.83000000000004</v>
      </c>
      <c r="D29" s="12"/>
    </row>
    <row r="30" spans="1:4" ht="13.5" customHeight="1" x14ac:dyDescent="0.35">
      <c r="A30">
        <v>231520</v>
      </c>
      <c r="B30" t="s">
        <v>85</v>
      </c>
      <c r="C30" s="35">
        <v>-1000</v>
      </c>
      <c r="D30" s="12"/>
    </row>
    <row r="31" spans="1:4" ht="13.5" customHeight="1" x14ac:dyDescent="0.35">
      <c r="A31">
        <v>232210</v>
      </c>
      <c r="B31" t="s">
        <v>86</v>
      </c>
      <c r="C31">
        <v>-561</v>
      </c>
      <c r="D31" s="12"/>
    </row>
    <row r="32" spans="1:4" ht="13.5" customHeight="1" x14ac:dyDescent="0.35">
      <c r="A32">
        <v>234200</v>
      </c>
      <c r="B32" t="s">
        <v>87</v>
      </c>
      <c r="C32" s="34">
        <v>-301439.43</v>
      </c>
      <c r="D32" s="12"/>
    </row>
    <row r="33" spans="1:4" ht="13.5" customHeight="1" x14ac:dyDescent="0.35">
      <c r="A33">
        <v>601100</v>
      </c>
      <c r="B33" t="s">
        <v>28</v>
      </c>
      <c r="C33" s="34">
        <v>59824.58</v>
      </c>
      <c r="D33" s="12"/>
    </row>
    <row r="34" spans="1:4" ht="13.5" customHeight="1" x14ac:dyDescent="0.35">
      <c r="A34">
        <v>601200</v>
      </c>
      <c r="B34" t="s">
        <v>29</v>
      </c>
      <c r="C34" s="34">
        <v>8915.01</v>
      </c>
      <c r="D34" s="12"/>
    </row>
    <row r="35" spans="1:4" ht="13.5" customHeight="1" x14ac:dyDescent="0.35">
      <c r="A35">
        <v>602010</v>
      </c>
      <c r="B35" t="s">
        <v>30</v>
      </c>
      <c r="C35" s="35">
        <v>1000</v>
      </c>
      <c r="D35" s="12"/>
    </row>
    <row r="36" spans="1:4" ht="13.5" customHeight="1" x14ac:dyDescent="0.35">
      <c r="A36">
        <v>602020</v>
      </c>
      <c r="B36" t="s">
        <v>88</v>
      </c>
      <c r="C36">
        <v>700</v>
      </c>
      <c r="D36" s="12"/>
    </row>
    <row r="37" spans="1:4" ht="13.5" customHeight="1" x14ac:dyDescent="0.35">
      <c r="A37">
        <v>602030</v>
      </c>
      <c r="B37" t="s">
        <v>31</v>
      </c>
      <c r="C37">
        <v>605.44000000000005</v>
      </c>
      <c r="D37" s="12"/>
    </row>
    <row r="38" spans="1:4" ht="13.5" customHeight="1" x14ac:dyDescent="0.35">
      <c r="A38">
        <v>602040</v>
      </c>
      <c r="B38" t="s">
        <v>32</v>
      </c>
      <c r="C38">
        <v>58.16</v>
      </c>
      <c r="D38" s="12"/>
    </row>
    <row r="39" spans="1:4" ht="13.5" customHeight="1" x14ac:dyDescent="0.35">
      <c r="A39">
        <v>602060</v>
      </c>
      <c r="B39" t="s">
        <v>33</v>
      </c>
      <c r="C39" s="35">
        <v>5880</v>
      </c>
    </row>
    <row r="40" spans="1:4" ht="13.5" customHeight="1" x14ac:dyDescent="0.35">
      <c r="A40">
        <v>602070</v>
      </c>
      <c r="B40" t="s">
        <v>34</v>
      </c>
      <c r="C40" s="35">
        <v>7000</v>
      </c>
    </row>
    <row r="41" spans="1:4" ht="13.5" customHeight="1" x14ac:dyDescent="0.35">
      <c r="A41">
        <v>602121</v>
      </c>
      <c r="B41" t="s">
        <v>35</v>
      </c>
      <c r="C41" s="34">
        <v>7374.18</v>
      </c>
    </row>
    <row r="42" spans="1:4" ht="13.5" customHeight="1" x14ac:dyDescent="0.35">
      <c r="A42">
        <v>602126</v>
      </c>
      <c r="B42" t="s">
        <v>36</v>
      </c>
      <c r="C42">
        <v>198.4</v>
      </c>
    </row>
    <row r="43" spans="1:4" ht="13.5" customHeight="1" x14ac:dyDescent="0.35">
      <c r="A43">
        <v>602140</v>
      </c>
      <c r="B43" t="s">
        <v>37</v>
      </c>
      <c r="C43">
        <v>297.08</v>
      </c>
    </row>
    <row r="44" spans="1:4" ht="13.5" customHeight="1" x14ac:dyDescent="0.35">
      <c r="A44">
        <v>602170</v>
      </c>
      <c r="B44" t="s">
        <v>38</v>
      </c>
      <c r="C44" s="35">
        <v>1666</v>
      </c>
    </row>
    <row r="45" spans="1:4" ht="13.5" customHeight="1" x14ac:dyDescent="0.35">
      <c r="A45">
        <v>602172</v>
      </c>
      <c r="B45" t="s">
        <v>39</v>
      </c>
      <c r="C45">
        <v>119.73</v>
      </c>
    </row>
    <row r="46" spans="1:4" ht="13.5" customHeight="1" x14ac:dyDescent="0.35">
      <c r="A46">
        <v>602190</v>
      </c>
      <c r="B46" t="s">
        <v>40</v>
      </c>
      <c r="C46" s="34">
        <v>2347.9299999999998</v>
      </c>
    </row>
    <row r="47" spans="1:4" ht="13.5" customHeight="1" x14ac:dyDescent="0.35">
      <c r="A47">
        <v>602200</v>
      </c>
      <c r="B47" t="s">
        <v>53</v>
      </c>
      <c r="C47" s="34">
        <v>1071.8</v>
      </c>
    </row>
    <row r="48" spans="1:4" ht="13.5" customHeight="1" x14ac:dyDescent="0.35">
      <c r="A48">
        <v>602210</v>
      </c>
      <c r="B48" t="s">
        <v>41</v>
      </c>
      <c r="C48">
        <v>461.65</v>
      </c>
    </row>
    <row r="49" spans="1:3" ht="13.5" customHeight="1" x14ac:dyDescent="0.35">
      <c r="A49">
        <v>602213</v>
      </c>
      <c r="B49" t="s">
        <v>42</v>
      </c>
      <c r="C49">
        <v>350</v>
      </c>
    </row>
    <row r="50" spans="1:3" ht="13.5" customHeight="1" x14ac:dyDescent="0.35">
      <c r="A50">
        <v>602230</v>
      </c>
      <c r="B50" t="s">
        <v>43</v>
      </c>
      <c r="C50" s="34">
        <v>2237.87</v>
      </c>
    </row>
    <row r="51" spans="1:3" ht="13.5" customHeight="1" x14ac:dyDescent="0.35">
      <c r="A51">
        <v>602250</v>
      </c>
      <c r="B51" t="s">
        <v>44</v>
      </c>
      <c r="C51" s="35">
        <v>2000</v>
      </c>
    </row>
    <row r="52" spans="1:3" ht="13.5" customHeight="1" x14ac:dyDescent="0.35">
      <c r="A52">
        <v>602380</v>
      </c>
      <c r="B52" t="s">
        <v>45</v>
      </c>
      <c r="C52">
        <v>44.32</v>
      </c>
    </row>
    <row r="53" spans="1:3" ht="13.5" customHeight="1" x14ac:dyDescent="0.35">
      <c r="A53">
        <v>602430</v>
      </c>
      <c r="B53" t="s">
        <v>46</v>
      </c>
      <c r="C53" s="34">
        <v>24871.45</v>
      </c>
    </row>
    <row r="54" spans="1:3" ht="13.5" customHeight="1" x14ac:dyDescent="0.35">
      <c r="A54">
        <v>602431</v>
      </c>
      <c r="B54" t="s">
        <v>47</v>
      </c>
      <c r="C54">
        <v>250</v>
      </c>
    </row>
    <row r="55" spans="1:3" ht="13.5" customHeight="1" x14ac:dyDescent="0.35">
      <c r="A55">
        <v>602471</v>
      </c>
      <c r="B55" t="s">
        <v>48</v>
      </c>
      <c r="C55">
        <v>678</v>
      </c>
    </row>
    <row r="56" spans="1:3" ht="13.5" customHeight="1" x14ac:dyDescent="0.35">
      <c r="A56">
        <v>602472</v>
      </c>
      <c r="B56" t="s">
        <v>49</v>
      </c>
      <c r="C56">
        <v>420.42</v>
      </c>
    </row>
    <row r="57" spans="1:3" ht="13.5" customHeight="1" x14ac:dyDescent="0.35">
      <c r="A57">
        <v>650101</v>
      </c>
      <c r="B57" t="s">
        <v>89</v>
      </c>
      <c r="C57" s="34">
        <v>2079.41</v>
      </c>
    </row>
    <row r="58" spans="1:3" ht="13.5" customHeight="1" x14ac:dyDescent="0.35">
      <c r="A58">
        <v>714100</v>
      </c>
      <c r="B58" t="s">
        <v>90</v>
      </c>
      <c r="C58">
        <v>238.34</v>
      </c>
    </row>
    <row r="59" spans="1:3" ht="13.5" customHeight="1" x14ac:dyDescent="0.35">
      <c r="A59">
        <v>800030</v>
      </c>
      <c r="B59" t="s">
        <v>86</v>
      </c>
      <c r="C59">
        <v>760.25</v>
      </c>
    </row>
    <row r="60" spans="1:3" ht="13.5" customHeight="1" x14ac:dyDescent="0.35">
      <c r="C60" s="48"/>
    </row>
    <row r="61" spans="1:3" ht="13.5" customHeight="1" x14ac:dyDescent="0.35"/>
    <row r="62" spans="1:3" ht="13.5" customHeight="1" x14ac:dyDescent="0.35"/>
    <row r="63" spans="1:3" ht="13.5" customHeight="1" x14ac:dyDescent="0.35"/>
    <row r="64" spans="1:3" ht="13.5" customHeight="1" x14ac:dyDescent="0.35"/>
    <row r="65" ht="13.5" customHeight="1" x14ac:dyDescent="0.35"/>
    <row r="66" ht="13.5" customHeight="1" x14ac:dyDescent="0.35"/>
    <row r="67" ht="13.5" customHeight="1" x14ac:dyDescent="0.35"/>
    <row r="68" ht="13.5" customHeight="1" x14ac:dyDescent="0.35"/>
    <row r="69" ht="13.5" customHeight="1" x14ac:dyDescent="0.35"/>
    <row r="70" ht="13.5" customHeight="1" x14ac:dyDescent="0.35"/>
    <row r="71" ht="13.5" customHeight="1" x14ac:dyDescent="0.35"/>
    <row r="72" ht="13.5" customHeight="1" x14ac:dyDescent="0.35"/>
    <row r="73" ht="13.5" customHeight="1" x14ac:dyDescent="0.35"/>
    <row r="74" ht="13.5" customHeight="1" x14ac:dyDescent="0.35"/>
    <row r="75" ht="13.5" customHeight="1" x14ac:dyDescent="0.35"/>
    <row r="76" ht="13.5" customHeight="1" x14ac:dyDescent="0.35"/>
    <row r="77" ht="13.5" customHeight="1" x14ac:dyDescent="0.35"/>
    <row r="78" ht="13.5" customHeight="1" x14ac:dyDescent="0.35"/>
    <row r="79" ht="13.5" customHeight="1" x14ac:dyDescent="0.35"/>
    <row r="80" ht="13.5" customHeight="1" x14ac:dyDescent="0.35"/>
    <row r="81" ht="13.5" customHeight="1" x14ac:dyDescent="0.35"/>
    <row r="82" ht="13.5" customHeight="1" x14ac:dyDescent="0.35"/>
    <row r="83" ht="13.5" customHeight="1" x14ac:dyDescent="0.35"/>
    <row r="84" ht="13.5" customHeight="1" x14ac:dyDescent="0.35"/>
    <row r="85" ht="13.5" customHeight="1" x14ac:dyDescent="0.35"/>
    <row r="86" ht="13.5" customHeight="1" x14ac:dyDescent="0.35"/>
    <row r="87" ht="13.5" customHeight="1" x14ac:dyDescent="0.35"/>
    <row r="88" ht="13.5" customHeight="1" x14ac:dyDescent="0.35"/>
    <row r="89" ht="13.5" customHeight="1" x14ac:dyDescent="0.35"/>
    <row r="90" ht="13.5" customHeight="1" x14ac:dyDescent="0.35"/>
    <row r="91" ht="13.5" customHeight="1" x14ac:dyDescent="0.35"/>
    <row r="92" ht="13.5" customHeight="1" x14ac:dyDescent="0.35"/>
    <row r="93" ht="13.5" customHeight="1" x14ac:dyDescent="0.35"/>
    <row r="94" ht="13.5" customHeight="1" x14ac:dyDescent="0.35"/>
    <row r="95" ht="13.5" customHeight="1" x14ac:dyDescent="0.35"/>
    <row r="96" ht="13.5" customHeight="1" x14ac:dyDescent="0.35"/>
    <row r="97" ht="13.5" customHeight="1" x14ac:dyDescent="0.35"/>
    <row r="98" ht="13.5" customHeight="1" x14ac:dyDescent="0.35"/>
    <row r="99" ht="13.5" customHeight="1" x14ac:dyDescent="0.35"/>
    <row r="100" ht="13.5" customHeight="1" x14ac:dyDescent="0.35"/>
    <row r="101" ht="13.5" customHeight="1" x14ac:dyDescent="0.35"/>
    <row r="102" ht="13.5" customHeight="1" x14ac:dyDescent="0.35"/>
    <row r="103" ht="13.5" customHeight="1" x14ac:dyDescent="0.35"/>
    <row r="104" ht="13.5" customHeight="1" x14ac:dyDescent="0.35"/>
    <row r="105" ht="13.5" customHeight="1" x14ac:dyDescent="0.35"/>
    <row r="106" ht="13.5" customHeight="1" x14ac:dyDescent="0.35"/>
    <row r="107" ht="13.5" customHeight="1" x14ac:dyDescent="0.35"/>
    <row r="108" ht="13.5" customHeight="1" x14ac:dyDescent="0.35"/>
    <row r="109" ht="13.5" customHeight="1" x14ac:dyDescent="0.35"/>
    <row r="110" ht="13.5" customHeight="1" x14ac:dyDescent="0.35"/>
    <row r="111" ht="13.5" customHeight="1" x14ac:dyDescent="0.35"/>
    <row r="112" ht="13.5" customHeight="1" x14ac:dyDescent="0.35"/>
    <row r="113" ht="13.5" customHeight="1" x14ac:dyDescent="0.35"/>
    <row r="114" ht="13.5" customHeight="1" x14ac:dyDescent="0.35"/>
    <row r="115" ht="13.5" customHeight="1" x14ac:dyDescent="0.35"/>
    <row r="116" ht="13.5" customHeight="1" x14ac:dyDescent="0.35"/>
    <row r="117" ht="13.5" customHeight="1" x14ac:dyDescent="0.35"/>
    <row r="118" ht="13.5" customHeight="1" x14ac:dyDescent="0.35"/>
    <row r="119" ht="13.5" customHeight="1" x14ac:dyDescent="0.35"/>
    <row r="120" ht="13.5" customHeight="1" x14ac:dyDescent="0.35"/>
    <row r="121" ht="13.5" customHeight="1" x14ac:dyDescent="0.35"/>
    <row r="122" ht="13.5" customHeight="1" x14ac:dyDescent="0.35"/>
    <row r="123" ht="13.5" customHeight="1" x14ac:dyDescent="0.35"/>
    <row r="124" ht="13.5" customHeight="1" x14ac:dyDescent="0.35"/>
    <row r="125" ht="13.5" customHeight="1" x14ac:dyDescent="0.35"/>
    <row r="126" ht="13.5" customHeight="1" x14ac:dyDescent="0.35"/>
    <row r="127" ht="13.5" customHeight="1" x14ac:dyDescent="0.35"/>
    <row r="128" ht="13.5" customHeight="1" x14ac:dyDescent="0.35"/>
    <row r="129" ht="13.5" customHeight="1" x14ac:dyDescent="0.35"/>
    <row r="130" ht="13.5" customHeight="1" x14ac:dyDescent="0.35"/>
    <row r="131" ht="13.5" customHeight="1" x14ac:dyDescent="0.35"/>
    <row r="132" ht="13.5" customHeight="1" x14ac:dyDescent="0.35"/>
    <row r="133" ht="13.5" customHeight="1" x14ac:dyDescent="0.35"/>
    <row r="134" ht="13.5" customHeight="1" x14ac:dyDescent="0.35"/>
    <row r="135" ht="13.5" customHeight="1" x14ac:dyDescent="0.35"/>
    <row r="136" ht="13.5" customHeight="1" x14ac:dyDescent="0.35"/>
    <row r="137" ht="13.5" customHeight="1" x14ac:dyDescent="0.35"/>
    <row r="138" ht="13.5" customHeight="1" x14ac:dyDescent="0.35"/>
    <row r="139" ht="13.5" customHeight="1" x14ac:dyDescent="0.35"/>
    <row r="140" ht="13.5" customHeight="1" x14ac:dyDescent="0.35"/>
    <row r="141" ht="13.5" customHeight="1" x14ac:dyDescent="0.35"/>
    <row r="142" ht="13.5" customHeight="1" x14ac:dyDescent="0.35"/>
    <row r="143" ht="13.5" customHeight="1" x14ac:dyDescent="0.35"/>
    <row r="144" ht="13.5" customHeight="1" x14ac:dyDescent="0.35"/>
    <row r="145" ht="13.5" customHeight="1" x14ac:dyDescent="0.35"/>
    <row r="146" ht="13.5" customHeight="1" x14ac:dyDescent="0.35"/>
    <row r="147" ht="13.5" customHeight="1" x14ac:dyDescent="0.35"/>
    <row r="148" ht="13.5" customHeight="1" x14ac:dyDescent="0.35"/>
    <row r="149" ht="13.5" customHeight="1" x14ac:dyDescent="0.35"/>
    <row r="150" ht="13.5" customHeight="1" x14ac:dyDescent="0.35"/>
    <row r="151" ht="13.5" customHeight="1" x14ac:dyDescent="0.35"/>
    <row r="152" ht="13.5" customHeight="1" x14ac:dyDescent="0.35"/>
    <row r="153" ht="13.5" customHeight="1" x14ac:dyDescent="0.35"/>
    <row r="154" ht="13.5" customHeight="1" x14ac:dyDescent="0.35"/>
    <row r="155" ht="13.5" customHeight="1" x14ac:dyDescent="0.35"/>
    <row r="156" ht="13.5" customHeight="1" x14ac:dyDescent="0.35"/>
    <row r="157" ht="13.5" customHeight="1" x14ac:dyDescent="0.35"/>
    <row r="158" ht="13.5" customHeight="1" x14ac:dyDescent="0.35"/>
    <row r="159" ht="13.5" customHeight="1" x14ac:dyDescent="0.35"/>
    <row r="160" ht="13.5" customHeight="1" x14ac:dyDescent="0.35"/>
    <row r="161" ht="13.5" customHeight="1" x14ac:dyDescent="0.35"/>
    <row r="162" ht="13.5" customHeight="1" x14ac:dyDescent="0.35"/>
    <row r="163" ht="13.5" customHeight="1" x14ac:dyDescent="0.35"/>
    <row r="164" ht="13.5" customHeight="1" x14ac:dyDescent="0.35"/>
    <row r="165" ht="13.5" customHeight="1" x14ac:dyDescent="0.35"/>
    <row r="166" ht="13.5" customHeight="1" x14ac:dyDescent="0.35"/>
    <row r="167" ht="13.5" customHeight="1" x14ac:dyDescent="0.35"/>
    <row r="168" ht="13.5" customHeight="1" x14ac:dyDescent="0.35"/>
    <row r="169" ht="13.5" customHeight="1" x14ac:dyDescent="0.35"/>
    <row r="170" ht="13.5" customHeight="1" x14ac:dyDescent="0.35"/>
    <row r="171" ht="13.5" customHeight="1" x14ac:dyDescent="0.35"/>
    <row r="172" ht="13.5" customHeight="1" x14ac:dyDescent="0.35"/>
    <row r="173" ht="13.5" customHeight="1" x14ac:dyDescent="0.35"/>
    <row r="174" ht="13.5" customHeight="1" x14ac:dyDescent="0.35"/>
    <row r="175" ht="13.5" customHeight="1" x14ac:dyDescent="0.35"/>
    <row r="176" ht="13.5" customHeight="1" x14ac:dyDescent="0.35"/>
    <row r="177" ht="13.5" customHeight="1" x14ac:dyDescent="0.35"/>
    <row r="178" ht="13.5" customHeight="1" x14ac:dyDescent="0.35"/>
    <row r="179" ht="13.5" customHeight="1" x14ac:dyDescent="0.35"/>
    <row r="180" ht="13.5" customHeight="1" x14ac:dyDescent="0.35"/>
    <row r="181" ht="13.5" customHeight="1" x14ac:dyDescent="0.35"/>
    <row r="182" ht="13.5" customHeight="1" x14ac:dyDescent="0.35"/>
    <row r="183" ht="13.5" customHeight="1" x14ac:dyDescent="0.35"/>
    <row r="184" ht="13.5" customHeight="1" x14ac:dyDescent="0.35"/>
    <row r="185" ht="13.5" customHeight="1" x14ac:dyDescent="0.35"/>
    <row r="186" ht="13.5" customHeight="1" x14ac:dyDescent="0.35"/>
    <row r="187" ht="13.5" customHeight="1" x14ac:dyDescent="0.35"/>
    <row r="188" ht="13.5" customHeight="1" x14ac:dyDescent="0.35"/>
    <row r="189" ht="13.5" customHeight="1" x14ac:dyDescent="0.35"/>
    <row r="190" ht="13.5" customHeight="1" x14ac:dyDescent="0.35"/>
    <row r="191" ht="13.5" customHeight="1" x14ac:dyDescent="0.35"/>
    <row r="192" ht="13.5" customHeight="1" x14ac:dyDescent="0.35"/>
    <row r="193" ht="13.5" customHeight="1" x14ac:dyDescent="0.35"/>
    <row r="194" ht="13.5" customHeight="1" x14ac:dyDescent="0.35"/>
    <row r="195" ht="13.5" customHeight="1" x14ac:dyDescent="0.35"/>
    <row r="196" ht="13.5" customHeight="1" x14ac:dyDescent="0.35"/>
    <row r="197" ht="13.5" customHeight="1" x14ac:dyDescent="0.35"/>
    <row r="198" ht="13.5" customHeight="1" x14ac:dyDescent="0.35"/>
    <row r="199" ht="13.5" customHeight="1" x14ac:dyDescent="0.35"/>
    <row r="200" ht="13.5" customHeight="1" x14ac:dyDescent="0.35"/>
    <row r="201" ht="13.5" customHeight="1" x14ac:dyDescent="0.35"/>
    <row r="202" ht="13.5" customHeight="1" x14ac:dyDescent="0.35"/>
    <row r="203" ht="13.5" customHeight="1" x14ac:dyDescent="0.35"/>
    <row r="204" ht="13.5" customHeight="1" x14ac:dyDescent="0.35"/>
    <row r="205" ht="13.5" customHeight="1" x14ac:dyDescent="0.35"/>
    <row r="206" ht="13.5" customHeight="1" x14ac:dyDescent="0.35"/>
    <row r="207" ht="13.5" customHeight="1" x14ac:dyDescent="0.35"/>
    <row r="208" ht="13.5" customHeight="1" x14ac:dyDescent="0.35"/>
    <row r="209" ht="13.5" customHeight="1" x14ac:dyDescent="0.35"/>
    <row r="210" ht="13.5" customHeight="1" x14ac:dyDescent="0.35"/>
    <row r="211" ht="13.5" customHeight="1" x14ac:dyDescent="0.35"/>
    <row r="212" ht="13.5" customHeight="1" x14ac:dyDescent="0.35"/>
    <row r="213" ht="13.5" customHeight="1" x14ac:dyDescent="0.35"/>
    <row r="214" ht="13.5" customHeight="1" x14ac:dyDescent="0.35"/>
    <row r="215" ht="13.5" customHeight="1" x14ac:dyDescent="0.35"/>
    <row r="216" ht="13.5" customHeight="1" x14ac:dyDescent="0.35"/>
    <row r="217" ht="13.5" customHeight="1" x14ac:dyDescent="0.35"/>
    <row r="218" ht="13.5" customHeight="1" x14ac:dyDescent="0.35"/>
    <row r="219" ht="13.5" customHeight="1" x14ac:dyDescent="0.35"/>
    <row r="220" ht="13.5" customHeight="1" x14ac:dyDescent="0.35"/>
    <row r="221" ht="13.5" customHeight="1" x14ac:dyDescent="0.35"/>
    <row r="222" ht="13.5" customHeight="1" x14ac:dyDescent="0.35"/>
    <row r="223" ht="13.5" customHeight="1" x14ac:dyDescent="0.35"/>
    <row r="224" ht="13.5" customHeight="1" x14ac:dyDescent="0.35"/>
    <row r="225" ht="13.5" customHeight="1" x14ac:dyDescent="0.35"/>
    <row r="226" ht="13.5" customHeight="1" x14ac:dyDescent="0.35"/>
    <row r="227" ht="13.5" customHeight="1" x14ac:dyDescent="0.35"/>
    <row r="228" ht="13.5" customHeight="1" x14ac:dyDescent="0.35"/>
    <row r="229" ht="13.5" customHeight="1" x14ac:dyDescent="0.35"/>
    <row r="230" ht="13.5" customHeight="1" x14ac:dyDescent="0.35"/>
    <row r="231" ht="13.5" customHeight="1" x14ac:dyDescent="0.35"/>
    <row r="232" ht="13.5" customHeight="1" x14ac:dyDescent="0.35"/>
    <row r="233" ht="13.5" customHeight="1" x14ac:dyDescent="0.35"/>
    <row r="234" ht="13.5" customHeight="1" x14ac:dyDescent="0.35"/>
    <row r="235" ht="13.5" customHeight="1" x14ac:dyDescent="0.35"/>
    <row r="236" ht="13.5" customHeight="1" x14ac:dyDescent="0.35"/>
    <row r="237" ht="13.5" customHeight="1" x14ac:dyDescent="0.35"/>
    <row r="238" ht="13.5" customHeight="1" x14ac:dyDescent="0.35"/>
    <row r="239" ht="13.5" customHeight="1" x14ac:dyDescent="0.35"/>
    <row r="240" ht="13.5" customHeight="1" x14ac:dyDescent="0.35"/>
    <row r="241" ht="13.5" customHeight="1" x14ac:dyDescent="0.35"/>
    <row r="242" ht="13.5" customHeight="1" x14ac:dyDescent="0.35"/>
    <row r="243" ht="13.5" customHeight="1" x14ac:dyDescent="0.35"/>
    <row r="244" ht="13.5" customHeight="1" x14ac:dyDescent="0.35"/>
    <row r="245" ht="13.5" customHeight="1" x14ac:dyDescent="0.35"/>
    <row r="246" ht="13.5" customHeight="1" x14ac:dyDescent="0.35"/>
    <row r="247" ht="13.5" customHeight="1" x14ac:dyDescent="0.35"/>
    <row r="248" ht="13.5" customHeight="1" x14ac:dyDescent="0.35"/>
    <row r="249" ht="13.5" customHeight="1" x14ac:dyDescent="0.35"/>
    <row r="250" ht="13.5" customHeight="1" x14ac:dyDescent="0.35"/>
    <row r="251" ht="13.5" customHeight="1" x14ac:dyDescent="0.35"/>
    <row r="252" ht="13.5" customHeight="1" x14ac:dyDescent="0.35"/>
    <row r="253" ht="13.5" customHeight="1" x14ac:dyDescent="0.35"/>
    <row r="254" ht="13.5" customHeight="1" x14ac:dyDescent="0.35"/>
    <row r="255" ht="13.5" customHeight="1" x14ac:dyDescent="0.35"/>
    <row r="256" ht="13.5" customHeight="1" x14ac:dyDescent="0.35"/>
    <row r="257" ht="13.5" customHeight="1" x14ac:dyDescent="0.35"/>
    <row r="258" ht="13.5" customHeight="1" x14ac:dyDescent="0.35"/>
    <row r="259" ht="13.5" customHeight="1" x14ac:dyDescent="0.35"/>
    <row r="260" ht="13.5" customHeight="1" x14ac:dyDescent="0.35"/>
    <row r="261" ht="13.5" customHeight="1" x14ac:dyDescent="0.35"/>
    <row r="262" ht="13.5" customHeight="1" x14ac:dyDescent="0.35"/>
    <row r="263" ht="13.5" customHeight="1" x14ac:dyDescent="0.35"/>
    <row r="264" ht="13.5" customHeight="1" x14ac:dyDescent="0.35"/>
    <row r="265" ht="13.5" customHeight="1" x14ac:dyDescent="0.35"/>
    <row r="266" ht="13.5" customHeight="1" x14ac:dyDescent="0.35"/>
    <row r="267" ht="13.5" customHeight="1" x14ac:dyDescent="0.35"/>
    <row r="268" ht="13.5" customHeight="1" x14ac:dyDescent="0.35"/>
    <row r="269" ht="13.5" customHeight="1" x14ac:dyDescent="0.35"/>
    <row r="270" ht="13.5" customHeight="1" x14ac:dyDescent="0.35"/>
    <row r="271" ht="13.5" customHeight="1" x14ac:dyDescent="0.35"/>
    <row r="272" ht="13.5" customHeight="1" x14ac:dyDescent="0.35"/>
    <row r="273" ht="13.5" customHeight="1" x14ac:dyDescent="0.35"/>
    <row r="274" ht="13.5" customHeight="1" x14ac:dyDescent="0.35"/>
    <row r="275" ht="13.5" customHeight="1" x14ac:dyDescent="0.35"/>
    <row r="276" ht="13.5" customHeight="1" x14ac:dyDescent="0.35"/>
    <row r="277" ht="13.5" customHeight="1" x14ac:dyDescent="0.35"/>
    <row r="278" ht="13.5" customHeight="1" x14ac:dyDescent="0.35"/>
    <row r="279" ht="13.5" customHeight="1" x14ac:dyDescent="0.35"/>
    <row r="280" ht="13.5" customHeight="1" x14ac:dyDescent="0.35"/>
    <row r="281" ht="13.5" customHeight="1" x14ac:dyDescent="0.35"/>
    <row r="282" ht="13.5" customHeight="1" x14ac:dyDescent="0.35"/>
    <row r="283" ht="13.5" customHeight="1" x14ac:dyDescent="0.35"/>
    <row r="284" ht="13.5" customHeight="1" x14ac:dyDescent="0.35"/>
    <row r="285" ht="13.5" customHeight="1" x14ac:dyDescent="0.35"/>
    <row r="286" ht="13.5" customHeight="1" x14ac:dyDescent="0.35"/>
    <row r="287" ht="13.5" customHeight="1" x14ac:dyDescent="0.35"/>
    <row r="288" ht="13.5" customHeight="1" x14ac:dyDescent="0.35"/>
    <row r="289" ht="13.5" customHeight="1" x14ac:dyDescent="0.35"/>
    <row r="290" ht="13.5" customHeight="1" x14ac:dyDescent="0.35"/>
    <row r="291" ht="13.5" customHeight="1" x14ac:dyDescent="0.35"/>
    <row r="292" ht="13.5" customHeight="1" x14ac:dyDescent="0.35"/>
    <row r="293" ht="13.5" customHeight="1" x14ac:dyDescent="0.35"/>
    <row r="294" ht="13.5" customHeight="1" x14ac:dyDescent="0.35"/>
    <row r="295" ht="13.5" customHeight="1" x14ac:dyDescent="0.35"/>
    <row r="296" ht="13.5" customHeight="1" x14ac:dyDescent="0.35"/>
    <row r="297" ht="13.5" customHeight="1" x14ac:dyDescent="0.35"/>
    <row r="298" ht="13.5" customHeight="1" x14ac:dyDescent="0.35"/>
    <row r="299" ht="13.5" customHeight="1" x14ac:dyDescent="0.35"/>
    <row r="300" ht="13.5" customHeight="1" x14ac:dyDescent="0.35"/>
    <row r="301" ht="13.5" customHeight="1" x14ac:dyDescent="0.35"/>
    <row r="302" ht="13.5" customHeight="1" x14ac:dyDescent="0.35"/>
    <row r="303" ht="13.5" customHeight="1" x14ac:dyDescent="0.35"/>
    <row r="304" ht="13.5" customHeight="1" x14ac:dyDescent="0.35"/>
    <row r="305" ht="13.5" customHeight="1" x14ac:dyDescent="0.35"/>
    <row r="306" ht="13.5" customHeight="1" x14ac:dyDescent="0.35"/>
    <row r="307" ht="13.5" customHeight="1" x14ac:dyDescent="0.35"/>
    <row r="308" ht="13.5" customHeight="1" x14ac:dyDescent="0.35"/>
    <row r="309" ht="13.5" customHeight="1" x14ac:dyDescent="0.35"/>
    <row r="310" ht="13.5" customHeight="1" x14ac:dyDescent="0.35"/>
    <row r="311" ht="13.5" customHeight="1" x14ac:dyDescent="0.35"/>
    <row r="312" ht="13.5" customHeight="1" x14ac:dyDescent="0.35"/>
    <row r="313" ht="13.5" customHeight="1" x14ac:dyDescent="0.35"/>
    <row r="314" ht="13.5" customHeight="1" x14ac:dyDescent="0.35"/>
    <row r="315" ht="13.5" customHeight="1" x14ac:dyDescent="0.35"/>
    <row r="316" ht="13.5" customHeight="1" x14ac:dyDescent="0.35"/>
    <row r="317" ht="13.5" customHeight="1" x14ac:dyDescent="0.35"/>
    <row r="318" ht="13.5" customHeight="1" x14ac:dyDescent="0.35"/>
    <row r="319" ht="13.5" customHeight="1" x14ac:dyDescent="0.35"/>
    <row r="320" ht="13.5" customHeight="1" x14ac:dyDescent="0.35"/>
    <row r="321" ht="13.5" customHeight="1" x14ac:dyDescent="0.35"/>
    <row r="322" ht="13.5" customHeight="1" x14ac:dyDescent="0.35"/>
    <row r="323" ht="13.5" customHeight="1" x14ac:dyDescent="0.35"/>
    <row r="324" ht="13.5" customHeight="1" x14ac:dyDescent="0.35"/>
    <row r="325" ht="13.5" customHeight="1" x14ac:dyDescent="0.35"/>
    <row r="326" ht="13.5" customHeight="1" x14ac:dyDescent="0.35"/>
    <row r="327" ht="13.5" customHeight="1" x14ac:dyDescent="0.35"/>
    <row r="328" ht="13.5" customHeight="1" x14ac:dyDescent="0.35"/>
    <row r="329" ht="13.5" customHeight="1" x14ac:dyDescent="0.35"/>
    <row r="330" ht="13.5" customHeight="1" x14ac:dyDescent="0.35"/>
    <row r="331" ht="13.5" customHeight="1" x14ac:dyDescent="0.35"/>
    <row r="332" ht="13.5" customHeight="1" x14ac:dyDescent="0.35"/>
    <row r="333" ht="13.5" customHeight="1" x14ac:dyDescent="0.35"/>
    <row r="334" ht="13.5" customHeight="1" x14ac:dyDescent="0.35"/>
    <row r="335" ht="13.5" customHeight="1" x14ac:dyDescent="0.35"/>
    <row r="336" ht="13.5" customHeight="1" x14ac:dyDescent="0.35"/>
    <row r="337" ht="13.5" customHeight="1" x14ac:dyDescent="0.35"/>
    <row r="338" ht="13.5" customHeight="1" x14ac:dyDescent="0.35"/>
    <row r="339" ht="13.5" customHeight="1" x14ac:dyDescent="0.35"/>
    <row r="340" ht="13.5" customHeight="1" x14ac:dyDescent="0.35"/>
    <row r="341" ht="13.5" customHeight="1" x14ac:dyDescent="0.35"/>
    <row r="342" ht="13.5" customHeight="1" x14ac:dyDescent="0.35"/>
    <row r="343" ht="13.5" customHeight="1" x14ac:dyDescent="0.35"/>
    <row r="344" ht="13.5" customHeight="1" x14ac:dyDescent="0.35"/>
    <row r="345" ht="13.5" customHeight="1" x14ac:dyDescent="0.35"/>
    <row r="346" ht="13.5" customHeight="1" x14ac:dyDescent="0.35"/>
    <row r="347" ht="13.5" customHeight="1" x14ac:dyDescent="0.35"/>
    <row r="348" ht="13.5" customHeight="1" x14ac:dyDescent="0.35"/>
    <row r="349" ht="13.5" customHeight="1" x14ac:dyDescent="0.35"/>
    <row r="350" ht="13.5" customHeight="1" x14ac:dyDescent="0.35"/>
    <row r="351" ht="13.5" customHeight="1" x14ac:dyDescent="0.35"/>
    <row r="352" ht="13.5" customHeight="1" x14ac:dyDescent="0.35"/>
    <row r="353" ht="13.5" customHeight="1" x14ac:dyDescent="0.35"/>
    <row r="354" ht="13.5" customHeight="1" x14ac:dyDescent="0.35"/>
    <row r="355" ht="13.5" customHeight="1" x14ac:dyDescent="0.35"/>
    <row r="356" ht="13.5" customHeight="1" x14ac:dyDescent="0.35"/>
    <row r="357" ht="13.5" customHeight="1" x14ac:dyDescent="0.35"/>
    <row r="358" ht="13.5" customHeight="1" x14ac:dyDescent="0.35"/>
    <row r="359" ht="13.5" customHeight="1" x14ac:dyDescent="0.35"/>
    <row r="360" ht="13.5" customHeight="1" x14ac:dyDescent="0.35"/>
    <row r="361" ht="13.5" customHeight="1" x14ac:dyDescent="0.35"/>
    <row r="362" ht="13.5" customHeight="1" x14ac:dyDescent="0.35"/>
    <row r="363" ht="13.5" customHeight="1" x14ac:dyDescent="0.35"/>
    <row r="364" ht="13.5" customHeight="1" x14ac:dyDescent="0.35"/>
    <row r="365" ht="13.5" customHeight="1" x14ac:dyDescent="0.35"/>
    <row r="366" ht="13.5" customHeight="1" x14ac:dyDescent="0.35"/>
    <row r="367" ht="13.5" customHeight="1" x14ac:dyDescent="0.35"/>
    <row r="368" ht="13.5" customHeight="1" x14ac:dyDescent="0.35"/>
    <row r="369" ht="13.5" customHeight="1" x14ac:dyDescent="0.35"/>
    <row r="370" ht="13.5" customHeight="1" x14ac:dyDescent="0.35"/>
    <row r="371" ht="13.5" customHeight="1" x14ac:dyDescent="0.35"/>
    <row r="372" ht="13.5" customHeight="1" x14ac:dyDescent="0.35"/>
    <row r="373" ht="13.5" customHeight="1" x14ac:dyDescent="0.35"/>
    <row r="374" ht="13.5" customHeight="1" x14ac:dyDescent="0.35"/>
    <row r="375" ht="13.5" customHeight="1" x14ac:dyDescent="0.35"/>
    <row r="376" ht="13.5" customHeight="1" x14ac:dyDescent="0.35"/>
    <row r="377" ht="13.5" customHeight="1" x14ac:dyDescent="0.35"/>
    <row r="378" ht="13.5" customHeight="1" x14ac:dyDescent="0.35"/>
    <row r="379" ht="13.5" customHeight="1" x14ac:dyDescent="0.35"/>
    <row r="380" ht="13.5" customHeight="1" x14ac:dyDescent="0.35"/>
    <row r="381" ht="13.5" customHeight="1" x14ac:dyDescent="0.35"/>
    <row r="382" ht="13.5" customHeight="1" x14ac:dyDescent="0.35"/>
    <row r="383" ht="13.5" customHeight="1" x14ac:dyDescent="0.35"/>
    <row r="384" ht="13.5" customHeight="1" x14ac:dyDescent="0.35"/>
    <row r="385" ht="13.5" customHeight="1" x14ac:dyDescent="0.35"/>
    <row r="386" ht="13.5" customHeight="1" x14ac:dyDescent="0.35"/>
    <row r="387" ht="13.5" customHeight="1" x14ac:dyDescent="0.35"/>
    <row r="388" ht="13.5" customHeight="1" x14ac:dyDescent="0.35"/>
    <row r="389" ht="13.5" customHeight="1" x14ac:dyDescent="0.35"/>
    <row r="390" ht="13.5" customHeight="1" x14ac:dyDescent="0.35"/>
    <row r="391" ht="13.5" customHeight="1" x14ac:dyDescent="0.35"/>
    <row r="392" ht="13.5" customHeight="1" x14ac:dyDescent="0.35"/>
    <row r="393" ht="13.5" customHeight="1" x14ac:dyDescent="0.35"/>
    <row r="394" ht="13.5" customHeight="1" x14ac:dyDescent="0.35"/>
    <row r="395" ht="13.5" customHeight="1" x14ac:dyDescent="0.35"/>
    <row r="396" ht="13.5" customHeight="1" x14ac:dyDescent="0.35"/>
    <row r="397" ht="13.5" customHeight="1" x14ac:dyDescent="0.35"/>
    <row r="398" ht="13.5" customHeight="1" x14ac:dyDescent="0.35"/>
    <row r="399" ht="13.5" customHeight="1" x14ac:dyDescent="0.35"/>
    <row r="400" ht="13.5" customHeight="1" x14ac:dyDescent="0.35"/>
    <row r="401" ht="13.5" customHeight="1" x14ac:dyDescent="0.35"/>
    <row r="402" ht="13.5" customHeight="1" x14ac:dyDescent="0.35"/>
    <row r="403" ht="13.5" customHeight="1" x14ac:dyDescent="0.35"/>
    <row r="404" ht="13.5" customHeight="1" x14ac:dyDescent="0.35"/>
    <row r="405" ht="13.5" customHeight="1" x14ac:dyDescent="0.35"/>
    <row r="406" ht="13.5" customHeight="1" x14ac:dyDescent="0.35"/>
    <row r="407" ht="13.5" customHeight="1" x14ac:dyDescent="0.35"/>
    <row r="408" ht="13.5" customHeight="1" x14ac:dyDescent="0.35"/>
    <row r="409" ht="13.5" customHeight="1" x14ac:dyDescent="0.35"/>
    <row r="410" ht="13.5" customHeight="1" x14ac:dyDescent="0.35"/>
    <row r="411" ht="13.5" customHeight="1" x14ac:dyDescent="0.35"/>
    <row r="412" ht="13.5" customHeight="1" x14ac:dyDescent="0.35"/>
    <row r="413" ht="13.5" customHeight="1" x14ac:dyDescent="0.35"/>
    <row r="414" ht="13.5" customHeight="1" x14ac:dyDescent="0.35"/>
    <row r="415" ht="13.5" customHeight="1" x14ac:dyDescent="0.35"/>
    <row r="416" ht="13.5" customHeight="1" x14ac:dyDescent="0.35"/>
    <row r="417" ht="13.5" customHeight="1" x14ac:dyDescent="0.35"/>
    <row r="418" ht="13.5" customHeight="1" x14ac:dyDescent="0.35"/>
    <row r="419" ht="13.5" customHeight="1" x14ac:dyDescent="0.35"/>
    <row r="420" ht="13.5" customHeight="1" x14ac:dyDescent="0.35"/>
    <row r="421" ht="13.5" customHeight="1" x14ac:dyDescent="0.35"/>
    <row r="422" ht="13.5" customHeight="1" x14ac:dyDescent="0.35"/>
    <row r="423" ht="13.5" customHeight="1" x14ac:dyDescent="0.35"/>
    <row r="424" ht="13.5" customHeight="1" x14ac:dyDescent="0.35"/>
    <row r="425" ht="13.5" customHeight="1" x14ac:dyDescent="0.35"/>
    <row r="426" ht="13.5" customHeight="1" x14ac:dyDescent="0.35"/>
    <row r="427" ht="13.5" customHeight="1" x14ac:dyDescent="0.35"/>
    <row r="428" ht="13.5" customHeight="1" x14ac:dyDescent="0.35"/>
    <row r="429" ht="13.5" customHeight="1" x14ac:dyDescent="0.35"/>
    <row r="430" ht="13.5" customHeight="1" x14ac:dyDescent="0.35"/>
    <row r="431" ht="13.5" customHeight="1" x14ac:dyDescent="0.35"/>
    <row r="432" ht="13.5" customHeight="1" x14ac:dyDescent="0.35"/>
    <row r="433" ht="13.5" customHeight="1" x14ac:dyDescent="0.35"/>
    <row r="434" ht="13.5" customHeight="1" x14ac:dyDescent="0.35"/>
    <row r="435" ht="13.5" customHeight="1" x14ac:dyDescent="0.35"/>
    <row r="436" ht="13.5" customHeight="1" x14ac:dyDescent="0.35"/>
    <row r="437" ht="13.5" customHeight="1" x14ac:dyDescent="0.35"/>
    <row r="438" ht="13.5" customHeight="1" x14ac:dyDescent="0.35"/>
    <row r="439" ht="13.5" customHeight="1" x14ac:dyDescent="0.35"/>
    <row r="440" ht="13.5" customHeight="1" x14ac:dyDescent="0.35"/>
    <row r="441" ht="13.5" customHeight="1" x14ac:dyDescent="0.35"/>
    <row r="442" ht="13.5" customHeight="1" x14ac:dyDescent="0.35"/>
    <row r="443" ht="13.5" customHeight="1" x14ac:dyDescent="0.35"/>
    <row r="444" ht="13.5" customHeight="1" x14ac:dyDescent="0.35"/>
    <row r="445" ht="13.5" customHeight="1" x14ac:dyDescent="0.35"/>
    <row r="446" ht="13.5" customHeight="1" x14ac:dyDescent="0.35"/>
    <row r="447" ht="13.5" customHeight="1" x14ac:dyDescent="0.35"/>
    <row r="448" ht="13.5" customHeight="1" x14ac:dyDescent="0.35"/>
    <row r="449" ht="13.5" customHeight="1" x14ac:dyDescent="0.35"/>
    <row r="450" ht="13.5" customHeight="1" x14ac:dyDescent="0.35"/>
    <row r="451" ht="13.5" customHeight="1" x14ac:dyDescent="0.35"/>
    <row r="452" ht="13.5" customHeight="1" x14ac:dyDescent="0.35"/>
    <row r="453" ht="13.5" customHeight="1" x14ac:dyDescent="0.35"/>
    <row r="454" ht="13.5" customHeight="1" x14ac:dyDescent="0.35"/>
    <row r="455" ht="13.5" customHeight="1" x14ac:dyDescent="0.35"/>
    <row r="456" ht="13.5" customHeight="1" x14ac:dyDescent="0.35"/>
    <row r="457" ht="13.5" customHeight="1" x14ac:dyDescent="0.35"/>
    <row r="458" ht="13.5" customHeight="1" x14ac:dyDescent="0.35"/>
    <row r="459" ht="13.5" customHeight="1" x14ac:dyDescent="0.35"/>
    <row r="460" ht="13.5" customHeight="1" x14ac:dyDescent="0.35"/>
    <row r="461" ht="13.5" customHeight="1" x14ac:dyDescent="0.35"/>
    <row r="462" ht="13.5" customHeight="1" x14ac:dyDescent="0.35"/>
    <row r="463" ht="13.5" customHeight="1" x14ac:dyDescent="0.35"/>
    <row r="464" ht="13.5" customHeight="1" x14ac:dyDescent="0.35"/>
    <row r="465" ht="13.5" customHeight="1" x14ac:dyDescent="0.35"/>
    <row r="466" ht="13.5" customHeight="1" x14ac:dyDescent="0.35"/>
    <row r="467" ht="13.5" customHeight="1" x14ac:dyDescent="0.35"/>
    <row r="468" ht="13.5" customHeight="1" x14ac:dyDescent="0.35"/>
    <row r="469" ht="13.5" customHeight="1" x14ac:dyDescent="0.35"/>
    <row r="470" ht="13.5" customHeight="1" x14ac:dyDescent="0.35"/>
    <row r="471" ht="13.5" customHeight="1" x14ac:dyDescent="0.35"/>
    <row r="472" ht="13.5" customHeight="1" x14ac:dyDescent="0.35"/>
    <row r="473" ht="13.5" customHeight="1" x14ac:dyDescent="0.35"/>
    <row r="474" ht="13.5" customHeight="1" x14ac:dyDescent="0.35"/>
    <row r="475" ht="13.5" customHeight="1" x14ac:dyDescent="0.35"/>
    <row r="476" ht="13.5" customHeight="1" x14ac:dyDescent="0.35"/>
    <row r="477" ht="13.5" customHeight="1" x14ac:dyDescent="0.35"/>
    <row r="478" ht="13.5" customHeight="1" x14ac:dyDescent="0.35"/>
    <row r="479" ht="13.5" customHeight="1" x14ac:dyDescent="0.35"/>
    <row r="480" ht="13.5" customHeight="1" x14ac:dyDescent="0.35"/>
    <row r="481" ht="13.5" customHeight="1" x14ac:dyDescent="0.35"/>
    <row r="482" ht="13.5" customHeight="1" x14ac:dyDescent="0.35"/>
    <row r="483" ht="13.5" customHeight="1" x14ac:dyDescent="0.35"/>
    <row r="484" ht="13.5" customHeight="1" x14ac:dyDescent="0.35"/>
    <row r="485" ht="13.5" customHeight="1" x14ac:dyDescent="0.35"/>
    <row r="486" ht="13.5" customHeight="1" x14ac:dyDescent="0.35"/>
    <row r="487" ht="13.5" customHeight="1" x14ac:dyDescent="0.35"/>
    <row r="488" ht="13.5" customHeight="1" x14ac:dyDescent="0.35"/>
    <row r="489" ht="13.5" customHeight="1" x14ac:dyDescent="0.35"/>
    <row r="490" ht="13.5" customHeight="1" x14ac:dyDescent="0.35"/>
    <row r="491" ht="13.5" customHeight="1" x14ac:dyDescent="0.35"/>
    <row r="492" ht="13.5" customHeight="1" x14ac:dyDescent="0.35"/>
    <row r="493" ht="13.5" customHeight="1" x14ac:dyDescent="0.35"/>
    <row r="494" ht="13.5" customHeight="1" x14ac:dyDescent="0.35"/>
    <row r="495" ht="13.5" customHeight="1" x14ac:dyDescent="0.35"/>
    <row r="496" ht="13.5" customHeight="1" x14ac:dyDescent="0.35"/>
    <row r="497" ht="13.5" customHeight="1" x14ac:dyDescent="0.35"/>
    <row r="498" ht="13.5" customHeight="1" x14ac:dyDescent="0.35"/>
    <row r="499" ht="13.5" customHeight="1" x14ac:dyDescent="0.35"/>
    <row r="500" ht="13.5" customHeight="1" x14ac:dyDescent="0.35"/>
    <row r="501" ht="13.5" customHeight="1" x14ac:dyDescent="0.35"/>
    <row r="502" ht="13.5" customHeight="1" x14ac:dyDescent="0.35"/>
    <row r="503" ht="13.5" customHeight="1" x14ac:dyDescent="0.35"/>
    <row r="504" ht="13.5" customHeight="1" x14ac:dyDescent="0.35"/>
    <row r="505" ht="13.5" customHeight="1" x14ac:dyDescent="0.35"/>
    <row r="506" ht="13.5" customHeight="1" x14ac:dyDescent="0.35"/>
    <row r="507" ht="13.5" customHeight="1" x14ac:dyDescent="0.35"/>
    <row r="508" ht="13.5" customHeight="1" x14ac:dyDescent="0.35"/>
    <row r="509" ht="13.5" customHeight="1" x14ac:dyDescent="0.35"/>
    <row r="510" ht="13.5" customHeight="1" x14ac:dyDescent="0.35"/>
    <row r="511" ht="13.5" customHeight="1" x14ac:dyDescent="0.35"/>
    <row r="512" ht="13.5" customHeight="1" x14ac:dyDescent="0.35"/>
    <row r="513" ht="13.5" customHeight="1" x14ac:dyDescent="0.35"/>
    <row r="514" ht="13.5" customHeight="1" x14ac:dyDescent="0.35"/>
    <row r="515" ht="13.5" customHeight="1" x14ac:dyDescent="0.35"/>
    <row r="516" ht="13.5" customHeight="1" x14ac:dyDescent="0.35"/>
    <row r="517" ht="13.5" customHeight="1" x14ac:dyDescent="0.35"/>
    <row r="518" ht="13.5" customHeight="1" x14ac:dyDescent="0.35"/>
    <row r="519" ht="13.5" customHeight="1" x14ac:dyDescent="0.35"/>
    <row r="520" ht="13.5" customHeight="1" x14ac:dyDescent="0.35"/>
    <row r="521" ht="13.5" customHeight="1" x14ac:dyDescent="0.35"/>
    <row r="522" ht="13.5" customHeight="1" x14ac:dyDescent="0.35"/>
    <row r="523" ht="13.5" customHeight="1" x14ac:dyDescent="0.35"/>
    <row r="524" ht="13.5" customHeight="1" x14ac:dyDescent="0.35"/>
    <row r="525" ht="13.5" customHeight="1" x14ac:dyDescent="0.35"/>
    <row r="526" ht="13.5" customHeight="1" x14ac:dyDescent="0.35"/>
    <row r="527" ht="13.5" customHeight="1" x14ac:dyDescent="0.35"/>
    <row r="528" ht="13.5" customHeight="1" x14ac:dyDescent="0.35"/>
    <row r="529" ht="13.5" customHeight="1" x14ac:dyDescent="0.35"/>
    <row r="530" ht="13.5" customHeight="1" x14ac:dyDescent="0.35"/>
    <row r="531" ht="13.5" customHeight="1" x14ac:dyDescent="0.35"/>
    <row r="532" ht="13.5" customHeight="1" x14ac:dyDescent="0.35"/>
    <row r="533" ht="13.5" customHeight="1" x14ac:dyDescent="0.35"/>
    <row r="534" ht="13.5" customHeight="1" x14ac:dyDescent="0.35"/>
    <row r="535" ht="13.5" customHeight="1" x14ac:dyDescent="0.35"/>
    <row r="536" ht="13.5" customHeight="1" x14ac:dyDescent="0.35"/>
    <row r="537" ht="13.5" customHeight="1" x14ac:dyDescent="0.35"/>
    <row r="538" ht="13.5" customHeight="1" x14ac:dyDescent="0.35"/>
    <row r="539" ht="13.5" customHeight="1" x14ac:dyDescent="0.35"/>
    <row r="540" ht="13.5" customHeight="1" x14ac:dyDescent="0.35"/>
    <row r="541" ht="13.5" customHeight="1" x14ac:dyDescent="0.35"/>
    <row r="542" ht="13.5" customHeight="1" x14ac:dyDescent="0.35"/>
    <row r="543" ht="13.5" customHeight="1" x14ac:dyDescent="0.35"/>
    <row r="544" ht="13.5" customHeight="1" x14ac:dyDescent="0.35"/>
    <row r="545" ht="13.5" customHeight="1" x14ac:dyDescent="0.35"/>
    <row r="546" ht="13.5" customHeight="1" x14ac:dyDescent="0.35"/>
    <row r="547" ht="13.5" customHeight="1" x14ac:dyDescent="0.35"/>
    <row r="548" ht="13.5" customHeight="1" x14ac:dyDescent="0.35"/>
    <row r="549" ht="13.5" customHeight="1" x14ac:dyDescent="0.35"/>
    <row r="550" ht="13.5" customHeight="1" x14ac:dyDescent="0.35"/>
    <row r="551" ht="13.5" customHeight="1" x14ac:dyDescent="0.35"/>
    <row r="552" ht="13.5" customHeight="1" x14ac:dyDescent="0.35"/>
    <row r="553" ht="13.5" customHeight="1" x14ac:dyDescent="0.35"/>
    <row r="554" ht="13.5" customHeight="1" x14ac:dyDescent="0.35"/>
    <row r="555" ht="13.5" customHeight="1" x14ac:dyDescent="0.35"/>
    <row r="556" ht="13.5" customHeight="1" x14ac:dyDescent="0.35"/>
    <row r="557" ht="13.5" customHeight="1" x14ac:dyDescent="0.35"/>
    <row r="558" ht="13.5" customHeight="1" x14ac:dyDescent="0.35"/>
    <row r="559" ht="13.5" customHeight="1" x14ac:dyDescent="0.35"/>
    <row r="560" ht="13.5" customHeight="1" x14ac:dyDescent="0.35"/>
    <row r="561" ht="13.5" customHeight="1" x14ac:dyDescent="0.35"/>
    <row r="562" ht="13.5" customHeight="1" x14ac:dyDescent="0.35"/>
    <row r="563" ht="13.5" customHeight="1" x14ac:dyDescent="0.35"/>
    <row r="564" ht="13.5" customHeight="1" x14ac:dyDescent="0.35"/>
    <row r="565" ht="13.5" customHeight="1" x14ac:dyDescent="0.35"/>
    <row r="566" ht="13.5" customHeight="1" x14ac:dyDescent="0.35"/>
    <row r="567" ht="13.5" customHeight="1" x14ac:dyDescent="0.35"/>
    <row r="568" ht="13.5" customHeight="1" x14ac:dyDescent="0.35"/>
    <row r="569" ht="13.5" customHeight="1" x14ac:dyDescent="0.35"/>
    <row r="570" ht="13.5" customHeight="1" x14ac:dyDescent="0.35"/>
    <row r="571" ht="13.5" customHeight="1" x14ac:dyDescent="0.35"/>
    <row r="572" ht="13.5" customHeight="1" x14ac:dyDescent="0.35"/>
    <row r="573" ht="13.5" customHeight="1" x14ac:dyDescent="0.35"/>
    <row r="574" ht="13.5" customHeight="1" x14ac:dyDescent="0.35"/>
    <row r="575" ht="13.5" customHeight="1" x14ac:dyDescent="0.35"/>
    <row r="576" ht="13.5" customHeight="1" x14ac:dyDescent="0.35"/>
    <row r="577" ht="13.5" customHeight="1" x14ac:dyDescent="0.35"/>
    <row r="578" ht="13.5" customHeight="1" x14ac:dyDescent="0.35"/>
    <row r="579" ht="13.5" customHeight="1" x14ac:dyDescent="0.35"/>
    <row r="580" ht="13.5" customHeight="1" x14ac:dyDescent="0.35"/>
    <row r="581" ht="13.5" customHeight="1" x14ac:dyDescent="0.35"/>
    <row r="582" ht="13.5" customHeight="1" x14ac:dyDescent="0.35"/>
    <row r="583" ht="13.5" customHeight="1" x14ac:dyDescent="0.35"/>
    <row r="584" ht="13.5" customHeight="1" x14ac:dyDescent="0.35"/>
    <row r="585" ht="13.5" customHeight="1" x14ac:dyDescent="0.35"/>
    <row r="586" ht="13.5" customHeight="1" x14ac:dyDescent="0.35"/>
    <row r="587" ht="13.5" customHeight="1" x14ac:dyDescent="0.35"/>
    <row r="588" ht="13.5" customHeight="1" x14ac:dyDescent="0.35"/>
    <row r="589" ht="13.5" customHeight="1" x14ac:dyDescent="0.35"/>
    <row r="590" ht="13.5" customHeight="1" x14ac:dyDescent="0.35"/>
    <row r="591" ht="13.5" customHeight="1" x14ac:dyDescent="0.35"/>
    <row r="592" ht="13.5" customHeight="1" x14ac:dyDescent="0.35"/>
    <row r="593" ht="13.5" customHeight="1" x14ac:dyDescent="0.35"/>
    <row r="594" ht="13.5" customHeight="1" x14ac:dyDescent="0.35"/>
    <row r="595" ht="13.5" customHeight="1" x14ac:dyDescent="0.35"/>
    <row r="596" ht="13.5" customHeight="1" x14ac:dyDescent="0.35"/>
    <row r="597" ht="13.5" customHeight="1" x14ac:dyDescent="0.35"/>
    <row r="598" ht="13.5" customHeight="1" x14ac:dyDescent="0.35"/>
    <row r="599" ht="13.5" customHeight="1" x14ac:dyDescent="0.35"/>
    <row r="600" ht="13.5" customHeight="1" x14ac:dyDescent="0.35"/>
    <row r="601" ht="13.5" customHeight="1" x14ac:dyDescent="0.35"/>
    <row r="602" ht="13.5" customHeight="1" x14ac:dyDescent="0.35"/>
    <row r="603" ht="13.5" customHeight="1" x14ac:dyDescent="0.35"/>
    <row r="604" ht="13.5" customHeight="1" x14ac:dyDescent="0.35"/>
    <row r="605" ht="13.5" customHeight="1" x14ac:dyDescent="0.35"/>
    <row r="606" ht="13.5" customHeight="1" x14ac:dyDescent="0.35"/>
    <row r="607" ht="13.5" customHeight="1" x14ac:dyDescent="0.35"/>
    <row r="608" ht="13.5" customHeight="1" x14ac:dyDescent="0.35"/>
    <row r="609" ht="13.5" customHeight="1" x14ac:dyDescent="0.35"/>
    <row r="610" ht="13.5" customHeight="1" x14ac:dyDescent="0.35"/>
    <row r="611" ht="13.5" customHeight="1" x14ac:dyDescent="0.35"/>
    <row r="612" ht="13.5" customHeight="1" x14ac:dyDescent="0.35"/>
    <row r="613" ht="13.5" customHeight="1" x14ac:dyDescent="0.35"/>
    <row r="614" ht="13.5" customHeight="1" x14ac:dyDescent="0.35"/>
    <row r="615" ht="13.5" customHeight="1" x14ac:dyDescent="0.35"/>
    <row r="616" ht="13.5" customHeight="1" x14ac:dyDescent="0.35"/>
    <row r="617" ht="13.5" customHeight="1" x14ac:dyDescent="0.35"/>
    <row r="618" ht="13.5" customHeight="1" x14ac:dyDescent="0.35"/>
    <row r="619" ht="13.5" customHeight="1" x14ac:dyDescent="0.35"/>
    <row r="620" ht="13.5" customHeight="1" x14ac:dyDescent="0.35"/>
    <row r="621" ht="13.5" customHeight="1" x14ac:dyDescent="0.35"/>
    <row r="622" ht="13.5" customHeight="1" x14ac:dyDescent="0.35"/>
    <row r="623" ht="13.5" customHeight="1" x14ac:dyDescent="0.35"/>
    <row r="624" ht="13.5" customHeight="1" x14ac:dyDescent="0.35"/>
    <row r="625" ht="13.5" customHeight="1" x14ac:dyDescent="0.35"/>
    <row r="626" ht="13.5" customHeight="1" x14ac:dyDescent="0.35"/>
    <row r="627" ht="13.5" customHeight="1" x14ac:dyDescent="0.35"/>
    <row r="628" ht="13.5" customHeight="1" x14ac:dyDescent="0.35"/>
    <row r="629" ht="13.5" customHeight="1" x14ac:dyDescent="0.35"/>
    <row r="630" ht="13.5" customHeight="1" x14ac:dyDescent="0.35"/>
    <row r="631" ht="13.5" customHeight="1" x14ac:dyDescent="0.35"/>
    <row r="632" ht="13.5" customHeight="1" x14ac:dyDescent="0.35"/>
    <row r="633" ht="13.5" customHeight="1" x14ac:dyDescent="0.35"/>
    <row r="634" ht="13.5" customHeight="1" x14ac:dyDescent="0.35"/>
    <row r="635" ht="13.5" customHeight="1" x14ac:dyDescent="0.35"/>
    <row r="636" ht="13.5" customHeight="1" x14ac:dyDescent="0.35"/>
    <row r="637" ht="13.5" customHeight="1" x14ac:dyDescent="0.35"/>
    <row r="638" ht="13.5" customHeight="1" x14ac:dyDescent="0.35"/>
    <row r="639" ht="13.5" customHeight="1" x14ac:dyDescent="0.35"/>
    <row r="640" ht="13.5" customHeight="1" x14ac:dyDescent="0.35"/>
    <row r="641" ht="13.5" customHeight="1" x14ac:dyDescent="0.35"/>
    <row r="642" ht="13.5" customHeight="1" x14ac:dyDescent="0.35"/>
    <row r="643" ht="13.5" customHeight="1" x14ac:dyDescent="0.35"/>
    <row r="644" ht="13.5" customHeight="1" x14ac:dyDescent="0.35"/>
    <row r="645" ht="13.5" customHeight="1" x14ac:dyDescent="0.35"/>
    <row r="646" ht="13.5" customHeight="1" x14ac:dyDescent="0.35"/>
    <row r="647" ht="13.5" customHeight="1" x14ac:dyDescent="0.35"/>
    <row r="648" ht="13.5" customHeight="1" x14ac:dyDescent="0.35"/>
    <row r="649" ht="13.5" customHeight="1" x14ac:dyDescent="0.35"/>
    <row r="650" ht="13.5" customHeight="1" x14ac:dyDescent="0.35"/>
    <row r="651" ht="13.5" customHeight="1" x14ac:dyDescent="0.35"/>
    <row r="652" ht="13.5" customHeight="1" x14ac:dyDescent="0.35"/>
    <row r="653" ht="13.5" customHeight="1" x14ac:dyDescent="0.35"/>
    <row r="654" ht="13.5" customHeight="1" x14ac:dyDescent="0.35"/>
    <row r="655" ht="13.5" customHeight="1" x14ac:dyDescent="0.35"/>
    <row r="656" ht="13.5" customHeight="1" x14ac:dyDescent="0.35"/>
    <row r="657" ht="13.5" customHeight="1" x14ac:dyDescent="0.35"/>
    <row r="658" ht="13.5" customHeight="1" x14ac:dyDescent="0.35"/>
    <row r="659" ht="13.5" customHeight="1" x14ac:dyDescent="0.35"/>
    <row r="660" ht="13.5" customHeight="1" x14ac:dyDescent="0.35"/>
    <row r="661" ht="13.5" customHeight="1" x14ac:dyDescent="0.35"/>
    <row r="662" ht="13.5" customHeight="1" x14ac:dyDescent="0.35"/>
    <row r="663" ht="13.5" customHeight="1" x14ac:dyDescent="0.35"/>
    <row r="664" ht="13.5" customHeight="1" x14ac:dyDescent="0.35"/>
    <row r="665" ht="13.5" customHeight="1" x14ac:dyDescent="0.35"/>
    <row r="666" ht="13.5" customHeight="1" x14ac:dyDescent="0.35"/>
    <row r="667" ht="13.5" customHeight="1" x14ac:dyDescent="0.35"/>
    <row r="668" ht="13.5" customHeight="1" x14ac:dyDescent="0.35"/>
    <row r="669" ht="13.5" customHeight="1" x14ac:dyDescent="0.35"/>
    <row r="670" ht="13.5" customHeight="1" x14ac:dyDescent="0.35"/>
    <row r="671" ht="13.5" customHeight="1" x14ac:dyDescent="0.35"/>
    <row r="672" ht="13.5" customHeight="1" x14ac:dyDescent="0.35"/>
    <row r="673" ht="13.5" customHeight="1" x14ac:dyDescent="0.35"/>
    <row r="674" ht="13.5" customHeight="1" x14ac:dyDescent="0.35"/>
    <row r="675" ht="13.5" customHeight="1" x14ac:dyDescent="0.35"/>
    <row r="676" ht="13.5" customHeight="1" x14ac:dyDescent="0.35"/>
    <row r="677" ht="13.5" customHeight="1" x14ac:dyDescent="0.35"/>
    <row r="678" ht="13.5" customHeight="1" x14ac:dyDescent="0.35"/>
    <row r="679" ht="13.5" customHeight="1" x14ac:dyDescent="0.35"/>
    <row r="680" ht="13.5" customHeight="1" x14ac:dyDescent="0.35"/>
    <row r="681" ht="13.5" customHeight="1" x14ac:dyDescent="0.35"/>
    <row r="682" ht="13.5" customHeight="1" x14ac:dyDescent="0.35"/>
    <row r="683" ht="13.5" customHeight="1" x14ac:dyDescent="0.35"/>
    <row r="684" ht="13.5" customHeight="1" x14ac:dyDescent="0.35"/>
    <row r="685" ht="13.5" customHeight="1" x14ac:dyDescent="0.35"/>
    <row r="686" ht="13.5" customHeight="1" x14ac:dyDescent="0.35"/>
    <row r="687" ht="13.5" customHeight="1" x14ac:dyDescent="0.35"/>
    <row r="688" ht="13.5" customHeight="1" x14ac:dyDescent="0.35"/>
    <row r="689" ht="13.5" customHeight="1" x14ac:dyDescent="0.35"/>
    <row r="690" ht="13.5" customHeight="1" x14ac:dyDescent="0.35"/>
    <row r="691" ht="13.5" customHeight="1" x14ac:dyDescent="0.35"/>
    <row r="692" ht="13.5" customHeight="1" x14ac:dyDescent="0.35"/>
    <row r="693" ht="13.5" customHeight="1" x14ac:dyDescent="0.35"/>
    <row r="694" ht="13.5" customHeight="1" x14ac:dyDescent="0.35"/>
    <row r="695" ht="13.5" customHeight="1" x14ac:dyDescent="0.35"/>
    <row r="696" ht="13.5" customHeight="1" x14ac:dyDescent="0.35"/>
    <row r="697" ht="13.5" customHeight="1" x14ac:dyDescent="0.35"/>
    <row r="698" ht="13.5" customHeight="1" x14ac:dyDescent="0.35"/>
    <row r="699" ht="13.5" customHeight="1" x14ac:dyDescent="0.35"/>
    <row r="700" ht="13.5" customHeight="1" x14ac:dyDescent="0.35"/>
    <row r="701" ht="13.5" customHeight="1" x14ac:dyDescent="0.35"/>
    <row r="702" ht="13.5" customHeight="1" x14ac:dyDescent="0.35"/>
    <row r="703" ht="13.5" customHeight="1" x14ac:dyDescent="0.35"/>
    <row r="704" ht="13.5" customHeight="1" x14ac:dyDescent="0.35"/>
    <row r="705" ht="13.5" customHeight="1" x14ac:dyDescent="0.35"/>
    <row r="706" ht="13.5" customHeight="1" x14ac:dyDescent="0.35"/>
    <row r="707" ht="13.5" customHeight="1" x14ac:dyDescent="0.35"/>
    <row r="708" ht="13.5" customHeight="1" x14ac:dyDescent="0.35"/>
    <row r="709" ht="13.5" customHeight="1" x14ac:dyDescent="0.35"/>
    <row r="710" ht="13.5" customHeight="1" x14ac:dyDescent="0.35"/>
    <row r="711" ht="13.5" customHeight="1" x14ac:dyDescent="0.35"/>
    <row r="712" ht="13.5" customHeight="1" x14ac:dyDescent="0.35"/>
    <row r="713" ht="13.5" customHeight="1" x14ac:dyDescent="0.35"/>
    <row r="714" ht="13.5" customHeight="1" x14ac:dyDescent="0.35"/>
    <row r="715" ht="13.5" customHeight="1" x14ac:dyDescent="0.35"/>
    <row r="716" ht="13.5" customHeight="1" x14ac:dyDescent="0.35"/>
    <row r="717" ht="13.5" customHeight="1" x14ac:dyDescent="0.35"/>
    <row r="718" ht="13.5" customHeight="1" x14ac:dyDescent="0.35"/>
    <row r="719" ht="13.5" customHeight="1" x14ac:dyDescent="0.35"/>
    <row r="720" ht="13.5" customHeight="1" x14ac:dyDescent="0.35"/>
    <row r="721" ht="13.5" customHeight="1" x14ac:dyDescent="0.35"/>
    <row r="722" ht="13.5" customHeight="1" x14ac:dyDescent="0.35"/>
    <row r="723" ht="13.5" customHeight="1" x14ac:dyDescent="0.35"/>
    <row r="724" ht="13.5" customHeight="1" x14ac:dyDescent="0.35"/>
    <row r="725" ht="13.5" customHeight="1" x14ac:dyDescent="0.35"/>
    <row r="726" ht="13.5" customHeight="1" x14ac:dyDescent="0.35"/>
    <row r="727" ht="13.5" customHeight="1" x14ac:dyDescent="0.35"/>
    <row r="728" ht="13.5" customHeight="1" x14ac:dyDescent="0.35"/>
    <row r="729" ht="13.5" customHeight="1" x14ac:dyDescent="0.35"/>
    <row r="730" ht="13.5" customHeight="1" x14ac:dyDescent="0.35"/>
    <row r="731" ht="13.5" customHeight="1" x14ac:dyDescent="0.35"/>
    <row r="732" ht="13.5" customHeight="1" x14ac:dyDescent="0.35"/>
    <row r="733" ht="13.5" customHeight="1" x14ac:dyDescent="0.35"/>
    <row r="734" ht="13.5" customHeight="1" x14ac:dyDescent="0.35"/>
    <row r="735" ht="13.5" customHeight="1" x14ac:dyDescent="0.35"/>
    <row r="736" ht="13.5" customHeight="1" x14ac:dyDescent="0.35"/>
    <row r="737" ht="13.5" customHeight="1" x14ac:dyDescent="0.35"/>
    <row r="738" ht="13.5" customHeight="1" x14ac:dyDescent="0.35"/>
    <row r="739" ht="13.5" customHeight="1" x14ac:dyDescent="0.35"/>
    <row r="740" ht="13.5" customHeight="1" x14ac:dyDescent="0.35"/>
    <row r="741" ht="13.5" customHeight="1" x14ac:dyDescent="0.35"/>
    <row r="742" ht="13.5" customHeight="1" x14ac:dyDescent="0.35"/>
    <row r="743" ht="13.5" customHeight="1" x14ac:dyDescent="0.35"/>
    <row r="744" ht="13.5" customHeight="1" x14ac:dyDescent="0.35"/>
    <row r="745" ht="13.5" customHeight="1" x14ac:dyDescent="0.35"/>
    <row r="746" ht="13.5" customHeight="1" x14ac:dyDescent="0.35"/>
    <row r="747" ht="13.5" customHeight="1" x14ac:dyDescent="0.35"/>
    <row r="748" ht="13.5" customHeight="1" x14ac:dyDescent="0.35"/>
    <row r="749" ht="13.5" customHeight="1" x14ac:dyDescent="0.35"/>
    <row r="750" ht="13.5" customHeight="1" x14ac:dyDescent="0.35"/>
    <row r="751" ht="13.5" customHeight="1" x14ac:dyDescent="0.35"/>
    <row r="752" ht="13.5" customHeight="1" x14ac:dyDescent="0.35"/>
    <row r="753" ht="13.5" customHeight="1" x14ac:dyDescent="0.35"/>
    <row r="754" ht="13.5" customHeight="1" x14ac:dyDescent="0.35"/>
    <row r="755" ht="13.5" customHeight="1" x14ac:dyDescent="0.35"/>
    <row r="756" ht="13.5" customHeight="1" x14ac:dyDescent="0.35"/>
    <row r="757" ht="13.5" customHeight="1" x14ac:dyDescent="0.35"/>
    <row r="758" ht="13.5" customHeight="1" x14ac:dyDescent="0.35"/>
    <row r="759" ht="13.5" customHeight="1" x14ac:dyDescent="0.35"/>
    <row r="760" ht="13.5" customHeight="1" x14ac:dyDescent="0.35"/>
    <row r="761" ht="13.5" customHeight="1" x14ac:dyDescent="0.35"/>
    <row r="762" ht="13.5" customHeight="1" x14ac:dyDescent="0.35"/>
    <row r="763" ht="13.5" customHeight="1" x14ac:dyDescent="0.35"/>
    <row r="764" ht="13.5" customHeight="1" x14ac:dyDescent="0.35"/>
    <row r="765" ht="13.5" customHeight="1" x14ac:dyDescent="0.35"/>
    <row r="766" ht="13.5" customHeight="1" x14ac:dyDescent="0.35"/>
    <row r="767" ht="13.5" customHeight="1" x14ac:dyDescent="0.35"/>
    <row r="768" ht="13.5" customHeight="1" x14ac:dyDescent="0.35"/>
    <row r="769" ht="13.5" customHeight="1" x14ac:dyDescent="0.35"/>
    <row r="770" ht="13.5" customHeight="1" x14ac:dyDescent="0.35"/>
    <row r="771" ht="13.5" customHeight="1" x14ac:dyDescent="0.35"/>
    <row r="772" ht="13.5" customHeight="1" x14ac:dyDescent="0.35"/>
    <row r="773" ht="13.5" customHeight="1" x14ac:dyDescent="0.35"/>
    <row r="774" ht="13.5" customHeight="1" x14ac:dyDescent="0.35"/>
    <row r="775" ht="13.5" customHeight="1" x14ac:dyDescent="0.35"/>
    <row r="776" ht="13.5" customHeight="1" x14ac:dyDescent="0.35"/>
    <row r="777" ht="13.5" customHeight="1" x14ac:dyDescent="0.35"/>
    <row r="778" ht="13.5" customHeight="1" x14ac:dyDescent="0.35"/>
    <row r="779" ht="13.5" customHeight="1" x14ac:dyDescent="0.35"/>
    <row r="780" ht="13.5" customHeight="1" x14ac:dyDescent="0.35"/>
    <row r="781" ht="13.5" customHeight="1" x14ac:dyDescent="0.35"/>
    <row r="782" ht="13.5" customHeight="1" x14ac:dyDescent="0.35"/>
    <row r="783" ht="13.5" customHeight="1" x14ac:dyDescent="0.35"/>
    <row r="784" ht="13.5" customHeight="1" x14ac:dyDescent="0.35"/>
    <row r="785" ht="13.5" customHeight="1" x14ac:dyDescent="0.35"/>
    <row r="786" ht="13.5" customHeight="1" x14ac:dyDescent="0.35"/>
    <row r="787" ht="13.5" customHeight="1" x14ac:dyDescent="0.35"/>
    <row r="788" ht="13.5" customHeight="1" x14ac:dyDescent="0.35"/>
    <row r="789" ht="13.5" customHeight="1" x14ac:dyDescent="0.35"/>
    <row r="790" ht="13.5" customHeight="1" x14ac:dyDescent="0.35"/>
    <row r="791" ht="13.5" customHeight="1" x14ac:dyDescent="0.35"/>
    <row r="792" ht="13.5" customHeight="1" x14ac:dyDescent="0.35"/>
    <row r="793" ht="13.5" customHeight="1" x14ac:dyDescent="0.35"/>
    <row r="794" ht="13.5" customHeight="1" x14ac:dyDescent="0.35"/>
    <row r="795" ht="13.5" customHeight="1" x14ac:dyDescent="0.35"/>
    <row r="796" ht="13.5" customHeight="1" x14ac:dyDescent="0.35"/>
    <row r="797" ht="13.5" customHeight="1" x14ac:dyDescent="0.35"/>
    <row r="798" ht="13.5" customHeight="1" x14ac:dyDescent="0.35"/>
    <row r="799" ht="13.5" customHeight="1" x14ac:dyDescent="0.35"/>
    <row r="800" ht="13.5" customHeight="1" x14ac:dyDescent="0.35"/>
    <row r="801" ht="13.5" customHeight="1" x14ac:dyDescent="0.35"/>
    <row r="802" ht="13.5" customHeight="1" x14ac:dyDescent="0.35"/>
    <row r="803" ht="13.5" customHeight="1" x14ac:dyDescent="0.35"/>
    <row r="804" ht="13.5" customHeight="1" x14ac:dyDescent="0.35"/>
    <row r="805" ht="13.5" customHeight="1" x14ac:dyDescent="0.35"/>
    <row r="806" ht="13.5" customHeight="1" x14ac:dyDescent="0.35"/>
    <row r="807" ht="13.5" customHeight="1" x14ac:dyDescent="0.35"/>
    <row r="808" ht="13.5" customHeight="1" x14ac:dyDescent="0.35"/>
    <row r="809" ht="13.5" customHeight="1" x14ac:dyDescent="0.35"/>
    <row r="810" ht="13.5" customHeight="1" x14ac:dyDescent="0.35"/>
    <row r="811" ht="13.5" customHeight="1" x14ac:dyDescent="0.35"/>
    <row r="812" ht="13.5" customHeight="1" x14ac:dyDescent="0.35"/>
    <row r="813" ht="13.5" customHeight="1" x14ac:dyDescent="0.35"/>
    <row r="814" ht="13.5" customHeight="1" x14ac:dyDescent="0.35"/>
    <row r="815" ht="13.5" customHeight="1" x14ac:dyDescent="0.35"/>
    <row r="816" ht="13.5" customHeight="1" x14ac:dyDescent="0.35"/>
    <row r="817" ht="13.5" customHeight="1" x14ac:dyDescent="0.35"/>
    <row r="818" ht="13.5" customHeight="1" x14ac:dyDescent="0.35"/>
    <row r="819" ht="13.5" customHeight="1" x14ac:dyDescent="0.35"/>
    <row r="820" ht="13.5" customHeight="1" x14ac:dyDescent="0.35"/>
    <row r="821" ht="13.5" customHeight="1" x14ac:dyDescent="0.35"/>
    <row r="822" ht="13.5" customHeight="1" x14ac:dyDescent="0.35"/>
    <row r="823" ht="13.5" customHeight="1" x14ac:dyDescent="0.35"/>
    <row r="824" ht="13.5" customHeight="1" x14ac:dyDescent="0.35"/>
    <row r="825" ht="13.5" customHeight="1" x14ac:dyDescent="0.35"/>
    <row r="826" ht="13.5" customHeight="1" x14ac:dyDescent="0.35"/>
    <row r="827" ht="13.5" customHeight="1" x14ac:dyDescent="0.35"/>
    <row r="828" ht="13.5" customHeight="1" x14ac:dyDescent="0.35"/>
    <row r="829" ht="13.5" customHeight="1" x14ac:dyDescent="0.35"/>
    <row r="830" ht="13.5" customHeight="1" x14ac:dyDescent="0.35"/>
    <row r="831" ht="13.5" customHeight="1" x14ac:dyDescent="0.35"/>
    <row r="832" ht="13.5" customHeight="1" x14ac:dyDescent="0.35"/>
    <row r="833" ht="13.5" customHeight="1" x14ac:dyDescent="0.35"/>
    <row r="834" ht="13.5" customHeight="1" x14ac:dyDescent="0.35"/>
    <row r="835" ht="13.5" customHeight="1" x14ac:dyDescent="0.35"/>
    <row r="836" ht="13.5" customHeight="1" x14ac:dyDescent="0.35"/>
    <row r="837" ht="13.5" customHeight="1" x14ac:dyDescent="0.35"/>
    <row r="838" ht="13.5" customHeight="1" x14ac:dyDescent="0.35"/>
    <row r="839" ht="13.5" customHeight="1" x14ac:dyDescent="0.35"/>
    <row r="840" ht="13.5" customHeight="1" x14ac:dyDescent="0.35"/>
    <row r="841" ht="13.5" customHeight="1" x14ac:dyDescent="0.35"/>
    <row r="842" ht="13.5" customHeight="1" x14ac:dyDescent="0.35"/>
    <row r="843" ht="13.5" customHeight="1" x14ac:dyDescent="0.35"/>
    <row r="844" ht="13.5" customHeight="1" x14ac:dyDescent="0.35"/>
    <row r="845" ht="13.5" customHeight="1" x14ac:dyDescent="0.35"/>
    <row r="846" ht="13.5" customHeight="1" x14ac:dyDescent="0.35"/>
    <row r="847" ht="13.5" customHeight="1" x14ac:dyDescent="0.35"/>
    <row r="848" ht="13.5" customHeight="1" x14ac:dyDescent="0.35"/>
    <row r="849" ht="13.5" customHeight="1" x14ac:dyDescent="0.35"/>
    <row r="850" ht="13.5" customHeight="1" x14ac:dyDescent="0.35"/>
    <row r="851" ht="13.5" customHeight="1" x14ac:dyDescent="0.35"/>
    <row r="852" ht="13.5" customHeight="1" x14ac:dyDescent="0.35"/>
    <row r="853" ht="13.5" customHeight="1" x14ac:dyDescent="0.35"/>
    <row r="854" ht="13.5" customHeight="1" x14ac:dyDescent="0.35"/>
    <row r="855" ht="13.5" customHeight="1" x14ac:dyDescent="0.35"/>
    <row r="856" ht="13.5" customHeight="1" x14ac:dyDescent="0.35"/>
    <row r="857" ht="13.5" customHeight="1" x14ac:dyDescent="0.35"/>
    <row r="858" ht="13.5" customHeight="1" x14ac:dyDescent="0.35"/>
    <row r="859" ht="13.5" customHeight="1" x14ac:dyDescent="0.35"/>
    <row r="860" ht="13.5" customHeight="1" x14ac:dyDescent="0.35"/>
    <row r="861" ht="13.5" customHeight="1" x14ac:dyDescent="0.35"/>
    <row r="862" ht="13.5" customHeight="1" x14ac:dyDescent="0.35"/>
    <row r="863" ht="13.5" customHeight="1" x14ac:dyDescent="0.35"/>
    <row r="864" ht="13.5" customHeight="1" x14ac:dyDescent="0.35"/>
    <row r="865" ht="13.5" customHeight="1" x14ac:dyDescent="0.35"/>
    <row r="866" ht="13.5" customHeight="1" x14ac:dyDescent="0.35"/>
    <row r="867" ht="13.5" customHeight="1" x14ac:dyDescent="0.35"/>
    <row r="868" ht="13.5" customHeight="1" x14ac:dyDescent="0.35"/>
    <row r="869" ht="13.5" customHeight="1" x14ac:dyDescent="0.35"/>
    <row r="870" ht="13.5" customHeight="1" x14ac:dyDescent="0.35"/>
    <row r="871" ht="13.5" customHeight="1" x14ac:dyDescent="0.35"/>
    <row r="872" ht="13.5" customHeight="1" x14ac:dyDescent="0.35"/>
    <row r="873" ht="13.5" customHeight="1" x14ac:dyDescent="0.35"/>
    <row r="874" ht="13.5" customHeight="1" x14ac:dyDescent="0.35"/>
    <row r="875" ht="13.5" customHeight="1" x14ac:dyDescent="0.35"/>
    <row r="876" ht="13.5" customHeight="1" x14ac:dyDescent="0.35"/>
    <row r="877" ht="13.5" customHeight="1" x14ac:dyDescent="0.35"/>
    <row r="878" ht="13.5" customHeight="1" x14ac:dyDescent="0.35"/>
    <row r="879" ht="13.5" customHeight="1" x14ac:dyDescent="0.35"/>
    <row r="880" ht="13.5" customHeight="1" x14ac:dyDescent="0.35"/>
    <row r="881" ht="13.5" customHeight="1" x14ac:dyDescent="0.35"/>
    <row r="882" ht="13.5" customHeight="1" x14ac:dyDescent="0.35"/>
    <row r="883" ht="13.5" customHeight="1" x14ac:dyDescent="0.35"/>
    <row r="884" ht="13.5" customHeight="1" x14ac:dyDescent="0.35"/>
    <row r="885" ht="13.5" customHeight="1" x14ac:dyDescent="0.35"/>
    <row r="886" ht="13.5" customHeight="1" x14ac:dyDescent="0.35"/>
    <row r="887" ht="13.5" customHeight="1" x14ac:dyDescent="0.35"/>
    <row r="888" ht="13.5" customHeight="1" x14ac:dyDescent="0.35"/>
    <row r="889" ht="13.5" customHeight="1" x14ac:dyDescent="0.35"/>
    <row r="890" ht="13.5" customHeight="1" x14ac:dyDescent="0.35"/>
    <row r="891" ht="13.5" customHeight="1" x14ac:dyDescent="0.35"/>
    <row r="892" ht="13.5" customHeight="1" x14ac:dyDescent="0.35"/>
    <row r="893" ht="13.5" customHeight="1" x14ac:dyDescent="0.35"/>
    <row r="894" ht="13.5" customHeight="1" x14ac:dyDescent="0.35"/>
    <row r="895" ht="13.5" customHeight="1" x14ac:dyDescent="0.35"/>
    <row r="896" ht="13.5" customHeight="1" x14ac:dyDescent="0.35"/>
    <row r="897" ht="13.5" customHeight="1" x14ac:dyDescent="0.35"/>
    <row r="898" ht="13.5" customHeight="1" x14ac:dyDescent="0.35"/>
    <row r="899" ht="13.5" customHeight="1" x14ac:dyDescent="0.35"/>
    <row r="900" ht="13.5" customHeight="1" x14ac:dyDescent="0.35"/>
    <row r="901" ht="13.5" customHeight="1" x14ac:dyDescent="0.35"/>
    <row r="902" ht="13.5" customHeight="1" x14ac:dyDescent="0.35"/>
    <row r="903" ht="13.5" customHeight="1" x14ac:dyDescent="0.35"/>
    <row r="904" ht="13.5" customHeight="1" x14ac:dyDescent="0.35"/>
    <row r="905" ht="13.5" customHeight="1" x14ac:dyDescent="0.35"/>
    <row r="906" ht="13.5" customHeight="1" x14ac:dyDescent="0.35"/>
    <row r="907" ht="13.5" customHeight="1" x14ac:dyDescent="0.35"/>
    <row r="908" ht="13.5" customHeight="1" x14ac:dyDescent="0.35"/>
    <row r="909" ht="13.5" customHeight="1" x14ac:dyDescent="0.35"/>
    <row r="910" ht="13.5" customHeight="1" x14ac:dyDescent="0.35"/>
    <row r="911" ht="13.5" customHeight="1" x14ac:dyDescent="0.35"/>
    <row r="912" ht="13.5" customHeight="1" x14ac:dyDescent="0.35"/>
    <row r="913" ht="13.5" customHeight="1" x14ac:dyDescent="0.35"/>
    <row r="914" ht="13.5" customHeight="1" x14ac:dyDescent="0.35"/>
    <row r="915" ht="13.5" customHeight="1" x14ac:dyDescent="0.35"/>
    <row r="916" ht="13.5" customHeight="1" x14ac:dyDescent="0.35"/>
    <row r="917" ht="13.5" customHeight="1" x14ac:dyDescent="0.35"/>
    <row r="918" ht="13.5" customHeight="1" x14ac:dyDescent="0.35"/>
    <row r="919" ht="13.5" customHeight="1" x14ac:dyDescent="0.35"/>
    <row r="920" ht="13.5" customHeight="1" x14ac:dyDescent="0.35"/>
    <row r="921" ht="13.5" customHeight="1" x14ac:dyDescent="0.35"/>
    <row r="922" ht="13.5" customHeight="1" x14ac:dyDescent="0.35"/>
    <row r="923" ht="13.5" customHeight="1" x14ac:dyDescent="0.35"/>
    <row r="924" ht="13.5" customHeight="1" x14ac:dyDescent="0.35"/>
    <row r="925" ht="13.5" customHeight="1" x14ac:dyDescent="0.35"/>
    <row r="926" ht="13.5" customHeight="1" x14ac:dyDescent="0.35"/>
    <row r="927" ht="13.5" customHeight="1" x14ac:dyDescent="0.35"/>
    <row r="928" ht="13.5" customHeight="1" x14ac:dyDescent="0.35"/>
    <row r="929" ht="13.5" customHeight="1" x14ac:dyDescent="0.35"/>
    <row r="930" ht="13.5" customHeight="1" x14ac:dyDescent="0.35"/>
    <row r="931" ht="13.5" customHeight="1" x14ac:dyDescent="0.35"/>
    <row r="932" ht="13.5" customHeight="1" x14ac:dyDescent="0.35"/>
    <row r="933" ht="13.5" customHeight="1" x14ac:dyDescent="0.35"/>
    <row r="934" ht="13.5" customHeight="1" x14ac:dyDescent="0.35"/>
    <row r="935" ht="13.5" customHeight="1" x14ac:dyDescent="0.35"/>
    <row r="936" ht="13.5" customHeight="1" x14ac:dyDescent="0.35"/>
    <row r="937" ht="13.5" customHeight="1" x14ac:dyDescent="0.35"/>
    <row r="938" ht="13.5" customHeight="1" x14ac:dyDescent="0.35"/>
    <row r="939" ht="13.5" customHeight="1" x14ac:dyDescent="0.35"/>
    <row r="940" ht="13.5" customHeight="1" x14ac:dyDescent="0.35"/>
    <row r="941" ht="13.5" customHeight="1" x14ac:dyDescent="0.35"/>
    <row r="942" ht="13.5" customHeight="1" x14ac:dyDescent="0.35"/>
    <row r="943" ht="13.5" customHeight="1" x14ac:dyDescent="0.35"/>
    <row r="944" ht="13.5" customHeight="1" x14ac:dyDescent="0.35"/>
    <row r="945" ht="13.5" customHeight="1" x14ac:dyDescent="0.35"/>
    <row r="946" ht="13.5" customHeight="1" x14ac:dyDescent="0.35"/>
    <row r="947" ht="13.5" customHeight="1" x14ac:dyDescent="0.35"/>
    <row r="948" ht="13.5" customHeight="1" x14ac:dyDescent="0.35"/>
    <row r="949" ht="13.5" customHeight="1" x14ac:dyDescent="0.35"/>
    <row r="950" ht="13.5" customHeight="1" x14ac:dyDescent="0.35"/>
    <row r="951" ht="13.5" customHeight="1" x14ac:dyDescent="0.35"/>
    <row r="952" ht="13.5" customHeight="1" x14ac:dyDescent="0.35"/>
    <row r="953" ht="13.5" customHeight="1" x14ac:dyDescent="0.35"/>
    <row r="954" ht="13.5" customHeight="1" x14ac:dyDescent="0.35"/>
    <row r="955" ht="13.5" customHeight="1" x14ac:dyDescent="0.35"/>
    <row r="956" ht="13.5" customHeight="1" x14ac:dyDescent="0.35"/>
    <row r="957" ht="13.5" customHeight="1" x14ac:dyDescent="0.35"/>
    <row r="958" ht="13.5" customHeight="1" x14ac:dyDescent="0.35"/>
    <row r="959" ht="13.5" customHeight="1" x14ac:dyDescent="0.35"/>
    <row r="960" ht="13.5" customHeight="1" x14ac:dyDescent="0.35"/>
    <row r="961" ht="13.5" customHeight="1" x14ac:dyDescent="0.35"/>
    <row r="962" ht="13.5" customHeight="1" x14ac:dyDescent="0.35"/>
    <row r="963" ht="13.5" customHeight="1" x14ac:dyDescent="0.35"/>
    <row r="964" ht="13.5" customHeight="1" x14ac:dyDescent="0.35"/>
    <row r="965" ht="13.5" customHeight="1" x14ac:dyDescent="0.35"/>
    <row r="966" ht="13.5" customHeight="1" x14ac:dyDescent="0.35"/>
    <row r="967" ht="13.5" customHeight="1" x14ac:dyDescent="0.35"/>
    <row r="968" ht="13.5" customHeight="1" x14ac:dyDescent="0.35"/>
    <row r="969" ht="13.5" customHeight="1" x14ac:dyDescent="0.35"/>
    <row r="970" ht="13.5" customHeight="1" x14ac:dyDescent="0.35"/>
    <row r="971" ht="13.5" customHeight="1" x14ac:dyDescent="0.35"/>
    <row r="972" ht="13.5" customHeight="1" x14ac:dyDescent="0.35"/>
    <row r="973" ht="13.5" customHeight="1" x14ac:dyDescent="0.35"/>
    <row r="974" ht="13.5" customHeight="1" x14ac:dyDescent="0.35"/>
    <row r="975" ht="13.5" customHeight="1" x14ac:dyDescent="0.35"/>
    <row r="976" ht="13.5" customHeight="1" x14ac:dyDescent="0.35"/>
    <row r="977" ht="13.5" customHeight="1" x14ac:dyDescent="0.35"/>
    <row r="978" ht="13.5" customHeight="1" x14ac:dyDescent="0.35"/>
    <row r="979" ht="13.5" customHeight="1" x14ac:dyDescent="0.35"/>
    <row r="980" ht="13.5" customHeight="1" x14ac:dyDescent="0.35"/>
    <row r="981" ht="13.5" customHeight="1" x14ac:dyDescent="0.35"/>
    <row r="982" ht="13.5" customHeight="1" x14ac:dyDescent="0.35"/>
    <row r="983" ht="13.5" customHeight="1" x14ac:dyDescent="0.35"/>
    <row r="984" ht="13.5" customHeight="1" x14ac:dyDescent="0.35"/>
    <row r="985" ht="13.5" customHeight="1" x14ac:dyDescent="0.35"/>
    <row r="986" ht="13.5" customHeight="1" x14ac:dyDescent="0.35"/>
    <row r="987" ht="13.5" customHeight="1" x14ac:dyDescent="0.35"/>
    <row r="988" ht="13.5" customHeight="1" x14ac:dyDescent="0.35"/>
    <row r="989" ht="13.5" customHeight="1" x14ac:dyDescent="0.35"/>
    <row r="990" ht="13.5" customHeight="1" x14ac:dyDescent="0.35"/>
    <row r="991" ht="13.5" customHeight="1" x14ac:dyDescent="0.35"/>
    <row r="992" ht="13.5" customHeight="1" x14ac:dyDescent="0.35"/>
    <row r="993" ht="13.5" customHeight="1" x14ac:dyDescent="0.35"/>
    <row r="994" ht="13.5" customHeight="1" x14ac:dyDescent="0.35"/>
    <row r="995" ht="13.5" customHeight="1" x14ac:dyDescent="0.35"/>
    <row r="996" ht="13.5" customHeight="1" x14ac:dyDescent="0.35"/>
    <row r="997" ht="13.5" customHeight="1" x14ac:dyDescent="0.35"/>
    <row r="998" ht="13.5" customHeight="1" x14ac:dyDescent="0.35"/>
    <row r="999" ht="13.5" customHeight="1" x14ac:dyDescent="0.35"/>
    <row r="1000" ht="13.5" customHeight="1" x14ac:dyDescent="0.35"/>
    <row r="1001" ht="13.5" customHeight="1" x14ac:dyDescent="0.35"/>
  </sheetData>
  <pageMargins left="0.7" right="0.7" top="0.75" bottom="0.75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workbookViewId="0">
      <selection activeCell="C22" sqref="C22:C23"/>
    </sheetView>
  </sheetViews>
  <sheetFormatPr defaultColWidth="14.453125" defaultRowHeight="15" customHeight="1" x14ac:dyDescent="0.35"/>
  <cols>
    <col min="1" max="1" width="12.90625" customWidth="1"/>
    <col min="2" max="2" width="47.36328125" customWidth="1"/>
    <col min="3" max="3" width="18.453125" customWidth="1"/>
    <col min="4" max="4" width="17.90625" customWidth="1"/>
    <col min="5" max="7" width="8.90625" customWidth="1"/>
    <col min="8" max="8" width="10.6328125" customWidth="1"/>
    <col min="9" max="11" width="8.90625" customWidth="1"/>
    <col min="12" max="12" width="10.6328125" customWidth="1"/>
    <col min="13" max="26" width="8.6328125" customWidth="1"/>
  </cols>
  <sheetData>
    <row r="1" spans="1:26" ht="13.5" customHeight="1" x14ac:dyDescent="0.35">
      <c r="A1" s="5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3.5" customHeight="1" x14ac:dyDescent="0.35">
      <c r="A2" s="5" t="s">
        <v>93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3.5" customHeight="1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3.5" customHeight="1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3.5" customHeight="1" x14ac:dyDescent="0.35">
      <c r="A5" s="5" t="s">
        <v>69</v>
      </c>
      <c r="B5" s="5" t="s">
        <v>70</v>
      </c>
      <c r="C5" s="31" t="s">
        <v>94</v>
      </c>
      <c r="D5" s="31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3.5" customHeight="1" x14ac:dyDescent="0.35">
      <c r="A6">
        <v>111410</v>
      </c>
      <c r="B6" t="s">
        <v>72</v>
      </c>
      <c r="C6" s="35">
        <v>1420</v>
      </c>
      <c r="D6" s="12"/>
      <c r="E6" s="3"/>
      <c r="F6" s="32"/>
      <c r="G6" s="32"/>
      <c r="H6" s="28"/>
      <c r="I6" s="3"/>
      <c r="J6" s="32"/>
      <c r="K6" s="32"/>
      <c r="L6" s="28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3.5" customHeight="1" x14ac:dyDescent="0.35">
      <c r="A7">
        <v>111440</v>
      </c>
      <c r="B7" t="s">
        <v>73</v>
      </c>
      <c r="C7">
        <v>-142</v>
      </c>
      <c r="D7" s="3"/>
      <c r="E7" s="3"/>
      <c r="F7" s="32"/>
      <c r="G7" s="32"/>
      <c r="H7" s="28"/>
      <c r="I7" s="3"/>
      <c r="J7" s="32"/>
      <c r="K7" s="32"/>
      <c r="L7" s="32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3.5" customHeight="1" x14ac:dyDescent="0.35">
      <c r="A8">
        <v>111610</v>
      </c>
      <c r="B8" t="s">
        <v>74</v>
      </c>
      <c r="C8" s="35">
        <v>9950</v>
      </c>
      <c r="D8" s="3"/>
      <c r="E8" s="3"/>
      <c r="F8" s="32"/>
      <c r="G8" s="32"/>
      <c r="H8" s="28"/>
      <c r="I8" s="3"/>
      <c r="J8" s="32"/>
      <c r="K8" s="32"/>
      <c r="L8" s="28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3.5" customHeight="1" x14ac:dyDescent="0.35">
      <c r="A9">
        <v>111640</v>
      </c>
      <c r="B9" t="s">
        <v>75</v>
      </c>
      <c r="C9" s="35">
        <v>-1990</v>
      </c>
      <c r="D9" s="3"/>
      <c r="E9" s="3"/>
      <c r="F9" s="32"/>
      <c r="G9" s="32"/>
      <c r="H9" s="28"/>
      <c r="I9" s="3"/>
      <c r="J9" s="32"/>
      <c r="K9" s="32"/>
      <c r="L9" s="28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3.5" customHeight="1" x14ac:dyDescent="0.35">
      <c r="A10">
        <v>113130</v>
      </c>
      <c r="B10" t="s">
        <v>76</v>
      </c>
      <c r="C10" s="34">
        <v>10838.25</v>
      </c>
      <c r="D10" s="12"/>
      <c r="E10" s="3"/>
      <c r="F10" s="32"/>
      <c r="G10" s="32"/>
      <c r="H10" s="29"/>
      <c r="I10" s="3"/>
      <c r="J10" s="32"/>
      <c r="K10" s="32"/>
      <c r="L10" s="29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3.5" customHeight="1" x14ac:dyDescent="0.35">
      <c r="A11">
        <v>122510</v>
      </c>
      <c r="B11" t="s">
        <v>77</v>
      </c>
      <c r="C11" s="35">
        <v>1550</v>
      </c>
      <c r="D11" s="3"/>
      <c r="E11" s="3"/>
      <c r="F11" s="32"/>
      <c r="G11" s="32"/>
      <c r="H11" s="32"/>
      <c r="I11" s="3"/>
      <c r="J11" s="32"/>
      <c r="K11" s="32"/>
      <c r="L11" s="32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3.5" customHeight="1" x14ac:dyDescent="0.35">
      <c r="A12">
        <v>122620</v>
      </c>
      <c r="B12" t="s">
        <v>78</v>
      </c>
      <c r="C12" s="34">
        <v>9093.08</v>
      </c>
      <c r="D12" s="12"/>
      <c r="E12" s="3"/>
      <c r="F12" s="32"/>
      <c r="G12" s="32"/>
      <c r="H12" s="29"/>
      <c r="I12" s="3"/>
      <c r="J12" s="32"/>
      <c r="K12" s="32"/>
      <c r="L12" s="29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3.5" customHeight="1" x14ac:dyDescent="0.35">
      <c r="A13">
        <v>122630</v>
      </c>
      <c r="B13" t="s">
        <v>79</v>
      </c>
      <c r="C13" s="35">
        <v>-6460</v>
      </c>
      <c r="D13" s="12"/>
      <c r="E13" s="3"/>
      <c r="F13" s="32"/>
      <c r="G13" s="32"/>
      <c r="H13" s="28"/>
      <c r="I13" s="3"/>
      <c r="J13" s="32"/>
      <c r="K13" s="32"/>
      <c r="L13" s="28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3.5" customHeight="1" x14ac:dyDescent="0.35">
      <c r="A14">
        <v>125220</v>
      </c>
      <c r="B14" t="s">
        <v>63</v>
      </c>
      <c r="C14" s="34">
        <v>124002.62</v>
      </c>
      <c r="D14" s="3"/>
      <c r="E14" s="3"/>
      <c r="F14" s="32"/>
      <c r="G14" s="32"/>
      <c r="H14" s="29"/>
      <c r="I14" s="3"/>
      <c r="J14" s="32"/>
      <c r="K14" s="32"/>
      <c r="L14" s="29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3.5" customHeight="1" x14ac:dyDescent="0.35">
      <c r="A15">
        <v>125230</v>
      </c>
      <c r="B15" t="s">
        <v>64</v>
      </c>
      <c r="C15" s="34">
        <v>4147.4799999999996</v>
      </c>
      <c r="D15" s="12"/>
      <c r="E15" s="3"/>
      <c r="F15" s="32"/>
      <c r="G15" s="32"/>
      <c r="H15" s="29"/>
      <c r="I15" s="3"/>
      <c r="J15" s="32"/>
      <c r="K15" s="32"/>
      <c r="L15" s="29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3.5" customHeight="1" x14ac:dyDescent="0.35">
      <c r="A16">
        <v>211300</v>
      </c>
      <c r="B16" t="s">
        <v>81</v>
      </c>
      <c r="C16" s="35">
        <v>-1200</v>
      </c>
      <c r="D16" s="12"/>
      <c r="E16" s="3"/>
      <c r="F16" s="32"/>
      <c r="G16" s="32"/>
      <c r="H16" s="28"/>
      <c r="I16" s="3"/>
      <c r="J16" s="32"/>
      <c r="K16" s="32"/>
      <c r="L16" s="28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3.5" customHeight="1" x14ac:dyDescent="0.35">
      <c r="A17">
        <v>215100</v>
      </c>
      <c r="B17" t="s">
        <v>83</v>
      </c>
      <c r="C17" s="34">
        <v>2306.33</v>
      </c>
      <c r="D17" s="12"/>
      <c r="E17" s="3"/>
      <c r="F17" s="32"/>
      <c r="G17" s="32"/>
      <c r="H17" s="29"/>
      <c r="I17" s="3"/>
      <c r="J17" s="32"/>
      <c r="K17" s="32"/>
      <c r="L17" s="29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3.5" customHeight="1" x14ac:dyDescent="0.35">
      <c r="A18">
        <v>215110</v>
      </c>
      <c r="B18" t="s">
        <v>84</v>
      </c>
      <c r="C18" s="34">
        <v>-10263.1</v>
      </c>
      <c r="D18" s="12"/>
      <c r="E18" s="3"/>
      <c r="F18" s="32"/>
      <c r="G18" s="32"/>
      <c r="H18" s="29"/>
      <c r="I18" s="3"/>
      <c r="J18" s="32"/>
      <c r="K18" s="32"/>
      <c r="L18" s="29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3.5" customHeight="1" x14ac:dyDescent="0.35">
      <c r="A19">
        <v>231414</v>
      </c>
      <c r="B19" t="s">
        <v>61</v>
      </c>
      <c r="C19" s="34">
        <v>-11840.5</v>
      </c>
      <c r="D19" s="12"/>
      <c r="E19" s="3"/>
      <c r="F19" s="32"/>
      <c r="G19" s="32"/>
      <c r="H19" s="29"/>
      <c r="I19" s="3"/>
      <c r="J19" s="32"/>
      <c r="K19" s="32"/>
      <c r="L19" s="29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3.5" customHeight="1" x14ac:dyDescent="0.35">
      <c r="A20">
        <v>231418</v>
      </c>
      <c r="B20" t="s">
        <v>62</v>
      </c>
      <c r="C20" s="35">
        <v>-34000</v>
      </c>
      <c r="D20" s="12"/>
      <c r="E20" s="3"/>
      <c r="F20" s="32"/>
      <c r="G20" s="32"/>
      <c r="H20" s="28"/>
      <c r="I20" s="3"/>
      <c r="J20" s="32"/>
      <c r="K20" s="32"/>
      <c r="L20" s="28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3.5" customHeight="1" x14ac:dyDescent="0.35">
      <c r="A21">
        <v>231520</v>
      </c>
      <c r="B21" t="s">
        <v>85</v>
      </c>
      <c r="C21" s="35">
        <v>-1300</v>
      </c>
      <c r="D21" s="12"/>
      <c r="E21" s="3"/>
      <c r="F21" s="32"/>
      <c r="G21" s="32"/>
      <c r="H21" s="28"/>
      <c r="I21" s="3"/>
      <c r="J21" s="32"/>
      <c r="K21" s="32"/>
      <c r="L21" s="28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3.5" customHeight="1" x14ac:dyDescent="0.35">
      <c r="A22">
        <v>232210</v>
      </c>
      <c r="B22" t="s">
        <v>86</v>
      </c>
      <c r="C22">
        <v>-561</v>
      </c>
      <c r="D22" s="12"/>
      <c r="E22" s="3"/>
      <c r="F22" s="32"/>
      <c r="G22" s="32"/>
      <c r="H22" s="29"/>
      <c r="I22" s="3"/>
      <c r="J22" s="32"/>
      <c r="K22" s="32"/>
      <c r="L22" s="32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3.5" customHeight="1" x14ac:dyDescent="0.35">
      <c r="A23">
        <v>234200</v>
      </c>
      <c r="B23" t="s">
        <v>87</v>
      </c>
      <c r="C23" s="34">
        <v>-101451.43</v>
      </c>
      <c r="D23" s="12"/>
      <c r="E23" s="3"/>
      <c r="F23" s="32"/>
      <c r="G23" s="32"/>
      <c r="H23" s="29"/>
      <c r="I23" s="3"/>
      <c r="J23" s="32"/>
      <c r="K23" s="32"/>
      <c r="L23" s="32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3.5" customHeight="1" x14ac:dyDescent="0.35">
      <c r="A24">
        <v>330100</v>
      </c>
      <c r="B24" t="s">
        <v>91</v>
      </c>
      <c r="C24" s="34">
        <v>-82536.570000000007</v>
      </c>
      <c r="D24" s="12"/>
      <c r="E24" s="3"/>
      <c r="F24" s="32"/>
      <c r="G24" s="32"/>
      <c r="H24" s="29"/>
      <c r="I24" s="3"/>
      <c r="J24" s="32"/>
      <c r="K24" s="32"/>
      <c r="L24" s="29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3.5" customHeight="1" x14ac:dyDescent="0.35">
      <c r="A25">
        <v>602010</v>
      </c>
      <c r="B25" t="s">
        <v>30</v>
      </c>
      <c r="C25">
        <v>800</v>
      </c>
      <c r="D25" s="12"/>
      <c r="E25" s="3"/>
      <c r="F25" s="32"/>
      <c r="G25" s="32"/>
      <c r="H25" s="32"/>
      <c r="I25" s="3"/>
      <c r="J25" s="32"/>
      <c r="K25" s="32"/>
      <c r="L25" s="29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3.5" customHeight="1" x14ac:dyDescent="0.35">
      <c r="A26">
        <v>602060</v>
      </c>
      <c r="B26" t="s">
        <v>33</v>
      </c>
      <c r="C26">
        <v>50</v>
      </c>
      <c r="D26" s="12"/>
      <c r="E26" s="3"/>
      <c r="F26" s="32"/>
      <c r="G26" s="32"/>
      <c r="H26" s="32"/>
      <c r="I26" s="3"/>
      <c r="J26" s="32"/>
      <c r="K26" s="32"/>
      <c r="L26" s="32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3.5" customHeight="1" x14ac:dyDescent="0.35">
      <c r="A27">
        <v>602132</v>
      </c>
      <c r="B27" t="s">
        <v>95</v>
      </c>
      <c r="C27">
        <v>600.02</v>
      </c>
      <c r="D27" s="12"/>
      <c r="E27" s="3"/>
      <c r="F27" s="32"/>
      <c r="G27" s="32"/>
      <c r="H27" s="28"/>
      <c r="I27" s="3"/>
      <c r="J27" s="32"/>
      <c r="K27" s="32"/>
      <c r="L27" s="32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3.5" customHeight="1" x14ac:dyDescent="0.35">
      <c r="A28">
        <v>602190</v>
      </c>
      <c r="B28" t="s">
        <v>40</v>
      </c>
      <c r="C28">
        <v>35</v>
      </c>
      <c r="D28" s="12"/>
      <c r="E28" s="3"/>
      <c r="F28" s="32"/>
      <c r="G28" s="32"/>
      <c r="H28" s="32"/>
      <c r="I28" s="3"/>
      <c r="J28" s="32"/>
      <c r="K28" s="32"/>
      <c r="L28" s="28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3.5" customHeight="1" x14ac:dyDescent="0.35">
      <c r="A29">
        <v>602200</v>
      </c>
      <c r="B29" t="s">
        <v>53</v>
      </c>
      <c r="C29">
        <v>993.98</v>
      </c>
      <c r="D29" s="12"/>
      <c r="E29" s="3"/>
      <c r="F29" s="32"/>
      <c r="G29" s="32"/>
      <c r="H29" s="32"/>
      <c r="I29" s="3"/>
      <c r="J29" s="32"/>
      <c r="K29" s="32"/>
      <c r="L29" s="32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3.5" customHeight="1" x14ac:dyDescent="0.35">
      <c r="A30">
        <v>602213</v>
      </c>
      <c r="B30" t="s">
        <v>42</v>
      </c>
      <c r="C30">
        <v>350</v>
      </c>
      <c r="D30" s="16"/>
      <c r="E30" s="3"/>
      <c r="F30" s="32"/>
      <c r="G30" s="32"/>
      <c r="H30" s="32"/>
      <c r="I30" s="3"/>
      <c r="J30" s="32"/>
      <c r="K30" s="32"/>
      <c r="L30" s="32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3.5" customHeight="1" x14ac:dyDescent="0.35">
      <c r="A31">
        <v>602214</v>
      </c>
      <c r="B31" t="s">
        <v>92</v>
      </c>
      <c r="C31">
        <v>350</v>
      </c>
      <c r="D31" s="12"/>
      <c r="E31" s="3"/>
      <c r="F31" s="32"/>
      <c r="G31" s="32"/>
      <c r="H31" s="32"/>
      <c r="I31" s="3"/>
      <c r="J31" s="32"/>
      <c r="K31" s="32"/>
      <c r="L31" s="32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3.5" customHeight="1" x14ac:dyDescent="0.35">
      <c r="A32">
        <v>602230</v>
      </c>
      <c r="B32" t="s">
        <v>43</v>
      </c>
      <c r="C32" s="35">
        <v>2132</v>
      </c>
      <c r="D32" s="12"/>
      <c r="E32" s="3"/>
      <c r="F32" s="32"/>
      <c r="G32" s="32"/>
      <c r="H32" s="28"/>
      <c r="I32" s="3"/>
      <c r="J32" s="32"/>
      <c r="K32" s="32"/>
      <c r="L32" s="32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3.5" customHeight="1" x14ac:dyDescent="0.35">
      <c r="A33">
        <v>602240</v>
      </c>
      <c r="B33" t="s">
        <v>50</v>
      </c>
      <c r="C33">
        <v>43.7</v>
      </c>
      <c r="D33" s="12"/>
      <c r="E33" s="3"/>
      <c r="F33" s="32"/>
      <c r="G33" s="32"/>
      <c r="H33" s="32"/>
      <c r="I33" s="3"/>
      <c r="J33" s="32"/>
      <c r="K33" s="32"/>
      <c r="L33" s="28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3.5" customHeight="1" x14ac:dyDescent="0.35">
      <c r="A34">
        <v>602380</v>
      </c>
      <c r="B34" t="s">
        <v>45</v>
      </c>
      <c r="C34">
        <v>140</v>
      </c>
      <c r="D34" s="12"/>
      <c r="E34" s="3"/>
      <c r="F34" s="32"/>
      <c r="G34" s="32"/>
      <c r="H34" s="32"/>
      <c r="I34" s="3"/>
      <c r="J34" s="32"/>
      <c r="K34" s="32"/>
      <c r="L34" s="32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3.5" customHeight="1" x14ac:dyDescent="0.35">
      <c r="A35">
        <v>602430</v>
      </c>
      <c r="B35" t="s">
        <v>46</v>
      </c>
      <c r="C35" s="34">
        <v>1021.34</v>
      </c>
      <c r="D35" s="12"/>
      <c r="E35" s="3"/>
      <c r="F35" s="32"/>
      <c r="G35" s="32"/>
      <c r="H35" s="29"/>
      <c r="I35" s="3"/>
      <c r="J35" s="32"/>
      <c r="K35" s="32"/>
      <c r="L35" s="32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3.5" customHeight="1" x14ac:dyDescent="0.35">
      <c r="A36">
        <v>602431</v>
      </c>
      <c r="B36" t="s">
        <v>47</v>
      </c>
      <c r="C36">
        <v>120</v>
      </c>
      <c r="D36" s="12"/>
      <c r="E36" s="3"/>
      <c r="F36" s="32"/>
      <c r="G36" s="32"/>
      <c r="H36" s="32"/>
      <c r="I36" s="3"/>
      <c r="J36" s="32"/>
      <c r="K36" s="32"/>
      <c r="L36" s="29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3.5" customHeight="1" x14ac:dyDescent="0.35">
      <c r="A37">
        <v>602471</v>
      </c>
      <c r="B37" t="s">
        <v>48</v>
      </c>
      <c r="C37">
        <v>678.57</v>
      </c>
      <c r="D37" s="12"/>
      <c r="E37" s="3"/>
      <c r="F37" s="32"/>
      <c r="G37" s="32"/>
      <c r="H37" s="32"/>
      <c r="I37" s="3"/>
      <c r="J37" s="32"/>
      <c r="K37" s="32"/>
      <c r="L37" s="32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3.5" customHeight="1" x14ac:dyDescent="0.35">
      <c r="A38">
        <v>602473</v>
      </c>
      <c r="B38" t="s">
        <v>51</v>
      </c>
      <c r="C38" s="35">
        <v>3200</v>
      </c>
      <c r="D38" s="12"/>
      <c r="E38" s="3"/>
      <c r="F38" s="32"/>
      <c r="G38" s="32"/>
      <c r="H38" s="28"/>
      <c r="I38" s="3"/>
      <c r="J38" s="32"/>
      <c r="K38" s="32"/>
      <c r="L38" s="32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3.5" customHeight="1" x14ac:dyDescent="0.35">
      <c r="A39">
        <v>650101</v>
      </c>
      <c r="B39" t="s">
        <v>89</v>
      </c>
      <c r="C39" s="34">
        <v>77256.570000000007</v>
      </c>
      <c r="D39" s="12"/>
      <c r="E39" s="3"/>
      <c r="F39" s="32"/>
      <c r="G39" s="32"/>
      <c r="H39" s="29"/>
      <c r="I39" s="3"/>
      <c r="J39" s="32"/>
      <c r="K39" s="32"/>
      <c r="L39" s="28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3.5" customHeight="1" x14ac:dyDescent="0.35">
      <c r="A40">
        <v>714100</v>
      </c>
      <c r="B40" t="s">
        <v>90</v>
      </c>
      <c r="C40">
        <v>104.66</v>
      </c>
      <c r="D40" s="33"/>
      <c r="E40" s="3"/>
      <c r="F40" s="32"/>
      <c r="G40" s="32"/>
      <c r="H40" s="32"/>
      <c r="I40" s="3"/>
      <c r="J40" s="32"/>
      <c r="K40" s="32"/>
      <c r="L40" s="29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3.5" customHeight="1" x14ac:dyDescent="0.35">
      <c r="A41">
        <v>800030</v>
      </c>
      <c r="B41" t="s">
        <v>86</v>
      </c>
      <c r="C41">
        <v>561</v>
      </c>
      <c r="D41" s="12"/>
      <c r="E41" s="3"/>
      <c r="F41" s="3"/>
      <c r="G41" s="3"/>
      <c r="H41" s="3"/>
      <c r="I41" s="3"/>
      <c r="J41" s="32"/>
      <c r="K41" s="32"/>
      <c r="L41" s="32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3.5" customHeight="1" x14ac:dyDescent="0.35">
      <c r="A42" s="3"/>
      <c r="B42" s="3"/>
      <c r="C42" s="3"/>
      <c r="D42" s="3"/>
      <c r="E42" s="3"/>
      <c r="F42" s="3"/>
      <c r="G42" s="3"/>
      <c r="H42" s="3"/>
      <c r="I42" s="3"/>
      <c r="J42" s="32"/>
      <c r="K42" s="32"/>
      <c r="L42" s="32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3.5" customHeight="1" x14ac:dyDescent="0.35">
      <c r="A43" s="3"/>
      <c r="B43" s="3"/>
      <c r="C43" s="16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3.5" customHeight="1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3.5" customHeight="1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3.5" customHeight="1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3.5" customHeight="1" x14ac:dyDescent="0.3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3.5" customHeight="1" x14ac:dyDescent="0.3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3.5" customHeight="1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3.5" customHeight="1" x14ac:dyDescent="0.3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3.5" customHeight="1" x14ac:dyDescent="0.3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3.5" customHeight="1" x14ac:dyDescent="0.3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3.5" customHeight="1" x14ac:dyDescent="0.3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3.5" customHeight="1" x14ac:dyDescent="0.3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3.5" customHeight="1" x14ac:dyDescent="0.3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3.5" customHeight="1" x14ac:dyDescent="0.3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3.5" customHeight="1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3.5" customHeight="1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3.5" customHeight="1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3.5" customHeight="1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3.5" customHeight="1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3.5" customHeight="1" x14ac:dyDescent="0.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3.5" customHeight="1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3.5" customHeight="1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3.5" customHeight="1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3.5" customHeight="1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3.5" customHeight="1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3.5" customHeight="1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3.5" customHeight="1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3.5" customHeight="1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3.5" customHeight="1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3.5" customHeight="1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3.5" customHeight="1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3.5" customHeight="1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3.5" customHeight="1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3.5" customHeight="1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3.5" customHeight="1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3.5" customHeight="1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3.5" customHeight="1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3.5" customHeight="1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3.5" customHeight="1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3.5" customHeight="1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3.5" customHeight="1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3.5" customHeight="1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3.5" customHeight="1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3.5" customHeight="1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3.5" customHeight="1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3.5" customHeight="1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3.5" customHeight="1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3.5" customHeight="1" x14ac:dyDescent="0.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3.5" customHeight="1" x14ac:dyDescent="0.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3.5" customHeight="1" x14ac:dyDescent="0.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3.5" customHeight="1" x14ac:dyDescent="0.3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3.5" customHeight="1" x14ac:dyDescent="0.3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3.5" customHeight="1" x14ac:dyDescent="0.3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3.5" customHeight="1" x14ac:dyDescent="0.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3.5" customHeight="1" x14ac:dyDescent="0.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3.5" customHeight="1" x14ac:dyDescent="0.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3.5" customHeight="1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3.5" customHeight="1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3.5" customHeight="1" x14ac:dyDescent="0.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3.5" customHeight="1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3.5" customHeight="1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3.5" customHeight="1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3.5" customHeight="1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3.5" customHeight="1" x14ac:dyDescent="0.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3.5" customHeight="1" x14ac:dyDescent="0.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3.5" customHeight="1" x14ac:dyDescent="0.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3.5" customHeight="1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3.5" customHeight="1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3.5" customHeight="1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3.5" customHeight="1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3.5" customHeight="1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3.5" customHeight="1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3.5" customHeight="1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3.5" customHeight="1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3.5" customHeight="1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3.5" customHeight="1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3.5" customHeight="1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3.5" customHeight="1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3.5" customHeight="1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3.5" customHeight="1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3.5" customHeight="1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3.5" customHeight="1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3.5" customHeight="1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3.5" customHeight="1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3.5" customHeight="1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3.5" customHeight="1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3.5" customHeight="1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3.5" customHeight="1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3.5" customHeight="1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3.5" customHeight="1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3.5" customHeight="1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3.5" customHeight="1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3.5" customHeight="1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3.5" customHeight="1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3.5" customHeight="1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3.5" customHeight="1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3.5" customHeight="1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3.5" customHeight="1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3.5" customHeight="1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3.5" customHeight="1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3.5" customHeight="1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3.5" customHeight="1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3.5" customHeight="1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3.5" customHeight="1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3.5" customHeight="1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3.5" customHeight="1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3.5" customHeight="1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3.5" customHeight="1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3.5" customHeight="1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3.5" customHeight="1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3.5" customHeight="1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3.5" customHeight="1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3.5" customHeight="1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3.5" customHeight="1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3.5" customHeight="1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3.5" customHeight="1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3.5" customHeight="1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3.5" customHeight="1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3.5" customHeight="1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3.5" customHeight="1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3.5" customHeight="1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3.5" customHeight="1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3.5" customHeight="1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3.5" customHeight="1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3.5" customHeight="1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3.5" customHeight="1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3.5" customHeight="1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3.5" customHeight="1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3.5" customHeight="1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3.5" customHeight="1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3.5" customHeight="1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3.5" customHeight="1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3.5" customHeight="1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3.5" customHeight="1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3.5" customHeight="1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3.5" customHeight="1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3.5" customHeight="1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3.5" customHeight="1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3.5" customHeight="1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3.5" customHeight="1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3.5" customHeight="1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3.5" customHeight="1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3.5" customHeight="1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3.5" customHeight="1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3.5" customHeight="1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3.5" customHeight="1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3.5" customHeight="1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3.5" customHeight="1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3.5" customHeight="1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3.5" customHeight="1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3.5" customHeight="1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3.5" customHeight="1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3.5" customHeight="1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3.5" customHeight="1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3.5" customHeight="1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3.5" customHeight="1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3.5" customHeight="1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3.5" customHeight="1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3.5" customHeight="1" x14ac:dyDescent="0.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3.5" customHeight="1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3.5" customHeight="1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3.5" customHeight="1" x14ac:dyDescent="0.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3.5" customHeight="1" x14ac:dyDescent="0.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3.5" customHeight="1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3.5" customHeight="1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3.5" customHeight="1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3.5" customHeight="1" x14ac:dyDescent="0.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3.5" customHeight="1" x14ac:dyDescent="0.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3.5" customHeight="1" x14ac:dyDescent="0.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3.5" customHeight="1" x14ac:dyDescent="0.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3.5" customHeight="1" x14ac:dyDescent="0.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3.5" customHeight="1" x14ac:dyDescent="0.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3.5" customHeight="1" x14ac:dyDescent="0.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3.5" customHeight="1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3.5" customHeight="1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3.5" customHeight="1" x14ac:dyDescent="0.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3.5" customHeight="1" x14ac:dyDescent="0.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3.5" customHeight="1" x14ac:dyDescent="0.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3.5" customHeight="1" x14ac:dyDescent="0.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3.5" customHeight="1" x14ac:dyDescent="0.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3.5" customHeight="1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3.5" customHeight="1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3.5" customHeight="1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3.5" customHeight="1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3.5" customHeight="1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3.5" customHeight="1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3.5" customHeight="1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3.5" customHeight="1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3.5" customHeight="1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3.5" customHeight="1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3.5" customHeight="1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3.5" customHeight="1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3.5" customHeight="1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3.5" customHeight="1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3.5" customHeight="1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3.5" customHeight="1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3.5" customHeight="1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3.5" customHeight="1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3.5" customHeight="1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3.5" customHeight="1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3.5" customHeight="1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3.5" customHeight="1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3.5" customHeight="1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3.5" customHeight="1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3.5" customHeight="1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3.5" customHeight="1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3.5" customHeight="1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3.5" customHeight="1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3.5" customHeight="1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3.5" customHeight="1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3.5" customHeight="1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3.5" customHeight="1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3.5" customHeight="1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3.5" customHeight="1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3.5" customHeight="1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3.5" customHeight="1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3.5" customHeight="1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3.5" customHeight="1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3.5" customHeight="1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3.5" customHeight="1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3.5" customHeight="1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3.5" customHeight="1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3.5" customHeight="1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3.5" customHeight="1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3.5" customHeight="1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3.5" customHeight="1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3.5" customHeight="1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3.5" customHeight="1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3.5" customHeight="1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3.5" customHeight="1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3.5" customHeight="1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3.5" customHeight="1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3.5" customHeight="1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3.5" customHeight="1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3.5" customHeight="1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3.5" customHeight="1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3.5" customHeight="1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3.5" customHeight="1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3.5" customHeight="1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3.5" customHeight="1" x14ac:dyDescent="0.3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3.5" customHeight="1" x14ac:dyDescent="0.3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3.5" customHeight="1" x14ac:dyDescent="0.3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3.5" customHeight="1" x14ac:dyDescent="0.3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3.5" customHeight="1" x14ac:dyDescent="0.3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3.5" customHeight="1" x14ac:dyDescent="0.3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3.5" customHeight="1" x14ac:dyDescent="0.3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3.5" customHeight="1" x14ac:dyDescent="0.3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3.5" customHeight="1" x14ac:dyDescent="0.3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3.5" customHeight="1" x14ac:dyDescent="0.3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3.5" customHeight="1" x14ac:dyDescent="0.3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3.5" customHeight="1" x14ac:dyDescent="0.3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3.5" customHeight="1" x14ac:dyDescent="0.3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3.5" customHeight="1" x14ac:dyDescent="0.3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3.5" customHeight="1" x14ac:dyDescent="0.3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3.5" customHeight="1" x14ac:dyDescent="0.3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3.5" customHeight="1" x14ac:dyDescent="0.3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3.5" customHeight="1" x14ac:dyDescent="0.3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3.5" customHeight="1" x14ac:dyDescent="0.3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3.5" customHeight="1" x14ac:dyDescent="0.3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3.5" customHeight="1" x14ac:dyDescent="0.3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3.5" customHeight="1" x14ac:dyDescent="0.3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3.5" customHeight="1" x14ac:dyDescent="0.3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3.5" customHeight="1" x14ac:dyDescent="0.3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3.5" customHeight="1" x14ac:dyDescent="0.3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3.5" customHeight="1" x14ac:dyDescent="0.3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3.5" customHeight="1" x14ac:dyDescent="0.3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3.5" customHeight="1" x14ac:dyDescent="0.3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3.5" customHeight="1" x14ac:dyDescent="0.3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3.5" customHeight="1" x14ac:dyDescent="0.3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3.5" customHeight="1" x14ac:dyDescent="0.3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3.5" customHeight="1" x14ac:dyDescent="0.3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3.5" customHeight="1" x14ac:dyDescent="0.3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3.5" customHeight="1" x14ac:dyDescent="0.3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3.5" customHeight="1" x14ac:dyDescent="0.3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3.5" customHeight="1" x14ac:dyDescent="0.3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3.5" customHeight="1" x14ac:dyDescent="0.3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3.5" customHeight="1" x14ac:dyDescent="0.3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3.5" customHeight="1" x14ac:dyDescent="0.3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3.5" customHeight="1" x14ac:dyDescent="0.3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3.5" customHeight="1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3.5" customHeight="1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3.5" customHeight="1" x14ac:dyDescent="0.3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3.5" customHeight="1" x14ac:dyDescent="0.3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3.5" customHeight="1" x14ac:dyDescent="0.3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3.5" customHeight="1" x14ac:dyDescent="0.3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3.5" customHeight="1" x14ac:dyDescent="0.3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3.5" customHeight="1" x14ac:dyDescent="0.3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3.5" customHeight="1" x14ac:dyDescent="0.3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3.5" customHeight="1" x14ac:dyDescent="0.3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3.5" customHeight="1" x14ac:dyDescent="0.3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3.5" customHeight="1" x14ac:dyDescent="0.3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3.5" customHeight="1" x14ac:dyDescent="0.3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3.5" customHeight="1" x14ac:dyDescent="0.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3.5" customHeight="1" x14ac:dyDescent="0.3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3.5" customHeight="1" x14ac:dyDescent="0.3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3.5" customHeight="1" x14ac:dyDescent="0.3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3.5" customHeight="1" x14ac:dyDescent="0.3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3.5" customHeight="1" x14ac:dyDescent="0.3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3.5" customHeight="1" x14ac:dyDescent="0.3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3.5" customHeight="1" x14ac:dyDescent="0.3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3.5" customHeight="1" x14ac:dyDescent="0.3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3.5" customHeight="1" x14ac:dyDescent="0.3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3.5" customHeight="1" x14ac:dyDescent="0.3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3.5" customHeight="1" x14ac:dyDescent="0.3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3.5" customHeight="1" x14ac:dyDescent="0.3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3.5" customHeight="1" x14ac:dyDescent="0.3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3.5" customHeight="1" x14ac:dyDescent="0.3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3.5" customHeight="1" x14ac:dyDescent="0.3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3.5" customHeight="1" x14ac:dyDescent="0.3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3.5" customHeight="1" x14ac:dyDescent="0.3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3.5" customHeight="1" x14ac:dyDescent="0.3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3.5" customHeight="1" x14ac:dyDescent="0.3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3.5" customHeight="1" x14ac:dyDescent="0.3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3.5" customHeight="1" x14ac:dyDescent="0.3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3.5" customHeight="1" x14ac:dyDescent="0.3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3.5" customHeight="1" x14ac:dyDescent="0.3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3.5" customHeight="1" x14ac:dyDescent="0.3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3.5" customHeight="1" x14ac:dyDescent="0.3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3.5" customHeight="1" x14ac:dyDescent="0.3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3.5" customHeight="1" x14ac:dyDescent="0.3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3.5" customHeight="1" x14ac:dyDescent="0.3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3.5" customHeight="1" x14ac:dyDescent="0.3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3.5" customHeight="1" x14ac:dyDescent="0.3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3.5" customHeight="1" x14ac:dyDescent="0.3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3.5" customHeight="1" x14ac:dyDescent="0.3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3.5" customHeight="1" x14ac:dyDescent="0.3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3.5" customHeight="1" x14ac:dyDescent="0.3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3.5" customHeight="1" x14ac:dyDescent="0.3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3.5" customHeight="1" x14ac:dyDescent="0.3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3.5" customHeight="1" x14ac:dyDescent="0.3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3.5" customHeight="1" x14ac:dyDescent="0.3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3.5" customHeight="1" x14ac:dyDescent="0.3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3.5" customHeight="1" x14ac:dyDescent="0.3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3.5" customHeight="1" x14ac:dyDescent="0.3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3.5" customHeight="1" x14ac:dyDescent="0.3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3.5" customHeight="1" x14ac:dyDescent="0.3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3.5" customHeight="1" x14ac:dyDescent="0.3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3.5" customHeight="1" x14ac:dyDescent="0.3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3.5" customHeight="1" x14ac:dyDescent="0.3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3.5" customHeight="1" x14ac:dyDescent="0.3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3.5" customHeight="1" x14ac:dyDescent="0.3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3.5" customHeight="1" x14ac:dyDescent="0.3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3.5" customHeight="1" x14ac:dyDescent="0.3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3.5" customHeight="1" x14ac:dyDescent="0.3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3.5" customHeight="1" x14ac:dyDescent="0.3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3.5" customHeight="1" x14ac:dyDescent="0.3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3.5" customHeight="1" x14ac:dyDescent="0.3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3.5" customHeight="1" x14ac:dyDescent="0.3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3.5" customHeight="1" x14ac:dyDescent="0.3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3.5" customHeight="1" x14ac:dyDescent="0.3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3.5" customHeight="1" x14ac:dyDescent="0.3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3.5" customHeight="1" x14ac:dyDescent="0.3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3.5" customHeight="1" x14ac:dyDescent="0.3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3.5" customHeight="1" x14ac:dyDescent="0.3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3.5" customHeight="1" x14ac:dyDescent="0.3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3.5" customHeight="1" x14ac:dyDescent="0.3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3.5" customHeight="1" x14ac:dyDescent="0.3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3.5" customHeight="1" x14ac:dyDescent="0.3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3.5" customHeight="1" x14ac:dyDescent="0.3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3.5" customHeight="1" x14ac:dyDescent="0.3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3.5" customHeight="1" x14ac:dyDescent="0.3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3.5" customHeight="1" x14ac:dyDescent="0.3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3.5" customHeight="1" x14ac:dyDescent="0.3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3.5" customHeight="1" x14ac:dyDescent="0.3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3.5" customHeight="1" x14ac:dyDescent="0.3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3.5" customHeight="1" x14ac:dyDescent="0.3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3.5" customHeight="1" x14ac:dyDescent="0.3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3.5" customHeight="1" x14ac:dyDescent="0.3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3.5" customHeight="1" x14ac:dyDescent="0.3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3.5" customHeight="1" x14ac:dyDescent="0.3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3.5" customHeight="1" x14ac:dyDescent="0.3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3.5" customHeight="1" x14ac:dyDescent="0.3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3.5" customHeight="1" x14ac:dyDescent="0.3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3.5" customHeight="1" x14ac:dyDescent="0.3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3.5" customHeight="1" x14ac:dyDescent="0.3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3.5" customHeight="1" x14ac:dyDescent="0.3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3.5" customHeight="1" x14ac:dyDescent="0.3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3.5" customHeight="1" x14ac:dyDescent="0.3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3.5" customHeight="1" x14ac:dyDescent="0.3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3.5" customHeight="1" x14ac:dyDescent="0.3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3.5" customHeight="1" x14ac:dyDescent="0.3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3.5" customHeight="1" x14ac:dyDescent="0.3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3.5" customHeight="1" x14ac:dyDescent="0.3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3.5" customHeight="1" x14ac:dyDescent="0.3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3.5" customHeight="1" x14ac:dyDescent="0.3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3.5" customHeight="1" x14ac:dyDescent="0.3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3.5" customHeight="1" x14ac:dyDescent="0.3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3.5" customHeight="1" x14ac:dyDescent="0.3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3.5" customHeight="1" x14ac:dyDescent="0.3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3.5" customHeight="1" x14ac:dyDescent="0.3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3.5" customHeight="1" x14ac:dyDescent="0.3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3.5" customHeight="1" x14ac:dyDescent="0.3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3.5" customHeight="1" x14ac:dyDescent="0.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3.5" customHeight="1" x14ac:dyDescent="0.3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3.5" customHeight="1" x14ac:dyDescent="0.3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3.5" customHeight="1" x14ac:dyDescent="0.3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3.5" customHeight="1" x14ac:dyDescent="0.3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3.5" customHeight="1" x14ac:dyDescent="0.3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3.5" customHeight="1" x14ac:dyDescent="0.3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3.5" customHeight="1" x14ac:dyDescent="0.3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3.5" customHeight="1" x14ac:dyDescent="0.3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3.5" customHeight="1" x14ac:dyDescent="0.3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3.5" customHeight="1" x14ac:dyDescent="0.3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3.5" customHeight="1" x14ac:dyDescent="0.3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3.5" customHeight="1" x14ac:dyDescent="0.3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3.5" customHeight="1" x14ac:dyDescent="0.3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3.5" customHeight="1" x14ac:dyDescent="0.3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3.5" customHeight="1" x14ac:dyDescent="0.3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3.5" customHeight="1" x14ac:dyDescent="0.3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3.5" customHeight="1" x14ac:dyDescent="0.3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3.5" customHeight="1" x14ac:dyDescent="0.3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3.5" customHeight="1" x14ac:dyDescent="0.3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3.5" customHeight="1" x14ac:dyDescent="0.3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3.5" customHeight="1" x14ac:dyDescent="0.3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3.5" customHeight="1" x14ac:dyDescent="0.3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3.5" customHeight="1" x14ac:dyDescent="0.3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3.5" customHeight="1" x14ac:dyDescent="0.3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3.5" customHeight="1" x14ac:dyDescent="0.3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3.5" customHeight="1" x14ac:dyDescent="0.3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3.5" customHeight="1" x14ac:dyDescent="0.3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3.5" customHeight="1" x14ac:dyDescent="0.3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3.5" customHeight="1" x14ac:dyDescent="0.3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3.5" customHeight="1" x14ac:dyDescent="0.3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3.5" customHeight="1" x14ac:dyDescent="0.3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3.5" customHeight="1" x14ac:dyDescent="0.3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3.5" customHeight="1" x14ac:dyDescent="0.3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3.5" customHeight="1" x14ac:dyDescent="0.3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3.5" customHeight="1" x14ac:dyDescent="0.3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3.5" customHeight="1" x14ac:dyDescent="0.3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3.5" customHeight="1" x14ac:dyDescent="0.3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3.5" customHeight="1" x14ac:dyDescent="0.3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3.5" customHeight="1" x14ac:dyDescent="0.3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3.5" customHeight="1" x14ac:dyDescent="0.3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3.5" customHeight="1" x14ac:dyDescent="0.3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3.5" customHeight="1" x14ac:dyDescent="0.3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3.5" customHeight="1" x14ac:dyDescent="0.3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3.5" customHeight="1" x14ac:dyDescent="0.3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3.5" customHeight="1" x14ac:dyDescent="0.3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3.5" customHeight="1" x14ac:dyDescent="0.3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3.5" customHeight="1" x14ac:dyDescent="0.3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3.5" customHeight="1" x14ac:dyDescent="0.3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3.5" customHeight="1" x14ac:dyDescent="0.3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3.5" customHeight="1" x14ac:dyDescent="0.3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3.5" customHeight="1" x14ac:dyDescent="0.3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3.5" customHeight="1" x14ac:dyDescent="0.3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3.5" customHeight="1" x14ac:dyDescent="0.3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3.5" customHeight="1" x14ac:dyDescent="0.3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3.5" customHeight="1" x14ac:dyDescent="0.3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3.5" customHeight="1" x14ac:dyDescent="0.3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3.5" customHeight="1" x14ac:dyDescent="0.3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3.5" customHeight="1" x14ac:dyDescent="0.3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3.5" customHeight="1" x14ac:dyDescent="0.3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3.5" customHeight="1" x14ac:dyDescent="0.3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3.5" customHeight="1" x14ac:dyDescent="0.3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3.5" customHeight="1" x14ac:dyDescent="0.3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3.5" customHeight="1" x14ac:dyDescent="0.3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3.5" customHeight="1" x14ac:dyDescent="0.3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3.5" customHeight="1" x14ac:dyDescent="0.3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3.5" customHeight="1" x14ac:dyDescent="0.3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3.5" customHeight="1" x14ac:dyDescent="0.3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3.5" customHeight="1" x14ac:dyDescent="0.3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3.5" customHeight="1" x14ac:dyDescent="0.3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3.5" customHeight="1" x14ac:dyDescent="0.3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3.5" customHeight="1" x14ac:dyDescent="0.3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3.5" customHeight="1" x14ac:dyDescent="0.3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3.5" customHeight="1" x14ac:dyDescent="0.3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3.5" customHeight="1" x14ac:dyDescent="0.3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3.5" customHeight="1" x14ac:dyDescent="0.3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3.5" customHeight="1" x14ac:dyDescent="0.3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3.5" customHeight="1" x14ac:dyDescent="0.3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3.5" customHeight="1" x14ac:dyDescent="0.3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3.5" customHeight="1" x14ac:dyDescent="0.3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3.5" customHeight="1" x14ac:dyDescent="0.3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3.5" customHeight="1" x14ac:dyDescent="0.3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3.5" customHeight="1" x14ac:dyDescent="0.3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3.5" customHeight="1" x14ac:dyDescent="0.3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3.5" customHeight="1" x14ac:dyDescent="0.3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3.5" customHeight="1" x14ac:dyDescent="0.3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3.5" customHeight="1" x14ac:dyDescent="0.3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3.5" customHeight="1" x14ac:dyDescent="0.3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3.5" customHeight="1" x14ac:dyDescent="0.3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3.5" customHeight="1" x14ac:dyDescent="0.3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3.5" customHeight="1" x14ac:dyDescent="0.3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3.5" customHeight="1" x14ac:dyDescent="0.3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3.5" customHeight="1" x14ac:dyDescent="0.3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3.5" customHeight="1" x14ac:dyDescent="0.3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3.5" customHeight="1" x14ac:dyDescent="0.3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3.5" customHeight="1" x14ac:dyDescent="0.3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3.5" customHeight="1" x14ac:dyDescent="0.3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3.5" customHeight="1" x14ac:dyDescent="0.3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3.5" customHeight="1" x14ac:dyDescent="0.3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3.5" customHeight="1" x14ac:dyDescent="0.3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3.5" customHeight="1" x14ac:dyDescent="0.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3.5" customHeight="1" x14ac:dyDescent="0.3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3.5" customHeight="1" x14ac:dyDescent="0.3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3.5" customHeight="1" x14ac:dyDescent="0.3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3.5" customHeight="1" x14ac:dyDescent="0.3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3.5" customHeight="1" x14ac:dyDescent="0.3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3.5" customHeight="1" x14ac:dyDescent="0.3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3.5" customHeight="1" x14ac:dyDescent="0.3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3.5" customHeight="1" x14ac:dyDescent="0.3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3.5" customHeight="1" x14ac:dyDescent="0.3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3.5" customHeight="1" x14ac:dyDescent="0.3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3.5" customHeight="1" x14ac:dyDescent="0.3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3.5" customHeight="1" x14ac:dyDescent="0.3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3.5" customHeight="1" x14ac:dyDescent="0.3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3.5" customHeight="1" x14ac:dyDescent="0.3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3.5" customHeight="1" x14ac:dyDescent="0.3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3.5" customHeight="1" x14ac:dyDescent="0.3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3.5" customHeight="1" x14ac:dyDescent="0.3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3.5" customHeight="1" x14ac:dyDescent="0.3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3.5" customHeight="1" x14ac:dyDescent="0.3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3.5" customHeight="1" x14ac:dyDescent="0.3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3.5" customHeight="1" x14ac:dyDescent="0.3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3.5" customHeight="1" x14ac:dyDescent="0.3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3.5" customHeight="1" x14ac:dyDescent="0.3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3.5" customHeight="1" x14ac:dyDescent="0.3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3.5" customHeight="1" x14ac:dyDescent="0.3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3.5" customHeight="1" x14ac:dyDescent="0.3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3.5" customHeight="1" x14ac:dyDescent="0.3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3.5" customHeight="1" x14ac:dyDescent="0.3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3.5" customHeight="1" x14ac:dyDescent="0.3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3.5" customHeight="1" x14ac:dyDescent="0.3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3.5" customHeight="1" x14ac:dyDescent="0.3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3.5" customHeight="1" x14ac:dyDescent="0.3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3.5" customHeight="1" x14ac:dyDescent="0.3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3.5" customHeight="1" x14ac:dyDescent="0.3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3.5" customHeight="1" x14ac:dyDescent="0.3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3.5" customHeight="1" x14ac:dyDescent="0.3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3.5" customHeight="1" x14ac:dyDescent="0.3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3.5" customHeight="1" x14ac:dyDescent="0.3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3.5" customHeight="1" x14ac:dyDescent="0.3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3.5" customHeight="1" x14ac:dyDescent="0.3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3.5" customHeight="1" x14ac:dyDescent="0.3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3.5" customHeight="1" x14ac:dyDescent="0.3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3.5" customHeight="1" x14ac:dyDescent="0.3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3.5" customHeight="1" x14ac:dyDescent="0.3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3.5" customHeight="1" x14ac:dyDescent="0.3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3.5" customHeight="1" x14ac:dyDescent="0.3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3.5" customHeight="1" x14ac:dyDescent="0.3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3.5" customHeight="1" x14ac:dyDescent="0.3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3.5" customHeight="1" x14ac:dyDescent="0.3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3.5" customHeight="1" x14ac:dyDescent="0.3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3.5" customHeight="1" x14ac:dyDescent="0.3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3.5" customHeight="1" x14ac:dyDescent="0.3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3.5" customHeight="1" x14ac:dyDescent="0.3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3.5" customHeight="1" x14ac:dyDescent="0.3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3.5" customHeight="1" x14ac:dyDescent="0.3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3.5" customHeight="1" x14ac:dyDescent="0.3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3.5" customHeight="1" x14ac:dyDescent="0.3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3.5" customHeight="1" x14ac:dyDescent="0.3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3.5" customHeight="1" x14ac:dyDescent="0.3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3.5" customHeight="1" x14ac:dyDescent="0.3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3.5" customHeight="1" x14ac:dyDescent="0.3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3.5" customHeight="1" x14ac:dyDescent="0.3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3.5" customHeight="1" x14ac:dyDescent="0.3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3.5" customHeight="1" x14ac:dyDescent="0.3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3.5" customHeight="1" x14ac:dyDescent="0.3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3.5" customHeight="1" x14ac:dyDescent="0.3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3.5" customHeight="1" x14ac:dyDescent="0.3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3.5" customHeight="1" x14ac:dyDescent="0.3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3.5" customHeight="1" x14ac:dyDescent="0.3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3.5" customHeight="1" x14ac:dyDescent="0.3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3.5" customHeight="1" x14ac:dyDescent="0.3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3.5" customHeight="1" x14ac:dyDescent="0.3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3.5" customHeight="1" x14ac:dyDescent="0.3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3.5" customHeight="1" x14ac:dyDescent="0.3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3.5" customHeight="1" x14ac:dyDescent="0.3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3.5" customHeight="1" x14ac:dyDescent="0.3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3.5" customHeight="1" x14ac:dyDescent="0.3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3.5" customHeight="1" x14ac:dyDescent="0.3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3.5" customHeight="1" x14ac:dyDescent="0.3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3.5" customHeight="1" x14ac:dyDescent="0.3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3.5" customHeight="1" x14ac:dyDescent="0.3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3.5" customHeight="1" x14ac:dyDescent="0.3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3.5" customHeight="1" x14ac:dyDescent="0.3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3.5" customHeight="1" x14ac:dyDescent="0.3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3.5" customHeight="1" x14ac:dyDescent="0.3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3.5" customHeight="1" x14ac:dyDescent="0.3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3.5" customHeight="1" x14ac:dyDescent="0.3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3.5" customHeight="1" x14ac:dyDescent="0.3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3.5" customHeight="1" x14ac:dyDescent="0.3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3.5" customHeight="1" x14ac:dyDescent="0.3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3.5" customHeight="1" x14ac:dyDescent="0.3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3.5" customHeight="1" x14ac:dyDescent="0.3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3.5" customHeight="1" x14ac:dyDescent="0.3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3.5" customHeight="1" x14ac:dyDescent="0.3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3.5" customHeight="1" x14ac:dyDescent="0.3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3.5" customHeight="1" x14ac:dyDescent="0.3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3.5" customHeight="1" x14ac:dyDescent="0.3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3.5" customHeight="1" x14ac:dyDescent="0.3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3.5" customHeight="1" x14ac:dyDescent="0.3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3.5" customHeight="1" x14ac:dyDescent="0.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3.5" customHeight="1" x14ac:dyDescent="0.3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3.5" customHeight="1" x14ac:dyDescent="0.3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3.5" customHeight="1" x14ac:dyDescent="0.3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3.5" customHeight="1" x14ac:dyDescent="0.3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3.5" customHeight="1" x14ac:dyDescent="0.3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3.5" customHeight="1" x14ac:dyDescent="0.3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3.5" customHeight="1" x14ac:dyDescent="0.3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3.5" customHeight="1" x14ac:dyDescent="0.3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3.5" customHeight="1" x14ac:dyDescent="0.3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3.5" customHeight="1" x14ac:dyDescent="0.3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3.5" customHeight="1" x14ac:dyDescent="0.3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3.5" customHeight="1" x14ac:dyDescent="0.3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3.5" customHeight="1" x14ac:dyDescent="0.3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3.5" customHeight="1" x14ac:dyDescent="0.3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3.5" customHeight="1" x14ac:dyDescent="0.3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3.5" customHeight="1" x14ac:dyDescent="0.3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3.5" customHeight="1" x14ac:dyDescent="0.3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3.5" customHeight="1" x14ac:dyDescent="0.3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3.5" customHeight="1" x14ac:dyDescent="0.3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3.5" customHeight="1" x14ac:dyDescent="0.3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3.5" customHeight="1" x14ac:dyDescent="0.3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3.5" customHeight="1" x14ac:dyDescent="0.3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3.5" customHeight="1" x14ac:dyDescent="0.3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3.5" customHeight="1" x14ac:dyDescent="0.3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3.5" customHeight="1" x14ac:dyDescent="0.3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3.5" customHeight="1" x14ac:dyDescent="0.3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3.5" customHeight="1" x14ac:dyDescent="0.3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3.5" customHeight="1" x14ac:dyDescent="0.3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3.5" customHeight="1" x14ac:dyDescent="0.3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3.5" customHeight="1" x14ac:dyDescent="0.3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3.5" customHeight="1" x14ac:dyDescent="0.3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3.5" customHeight="1" x14ac:dyDescent="0.3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3.5" customHeight="1" x14ac:dyDescent="0.3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3.5" customHeight="1" x14ac:dyDescent="0.3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3.5" customHeight="1" x14ac:dyDescent="0.3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3.5" customHeight="1" x14ac:dyDescent="0.3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3.5" customHeight="1" x14ac:dyDescent="0.3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3.5" customHeight="1" x14ac:dyDescent="0.3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3.5" customHeight="1" x14ac:dyDescent="0.3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3.5" customHeight="1" x14ac:dyDescent="0.3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3.5" customHeight="1" x14ac:dyDescent="0.3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3.5" customHeight="1" x14ac:dyDescent="0.3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3.5" customHeight="1" x14ac:dyDescent="0.3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3.5" customHeight="1" x14ac:dyDescent="0.3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3.5" customHeight="1" x14ac:dyDescent="0.3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3.5" customHeight="1" x14ac:dyDescent="0.3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3.5" customHeight="1" x14ac:dyDescent="0.3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3.5" customHeight="1" x14ac:dyDescent="0.3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3.5" customHeight="1" x14ac:dyDescent="0.3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3.5" customHeight="1" x14ac:dyDescent="0.3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3.5" customHeight="1" x14ac:dyDescent="0.3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3.5" customHeight="1" x14ac:dyDescent="0.3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3.5" customHeight="1" x14ac:dyDescent="0.3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3.5" customHeight="1" x14ac:dyDescent="0.3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3.5" customHeight="1" x14ac:dyDescent="0.3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3.5" customHeight="1" x14ac:dyDescent="0.3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3.5" customHeight="1" x14ac:dyDescent="0.3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3.5" customHeight="1" x14ac:dyDescent="0.3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3.5" customHeight="1" x14ac:dyDescent="0.3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3.5" customHeight="1" x14ac:dyDescent="0.3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3.5" customHeight="1" x14ac:dyDescent="0.3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3.5" customHeight="1" x14ac:dyDescent="0.3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3.5" customHeight="1" x14ac:dyDescent="0.3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3.5" customHeight="1" x14ac:dyDescent="0.3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3.5" customHeight="1" x14ac:dyDescent="0.3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3.5" customHeight="1" x14ac:dyDescent="0.3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3.5" customHeight="1" x14ac:dyDescent="0.3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3.5" customHeight="1" x14ac:dyDescent="0.3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3.5" customHeight="1" x14ac:dyDescent="0.3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3.5" customHeight="1" x14ac:dyDescent="0.3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3.5" customHeight="1" x14ac:dyDescent="0.3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3.5" customHeight="1" x14ac:dyDescent="0.3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3.5" customHeight="1" x14ac:dyDescent="0.3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3.5" customHeight="1" x14ac:dyDescent="0.3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3.5" customHeight="1" x14ac:dyDescent="0.3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3.5" customHeight="1" x14ac:dyDescent="0.3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3.5" customHeight="1" x14ac:dyDescent="0.3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3.5" customHeight="1" x14ac:dyDescent="0.3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3.5" customHeight="1" x14ac:dyDescent="0.3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3.5" customHeight="1" x14ac:dyDescent="0.3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3.5" customHeight="1" x14ac:dyDescent="0.3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3.5" customHeight="1" x14ac:dyDescent="0.3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3.5" customHeight="1" x14ac:dyDescent="0.3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3.5" customHeight="1" x14ac:dyDescent="0.3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3.5" customHeight="1" x14ac:dyDescent="0.3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3.5" customHeight="1" x14ac:dyDescent="0.3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3.5" customHeight="1" x14ac:dyDescent="0.3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3.5" customHeight="1" x14ac:dyDescent="0.3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3.5" customHeight="1" x14ac:dyDescent="0.3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3.5" customHeight="1" x14ac:dyDescent="0.3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3.5" customHeight="1" x14ac:dyDescent="0.3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3.5" customHeight="1" x14ac:dyDescent="0.3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3.5" customHeight="1" x14ac:dyDescent="0.3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3.5" customHeight="1" x14ac:dyDescent="0.3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3.5" customHeight="1" x14ac:dyDescent="0.3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3.5" customHeight="1" x14ac:dyDescent="0.3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3.5" customHeight="1" x14ac:dyDescent="0.3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3.5" customHeight="1" x14ac:dyDescent="0.3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3.5" customHeight="1" x14ac:dyDescent="0.3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3.5" customHeight="1" x14ac:dyDescent="0.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3.5" customHeight="1" x14ac:dyDescent="0.3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3.5" customHeight="1" x14ac:dyDescent="0.3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3.5" customHeight="1" x14ac:dyDescent="0.3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3.5" customHeight="1" x14ac:dyDescent="0.3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3.5" customHeight="1" x14ac:dyDescent="0.3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3.5" customHeight="1" x14ac:dyDescent="0.3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3.5" customHeight="1" x14ac:dyDescent="0.3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3.5" customHeight="1" x14ac:dyDescent="0.3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3.5" customHeight="1" x14ac:dyDescent="0.3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3.5" customHeight="1" x14ac:dyDescent="0.3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3.5" customHeight="1" x14ac:dyDescent="0.3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3.5" customHeight="1" x14ac:dyDescent="0.3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3.5" customHeight="1" x14ac:dyDescent="0.3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3.5" customHeight="1" x14ac:dyDescent="0.3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3.5" customHeight="1" x14ac:dyDescent="0.3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3.5" customHeight="1" x14ac:dyDescent="0.3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3.5" customHeight="1" x14ac:dyDescent="0.3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3.5" customHeight="1" x14ac:dyDescent="0.3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3.5" customHeight="1" x14ac:dyDescent="0.3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3.5" customHeight="1" x14ac:dyDescent="0.3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3.5" customHeight="1" x14ac:dyDescent="0.3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3.5" customHeight="1" x14ac:dyDescent="0.3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3.5" customHeight="1" x14ac:dyDescent="0.3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3.5" customHeight="1" x14ac:dyDescent="0.3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3.5" customHeight="1" x14ac:dyDescent="0.3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3.5" customHeight="1" x14ac:dyDescent="0.3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3.5" customHeight="1" x14ac:dyDescent="0.3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3.5" customHeight="1" x14ac:dyDescent="0.3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3.5" customHeight="1" x14ac:dyDescent="0.3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3.5" customHeight="1" x14ac:dyDescent="0.3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3.5" customHeight="1" x14ac:dyDescent="0.3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3.5" customHeight="1" x14ac:dyDescent="0.3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3.5" customHeight="1" x14ac:dyDescent="0.3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3.5" customHeight="1" x14ac:dyDescent="0.3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3.5" customHeight="1" x14ac:dyDescent="0.3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3.5" customHeight="1" x14ac:dyDescent="0.3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3.5" customHeight="1" x14ac:dyDescent="0.3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3.5" customHeight="1" x14ac:dyDescent="0.3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3.5" customHeight="1" x14ac:dyDescent="0.3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3.5" customHeight="1" x14ac:dyDescent="0.3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3.5" customHeight="1" x14ac:dyDescent="0.3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3.5" customHeight="1" x14ac:dyDescent="0.3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3.5" customHeight="1" x14ac:dyDescent="0.3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3.5" customHeight="1" x14ac:dyDescent="0.3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3.5" customHeight="1" x14ac:dyDescent="0.3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3.5" customHeight="1" x14ac:dyDescent="0.3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3.5" customHeight="1" x14ac:dyDescent="0.3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3.5" customHeight="1" x14ac:dyDescent="0.3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3.5" customHeight="1" x14ac:dyDescent="0.3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3.5" customHeight="1" x14ac:dyDescent="0.3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3.5" customHeight="1" x14ac:dyDescent="0.3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3.5" customHeight="1" x14ac:dyDescent="0.3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3.5" customHeight="1" x14ac:dyDescent="0.3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3.5" customHeight="1" x14ac:dyDescent="0.3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3.5" customHeight="1" x14ac:dyDescent="0.3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3.5" customHeight="1" x14ac:dyDescent="0.3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3.5" customHeight="1" x14ac:dyDescent="0.3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3.5" customHeight="1" x14ac:dyDescent="0.3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3.5" customHeight="1" x14ac:dyDescent="0.3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3.5" customHeight="1" x14ac:dyDescent="0.3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3.5" customHeight="1" x14ac:dyDescent="0.3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3.5" customHeight="1" x14ac:dyDescent="0.3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3.5" customHeight="1" x14ac:dyDescent="0.3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3.5" customHeight="1" x14ac:dyDescent="0.3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3.5" customHeight="1" x14ac:dyDescent="0.3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3.5" customHeight="1" x14ac:dyDescent="0.3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3.5" customHeight="1" x14ac:dyDescent="0.3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3.5" customHeight="1" x14ac:dyDescent="0.3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3.5" customHeight="1" x14ac:dyDescent="0.3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3.5" customHeight="1" x14ac:dyDescent="0.3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3.5" customHeight="1" x14ac:dyDescent="0.3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3.5" customHeight="1" x14ac:dyDescent="0.3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3.5" customHeight="1" x14ac:dyDescent="0.3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3.5" customHeight="1" x14ac:dyDescent="0.3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3.5" customHeight="1" x14ac:dyDescent="0.3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3.5" customHeight="1" x14ac:dyDescent="0.3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3.5" customHeight="1" x14ac:dyDescent="0.3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3.5" customHeight="1" x14ac:dyDescent="0.3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3.5" customHeight="1" x14ac:dyDescent="0.3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3.5" customHeight="1" x14ac:dyDescent="0.3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3.5" customHeight="1" x14ac:dyDescent="0.3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3.5" customHeight="1" x14ac:dyDescent="0.3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3.5" customHeight="1" x14ac:dyDescent="0.3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3.5" customHeight="1" x14ac:dyDescent="0.3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3.5" customHeight="1" x14ac:dyDescent="0.3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3.5" customHeight="1" x14ac:dyDescent="0.3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3.5" customHeight="1" x14ac:dyDescent="0.3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3.5" customHeight="1" x14ac:dyDescent="0.3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3.5" customHeight="1" x14ac:dyDescent="0.3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3.5" customHeight="1" x14ac:dyDescent="0.3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3.5" customHeight="1" x14ac:dyDescent="0.3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3.5" customHeight="1" x14ac:dyDescent="0.3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3.5" customHeight="1" x14ac:dyDescent="0.3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3.5" customHeight="1" x14ac:dyDescent="0.3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3.5" customHeight="1" x14ac:dyDescent="0.3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3.5" customHeight="1" x14ac:dyDescent="0.3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3.5" customHeight="1" x14ac:dyDescent="0.3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3.5" customHeight="1" x14ac:dyDescent="0.3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3.5" customHeight="1" x14ac:dyDescent="0.3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3.5" customHeight="1" x14ac:dyDescent="0.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3.5" customHeight="1" x14ac:dyDescent="0.3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3.5" customHeight="1" x14ac:dyDescent="0.3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3.5" customHeight="1" x14ac:dyDescent="0.3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3.5" customHeight="1" x14ac:dyDescent="0.3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3.5" customHeight="1" x14ac:dyDescent="0.3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3.5" customHeight="1" x14ac:dyDescent="0.3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3.5" customHeight="1" x14ac:dyDescent="0.3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3.5" customHeight="1" x14ac:dyDescent="0.3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3.5" customHeight="1" x14ac:dyDescent="0.3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3.5" customHeight="1" x14ac:dyDescent="0.3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3.5" customHeight="1" x14ac:dyDescent="0.3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3.5" customHeight="1" x14ac:dyDescent="0.3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3.5" customHeight="1" x14ac:dyDescent="0.3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3.5" customHeight="1" x14ac:dyDescent="0.3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3.5" customHeight="1" x14ac:dyDescent="0.3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3.5" customHeight="1" x14ac:dyDescent="0.3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3.5" customHeight="1" x14ac:dyDescent="0.3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3.5" customHeight="1" x14ac:dyDescent="0.3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3.5" customHeight="1" x14ac:dyDescent="0.3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3.5" customHeight="1" x14ac:dyDescent="0.3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3.5" customHeight="1" x14ac:dyDescent="0.3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3.5" customHeight="1" x14ac:dyDescent="0.3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3.5" customHeight="1" x14ac:dyDescent="0.3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3.5" customHeight="1" x14ac:dyDescent="0.3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3.5" customHeight="1" x14ac:dyDescent="0.3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3.5" customHeight="1" x14ac:dyDescent="0.3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3.5" customHeight="1" x14ac:dyDescent="0.3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3.5" customHeight="1" x14ac:dyDescent="0.3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3.5" customHeight="1" x14ac:dyDescent="0.3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3.5" customHeight="1" x14ac:dyDescent="0.3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3.5" customHeight="1" x14ac:dyDescent="0.3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3.5" customHeight="1" x14ac:dyDescent="0.3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3.5" customHeight="1" x14ac:dyDescent="0.3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3.5" customHeight="1" x14ac:dyDescent="0.3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3.5" customHeight="1" x14ac:dyDescent="0.3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3.5" customHeight="1" x14ac:dyDescent="0.3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3.5" customHeight="1" x14ac:dyDescent="0.3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3.5" customHeight="1" x14ac:dyDescent="0.3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3.5" customHeight="1" x14ac:dyDescent="0.3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3.5" customHeight="1" x14ac:dyDescent="0.3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3.5" customHeight="1" x14ac:dyDescent="0.3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3.5" customHeight="1" x14ac:dyDescent="0.3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3.5" customHeight="1" x14ac:dyDescent="0.3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3.5" customHeight="1" x14ac:dyDescent="0.3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3.5" customHeight="1" x14ac:dyDescent="0.3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3.5" customHeight="1" x14ac:dyDescent="0.3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3.5" customHeight="1" x14ac:dyDescent="0.3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3.5" customHeight="1" x14ac:dyDescent="0.3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3.5" customHeight="1" x14ac:dyDescent="0.3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3.5" customHeight="1" x14ac:dyDescent="0.3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3.5" customHeight="1" x14ac:dyDescent="0.3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3.5" customHeight="1" x14ac:dyDescent="0.3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3.5" customHeight="1" x14ac:dyDescent="0.3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3.5" customHeight="1" x14ac:dyDescent="0.3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3.5" customHeight="1" x14ac:dyDescent="0.3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3.5" customHeight="1" x14ac:dyDescent="0.3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3.5" customHeight="1" x14ac:dyDescent="0.3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3.5" customHeight="1" x14ac:dyDescent="0.3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3.5" customHeight="1" x14ac:dyDescent="0.3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3.5" customHeight="1" x14ac:dyDescent="0.3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3.5" customHeight="1" x14ac:dyDescent="0.3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3.5" customHeight="1" x14ac:dyDescent="0.3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3.5" customHeight="1" x14ac:dyDescent="0.3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3.5" customHeight="1" x14ac:dyDescent="0.3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3.5" customHeight="1" x14ac:dyDescent="0.3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3.5" customHeight="1" x14ac:dyDescent="0.3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3.5" customHeight="1" x14ac:dyDescent="0.3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3.5" customHeight="1" x14ac:dyDescent="0.3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3.5" customHeight="1" x14ac:dyDescent="0.3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3.5" customHeight="1" x14ac:dyDescent="0.3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3.5" customHeight="1" x14ac:dyDescent="0.3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3.5" customHeight="1" x14ac:dyDescent="0.3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3.5" customHeight="1" x14ac:dyDescent="0.3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3.5" customHeight="1" x14ac:dyDescent="0.3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3.5" customHeight="1" x14ac:dyDescent="0.3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3.5" customHeight="1" x14ac:dyDescent="0.3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3.5" customHeight="1" x14ac:dyDescent="0.3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3.5" customHeight="1" x14ac:dyDescent="0.3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3.5" customHeight="1" x14ac:dyDescent="0.3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3.5" customHeight="1" x14ac:dyDescent="0.3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3.5" customHeight="1" x14ac:dyDescent="0.3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3.5" customHeight="1" x14ac:dyDescent="0.3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3.5" customHeight="1" x14ac:dyDescent="0.3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3.5" customHeight="1" x14ac:dyDescent="0.3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3.5" customHeight="1" x14ac:dyDescent="0.3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3.5" customHeight="1" x14ac:dyDescent="0.3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3.5" customHeight="1" x14ac:dyDescent="0.3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3.5" customHeight="1" x14ac:dyDescent="0.3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3.5" customHeight="1" x14ac:dyDescent="0.3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3.5" customHeight="1" x14ac:dyDescent="0.3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3.5" customHeight="1" x14ac:dyDescent="0.3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3.5" customHeight="1" x14ac:dyDescent="0.3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3.5" customHeight="1" x14ac:dyDescent="0.3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3.5" customHeight="1" x14ac:dyDescent="0.3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3.5" customHeight="1" x14ac:dyDescent="0.3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3.5" customHeight="1" x14ac:dyDescent="0.3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3.5" customHeight="1" x14ac:dyDescent="0.3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3.5" customHeight="1" x14ac:dyDescent="0.3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3.5" customHeight="1" x14ac:dyDescent="0.3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3.5" customHeight="1" x14ac:dyDescent="0.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3.5" customHeight="1" x14ac:dyDescent="0.3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3.5" customHeight="1" x14ac:dyDescent="0.3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3.5" customHeight="1" x14ac:dyDescent="0.3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3.5" customHeight="1" x14ac:dyDescent="0.3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3.5" customHeight="1" x14ac:dyDescent="0.3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3.5" customHeight="1" x14ac:dyDescent="0.3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3.5" customHeight="1" x14ac:dyDescent="0.3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3.5" customHeight="1" x14ac:dyDescent="0.3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3.5" customHeight="1" x14ac:dyDescent="0.3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3.5" customHeight="1" x14ac:dyDescent="0.3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3.5" customHeight="1" x14ac:dyDescent="0.3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3.5" customHeight="1" x14ac:dyDescent="0.3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3.5" customHeight="1" x14ac:dyDescent="0.3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3.5" customHeight="1" x14ac:dyDescent="0.3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3.5" customHeight="1" x14ac:dyDescent="0.3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3.5" customHeight="1" x14ac:dyDescent="0.3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3.5" customHeight="1" x14ac:dyDescent="0.3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3.5" customHeight="1" x14ac:dyDescent="0.3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3.5" customHeight="1" x14ac:dyDescent="0.3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3.5" customHeight="1" x14ac:dyDescent="0.3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3.5" customHeight="1" x14ac:dyDescent="0.3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3.5" customHeight="1" x14ac:dyDescent="0.3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3.5" customHeight="1" x14ac:dyDescent="0.3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3.5" customHeight="1" x14ac:dyDescent="0.3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3.5" customHeight="1" x14ac:dyDescent="0.3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3.5" customHeight="1" x14ac:dyDescent="0.3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3.5" customHeight="1" x14ac:dyDescent="0.3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3.5" customHeight="1" x14ac:dyDescent="0.3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3.5" customHeight="1" x14ac:dyDescent="0.3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3.5" customHeight="1" x14ac:dyDescent="0.3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3.5" customHeight="1" x14ac:dyDescent="0.3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3.5" customHeight="1" x14ac:dyDescent="0.3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3.5" customHeight="1" x14ac:dyDescent="0.3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3.5" customHeight="1" x14ac:dyDescent="0.3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3.5" customHeight="1" x14ac:dyDescent="0.3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3.5" customHeight="1" x14ac:dyDescent="0.3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3.5" customHeight="1" x14ac:dyDescent="0.3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3.5" customHeight="1" x14ac:dyDescent="0.3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3.5" customHeight="1" x14ac:dyDescent="0.3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3.5" customHeight="1" x14ac:dyDescent="0.3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3.5" customHeight="1" x14ac:dyDescent="0.3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3.5" customHeight="1" x14ac:dyDescent="0.3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3.5" customHeight="1" x14ac:dyDescent="0.3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3.5" customHeight="1" x14ac:dyDescent="0.3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3.5" customHeight="1" x14ac:dyDescent="0.3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3.5" customHeight="1" x14ac:dyDescent="0.3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3.5" customHeight="1" x14ac:dyDescent="0.3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3.5" customHeight="1" x14ac:dyDescent="0.3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3.5" customHeight="1" x14ac:dyDescent="0.3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3.5" customHeight="1" x14ac:dyDescent="0.3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3.5" customHeight="1" x14ac:dyDescent="0.3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3.5" customHeight="1" x14ac:dyDescent="0.3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3.5" customHeight="1" x14ac:dyDescent="0.3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3.5" customHeight="1" x14ac:dyDescent="0.3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3.5" customHeight="1" x14ac:dyDescent="0.3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3.5" customHeight="1" x14ac:dyDescent="0.3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3.5" customHeight="1" x14ac:dyDescent="0.3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3.5" customHeight="1" x14ac:dyDescent="0.3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3.5" customHeight="1" x14ac:dyDescent="0.3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3.5" customHeight="1" x14ac:dyDescent="0.3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3.5" customHeight="1" x14ac:dyDescent="0.3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3.5" customHeight="1" x14ac:dyDescent="0.3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3.5" customHeight="1" x14ac:dyDescent="0.3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3.5" customHeight="1" x14ac:dyDescent="0.3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3.5" customHeight="1" x14ac:dyDescent="0.3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Financial Model</vt:lpstr>
      <vt:lpstr>Valuation</vt:lpstr>
      <vt:lpstr>Income Statement</vt:lpstr>
      <vt:lpstr>Balance Sheet</vt:lpstr>
      <vt:lpstr>Notes</vt:lpstr>
      <vt:lpstr>TB 2023</vt:lpstr>
      <vt:lpstr>TB 2022</vt:lpstr>
      <vt:lpstr>TB 2021</vt:lpstr>
      <vt:lpstr>'Income Statement'!Print_Area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Buse Kayimzade</dc:creator>
  <cp:lastModifiedBy>Chris Droussiotis</cp:lastModifiedBy>
  <cp:lastPrinted>2023-04-06T10:55:28Z</cp:lastPrinted>
  <dcterms:created xsi:type="dcterms:W3CDTF">2023-02-21T07:02:31Z</dcterms:created>
  <dcterms:modified xsi:type="dcterms:W3CDTF">2025-04-10T01:44:31Z</dcterms:modified>
</cp:coreProperties>
</file>