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921b89f68d3868/Documents/School Work/SHU/FIN 4261 Private Equity/"/>
    </mc:Choice>
  </mc:AlternateContent>
  <xr:revisionPtr revIDLastSave="0" documentId="8_{C9BEACBD-6D73-46C2-9E03-5DDBD8DEEFBD}" xr6:coauthVersionLast="47" xr6:coauthVersionMax="47" xr10:uidLastSave="{00000000-0000-0000-0000-000000000000}"/>
  <bookViews>
    <workbookView xWindow="-120" yWindow="-120" windowWidth="25440" windowHeight="15270" xr2:uid="{8587EE83-BB9A-447D-BEF2-9DEE735D1869}"/>
  </bookViews>
  <sheets>
    <sheet name="INPUT" sheetId="1" r:id="rId1"/>
    <sheet name="ANSWER" sheetId="2" r:id="rId2"/>
    <sheet name="BALANCE SHEET YAHOO" sheetId="3" r:id="rId3"/>
    <sheet name="INCOME YAHOO" sheetId="4" r:id="rId4"/>
    <sheet name="CASH FLOW YAHOO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9" i="1" l="1"/>
  <c r="K8" i="2"/>
  <c r="C55" i="2"/>
  <c r="C53" i="2"/>
  <c r="C51" i="2"/>
  <c r="C50" i="2"/>
  <c r="C49" i="2"/>
  <c r="C48" i="2"/>
  <c r="C47" i="2"/>
  <c r="C46" i="2"/>
  <c r="H46" i="2" s="1"/>
  <c r="C44" i="2"/>
  <c r="C43" i="2"/>
  <c r="C42" i="2"/>
  <c r="C39" i="2"/>
  <c r="H39" i="2" s="1"/>
  <c r="C40" i="2"/>
  <c r="C38" i="2"/>
  <c r="H38" i="2" s="1"/>
  <c r="C54" i="1"/>
  <c r="C52" i="1"/>
  <c r="C49" i="1"/>
  <c r="C50" i="1"/>
  <c r="C46" i="1"/>
  <c r="C45" i="1"/>
  <c r="C39" i="1"/>
  <c r="C43" i="1"/>
  <c r="C41" i="1"/>
  <c r="C38" i="1"/>
  <c r="C37" i="1"/>
  <c r="I70" i="2"/>
  <c r="H70" i="2"/>
  <c r="E69" i="2"/>
  <c r="E68" i="1" s="1"/>
  <c r="D69" i="2"/>
  <c r="C69" i="2"/>
  <c r="C68" i="1" s="1"/>
  <c r="E63" i="2"/>
  <c r="H63" i="2" s="1"/>
  <c r="I87" i="2"/>
  <c r="H98" i="2"/>
  <c r="I81" i="2"/>
  <c r="H60" i="2"/>
  <c r="M59" i="2"/>
  <c r="M7" i="2"/>
  <c r="C8" i="2" s="1"/>
  <c r="F49" i="2" s="1"/>
  <c r="H12" i="1"/>
  <c r="I12" i="1" s="1"/>
  <c r="J12" i="1" s="1"/>
  <c r="K12" i="1" s="1"/>
  <c r="L12" i="1" s="1"/>
  <c r="M12" i="1" s="1"/>
  <c r="N12" i="1" s="1"/>
  <c r="O12" i="1" s="1"/>
  <c r="P12" i="1" s="1"/>
  <c r="H59" i="2"/>
  <c r="H58" i="1" s="1"/>
  <c r="H80" i="1" s="1"/>
  <c r="H110" i="1" s="1"/>
  <c r="C37" i="2"/>
  <c r="C36" i="1" s="1"/>
  <c r="H36" i="1" s="1"/>
  <c r="D92" i="2"/>
  <c r="E92" i="2"/>
  <c r="C92" i="2"/>
  <c r="D89" i="2"/>
  <c r="E89" i="2"/>
  <c r="C89" i="2"/>
  <c r="D86" i="2"/>
  <c r="E86" i="2"/>
  <c r="C86" i="2"/>
  <c r="E58" i="1"/>
  <c r="E80" i="1" s="1"/>
  <c r="C58" i="1"/>
  <c r="C80" i="1" s="1"/>
  <c r="P9" i="2"/>
  <c r="E81" i="2"/>
  <c r="C81" i="2"/>
  <c r="B99" i="1"/>
  <c r="B98" i="1"/>
  <c r="B97" i="1"/>
  <c r="E85" i="1"/>
  <c r="C85" i="1"/>
  <c r="P7" i="1"/>
  <c r="N7" i="1"/>
  <c r="N6" i="1"/>
  <c r="P34" i="2"/>
  <c r="D68" i="1"/>
  <c r="D69" i="1" s="1"/>
  <c r="D63" i="2"/>
  <c r="D62" i="1" s="1"/>
  <c r="D63" i="1" s="1"/>
  <c r="C63" i="2"/>
  <c r="C62" i="1" s="1"/>
  <c r="C60" i="2"/>
  <c r="D60" i="2"/>
  <c r="D59" i="1" s="1"/>
  <c r="E60" i="2"/>
  <c r="E59" i="1" s="1"/>
  <c r="E60" i="1" s="1"/>
  <c r="H50" i="2"/>
  <c r="I21" i="2"/>
  <c r="I24" i="2" s="1"/>
  <c r="N8" i="2"/>
  <c r="N7" i="2"/>
  <c r="I7" i="2"/>
  <c r="K7" i="2" s="1"/>
  <c r="D59" i="2"/>
  <c r="I13" i="2"/>
  <c r="J13" i="2" s="1"/>
  <c r="K13" i="2" s="1"/>
  <c r="L13" i="2" s="1"/>
  <c r="M13" i="2" s="1"/>
  <c r="N13" i="2" s="1"/>
  <c r="O13" i="2" s="1"/>
  <c r="P13" i="2" s="1"/>
  <c r="C63" i="1" l="1"/>
  <c r="C69" i="1"/>
  <c r="H69" i="2"/>
  <c r="E62" i="1"/>
  <c r="E63" i="1" s="1"/>
  <c r="I98" i="2"/>
  <c r="J98" i="2" s="1"/>
  <c r="K98" i="2" s="1"/>
  <c r="J81" i="2"/>
  <c r="K81" i="2" s="1"/>
  <c r="L81" i="2" s="1"/>
  <c r="H37" i="2"/>
  <c r="I59" i="2"/>
  <c r="D58" i="1"/>
  <c r="D80" i="1" s="1"/>
  <c r="H40" i="2"/>
  <c r="C90" i="2"/>
  <c r="C59" i="1"/>
  <c r="D60" i="1" s="1"/>
  <c r="E90" i="2"/>
  <c r="D81" i="2"/>
  <c r="D87" i="2"/>
  <c r="C7" i="2"/>
  <c r="H15" i="2" s="1"/>
  <c r="H18" i="2" s="1"/>
  <c r="E93" i="2"/>
  <c r="D93" i="2"/>
  <c r="C93" i="2"/>
  <c r="E87" i="2"/>
  <c r="D90" i="2"/>
  <c r="C87" i="2"/>
  <c r="C66" i="2"/>
  <c r="D64" i="2"/>
  <c r="E66" i="2"/>
  <c r="H66" i="2" s="1"/>
  <c r="E64" i="2"/>
  <c r="D70" i="2"/>
  <c r="D66" i="2"/>
  <c r="E70" i="2"/>
  <c r="H49" i="2"/>
  <c r="C64" i="2"/>
  <c r="C70" i="2"/>
  <c r="D61" i="2"/>
  <c r="E47" i="2"/>
  <c r="H47" i="2" s="1"/>
  <c r="E61" i="2"/>
  <c r="J21" i="2"/>
  <c r="H27" i="2"/>
  <c r="K9" i="2"/>
  <c r="M73" i="2" s="1"/>
  <c r="M88" i="2" s="1"/>
  <c r="L98" i="2" l="1"/>
  <c r="M81" i="2"/>
  <c r="M98" i="2" s="1"/>
  <c r="J59" i="2"/>
  <c r="I58" i="1"/>
  <c r="I80" i="1" s="1"/>
  <c r="I110" i="1" s="1"/>
  <c r="N16" i="2"/>
  <c r="D67" i="2"/>
  <c r="D65" i="1"/>
  <c r="E67" i="2"/>
  <c r="E65" i="1"/>
  <c r="C67" i="2"/>
  <c r="C65" i="1"/>
  <c r="J87" i="2"/>
  <c r="K16" i="2"/>
  <c r="J16" i="2"/>
  <c r="L16" i="2"/>
  <c r="I17" i="2"/>
  <c r="M16" i="2"/>
  <c r="F48" i="2"/>
  <c r="H48" i="2" s="1"/>
  <c r="H51" i="2" s="1"/>
  <c r="O16" i="2"/>
  <c r="I16" i="2"/>
  <c r="I15" i="2" s="1"/>
  <c r="H34" i="2"/>
  <c r="H30" i="2"/>
  <c r="H64" i="2"/>
  <c r="J64" i="2" s="1"/>
  <c r="K64" i="2" s="1"/>
  <c r="L64" i="2" s="1"/>
  <c r="M64" i="2" s="1"/>
  <c r="K10" i="2"/>
  <c r="C9" i="2" s="1"/>
  <c r="H103" i="2" s="1"/>
  <c r="J73" i="2"/>
  <c r="J88" i="2" s="1"/>
  <c r="L73" i="2"/>
  <c r="L88" i="2" s="1"/>
  <c r="I73" i="2"/>
  <c r="I88" i="2" s="1"/>
  <c r="E43" i="2"/>
  <c r="H43" i="2" s="1"/>
  <c r="K73" i="2"/>
  <c r="K88" i="2" s="1"/>
  <c r="I60" i="2"/>
  <c r="K21" i="2"/>
  <c r="J24" i="2"/>
  <c r="I29" i="2"/>
  <c r="I30" i="2" s="1"/>
  <c r="I27" i="2"/>
  <c r="P28" i="2"/>
  <c r="K59" i="2" l="1"/>
  <c r="J58" i="1"/>
  <c r="J80" i="1" s="1"/>
  <c r="J110" i="1" s="1"/>
  <c r="I86" i="2"/>
  <c r="J15" i="2"/>
  <c r="K15" i="2" s="1"/>
  <c r="I18" i="2"/>
  <c r="J17" i="2"/>
  <c r="J18" i="2" s="1"/>
  <c r="I34" i="2"/>
  <c r="F53" i="2"/>
  <c r="F55" i="2" s="1"/>
  <c r="H67" i="2"/>
  <c r="I89" i="2"/>
  <c r="K87" i="2"/>
  <c r="E53" i="2"/>
  <c r="E42" i="2"/>
  <c r="C10" i="2"/>
  <c r="I63" i="2"/>
  <c r="I66" i="2" s="1"/>
  <c r="J60" i="2"/>
  <c r="J86" i="2" s="1"/>
  <c r="J70" i="2"/>
  <c r="I69" i="2"/>
  <c r="J27" i="2"/>
  <c r="J29" i="2"/>
  <c r="J30" i="2" s="1"/>
  <c r="L21" i="2"/>
  <c r="K24" i="2"/>
  <c r="J34" i="2" l="1"/>
  <c r="L59" i="2"/>
  <c r="L58" i="1" s="1"/>
  <c r="L80" i="1" s="1"/>
  <c r="K58" i="1"/>
  <c r="K80" i="1" s="1"/>
  <c r="K110" i="1" s="1"/>
  <c r="K17" i="2"/>
  <c r="K18" i="2" s="1"/>
  <c r="H53" i="2"/>
  <c r="H55" i="2" s="1"/>
  <c r="D9" i="2"/>
  <c r="E11" i="2"/>
  <c r="C100" i="2" s="1"/>
  <c r="E55" i="2"/>
  <c r="J93" i="2"/>
  <c r="I92" i="2"/>
  <c r="J89" i="2"/>
  <c r="L87" i="2"/>
  <c r="M87" i="2" s="1"/>
  <c r="D10" i="2"/>
  <c r="D8" i="2"/>
  <c r="D7" i="2"/>
  <c r="H42" i="2"/>
  <c r="H44" i="2" s="1"/>
  <c r="K60" i="2"/>
  <c r="K86" i="2" s="1"/>
  <c r="J63" i="2"/>
  <c r="J66" i="2" s="1"/>
  <c r="I75" i="2"/>
  <c r="K70" i="2"/>
  <c r="J69" i="2"/>
  <c r="I67" i="2"/>
  <c r="I72" i="2"/>
  <c r="I74" i="2" s="1"/>
  <c r="I82" i="2" s="1"/>
  <c r="L15" i="2"/>
  <c r="M21" i="2"/>
  <c r="L24" i="2"/>
  <c r="L17" i="2" s="1"/>
  <c r="K27" i="2"/>
  <c r="K34" i="2" s="1"/>
  <c r="K29" i="2"/>
  <c r="K30" i="2" s="1"/>
  <c r="L110" i="1" l="1"/>
  <c r="L102" i="1"/>
  <c r="K93" i="2"/>
  <c r="J92" i="2"/>
  <c r="K89" i="2"/>
  <c r="I83" i="2"/>
  <c r="I84" i="2" s="1"/>
  <c r="I95" i="2" s="1"/>
  <c r="I103" i="2" s="1"/>
  <c r="J75" i="2"/>
  <c r="L18" i="2"/>
  <c r="J67" i="2"/>
  <c r="J72" i="2"/>
  <c r="J74" i="2" s="1"/>
  <c r="J82" i="2" s="1"/>
  <c r="L60" i="2"/>
  <c r="K63" i="2"/>
  <c r="K66" i="2" s="1"/>
  <c r="I76" i="2"/>
  <c r="L70" i="2"/>
  <c r="M70" i="2" s="1"/>
  <c r="K69" i="2"/>
  <c r="L27" i="2"/>
  <c r="L34" i="2" s="1"/>
  <c r="L29" i="2"/>
  <c r="L30" i="2" s="1"/>
  <c r="N21" i="2"/>
  <c r="M24" i="2"/>
  <c r="M17" i="2" s="1"/>
  <c r="M15" i="2"/>
  <c r="L86" i="2" l="1"/>
  <c r="M60" i="2"/>
  <c r="L93" i="2"/>
  <c r="K92" i="2"/>
  <c r="L89" i="2"/>
  <c r="J83" i="2"/>
  <c r="J84" i="2" s="1"/>
  <c r="J95" i="2" s="1"/>
  <c r="J103" i="2" s="1"/>
  <c r="J76" i="2"/>
  <c r="J77" i="2" s="1"/>
  <c r="J78" i="2" s="1"/>
  <c r="K67" i="2"/>
  <c r="K72" i="2"/>
  <c r="K74" i="2" s="1"/>
  <c r="K82" i="2" s="1"/>
  <c r="M18" i="2"/>
  <c r="L63" i="2"/>
  <c r="L66" i="2" s="1"/>
  <c r="I77" i="2"/>
  <c r="I78" i="2" s="1"/>
  <c r="K75" i="2"/>
  <c r="L69" i="2"/>
  <c r="N15" i="2"/>
  <c r="O21" i="2"/>
  <c r="N24" i="2"/>
  <c r="N17" i="2" s="1"/>
  <c r="M27" i="2"/>
  <c r="M34" i="2" s="1"/>
  <c r="M29" i="2"/>
  <c r="M30" i="2" s="1"/>
  <c r="N18" i="2" l="1"/>
  <c r="L92" i="2"/>
  <c r="M93" i="2"/>
  <c r="M92" i="2" s="1"/>
  <c r="M86" i="2"/>
  <c r="M69" i="2"/>
  <c r="M63" i="2"/>
  <c r="M66" i="2" s="1"/>
  <c r="M89" i="2"/>
  <c r="K83" i="2"/>
  <c r="K84" i="2" s="1"/>
  <c r="K95" i="2" s="1"/>
  <c r="K103" i="2" s="1"/>
  <c r="L72" i="2"/>
  <c r="L67" i="2"/>
  <c r="L75" i="2"/>
  <c r="K76" i="2"/>
  <c r="N27" i="2"/>
  <c r="N34" i="2" s="1"/>
  <c r="M101" i="2" s="1"/>
  <c r="N29" i="2"/>
  <c r="N30" i="2" s="1"/>
  <c r="P21" i="2"/>
  <c r="P24" i="2" s="1"/>
  <c r="O24" i="2"/>
  <c r="O17" i="2" s="1"/>
  <c r="O18" i="2" s="1"/>
  <c r="H19" i="2" s="1"/>
  <c r="O15" i="2"/>
  <c r="M75" i="2" l="1"/>
  <c r="M72" i="2"/>
  <c r="M67" i="2"/>
  <c r="L74" i="2"/>
  <c r="L82" i="2" s="1"/>
  <c r="L83" i="2" s="1"/>
  <c r="L84" i="2" s="1"/>
  <c r="L95" i="2" s="1"/>
  <c r="K77" i="2"/>
  <c r="K78" i="2" s="1"/>
  <c r="P17" i="2"/>
  <c r="P18" i="2" s="1"/>
  <c r="O27" i="2"/>
  <c r="O29" i="2"/>
  <c r="O30" i="2" s="1"/>
  <c r="M100" i="2" l="1"/>
  <c r="M102" i="2" s="1"/>
  <c r="M74" i="2"/>
  <c r="L76" i="2"/>
  <c r="L77" i="2" s="1"/>
  <c r="L78" i="2" s="1"/>
  <c r="P29" i="2"/>
  <c r="P30" i="2" s="1"/>
  <c r="H32" i="2" s="1"/>
  <c r="L103" i="2" s="1"/>
  <c r="O34" i="2"/>
  <c r="M76" i="2" l="1"/>
  <c r="M82" i="2"/>
  <c r="M83" i="2" s="1"/>
  <c r="M84" i="2" s="1"/>
  <c r="M95" i="2" s="1"/>
  <c r="M103" i="2" s="1"/>
  <c r="D103" i="2" s="1"/>
  <c r="M77" i="2" l="1"/>
  <c r="M78" i="2" s="1"/>
</calcChain>
</file>

<file path=xl/sharedStrings.xml><?xml version="1.0" encoding="utf-8"?>
<sst xmlns="http://schemas.openxmlformats.org/spreadsheetml/2006/main" count="417" uniqueCount="298">
  <si>
    <t>CASE STUDY #3- Template</t>
  </si>
  <si>
    <t>TRANSACTION SOURCES &amp; USES:</t>
  </si>
  <si>
    <t>SOURCES</t>
  </si>
  <si>
    <t>Facility</t>
  </si>
  <si>
    <t>USES</t>
  </si>
  <si>
    <t>Bank Loan</t>
  </si>
  <si>
    <t>Corporate Bond</t>
  </si>
  <si>
    <t>Equity</t>
  </si>
  <si>
    <t>Purchase of Stock</t>
  </si>
  <si>
    <t>Current Stock Price</t>
  </si>
  <si>
    <t>Premium</t>
  </si>
  <si>
    <t>Purchase 
Stock
 Price</t>
  </si>
  <si>
    <t>Refinancing of Debt</t>
  </si>
  <si>
    <t>Fees</t>
  </si>
  <si>
    <t>DEBT SCHEDULE</t>
  </si>
  <si>
    <t xml:space="preserve">   Outstanding</t>
  </si>
  <si>
    <t xml:space="preserve">   Principal Payment</t>
  </si>
  <si>
    <t xml:space="preserve">   Interest Payment</t>
  </si>
  <si>
    <t xml:space="preserve">   Total Payment</t>
  </si>
  <si>
    <t>LIBOR Rate</t>
  </si>
  <si>
    <t>LIBOR Increase</t>
  </si>
  <si>
    <t>Spread</t>
  </si>
  <si>
    <t>Interest Rate</t>
  </si>
  <si>
    <t>Corporate Bonds</t>
  </si>
  <si>
    <t>INCOME STATEMENT</t>
  </si>
  <si>
    <t xml:space="preserve">Revenues </t>
  </si>
  <si>
    <t xml:space="preserve">  Revenue Growth %</t>
  </si>
  <si>
    <t>Cost of Revenues</t>
  </si>
  <si>
    <t>Gross Profit</t>
  </si>
  <si>
    <t xml:space="preserve">   Gross Margin</t>
  </si>
  <si>
    <t>Operating Expenses</t>
  </si>
  <si>
    <t xml:space="preserve">  as Percentage of Revenues %</t>
  </si>
  <si>
    <t>EBIT</t>
  </si>
  <si>
    <t>Less Amortization of Fees</t>
  </si>
  <si>
    <t>EBITA</t>
  </si>
  <si>
    <t>Interest</t>
  </si>
  <si>
    <t>EBT</t>
  </si>
  <si>
    <t>Taxes</t>
  </si>
  <si>
    <t>Net Income</t>
  </si>
  <si>
    <t>HISTORICAL</t>
  </si>
  <si>
    <t>PROJECTED</t>
  </si>
  <si>
    <t>PROFORMA BALANCE SHEET</t>
  </si>
  <si>
    <t>DEBIT</t>
  </si>
  <si>
    <t>CREDIT</t>
  </si>
  <si>
    <t>Net PP&amp;E</t>
  </si>
  <si>
    <t>Goodwill</t>
  </si>
  <si>
    <t>Transaction Fees</t>
  </si>
  <si>
    <t>Total Assets</t>
  </si>
  <si>
    <t>Current Liabilities</t>
  </si>
  <si>
    <t>Existing Debt</t>
  </si>
  <si>
    <t>New Bank Loan</t>
  </si>
  <si>
    <t>New Corporate Bond</t>
  </si>
  <si>
    <t>Other LT Liabilities</t>
  </si>
  <si>
    <t>Total Liabilities</t>
  </si>
  <si>
    <t>Existing Equity</t>
  </si>
  <si>
    <t>Total Liabilities &amp; Equity</t>
  </si>
  <si>
    <t>Total Current Assets</t>
  </si>
  <si>
    <t>Other LT Assets</t>
  </si>
  <si>
    <t xml:space="preserve">   Total</t>
  </si>
  <si>
    <t>Total</t>
  </si>
  <si>
    <t>% Cap</t>
  </si>
  <si>
    <t>Shares
Outs
(millions)</t>
  </si>
  <si>
    <t>Amount
(millions)</t>
  </si>
  <si>
    <t>($ millions)</t>
  </si>
  <si>
    <t>TotalAssets</t>
  </si>
  <si>
    <t xml:space="preserve">	CurrentAssets</t>
  </si>
  <si>
    <t xml:space="preserve">		CashCashEquivalentsAndShortTermInvestments</t>
  </si>
  <si>
    <t xml:space="preserve">			CashAndCashEquivalents</t>
  </si>
  <si>
    <t xml:space="preserve">		Receivables</t>
  </si>
  <si>
    <t xml:space="preserve">			AccountsReceivable</t>
  </si>
  <si>
    <t xml:space="preserve">		OtherCurrentAssets</t>
  </si>
  <si>
    <t xml:space="preserve">	TotalNonCurrentAssets</t>
  </si>
  <si>
    <t xml:space="preserve">		NetPPE</t>
  </si>
  <si>
    <t xml:space="preserve">			GrossPPE</t>
  </si>
  <si>
    <t xml:space="preserve">				LandAndImprovements</t>
  </si>
  <si>
    <t xml:space="preserve">				BuildingsAndImprovements</t>
  </si>
  <si>
    <t xml:space="preserve">				MachineryFurnitureEquipment</t>
  </si>
  <si>
    <t xml:space="preserve">				ConstructionInProgress</t>
  </si>
  <si>
    <t xml:space="preserve">			AccumulatedDepreciation</t>
  </si>
  <si>
    <t xml:space="preserve">		GoodwillAndOtherIntangibleAssets</t>
  </si>
  <si>
    <t xml:space="preserve">			Goodwill</t>
  </si>
  <si>
    <t xml:space="preserve">			OtherIntangibleAssets</t>
  </si>
  <si>
    <t xml:space="preserve">		OtherNonCurrentAssets</t>
  </si>
  <si>
    <t>TotalLiabilitiesNetMinorityInterest</t>
  </si>
  <si>
    <t xml:space="preserve">	CurrentLiabilities</t>
  </si>
  <si>
    <t xml:space="preserve">		PayablesAndAccruedExpenses</t>
  </si>
  <si>
    <t xml:space="preserve">			Payables</t>
  </si>
  <si>
    <t xml:space="preserve">				AccountsPayable</t>
  </si>
  <si>
    <t xml:space="preserve">				TotalTaxPayable</t>
  </si>
  <si>
    <t xml:space="preserve">			CurrentAccruedExpenses</t>
  </si>
  <si>
    <t xml:space="preserve">				InterestPayable</t>
  </si>
  <si>
    <t xml:space="preserve">		CurrentDebtAndCapitalLeaseObligation</t>
  </si>
  <si>
    <t xml:space="preserve">			CurrentDebt</t>
  </si>
  <si>
    <t xml:space="preserve">		OtherCurrentLiabilities</t>
  </si>
  <si>
    <t xml:space="preserve">	TotalNonCurrentLiabilitiesNetMinorityInterest</t>
  </si>
  <si>
    <t xml:space="preserve">		LongTermDebtAndCapitalLeaseObligation</t>
  </si>
  <si>
    <t xml:space="preserve">			LongTermDebt</t>
  </si>
  <si>
    <t xml:space="preserve">		NonCurrentDeferredLiabilities</t>
  </si>
  <si>
    <t xml:space="preserve">			NonCurrentDeferredTaxesLiabilities</t>
  </si>
  <si>
    <t xml:space="preserve">		OtherNonCurrentLiabilities</t>
  </si>
  <si>
    <t>TotalEquityGrossMinorityInterest</t>
  </si>
  <si>
    <t xml:space="preserve">	StockholdersEquity</t>
  </si>
  <si>
    <t xml:space="preserve">		CapitalStock</t>
  </si>
  <si>
    <t xml:space="preserve">			CommonStock</t>
  </si>
  <si>
    <t xml:space="preserve">		AdditionalPaidInCapital</t>
  </si>
  <si>
    <t xml:space="preserve">		RetainedEarnings</t>
  </si>
  <si>
    <t xml:space="preserve">		TreasuryStock</t>
  </si>
  <si>
    <t xml:space="preserve">		GainsLossesNotAffectingRetainedEarnings</t>
  </si>
  <si>
    <t xml:space="preserve">		OtherEquityInterest</t>
  </si>
  <si>
    <t>TotalCapitalization</t>
  </si>
  <si>
    <t>CommonStockEquity</t>
  </si>
  <si>
    <t>NetTangibleAssets</t>
  </si>
  <si>
    <t>WorkingCapital</t>
  </si>
  <si>
    <t>InvestedCapital</t>
  </si>
  <si>
    <t>TangibleBookValue</t>
  </si>
  <si>
    <t>TotalDebt</t>
  </si>
  <si>
    <t>NetDebt</t>
  </si>
  <si>
    <t>ShareIssued</t>
  </si>
  <si>
    <t>OrdinarySharesNumber</t>
  </si>
  <si>
    <t>TreasurySharesNumber</t>
  </si>
  <si>
    <t>EBITDA</t>
  </si>
  <si>
    <t>EBITDA
(LTM)</t>
  </si>
  <si>
    <t>Debt
Capacity</t>
  </si>
  <si>
    <t>name</t>
  </si>
  <si>
    <t>TotalRevenue</t>
  </si>
  <si>
    <t xml:space="preserve">	OperatingRevenue</t>
  </si>
  <si>
    <t>CostOfRevenue</t>
  </si>
  <si>
    <t>GrossProfit</t>
  </si>
  <si>
    <t>OperatingExpense</t>
  </si>
  <si>
    <t xml:space="preserve">	SellingGeneralAndAdministration</t>
  </si>
  <si>
    <t xml:space="preserve">		GeneralAndAdministrativeExpense</t>
  </si>
  <si>
    <t xml:space="preserve">			SalariesAndWages</t>
  </si>
  <si>
    <t xml:space="preserve">			OtherGandA</t>
  </si>
  <si>
    <t xml:space="preserve">	DepreciationAmortizationDepletionIncomeStatement</t>
  </si>
  <si>
    <t xml:space="preserve">		DepreciationAndAmortizationInIncomeStatement</t>
  </si>
  <si>
    <t xml:space="preserve">	OtherOperatingExpenses</t>
  </si>
  <si>
    <t>OperatingIncome</t>
  </si>
  <si>
    <t>NetNonOperatingInterestIncomeExpense</t>
  </si>
  <si>
    <t xml:space="preserve">	InterestExpenseNonOperating</t>
  </si>
  <si>
    <t>OtherIncomeExpense</t>
  </si>
  <si>
    <t xml:space="preserve">	SpecialIncomeCharges</t>
  </si>
  <si>
    <t xml:space="preserve">		ImpairmentOfCapitalAssets</t>
  </si>
  <si>
    <t xml:space="preserve">		OtherSpecialCharges</t>
  </si>
  <si>
    <t>PretaxIncome</t>
  </si>
  <si>
    <t>TaxProvision</t>
  </si>
  <si>
    <t>NetIncomeCommonStockholders</t>
  </si>
  <si>
    <t xml:space="preserve">	NetIncome</t>
  </si>
  <si>
    <t xml:space="preserve">		NetIncomeIncludingNoncontrollingInterests</t>
  </si>
  <si>
    <t xml:space="preserve">			NetIncomeContinuousOperations</t>
  </si>
  <si>
    <t>DilutedNIAvailtoComStockholders</t>
  </si>
  <si>
    <t>BasicEPS</t>
  </si>
  <si>
    <t>DilutedEPS</t>
  </si>
  <si>
    <t>BasicAverageShares</t>
  </si>
  <si>
    <t>DilutedAverageShares</t>
  </si>
  <si>
    <t>TotalOperatingIncomeAsReported</t>
  </si>
  <si>
    <t>TotalExpenses</t>
  </si>
  <si>
    <t>InterestExpense</t>
  </si>
  <si>
    <t>NetInterestIncome</t>
  </si>
  <si>
    <t>NetIncomeFromContinuingAndDiscontinuedOperation</t>
  </si>
  <si>
    <t>NormalizedIncome</t>
  </si>
  <si>
    <t>ReconciledCostOfRevenue</t>
  </si>
  <si>
    <t>ReconciledDepreciation</t>
  </si>
  <si>
    <t>NetIncomeFromContinuingOperationNetMinorityInterest</t>
  </si>
  <si>
    <t>TotalUnusualItemsExcludingGoodwill</t>
  </si>
  <si>
    <t>TotalUnusualItems</t>
  </si>
  <si>
    <t>NormalizedEBITDA</t>
  </si>
  <si>
    <t>TaxRateForCalcs</t>
  </si>
  <si>
    <t>TaxEffectOfUnusualItems</t>
  </si>
  <si>
    <t>years</t>
  </si>
  <si>
    <t>tax Rate</t>
  </si>
  <si>
    <t>Total Debt Outstanding</t>
  </si>
  <si>
    <t>DCF AND EQUITY IRR</t>
  </si>
  <si>
    <t>Plus Depreciation</t>
  </si>
  <si>
    <t>Taxes (unlevered)</t>
  </si>
  <si>
    <t>Net Income (unlevered)</t>
  </si>
  <si>
    <t>Plus Amortization of Fees</t>
  </si>
  <si>
    <t>Less Working Capital</t>
  </si>
  <si>
    <t>Less Capex</t>
  </si>
  <si>
    <t>Equity Cash Flow (unlevered)</t>
  </si>
  <si>
    <t>Terminal Value</t>
  </si>
  <si>
    <t xml:space="preserve">  EBITDA Multiple</t>
  </si>
  <si>
    <t xml:space="preserve">  Perpetutuity Mathod</t>
  </si>
  <si>
    <t xml:space="preserve">  Average Terminal Value</t>
  </si>
  <si>
    <t xml:space="preserve">  Less Debt</t>
  </si>
  <si>
    <t xml:space="preserve">   Percentage of Revenue</t>
  </si>
  <si>
    <t xml:space="preserve">   WC as % of Revenue</t>
  </si>
  <si>
    <t xml:space="preserve">  Capex as % of Recvenue</t>
  </si>
  <si>
    <t>Assumptions</t>
  </si>
  <si>
    <t>EXIT YR</t>
  </si>
  <si>
    <t>WACC=</t>
  </si>
  <si>
    <t xml:space="preserve">     Debt IRR</t>
  </si>
  <si>
    <t>WACC Calculation</t>
  </si>
  <si>
    <t>AT Inter.</t>
  </si>
  <si>
    <t>WACC</t>
  </si>
  <si>
    <t>Equity CAPM</t>
  </si>
  <si>
    <t>Risk Free Rate</t>
  </si>
  <si>
    <t>Market Premium Return</t>
  </si>
  <si>
    <t>Beta</t>
  </si>
  <si>
    <t>CAPM</t>
  </si>
  <si>
    <t>Growth=</t>
  </si>
  <si>
    <t>Multiple</t>
  </si>
  <si>
    <t>Equity Terminal Value</t>
  </si>
  <si>
    <t>Equity Value + TV</t>
  </si>
  <si>
    <t>IRR=</t>
  </si>
  <si>
    <t>TV 1</t>
  </si>
  <si>
    <t>TV2</t>
  </si>
  <si>
    <t>Avg (TV1,TV2)</t>
  </si>
  <si>
    <t>Less Debt</t>
  </si>
  <si>
    <t>Equity TV</t>
  </si>
  <si>
    <t xml:space="preserve">		RestructuringAndMergernAcquisition</t>
  </si>
  <si>
    <t xml:space="preserve">		WriteOff</t>
  </si>
  <si>
    <t xml:space="preserve">		GainOnSaleOfPPE</t>
  </si>
  <si>
    <t xml:space="preserve">		PrepaidAssets</t>
  </si>
  <si>
    <t xml:space="preserve">				Properties</t>
  </si>
  <si>
    <t xml:space="preserve">				OtherProperties</t>
  </si>
  <si>
    <t xml:space="preserve">			CurrentCapitalLeaseObligation</t>
  </si>
  <si>
    <t xml:space="preserve">		CurrentDeferredLiabilities</t>
  </si>
  <si>
    <t xml:space="preserve">			CurrentDeferredRevenue</t>
  </si>
  <si>
    <t xml:space="preserve">			NonCurrentDeferredRevenue</t>
  </si>
  <si>
    <t>CapitalLeaseObligations</t>
  </si>
  <si>
    <t>OperatingCashFlow</t>
  </si>
  <si>
    <t xml:space="preserve">	CashFlowFromContinuingOperatingActivities</t>
  </si>
  <si>
    <t xml:space="preserve">		NetIncomeFromContinuingOperations</t>
  </si>
  <si>
    <t xml:space="preserve">		OperatingGainsLosses</t>
  </si>
  <si>
    <t xml:space="preserve">		DepreciationAmortizationDepletion</t>
  </si>
  <si>
    <t xml:space="preserve">			DepreciationAndAmortization</t>
  </si>
  <si>
    <t xml:space="preserve">				Depreciation</t>
  </si>
  <si>
    <t xml:space="preserve">				AmortizationCashFlow</t>
  </si>
  <si>
    <t xml:space="preserve">					AmortizationOfIntangibles</t>
  </si>
  <si>
    <t xml:space="preserve">		DeferredTax</t>
  </si>
  <si>
    <t xml:space="preserve">			DeferredIncomeTax</t>
  </si>
  <si>
    <t xml:space="preserve">		AssetImpairmentCharge</t>
  </si>
  <si>
    <t xml:space="preserve">		ProvisionandWriteOffofAssets</t>
  </si>
  <si>
    <t xml:space="preserve">		StockBasedCompensation</t>
  </si>
  <si>
    <t xml:space="preserve">		OtherNonCashItems</t>
  </si>
  <si>
    <t xml:space="preserve">		ChangeInWorkingCapital</t>
  </si>
  <si>
    <t xml:space="preserve">			ChangeInReceivables</t>
  </si>
  <si>
    <t xml:space="preserve">				ChangesInAccountReceivables</t>
  </si>
  <si>
    <t xml:space="preserve">			ChangeInPrepaidAssets</t>
  </si>
  <si>
    <t xml:space="preserve">			ChangeInPayablesAndAccruedExpense</t>
  </si>
  <si>
    <t xml:space="preserve">				ChangeInPayable</t>
  </si>
  <si>
    <t xml:space="preserve">					ChangeInAccountPayable</t>
  </si>
  <si>
    <t xml:space="preserve">			ChangeInOtherCurrentAssets</t>
  </si>
  <si>
    <t xml:space="preserve">			ChangeInOtherCurrentLiabilities</t>
  </si>
  <si>
    <t xml:space="preserve">			ChangeInOtherWorkingCapital</t>
  </si>
  <si>
    <t>InvestingCashFlow</t>
  </si>
  <si>
    <t xml:space="preserve">	CashFlowFromContinuingInvestingActivities</t>
  </si>
  <si>
    <t xml:space="preserve">		NetPPEPurchaseAndSale</t>
  </si>
  <si>
    <t xml:space="preserve">			PurchaseOfPPE</t>
  </si>
  <si>
    <t xml:space="preserve">		NetBusinessPurchaseAndSale</t>
  </si>
  <si>
    <t xml:space="preserve">			PurchaseOfBusiness</t>
  </si>
  <si>
    <t xml:space="preserve">		NetOtherInvestingChanges</t>
  </si>
  <si>
    <t>FinancingCashFlow</t>
  </si>
  <si>
    <t xml:space="preserve">	CashFlowFromContinuingFinancingActivities</t>
  </si>
  <si>
    <t xml:space="preserve">		NetIssuancePaymentsOfDebt</t>
  </si>
  <si>
    <t xml:space="preserve">			NetLongTermDebtIssuance</t>
  </si>
  <si>
    <t xml:space="preserve">				LongTermDebtIssuance</t>
  </si>
  <si>
    <t xml:space="preserve">				LongTermDebtPayments</t>
  </si>
  <si>
    <t xml:space="preserve">		NetCommonStockIssuance</t>
  </si>
  <si>
    <t xml:space="preserve">			CommonStockPayments</t>
  </si>
  <si>
    <t xml:space="preserve">		CashDividendsPaid</t>
  </si>
  <si>
    <t xml:space="preserve">			CommonStockDividendPaid</t>
  </si>
  <si>
    <t xml:space="preserve">		NetOtherFinancingCharges</t>
  </si>
  <si>
    <t>EndCashPosition</t>
  </si>
  <si>
    <t xml:space="preserve">	ChangesInCash</t>
  </si>
  <si>
    <t xml:space="preserve">	BeginningCashPosition</t>
  </si>
  <si>
    <t>CapitalExpenditure</t>
  </si>
  <si>
    <t>IssuanceOfDebt</t>
  </si>
  <si>
    <t>RepaymentOfDebt</t>
  </si>
  <si>
    <t>RepurchaseOfCapitalStock</t>
  </si>
  <si>
    <t>FreeCashFlow</t>
  </si>
  <si>
    <t>PUBLIC TO PRIVATE CASE STUDY</t>
  </si>
  <si>
    <t>WYNDAHAM HOTEL</t>
  </si>
  <si>
    <t xml:space="preserve">		SellingAndMarketingExpense</t>
  </si>
  <si>
    <t xml:space="preserve">	InterestIncomeNonOperating</t>
  </si>
  <si>
    <t xml:space="preserve">	TotalOtherFinanceCost</t>
  </si>
  <si>
    <t xml:space="preserve">		GainOnSaleOfBusiness</t>
  </si>
  <si>
    <t xml:space="preserve">	OtherunderPreferredStockDividend</t>
  </si>
  <si>
    <t>InterestIncome</t>
  </si>
  <si>
    <t xml:space="preserve">				CashFinancial</t>
  </si>
  <si>
    <t xml:space="preserve">				GrossAccountsReceivable</t>
  </si>
  <si>
    <t xml:space="preserve">				AllowanceForDoubtfulAccountsReceivable</t>
  </si>
  <si>
    <t xml:space="preserve">		AssetsHeldForSaleCurrent</t>
  </si>
  <si>
    <t xml:space="preserve">				Leases</t>
  </si>
  <si>
    <t xml:space="preserve">		NonCurrentAccountsReceivable</t>
  </si>
  <si>
    <t xml:space="preserve">		NonCurrentNoteReceivables</t>
  </si>
  <si>
    <t xml:space="preserve">		NonCurrentPrepaidAssets</t>
  </si>
  <si>
    <t xml:space="preserve">				DuetoRelatedPartiesCurrent</t>
  </si>
  <si>
    <t xml:space="preserve">				OtherCurrentBorrowings</t>
  </si>
  <si>
    <t xml:space="preserve">			PreferredStock</t>
  </si>
  <si>
    <t xml:space="preserve">			ForeignCurrencyTranslationAdjustments</t>
  </si>
  <si>
    <t xml:space="preserve">			OtherEquityAdjustments</t>
  </si>
  <si>
    <t xml:space="preserve">			GainLossOnSaleOfBusiness</t>
  </si>
  <si>
    <t xml:space="preserve">		ProceedsFromStockOptionExercised</t>
  </si>
  <si>
    <t xml:space="preserve">	EffectOfExchangeRateChanges</t>
  </si>
  <si>
    <t>SOFR Rate</t>
  </si>
  <si>
    <t>SOFR Increase</t>
  </si>
  <si>
    <t>EBITDA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</si>
</sst>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0.0\x"/>
    <numFmt numFmtId="167" formatCode="_(* #,##0_);_(* \(#,##0\);_(* &quot;-&quot;??_);_(@_)"/>
    <numFmt numFmtId="168" formatCode="0.00\x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7"/>
      <color rgb="FF000000"/>
      <name val="Arial"/>
      <family val="2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1"/>
      <color rgb="FF0066FF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E0E4E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2" fillId="2" borderId="0" xfId="0" applyFont="1" applyFill="1" applyAlignment="1">
      <alignment horizontal="center"/>
    </xf>
    <xf numFmtId="0" fontId="0" fillId="0" borderId="2" xfId="0" applyBorder="1"/>
    <xf numFmtId="9" fontId="0" fillId="0" borderId="2" xfId="3" applyFont="1" applyBorder="1"/>
    <xf numFmtId="164" fontId="0" fillId="0" borderId="2" xfId="3" applyNumberFormat="1" applyFont="1" applyBorder="1"/>
    <xf numFmtId="164" fontId="0" fillId="0" borderId="0" xfId="3" applyNumberFormat="1" applyFont="1"/>
    <xf numFmtId="0" fontId="0" fillId="0" borderId="0" xfId="0" applyAlignment="1">
      <alignment horizontal="right"/>
    </xf>
    <xf numFmtId="10" fontId="0" fillId="0" borderId="2" xfId="0" applyNumberFormat="1" applyBorder="1"/>
    <xf numFmtId="0" fontId="0" fillId="0" borderId="0" xfId="0" applyAlignment="1">
      <alignment vertical="center"/>
    </xf>
    <xf numFmtId="0" fontId="3" fillId="3" borderId="0" xfId="0" applyFont="1" applyFill="1" applyAlignment="1">
      <alignment horizontal="center" vertical="center" wrapText="1"/>
    </xf>
    <xf numFmtId="44" fontId="0" fillId="0" borderId="2" xfId="2" applyFont="1" applyBorder="1"/>
    <xf numFmtId="0" fontId="2" fillId="2" borderId="0" xfId="0" quotePrefix="1" applyFont="1" applyFill="1"/>
    <xf numFmtId="0" fontId="2" fillId="2" borderId="0" xfId="0" applyFont="1" applyFill="1" applyAlignment="1">
      <alignment vertical="center"/>
    </xf>
    <xf numFmtId="164" fontId="0" fillId="0" borderId="4" xfId="3" applyNumberFormat="1" applyFont="1" applyBorder="1"/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165" fontId="0" fillId="0" borderId="2" xfId="0" applyNumberFormat="1" applyBorder="1"/>
    <xf numFmtId="3" fontId="0" fillId="0" borderId="0" xfId="0" applyNumberFormat="1"/>
    <xf numFmtId="14" fontId="0" fillId="0" borderId="0" xfId="0" applyNumberFormat="1"/>
    <xf numFmtId="165" fontId="0" fillId="0" borderId="4" xfId="0" applyNumberFormat="1" applyBorder="1"/>
    <xf numFmtId="165" fontId="3" fillId="0" borderId="1" xfId="0" applyNumberFormat="1" applyFont="1" applyBorder="1"/>
    <xf numFmtId="164" fontId="3" fillId="0" borderId="1" xfId="3" applyNumberFormat="1" applyFont="1" applyBorder="1"/>
    <xf numFmtId="165" fontId="3" fillId="0" borderId="2" xfId="0" applyNumberFormat="1" applyFont="1" applyBorder="1"/>
    <xf numFmtId="167" fontId="0" fillId="0" borderId="2" xfId="1" applyNumberFormat="1" applyFont="1" applyBorder="1"/>
    <xf numFmtId="167" fontId="0" fillId="0" borderId="2" xfId="0" applyNumberFormat="1" applyBorder="1"/>
    <xf numFmtId="164" fontId="0" fillId="0" borderId="0" xfId="3" applyNumberFormat="1" applyFont="1" applyBorder="1"/>
    <xf numFmtId="167" fontId="0" fillId="0" borderId="0" xfId="1" applyNumberFormat="1" applyFont="1"/>
    <xf numFmtId="167" fontId="0" fillId="0" borderId="1" xfId="1" applyNumberFormat="1" applyFont="1" applyBorder="1"/>
    <xf numFmtId="167" fontId="0" fillId="0" borderId="3" xfId="1" applyNumberFormat="1" applyFont="1" applyBorder="1"/>
    <xf numFmtId="164" fontId="3" fillId="0" borderId="2" xfId="3" applyNumberFormat="1" applyFont="1" applyBorder="1"/>
    <xf numFmtId="0" fontId="2" fillId="2" borderId="0" xfId="0" applyFont="1" applyFill="1" applyAlignment="1">
      <alignment horizontal="center" wrapText="1"/>
    </xf>
    <xf numFmtId="4" fontId="0" fillId="0" borderId="0" xfId="0" applyNumberFormat="1"/>
    <xf numFmtId="9" fontId="0" fillId="0" borderId="0" xfId="0" applyNumberFormat="1"/>
    <xf numFmtId="167" fontId="0" fillId="0" borderId="3" xfId="0" applyNumberFormat="1" applyBorder="1"/>
    <xf numFmtId="3" fontId="6" fillId="0" borderId="5" xfId="0" applyNumberFormat="1" applyFont="1" applyBorder="1" applyAlignment="1">
      <alignment horizontal="center" vertical="center" wrapText="1"/>
    </xf>
    <xf numFmtId="3" fontId="0" fillId="0" borderId="2" xfId="0" applyNumberFormat="1" applyBorder="1"/>
    <xf numFmtId="167" fontId="0" fillId="0" borderId="0" xfId="0" applyNumberFormat="1"/>
    <xf numFmtId="3" fontId="6" fillId="0" borderId="0" xfId="0" applyNumberFormat="1" applyFont="1" applyAlignment="1">
      <alignment horizontal="center" vertical="center" wrapText="1"/>
    </xf>
    <xf numFmtId="166" fontId="0" fillId="0" borderId="0" xfId="0" applyNumberFormat="1"/>
    <xf numFmtId="165" fontId="0" fillId="0" borderId="0" xfId="0" applyNumberFormat="1"/>
    <xf numFmtId="10" fontId="3" fillId="0" borderId="2" xfId="0" applyNumberFormat="1" applyFont="1" applyBorder="1"/>
    <xf numFmtId="164" fontId="0" fillId="0" borderId="0" xfId="0" applyNumberFormat="1"/>
    <xf numFmtId="10" fontId="0" fillId="0" borderId="0" xfId="0" applyNumberFormat="1"/>
    <xf numFmtId="10" fontId="0" fillId="0" borderId="7" xfId="0" applyNumberFormat="1" applyBorder="1"/>
    <xf numFmtId="10" fontId="3" fillId="0" borderId="6" xfId="0" applyNumberFormat="1" applyFont="1" applyBorder="1"/>
    <xf numFmtId="10" fontId="7" fillId="0" borderId="0" xfId="0" applyNumberFormat="1" applyFont="1"/>
    <xf numFmtId="10" fontId="0" fillId="0" borderId="0" xfId="3" applyNumberFormat="1" applyFont="1"/>
    <xf numFmtId="0" fontId="3" fillId="3" borderId="0" xfId="0" applyFont="1" applyFill="1" applyAlignment="1">
      <alignment horizontal="center"/>
    </xf>
    <xf numFmtId="10" fontId="0" fillId="0" borderId="1" xfId="3" applyNumberFormat="1" applyFont="1" applyBorder="1"/>
    <xf numFmtId="10" fontId="0" fillId="0" borderId="1" xfId="0" applyNumberFormat="1" applyBorder="1"/>
    <xf numFmtId="9" fontId="7" fillId="0" borderId="0" xfId="0" applyNumberFormat="1" applyFont="1"/>
    <xf numFmtId="164" fontId="3" fillId="4" borderId="2" xfId="0" applyNumberFormat="1" applyFont="1" applyFill="1" applyBorder="1"/>
    <xf numFmtId="167" fontId="3" fillId="0" borderId="1" xfId="0" applyNumberFormat="1" applyFont="1" applyBorder="1"/>
    <xf numFmtId="0" fontId="3" fillId="3" borderId="1" xfId="0" applyFont="1" applyFill="1" applyBorder="1" applyAlignment="1">
      <alignment horizontal="center"/>
    </xf>
    <xf numFmtId="10" fontId="0" fillId="0" borderId="0" xfId="3" applyNumberFormat="1" applyFont="1" applyBorder="1"/>
    <xf numFmtId="0" fontId="3" fillId="0" borderId="2" xfId="0" applyFont="1" applyBorder="1" applyAlignment="1">
      <alignment horizontal="right"/>
    </xf>
    <xf numFmtId="166" fontId="3" fillId="4" borderId="6" xfId="0" applyNumberFormat="1" applyFont="1" applyFill="1" applyBorder="1"/>
    <xf numFmtId="167" fontId="7" fillId="0" borderId="2" xfId="1" applyNumberFormat="1" applyFont="1" applyBorder="1"/>
    <xf numFmtId="167" fontId="7" fillId="0" borderId="3" xfId="1" applyNumberFormat="1" applyFont="1" applyBorder="1"/>
    <xf numFmtId="167" fontId="7" fillId="0" borderId="0" xfId="1" applyNumberFormat="1" applyFont="1"/>
    <xf numFmtId="167" fontId="7" fillId="0" borderId="2" xfId="0" applyNumberFormat="1" applyFont="1" applyBorder="1"/>
    <xf numFmtId="167" fontId="8" fillId="0" borderId="2" xfId="0" applyNumberFormat="1" applyFont="1" applyBorder="1"/>
    <xf numFmtId="167" fontId="7" fillId="0" borderId="0" xfId="0" applyNumberFormat="1" applyFont="1"/>
    <xf numFmtId="0" fontId="7" fillId="0" borderId="0" xfId="0" applyFont="1"/>
    <xf numFmtId="168" fontId="7" fillId="0" borderId="0" xfId="0" applyNumberFormat="1" applyFont="1"/>
    <xf numFmtId="164" fontId="9" fillId="0" borderId="2" xfId="3" applyNumberFormat="1" applyFont="1" applyBorder="1"/>
    <xf numFmtId="164" fontId="7" fillId="0" borderId="2" xfId="3" applyNumberFormat="1" applyFont="1" applyBorder="1"/>
    <xf numFmtId="0" fontId="3" fillId="3" borderId="0" xfId="0" applyFont="1" applyFill="1" applyAlignment="1">
      <alignment horizontal="center" vertical="center"/>
    </xf>
    <xf numFmtId="0" fontId="10" fillId="0" borderId="0" xfId="0" applyFont="1"/>
    <xf numFmtId="44" fontId="7" fillId="0" borderId="2" xfId="2" applyFont="1" applyBorder="1"/>
    <xf numFmtId="0" fontId="3" fillId="3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" vertical="center"/>
    </xf>
    <xf numFmtId="0" fontId="3" fillId="5" borderId="1" xfId="0" applyFont="1" applyFill="1" applyBorder="1"/>
    <xf numFmtId="0" fontId="0" fillId="5" borderId="1" xfId="0" applyFill="1" applyBorder="1"/>
    <xf numFmtId="8" fontId="0" fillId="0" borderId="2" xfId="2" applyNumberFormat="1" applyFont="1" applyBorder="1"/>
    <xf numFmtId="44" fontId="0" fillId="0" borderId="0" xfId="0" applyNumberFormat="1"/>
    <xf numFmtId="9" fontId="7" fillId="0" borderId="2" xfId="3" applyFont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2" xfId="0" applyFont="1" applyFill="1" applyBorder="1"/>
    <xf numFmtId="0" fontId="0" fillId="0" borderId="2" xfId="0" applyBorder="1"/>
    <xf numFmtId="0" fontId="0" fillId="0" borderId="0" xfId="0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165" fontId="7" fillId="0" borderId="6" xfId="2" applyNumberFormat="1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6" fontId="7" fillId="0" borderId="10" xfId="0" applyNumberFormat="1" applyFont="1" applyBorder="1"/>
    <xf numFmtId="166" fontId="0" fillId="0" borderId="11" xfId="0" applyNumberFormat="1" applyBorder="1"/>
    <xf numFmtId="166" fontId="7" fillId="0" borderId="3" xfId="0" applyNumberFormat="1" applyFon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2026C-E011-4FD9-B55A-08B080F6C77F}">
  <dimension ref="A1:P112"/>
  <sheetViews>
    <sheetView tabSelected="1" workbookViewId="0"/>
  </sheetViews>
  <sheetFormatPr defaultRowHeight="15" x14ac:dyDescent="0.25"/>
  <cols>
    <col min="1" max="1" width="3.85546875" customWidth="1"/>
    <col min="2" max="2" width="26.42578125" customWidth="1"/>
    <col min="3" max="10" width="10.28515625" customWidth="1"/>
    <col min="11" max="11" width="9.7109375" customWidth="1"/>
    <col min="13" max="13" width="10.140625" bestFit="1" customWidth="1"/>
    <col min="14" max="14" width="10.28515625" customWidth="1"/>
  </cols>
  <sheetData>
    <row r="1" spans="1:16" ht="18.75" x14ac:dyDescent="0.3">
      <c r="A1" s="3" t="s">
        <v>0</v>
      </c>
    </row>
    <row r="3" spans="1:16" x14ac:dyDescent="0.25">
      <c r="B3" s="6" t="s">
        <v>1</v>
      </c>
      <c r="C3" s="5"/>
      <c r="D3" s="5"/>
      <c r="E3" s="5"/>
      <c r="F3" s="5"/>
      <c r="G3" s="5"/>
      <c r="H3" s="5"/>
      <c r="I3" s="5"/>
      <c r="J3" s="5"/>
      <c r="K3" s="5"/>
    </row>
    <row r="4" spans="1:16" x14ac:dyDescent="0.25">
      <c r="B4" s="4" t="s">
        <v>2</v>
      </c>
      <c r="C4" s="4"/>
      <c r="D4" s="4"/>
      <c r="E4" s="4"/>
      <c r="F4" s="4" t="s">
        <v>4</v>
      </c>
      <c r="G4" s="4"/>
      <c r="H4" s="4"/>
      <c r="I4" s="4"/>
      <c r="J4" s="4"/>
      <c r="K4" s="4"/>
    </row>
    <row r="5" spans="1:16" s="14" customFormat="1" ht="45.75" thickBot="1" x14ac:dyDescent="0.3">
      <c r="B5" s="20" t="s">
        <v>3</v>
      </c>
      <c r="C5" s="21" t="s">
        <v>62</v>
      </c>
      <c r="D5" s="22" t="s">
        <v>60</v>
      </c>
      <c r="E5" s="15"/>
      <c r="F5" s="15"/>
      <c r="G5" s="21" t="s">
        <v>9</v>
      </c>
      <c r="H5" s="21" t="s">
        <v>10</v>
      </c>
      <c r="I5" s="21" t="s">
        <v>11</v>
      </c>
      <c r="J5" s="21" t="s">
        <v>61</v>
      </c>
      <c r="K5" s="21" t="s">
        <v>62</v>
      </c>
      <c r="M5" s="90" t="s">
        <v>121</v>
      </c>
      <c r="N5" s="88"/>
      <c r="O5" s="88"/>
      <c r="P5" s="89" t="s">
        <v>122</v>
      </c>
    </row>
    <row r="6" spans="1:16" ht="16.5" thickTop="1" thickBot="1" x14ac:dyDescent="0.3">
      <c r="B6" t="s">
        <v>5</v>
      </c>
      <c r="C6" s="26"/>
      <c r="D6" s="19"/>
      <c r="F6" s="12" t="s">
        <v>8</v>
      </c>
      <c r="G6" s="81"/>
      <c r="H6" s="83">
        <v>0.3</v>
      </c>
      <c r="I6" s="81"/>
      <c r="J6" s="8"/>
      <c r="K6" s="23"/>
      <c r="M6" s="91"/>
      <c r="N6" s="87" t="str">
        <f>+B6</f>
        <v>Bank Loan</v>
      </c>
      <c r="O6" s="87"/>
      <c r="P6" s="94">
        <v>4</v>
      </c>
    </row>
    <row r="7" spans="1:16" x14ac:dyDescent="0.25">
      <c r="B7" t="s">
        <v>6</v>
      </c>
      <c r="C7" s="26"/>
      <c r="D7" s="10"/>
      <c r="F7" s="12" t="s">
        <v>12</v>
      </c>
      <c r="K7" s="23"/>
      <c r="N7" s="87" t="str">
        <f>+B7</f>
        <v>Corporate Bond</v>
      </c>
      <c r="O7" s="87"/>
      <c r="P7" s="95">
        <f>+P8-P6</f>
        <v>2</v>
      </c>
    </row>
    <row r="8" spans="1:16" ht="15.75" thickBot="1" x14ac:dyDescent="0.3">
      <c r="B8" t="s">
        <v>7</v>
      </c>
      <c r="C8" s="26"/>
      <c r="D8" s="10"/>
      <c r="F8" s="12" t="s">
        <v>13</v>
      </c>
      <c r="G8" s="13"/>
      <c r="K8" s="23"/>
      <c r="N8" s="87" t="s">
        <v>59</v>
      </c>
      <c r="O8" s="87" t="s">
        <v>59</v>
      </c>
      <c r="P8" s="96">
        <v>6</v>
      </c>
    </row>
    <row r="9" spans="1:16" ht="16.5" thickTop="1" thickBot="1" x14ac:dyDescent="0.3">
      <c r="B9" t="s">
        <v>58</v>
      </c>
      <c r="C9" s="27"/>
      <c r="D9" s="28"/>
      <c r="E9" s="92" t="s">
        <v>297</v>
      </c>
      <c r="F9" s="12" t="s">
        <v>59</v>
      </c>
      <c r="I9" s="82"/>
      <c r="K9" s="29"/>
    </row>
    <row r="10" spans="1:16" ht="16.5" thickTop="1" thickBot="1" x14ac:dyDescent="0.3">
      <c r="E10" s="63"/>
    </row>
    <row r="11" spans="1:16" x14ac:dyDescent="0.25">
      <c r="B11" s="6" t="s">
        <v>14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s="14" customFormat="1" ht="21" customHeight="1" x14ac:dyDescent="0.25">
      <c r="B12" s="18" t="s">
        <v>63</v>
      </c>
      <c r="C12" s="18"/>
      <c r="D12" s="18"/>
      <c r="E12" s="18"/>
      <c r="F12" s="18"/>
      <c r="G12" s="18"/>
      <c r="H12" s="18">
        <f>+ANSWER!H13</f>
        <v>2024</v>
      </c>
      <c r="I12" s="18">
        <f>+H12+1</f>
        <v>2025</v>
      </c>
      <c r="J12" s="18">
        <f t="shared" ref="J12:P12" si="0">+I12+1</f>
        <v>2026</v>
      </c>
      <c r="K12" s="18">
        <f t="shared" si="0"/>
        <v>2027</v>
      </c>
      <c r="L12" s="18">
        <f t="shared" si="0"/>
        <v>2028</v>
      </c>
      <c r="M12" s="18">
        <f t="shared" si="0"/>
        <v>2029</v>
      </c>
      <c r="N12" s="18">
        <f t="shared" si="0"/>
        <v>2030</v>
      </c>
      <c r="O12" s="18">
        <f t="shared" si="0"/>
        <v>2031</v>
      </c>
      <c r="P12" s="18">
        <f t="shared" si="0"/>
        <v>2032</v>
      </c>
    </row>
    <row r="13" spans="1:16" x14ac:dyDescent="0.25">
      <c r="B13" s="2" t="s">
        <v>5</v>
      </c>
    </row>
    <row r="14" spans="1:16" x14ac:dyDescent="0.25">
      <c r="B14" t="s">
        <v>15</v>
      </c>
      <c r="H14" s="23"/>
      <c r="I14" s="31"/>
      <c r="J14" s="31"/>
      <c r="K14" s="31"/>
      <c r="L14" s="31"/>
      <c r="M14" s="31"/>
      <c r="N14" s="31"/>
      <c r="O14" s="31"/>
      <c r="P14" s="8"/>
    </row>
    <row r="15" spans="1:16" x14ac:dyDescent="0.25">
      <c r="B15" t="s">
        <v>16</v>
      </c>
      <c r="I15" s="64"/>
      <c r="J15" s="64"/>
      <c r="K15" s="64"/>
      <c r="L15" s="64"/>
      <c r="M15" s="64"/>
      <c r="N15" s="64"/>
      <c r="O15" s="64"/>
      <c r="P15" s="8"/>
    </row>
    <row r="16" spans="1:16" x14ac:dyDescent="0.25">
      <c r="B16" t="s">
        <v>17</v>
      </c>
      <c r="I16" s="30"/>
      <c r="J16" s="30"/>
      <c r="K16" s="30"/>
      <c r="L16" s="30"/>
      <c r="M16" s="30"/>
      <c r="N16" s="30"/>
      <c r="O16" s="30"/>
      <c r="P16" s="30"/>
    </row>
    <row r="17" spans="2:16" x14ac:dyDescent="0.25">
      <c r="B17" t="s">
        <v>18</v>
      </c>
      <c r="H17" s="46"/>
      <c r="I17" s="31"/>
      <c r="J17" s="31"/>
      <c r="K17" s="31"/>
      <c r="L17" s="31"/>
      <c r="M17" s="31"/>
      <c r="N17" s="31"/>
      <c r="O17" s="31"/>
      <c r="P17" s="31"/>
    </row>
    <row r="18" spans="2:16" x14ac:dyDescent="0.25">
      <c r="B18" t="s">
        <v>190</v>
      </c>
      <c r="H18" s="47"/>
      <c r="I18" s="49"/>
      <c r="J18" s="49"/>
      <c r="K18" s="49"/>
      <c r="L18" s="49"/>
      <c r="M18" s="49"/>
      <c r="N18" s="49"/>
      <c r="O18" s="39"/>
    </row>
    <row r="20" spans="2:16" x14ac:dyDescent="0.25">
      <c r="B20" s="1" t="s">
        <v>295</v>
      </c>
      <c r="H20" s="36"/>
      <c r="I20" s="36"/>
      <c r="J20" s="36"/>
      <c r="K20" s="36"/>
      <c r="L20" s="36"/>
      <c r="M20" s="36"/>
      <c r="N20" s="36"/>
      <c r="O20" s="36"/>
      <c r="P20" s="36"/>
    </row>
    <row r="21" spans="2:16" x14ac:dyDescent="0.25">
      <c r="B21" t="s">
        <v>296</v>
      </c>
      <c r="H21" s="32"/>
      <c r="I21" s="10"/>
      <c r="J21" s="10"/>
      <c r="K21" s="10"/>
      <c r="L21" s="10"/>
      <c r="M21" s="10"/>
      <c r="N21" s="10"/>
      <c r="O21" s="10"/>
      <c r="P21" s="10"/>
    </row>
    <row r="22" spans="2:16" x14ac:dyDescent="0.25">
      <c r="B22" t="s">
        <v>21</v>
      </c>
      <c r="H22" s="32"/>
      <c r="I22" s="10"/>
      <c r="J22" s="10"/>
      <c r="K22" s="10"/>
      <c r="L22" s="10"/>
      <c r="M22" s="10"/>
      <c r="N22" s="10"/>
      <c r="O22" s="10"/>
      <c r="P22" s="10"/>
    </row>
    <row r="23" spans="2:16" x14ac:dyDescent="0.25">
      <c r="B23" t="s">
        <v>22</v>
      </c>
      <c r="H23" s="32"/>
      <c r="I23" s="10"/>
      <c r="J23" s="10"/>
      <c r="K23" s="10"/>
      <c r="L23" s="10"/>
      <c r="M23" s="10"/>
      <c r="N23" s="10"/>
      <c r="O23" s="10"/>
      <c r="P23" s="10"/>
    </row>
    <row r="25" spans="2:16" x14ac:dyDescent="0.25">
      <c r="B25" s="2" t="s">
        <v>23</v>
      </c>
    </row>
    <row r="26" spans="2:16" x14ac:dyDescent="0.25">
      <c r="B26" t="s">
        <v>15</v>
      </c>
      <c r="H26" s="23"/>
      <c r="I26" s="31"/>
      <c r="J26" s="31"/>
      <c r="K26" s="31"/>
      <c r="L26" s="31"/>
      <c r="M26" s="31"/>
      <c r="N26" s="31"/>
      <c r="O26" s="31"/>
      <c r="P26" s="31"/>
    </row>
    <row r="27" spans="2:16" x14ac:dyDescent="0.25">
      <c r="B27" t="s">
        <v>16</v>
      </c>
      <c r="I27" s="30"/>
      <c r="J27" s="30"/>
      <c r="K27" s="30"/>
      <c r="L27" s="30"/>
      <c r="M27" s="30"/>
      <c r="N27" s="30"/>
      <c r="O27" s="30"/>
      <c r="P27" s="23"/>
    </row>
    <row r="28" spans="2:16" x14ac:dyDescent="0.25">
      <c r="B28" t="s">
        <v>17</v>
      </c>
      <c r="I28" s="30"/>
      <c r="J28" s="30"/>
      <c r="K28" s="30"/>
      <c r="L28" s="30"/>
      <c r="M28" s="30"/>
      <c r="N28" s="30"/>
      <c r="O28" s="30"/>
      <c r="P28" s="30"/>
    </row>
    <row r="29" spans="2:16" x14ac:dyDescent="0.25">
      <c r="B29" t="s">
        <v>18</v>
      </c>
      <c r="H29" s="46"/>
      <c r="I29" s="31"/>
      <c r="J29" s="31"/>
      <c r="K29" s="31"/>
      <c r="L29" s="31"/>
      <c r="M29" s="31"/>
      <c r="N29" s="31"/>
      <c r="O29" s="31"/>
      <c r="P29" s="31"/>
    </row>
    <row r="30" spans="2:16" ht="15.75" thickBot="1" x14ac:dyDescent="0.3"/>
    <row r="31" spans="2:16" ht="15.75" thickBot="1" x14ac:dyDescent="0.3">
      <c r="B31" t="s">
        <v>22</v>
      </c>
      <c r="H31" s="51"/>
      <c r="I31" s="51"/>
      <c r="J31" s="51"/>
      <c r="K31" s="51"/>
      <c r="L31" s="51"/>
      <c r="M31" s="51"/>
      <c r="N31" s="51"/>
      <c r="O31" s="51"/>
      <c r="P31" s="51"/>
    </row>
    <row r="33" spans="2:16" x14ac:dyDescent="0.25">
      <c r="B33" t="s">
        <v>170</v>
      </c>
      <c r="H33" s="31"/>
      <c r="I33" s="31"/>
      <c r="J33" s="31"/>
      <c r="K33" s="31"/>
      <c r="L33" s="31"/>
      <c r="M33" s="31"/>
      <c r="N33" s="31"/>
      <c r="O33" s="31"/>
      <c r="P33" s="31"/>
    </row>
    <row r="35" spans="2:16" x14ac:dyDescent="0.25">
      <c r="B35" s="6" t="s">
        <v>41</v>
      </c>
      <c r="C35" s="6"/>
      <c r="D35" s="6"/>
      <c r="E35" s="6"/>
      <c r="F35" s="6"/>
      <c r="G35" s="6"/>
      <c r="H35" s="6"/>
    </row>
    <row r="36" spans="2:16" x14ac:dyDescent="0.25">
      <c r="B36" s="17" t="s">
        <v>63</v>
      </c>
      <c r="C36" s="7">
        <f>+ANSWER!C37</f>
        <v>2024</v>
      </c>
      <c r="E36" s="7" t="s">
        <v>42</v>
      </c>
      <c r="F36" s="7" t="s">
        <v>43</v>
      </c>
      <c r="H36" s="7">
        <f>+C36</f>
        <v>2024</v>
      </c>
    </row>
    <row r="37" spans="2:16" x14ac:dyDescent="0.25">
      <c r="B37" t="s">
        <v>56</v>
      </c>
      <c r="C37" s="64">
        <f>'BALANCE SHEET YAHOO'!B3/1000000</f>
        <v>467</v>
      </c>
      <c r="D37" s="33"/>
      <c r="E37" s="30"/>
      <c r="F37" s="30"/>
      <c r="G37" s="33"/>
      <c r="H37" s="30"/>
    </row>
    <row r="38" spans="2:16" x14ac:dyDescent="0.25">
      <c r="B38" t="s">
        <v>44</v>
      </c>
      <c r="C38" s="64">
        <f>'BALANCE SHEET YAHOO'!B15/1000000</f>
        <v>94</v>
      </c>
      <c r="D38" s="33"/>
      <c r="E38" s="30"/>
      <c r="F38" s="30"/>
      <c r="G38" s="33"/>
      <c r="H38" s="30"/>
    </row>
    <row r="39" spans="2:16" ht="15.75" thickBot="1" x14ac:dyDescent="0.3">
      <c r="B39" t="s">
        <v>57</v>
      </c>
      <c r="C39" s="65">
        <f>C43-C41-C38-C37</f>
        <v>2137</v>
      </c>
      <c r="D39" s="33"/>
      <c r="E39" s="30"/>
      <c r="F39" s="30"/>
      <c r="G39" s="33"/>
      <c r="H39" s="30"/>
    </row>
    <row r="40" spans="2:16" ht="15.75" thickTop="1" x14ac:dyDescent="0.25">
      <c r="C40" s="66"/>
      <c r="D40" s="33"/>
      <c r="E40" s="33"/>
      <c r="F40" s="33"/>
      <c r="G40" s="33"/>
      <c r="H40" s="33"/>
    </row>
    <row r="41" spans="2:16" x14ac:dyDescent="0.25">
      <c r="B41" t="s">
        <v>45</v>
      </c>
      <c r="C41" s="64">
        <f>'BALANCE SHEET YAHOO'!B26/1000000</f>
        <v>1525</v>
      </c>
      <c r="D41" s="33"/>
      <c r="E41" s="30"/>
      <c r="F41" s="30"/>
      <c r="G41" s="33"/>
      <c r="H41" s="30"/>
    </row>
    <row r="42" spans="2:16" x14ac:dyDescent="0.25">
      <c r="B42" t="s">
        <v>46</v>
      </c>
      <c r="C42" s="64"/>
      <c r="D42" s="33"/>
      <c r="E42" s="30"/>
      <c r="F42" s="30"/>
      <c r="G42" s="33"/>
      <c r="H42" s="30"/>
    </row>
    <row r="43" spans="2:16" ht="15.75" thickBot="1" x14ac:dyDescent="0.3">
      <c r="B43" t="s">
        <v>47</v>
      </c>
      <c r="C43" s="34">
        <f>'BALANCE SHEET YAHOO'!B2/1000000</f>
        <v>4223</v>
      </c>
      <c r="D43" s="33"/>
      <c r="E43" s="33"/>
      <c r="F43" s="33"/>
      <c r="G43" s="33"/>
      <c r="H43" s="34"/>
    </row>
    <row r="44" spans="2:16" ht="15.75" thickTop="1" x14ac:dyDescent="0.25">
      <c r="C44" s="33"/>
      <c r="D44" s="33"/>
      <c r="E44" s="33"/>
      <c r="F44" s="33"/>
      <c r="G44" s="33"/>
      <c r="H44" s="33"/>
    </row>
    <row r="45" spans="2:16" x14ac:dyDescent="0.25">
      <c r="B45" t="s">
        <v>48</v>
      </c>
      <c r="C45" s="64">
        <f>'BALANCE SHEET YAHOO'!B33/1000000</f>
        <v>466</v>
      </c>
      <c r="D45" s="33"/>
      <c r="E45" s="30"/>
      <c r="F45" s="30"/>
      <c r="G45" s="33"/>
      <c r="H45" s="30"/>
    </row>
    <row r="46" spans="2:16" x14ac:dyDescent="0.25">
      <c r="B46" t="s">
        <v>49</v>
      </c>
      <c r="C46" s="64">
        <f>('BALANCE SHEET YAHOO'!B42+'BALANCE SHEET YAHOO'!B50)/1000000</f>
        <v>2463</v>
      </c>
      <c r="D46" s="33"/>
      <c r="E46" s="30"/>
      <c r="F46" s="30"/>
      <c r="G46" s="33"/>
      <c r="H46" s="30"/>
    </row>
    <row r="47" spans="2:16" x14ac:dyDescent="0.25">
      <c r="B47" t="s">
        <v>50</v>
      </c>
      <c r="C47" s="64"/>
      <c r="D47" s="33"/>
      <c r="E47" s="30"/>
      <c r="F47" s="30"/>
      <c r="G47" s="33"/>
      <c r="H47" s="30"/>
    </row>
    <row r="48" spans="2:16" x14ac:dyDescent="0.25">
      <c r="B48" t="s">
        <v>51</v>
      </c>
      <c r="C48" s="64"/>
      <c r="D48" s="33"/>
      <c r="E48" s="30"/>
      <c r="F48" s="30"/>
      <c r="G48" s="33"/>
      <c r="H48" s="30"/>
    </row>
    <row r="49" spans="2:12" x14ac:dyDescent="0.25">
      <c r="B49" t="s">
        <v>52</v>
      </c>
      <c r="C49" s="64">
        <f>C50-C46-C45</f>
        <v>644</v>
      </c>
      <c r="D49" s="33"/>
      <c r="E49" s="30"/>
      <c r="F49" s="30"/>
      <c r="G49" s="33"/>
      <c r="H49" s="30"/>
    </row>
    <row r="50" spans="2:12" ht="15.75" thickBot="1" x14ac:dyDescent="0.3">
      <c r="B50" t="s">
        <v>53</v>
      </c>
      <c r="C50" s="34">
        <f>'BALANCE SHEET YAHOO'!B32/1000000</f>
        <v>3573</v>
      </c>
      <c r="D50" s="33"/>
      <c r="E50" s="33"/>
      <c r="F50" s="33"/>
      <c r="G50" s="33"/>
      <c r="H50" s="34"/>
    </row>
    <row r="51" spans="2:12" ht="15.75" thickTop="1" x14ac:dyDescent="0.25">
      <c r="C51" s="33"/>
      <c r="D51" s="33"/>
      <c r="E51" s="33"/>
      <c r="F51" s="33"/>
      <c r="G51" s="33"/>
      <c r="H51" s="33"/>
    </row>
    <row r="52" spans="2:12" x14ac:dyDescent="0.25">
      <c r="B52" t="s">
        <v>54</v>
      </c>
      <c r="C52" s="64">
        <f>C43-C50</f>
        <v>650</v>
      </c>
      <c r="D52" s="33"/>
      <c r="E52" s="30"/>
      <c r="F52" s="30"/>
      <c r="G52" s="33"/>
      <c r="H52" s="30"/>
    </row>
    <row r="53" spans="2:12" x14ac:dyDescent="0.25">
      <c r="C53" s="33"/>
      <c r="D53" s="33"/>
      <c r="E53" s="33"/>
      <c r="F53" s="33"/>
      <c r="G53" s="33"/>
      <c r="H53" s="33"/>
    </row>
    <row r="54" spans="2:12" ht="15.75" thickBot="1" x14ac:dyDescent="0.3">
      <c r="B54" t="s">
        <v>55</v>
      </c>
      <c r="C54" s="34">
        <f>+C52+C50</f>
        <v>4223</v>
      </c>
      <c r="D54" s="33"/>
      <c r="E54" s="35"/>
      <c r="F54" s="35"/>
      <c r="G54" s="33"/>
      <c r="H54" s="34"/>
    </row>
    <row r="55" spans="2:12" ht="15.75" thickTop="1" x14ac:dyDescent="0.25"/>
    <row r="57" spans="2:12" x14ac:dyDescent="0.25">
      <c r="B57" s="6" t="s">
        <v>24</v>
      </c>
      <c r="C57" s="84" t="s">
        <v>39</v>
      </c>
      <c r="D57" s="84"/>
      <c r="E57" s="84"/>
      <c r="H57" s="74" t="s">
        <v>40</v>
      </c>
      <c r="I57" s="74"/>
      <c r="J57" s="74"/>
      <c r="K57" s="74"/>
      <c r="L57" s="74"/>
    </row>
    <row r="58" spans="2:12" ht="15" customHeight="1" x14ac:dyDescent="0.25">
      <c r="B58" s="4"/>
      <c r="C58" s="4">
        <f>+ANSWER!C59</f>
        <v>2022</v>
      </c>
      <c r="D58" s="4">
        <f>+ANSWER!D59</f>
        <v>2023</v>
      </c>
      <c r="E58" s="37">
        <f>+ANSWER!E59</f>
        <v>2024</v>
      </c>
      <c r="H58" s="37">
        <f>+ANSWER!H59</f>
        <v>2024</v>
      </c>
      <c r="I58" s="37">
        <f>+ANSWER!I59</f>
        <v>2025</v>
      </c>
      <c r="J58" s="37">
        <f>+ANSWER!J59</f>
        <v>2026</v>
      </c>
      <c r="K58" s="37">
        <f>+ANSWER!K59</f>
        <v>2027</v>
      </c>
      <c r="L58" s="37">
        <f>+ANSWER!L59</f>
        <v>2028</v>
      </c>
    </row>
    <row r="59" spans="2:12" x14ac:dyDescent="0.25">
      <c r="B59" t="s">
        <v>25</v>
      </c>
      <c r="C59" s="64">
        <f>+ANSWER!C60</f>
        <v>1498</v>
      </c>
      <c r="D59" s="64">
        <f>+ANSWER!D60</f>
        <v>1397</v>
      </c>
      <c r="E59" s="64">
        <f>+ANSWER!E60</f>
        <v>1408</v>
      </c>
      <c r="F59" s="33"/>
      <c r="H59" s="30"/>
      <c r="I59" s="30"/>
      <c r="J59" s="30"/>
      <c r="K59" s="30"/>
      <c r="L59" s="30"/>
    </row>
    <row r="60" spans="2:12" x14ac:dyDescent="0.25">
      <c r="B60" t="s">
        <v>26</v>
      </c>
      <c r="C60" s="32"/>
      <c r="D60" s="10">
        <f>D59/C59-1</f>
        <v>-6.7423230974632875E-2</v>
      </c>
      <c r="E60" s="10">
        <f>E59/D59-1</f>
        <v>7.8740157480314821E-3</v>
      </c>
      <c r="F60" s="11"/>
      <c r="H60" s="10"/>
      <c r="I60" s="10"/>
      <c r="J60" s="10"/>
      <c r="K60" s="10"/>
      <c r="L60" s="10"/>
    </row>
    <row r="62" spans="2:12" x14ac:dyDescent="0.25">
      <c r="B62" t="s">
        <v>27</v>
      </c>
      <c r="C62" s="64">
        <f>+ANSWER!C63</f>
        <v>668</v>
      </c>
      <c r="D62" s="64">
        <f>+ANSWER!D63</f>
        <v>582</v>
      </c>
      <c r="E62" s="64">
        <f>+ANSWER!E63</f>
        <v>586.58267716535431</v>
      </c>
      <c r="H62" s="30"/>
      <c r="I62" s="30"/>
      <c r="J62" s="30"/>
      <c r="K62" s="30"/>
      <c r="L62" s="30"/>
    </row>
    <row r="63" spans="2:12" x14ac:dyDescent="0.25">
      <c r="B63" t="s">
        <v>31</v>
      </c>
      <c r="C63" s="10">
        <f>C62/C59</f>
        <v>0.44592790387182912</v>
      </c>
      <c r="D63" s="10">
        <f t="shared" ref="D63:E63" si="1">D62/D59</f>
        <v>0.41660701503221187</v>
      </c>
      <c r="E63" s="10">
        <f t="shared" si="1"/>
        <v>0.41660701503221187</v>
      </c>
      <c r="F63" s="11"/>
      <c r="H63" s="73"/>
      <c r="I63" s="73"/>
      <c r="J63" s="73"/>
      <c r="K63" s="73"/>
      <c r="L63" s="73"/>
    </row>
    <row r="65" spans="2:12" x14ac:dyDescent="0.25">
      <c r="B65" t="s">
        <v>28</v>
      </c>
      <c r="C65" s="68">
        <f>+ANSWER!C66</f>
        <v>830</v>
      </c>
      <c r="D65" s="68">
        <f>+ANSWER!D66</f>
        <v>815</v>
      </c>
      <c r="E65" s="68">
        <f>+ANSWER!E66</f>
        <v>821.41732283464569</v>
      </c>
      <c r="H65" s="31"/>
      <c r="I65" s="31"/>
      <c r="J65" s="31"/>
      <c r="K65" s="31"/>
      <c r="L65" s="31"/>
    </row>
    <row r="66" spans="2:12" x14ac:dyDescent="0.25">
      <c r="B66" t="s">
        <v>29</v>
      </c>
      <c r="C66" s="10"/>
      <c r="D66" s="10"/>
      <c r="E66" s="10"/>
      <c r="H66" s="10"/>
      <c r="I66" s="10"/>
      <c r="J66" s="10"/>
      <c r="K66" s="10"/>
      <c r="L66" s="10"/>
    </row>
    <row r="67" spans="2:12" x14ac:dyDescent="0.25">
      <c r="C67" s="69"/>
      <c r="D67" s="69"/>
      <c r="E67" s="69"/>
    </row>
    <row r="68" spans="2:12" x14ac:dyDescent="0.25">
      <c r="B68" t="s">
        <v>30</v>
      </c>
      <c r="C68" s="64">
        <f>+ANSWER!C69</f>
        <v>250</v>
      </c>
      <c r="D68" s="64">
        <f>+ANSWER!D69</f>
        <v>107</v>
      </c>
      <c r="E68" s="64">
        <f>+ANSWER!E69</f>
        <v>85</v>
      </c>
      <c r="H68" s="30"/>
      <c r="I68" s="30"/>
      <c r="J68" s="30"/>
      <c r="K68" s="30"/>
      <c r="L68" s="30"/>
    </row>
    <row r="69" spans="2:12" x14ac:dyDescent="0.25">
      <c r="B69" t="s">
        <v>31</v>
      </c>
      <c r="C69" s="10">
        <f>C68/C59</f>
        <v>0.16688918558077437</v>
      </c>
      <c r="D69" s="10">
        <f t="shared" ref="D69:E69" si="2">D68/D59</f>
        <v>7.6592698639942738E-2</v>
      </c>
      <c r="E69" s="10">
        <f t="shared" si="2"/>
        <v>6.0369318181818184E-2</v>
      </c>
      <c r="F69" s="11"/>
      <c r="H69" s="10"/>
      <c r="I69" s="10"/>
      <c r="J69" s="10"/>
      <c r="K69" s="10"/>
      <c r="L69" s="10"/>
    </row>
    <row r="71" spans="2:12" x14ac:dyDescent="0.25">
      <c r="B71" t="s">
        <v>34</v>
      </c>
      <c r="H71" s="31"/>
      <c r="I71" s="31"/>
      <c r="J71" s="31"/>
      <c r="K71" s="31"/>
      <c r="L71" s="31"/>
    </row>
    <row r="72" spans="2:12" x14ac:dyDescent="0.25">
      <c r="B72" t="s">
        <v>33</v>
      </c>
      <c r="C72" s="70">
        <v>7</v>
      </c>
      <c r="D72" t="s">
        <v>168</v>
      </c>
      <c r="H72" s="30"/>
      <c r="I72" s="30"/>
      <c r="J72" s="30"/>
      <c r="K72" s="30"/>
      <c r="L72" s="30"/>
    </row>
    <row r="73" spans="2:12" x14ac:dyDescent="0.25">
      <c r="B73" t="s">
        <v>32</v>
      </c>
      <c r="C73" s="70"/>
      <c r="H73" s="31"/>
      <c r="I73" s="31"/>
      <c r="J73" s="31"/>
      <c r="K73" s="31"/>
      <c r="L73" s="31"/>
    </row>
    <row r="74" spans="2:12" x14ac:dyDescent="0.25">
      <c r="B74" t="s">
        <v>35</v>
      </c>
      <c r="C74" s="70"/>
      <c r="H74" s="31"/>
      <c r="I74" s="31"/>
      <c r="J74" s="31"/>
      <c r="K74" s="31"/>
      <c r="L74" s="31"/>
    </row>
    <row r="75" spans="2:12" x14ac:dyDescent="0.25">
      <c r="B75" t="s">
        <v>36</v>
      </c>
      <c r="C75" s="70"/>
      <c r="H75" s="31"/>
      <c r="I75" s="31"/>
      <c r="J75" s="31"/>
      <c r="K75" s="31"/>
      <c r="L75" s="31"/>
    </row>
    <row r="76" spans="2:12" x14ac:dyDescent="0.25">
      <c r="B76" t="s">
        <v>37</v>
      </c>
      <c r="C76" s="57">
        <v>0.22</v>
      </c>
      <c r="D76" t="s">
        <v>169</v>
      </c>
      <c r="H76" s="31"/>
      <c r="I76" s="31"/>
      <c r="J76" s="31"/>
      <c r="K76" s="31"/>
      <c r="L76" s="31"/>
    </row>
    <row r="77" spans="2:12" ht="15.75" thickBot="1" x14ac:dyDescent="0.3">
      <c r="B77" t="s">
        <v>38</v>
      </c>
      <c r="H77" s="40"/>
      <c r="I77" s="40"/>
      <c r="J77" s="40"/>
      <c r="K77" s="40"/>
      <c r="L77" s="40"/>
    </row>
    <row r="78" spans="2:12" ht="15.75" thickTop="1" x14ac:dyDescent="0.25"/>
    <row r="79" spans="2:12" x14ac:dyDescent="0.25">
      <c r="B79" s="6" t="s">
        <v>171</v>
      </c>
      <c r="C79" s="84" t="s">
        <v>39</v>
      </c>
      <c r="D79" s="84"/>
      <c r="E79" s="84"/>
      <c r="H79" s="74" t="s">
        <v>40</v>
      </c>
      <c r="I79" s="74"/>
      <c r="J79" s="74"/>
      <c r="K79" s="74"/>
      <c r="L79" s="74"/>
    </row>
    <row r="80" spans="2:12" x14ac:dyDescent="0.25">
      <c r="B80" s="4"/>
      <c r="C80" s="4">
        <f>+C58</f>
        <v>2022</v>
      </c>
      <c r="D80" s="4">
        <f t="shared" ref="D80:E80" si="3">+D58</f>
        <v>2023</v>
      </c>
      <c r="E80" s="4">
        <f t="shared" si="3"/>
        <v>2024</v>
      </c>
      <c r="H80" s="4">
        <f>+H58</f>
        <v>2024</v>
      </c>
      <c r="I80" s="4">
        <f>+I58</f>
        <v>2025</v>
      </c>
      <c r="J80" s="4">
        <f>+J58</f>
        <v>2026</v>
      </c>
      <c r="K80" s="4">
        <f>+K58</f>
        <v>2027</v>
      </c>
      <c r="L80" s="4">
        <f>+L58</f>
        <v>2028</v>
      </c>
    </row>
    <row r="81" spans="2:12" x14ac:dyDescent="0.25">
      <c r="B81" t="s">
        <v>32</v>
      </c>
      <c r="H81" s="31"/>
      <c r="I81" s="31"/>
      <c r="J81" s="31"/>
      <c r="K81" s="31"/>
      <c r="L81" s="31"/>
    </row>
    <row r="82" spans="2:12" x14ac:dyDescent="0.25">
      <c r="B82" t="s">
        <v>173</v>
      </c>
      <c r="H82" s="31"/>
      <c r="I82" s="31"/>
      <c r="J82" s="31"/>
      <c r="K82" s="31"/>
      <c r="L82" s="31"/>
    </row>
    <row r="83" spans="2:12" ht="15.75" thickBot="1" x14ac:dyDescent="0.3">
      <c r="B83" t="s">
        <v>174</v>
      </c>
      <c r="H83" s="40"/>
      <c r="I83" s="40"/>
      <c r="J83" s="40"/>
      <c r="K83" s="40"/>
      <c r="L83" s="40"/>
    </row>
    <row r="84" spans="2:12" ht="15.75" thickTop="1" x14ac:dyDescent="0.25"/>
    <row r="85" spans="2:12" x14ac:dyDescent="0.25">
      <c r="B85" t="s">
        <v>172</v>
      </c>
      <c r="C85" s="67">
        <f>325.43</f>
        <v>325.43</v>
      </c>
      <c r="D85" s="67">
        <v>321.08199999999999</v>
      </c>
      <c r="E85" s="67">
        <f>317198/1000</f>
        <v>317.19799999999998</v>
      </c>
      <c r="H85" s="42"/>
      <c r="I85" s="42"/>
      <c r="J85" s="42"/>
      <c r="K85" s="42"/>
      <c r="L85" s="42"/>
    </row>
    <row r="86" spans="2:12" x14ac:dyDescent="0.25">
      <c r="B86" t="s">
        <v>184</v>
      </c>
      <c r="C86" s="10"/>
      <c r="D86" s="10"/>
      <c r="E86" s="10"/>
      <c r="H86" s="10"/>
      <c r="I86" s="10"/>
      <c r="J86" s="10"/>
      <c r="K86" s="10"/>
      <c r="L86" s="10"/>
    </row>
    <row r="87" spans="2:12" x14ac:dyDescent="0.25">
      <c r="B87" t="s">
        <v>175</v>
      </c>
      <c r="H87" s="31"/>
      <c r="I87" s="31"/>
      <c r="J87" s="31"/>
      <c r="K87" s="31"/>
      <c r="L87" s="31"/>
    </row>
    <row r="88" spans="2:12" x14ac:dyDescent="0.25">
      <c r="B88" t="s">
        <v>176</v>
      </c>
      <c r="C88" s="67">
        <v>-296.54300000000001</v>
      </c>
      <c r="D88" s="67">
        <v>-63.374000000000002</v>
      </c>
      <c r="E88" s="67">
        <v>-1362.922</v>
      </c>
      <c r="H88" s="31"/>
      <c r="I88" s="31"/>
      <c r="J88" s="31"/>
      <c r="K88" s="31"/>
      <c r="L88" s="31"/>
    </row>
    <row r="89" spans="2:12" x14ac:dyDescent="0.25">
      <c r="B89" t="s">
        <v>185</v>
      </c>
      <c r="C89" s="10"/>
      <c r="D89" s="10"/>
      <c r="E89" s="10"/>
      <c r="H89" s="10"/>
      <c r="I89" s="10"/>
      <c r="J89" s="10"/>
      <c r="K89" s="10"/>
      <c r="L89" s="10"/>
    </row>
    <row r="90" spans="2:12" x14ac:dyDescent="0.25">
      <c r="C90" s="32"/>
      <c r="D90" s="32"/>
      <c r="E90" s="32"/>
      <c r="H90" s="32"/>
      <c r="I90" s="32"/>
      <c r="J90" s="32"/>
      <c r="K90" s="32"/>
      <c r="L90" s="32"/>
    </row>
    <row r="91" spans="2:12" x14ac:dyDescent="0.25">
      <c r="B91" t="s">
        <v>177</v>
      </c>
      <c r="C91" s="67">
        <v>-451.94499999999999</v>
      </c>
      <c r="D91" s="67">
        <v>-1198.0550000000001</v>
      </c>
      <c r="E91" s="67">
        <v>-1144.855</v>
      </c>
      <c r="H91" s="31"/>
      <c r="I91" s="31"/>
      <c r="J91" s="31"/>
      <c r="K91" s="31"/>
      <c r="L91" s="31"/>
    </row>
    <row r="92" spans="2:12" x14ac:dyDescent="0.25">
      <c r="B92" t="s">
        <v>186</v>
      </c>
      <c r="C92" s="10"/>
      <c r="D92" s="10"/>
      <c r="E92" s="10"/>
      <c r="H92" s="10"/>
      <c r="I92" s="10"/>
      <c r="J92" s="10"/>
      <c r="K92" s="10"/>
      <c r="L92" s="10"/>
    </row>
    <row r="94" spans="2:12" x14ac:dyDescent="0.25">
      <c r="B94" t="s">
        <v>178</v>
      </c>
      <c r="H94" s="31"/>
      <c r="I94" s="31"/>
      <c r="J94" s="31"/>
      <c r="K94" s="31"/>
      <c r="L94" s="31"/>
    </row>
    <row r="96" spans="2:12" x14ac:dyDescent="0.25">
      <c r="B96" s="6" t="s">
        <v>191</v>
      </c>
      <c r="C96" s="54" t="s">
        <v>60</v>
      </c>
      <c r="D96" s="54" t="s">
        <v>35</v>
      </c>
      <c r="E96" s="54" t="s">
        <v>192</v>
      </c>
      <c r="F96" s="54" t="s">
        <v>193</v>
      </c>
      <c r="I96" s="6" t="s">
        <v>194</v>
      </c>
      <c r="J96" s="6"/>
      <c r="K96" s="6"/>
    </row>
    <row r="97" spans="2:12" x14ac:dyDescent="0.25">
      <c r="B97" t="str">
        <f>+B6</f>
        <v>Bank Loan</v>
      </c>
      <c r="C97" s="48"/>
      <c r="D97" s="49"/>
      <c r="E97" s="49"/>
      <c r="F97" s="53"/>
      <c r="I97" t="s">
        <v>195</v>
      </c>
      <c r="K97" s="52">
        <v>0.01</v>
      </c>
    </row>
    <row r="98" spans="2:12" x14ac:dyDescent="0.25">
      <c r="B98" t="str">
        <f t="shared" ref="B98:B99" si="4">+B7</f>
        <v>Corporate Bond</v>
      </c>
      <c r="C98" s="48"/>
      <c r="D98" s="49"/>
      <c r="E98" s="49"/>
      <c r="F98" s="53"/>
      <c r="I98" t="s">
        <v>196</v>
      </c>
      <c r="K98" s="52">
        <v>8.5000000000000006E-2</v>
      </c>
    </row>
    <row r="99" spans="2:12" x14ac:dyDescent="0.25">
      <c r="B99" t="str">
        <f t="shared" si="4"/>
        <v>Equity</v>
      </c>
      <c r="C99" s="48"/>
      <c r="D99" s="49"/>
      <c r="E99" s="49"/>
      <c r="F99" s="53"/>
      <c r="I99" t="s">
        <v>197</v>
      </c>
      <c r="K99" s="71">
        <v>1.54</v>
      </c>
    </row>
    <row r="100" spans="2:12" ht="15.75" thickBot="1" x14ac:dyDescent="0.3">
      <c r="F100" s="56"/>
      <c r="I100" t="s">
        <v>198</v>
      </c>
      <c r="K100" s="55"/>
    </row>
    <row r="101" spans="2:12" ht="15.75" thickTop="1" x14ac:dyDescent="0.25">
      <c r="F101" s="49"/>
      <c r="K101" s="61"/>
    </row>
    <row r="102" spans="2:12" x14ac:dyDescent="0.25">
      <c r="L102" s="7">
        <f>+L80</f>
        <v>2028</v>
      </c>
    </row>
    <row r="103" spans="2:12" ht="15.75" thickBot="1" x14ac:dyDescent="0.3">
      <c r="B103" s="2" t="s">
        <v>179</v>
      </c>
      <c r="C103" s="6" t="s">
        <v>187</v>
      </c>
      <c r="D103" s="5"/>
      <c r="E103" s="5"/>
      <c r="F103" s="5"/>
      <c r="L103" s="60" t="s">
        <v>188</v>
      </c>
    </row>
    <row r="104" spans="2:12" ht="15.75" thickTop="1" x14ac:dyDescent="0.25">
      <c r="B104" t="s">
        <v>180</v>
      </c>
      <c r="D104" s="45"/>
      <c r="E104" t="s">
        <v>200</v>
      </c>
      <c r="K104" s="12" t="s">
        <v>204</v>
      </c>
      <c r="L104" s="33"/>
    </row>
    <row r="105" spans="2:12" x14ac:dyDescent="0.25">
      <c r="B105" t="s">
        <v>181</v>
      </c>
      <c r="C105" s="12" t="s">
        <v>189</v>
      </c>
      <c r="D105" s="49"/>
      <c r="E105" t="s">
        <v>199</v>
      </c>
      <c r="F105" s="52">
        <v>7.0000000000000007E-2</v>
      </c>
      <c r="K105" s="12" t="s">
        <v>205</v>
      </c>
      <c r="L105" s="43"/>
    </row>
    <row r="106" spans="2:12" x14ac:dyDescent="0.25">
      <c r="B106" t="s">
        <v>182</v>
      </c>
      <c r="K106" s="12" t="s">
        <v>206</v>
      </c>
      <c r="L106" s="43"/>
    </row>
    <row r="107" spans="2:12" x14ac:dyDescent="0.25">
      <c r="B107" t="s">
        <v>183</v>
      </c>
      <c r="K107" s="12" t="s">
        <v>207</v>
      </c>
      <c r="L107" s="43"/>
    </row>
    <row r="108" spans="2:12" x14ac:dyDescent="0.25">
      <c r="B108" t="s">
        <v>201</v>
      </c>
      <c r="K108" s="12" t="s">
        <v>208</v>
      </c>
      <c r="L108" s="43"/>
    </row>
    <row r="109" spans="2:12" x14ac:dyDescent="0.25">
      <c r="K109" s="12"/>
      <c r="L109" s="43"/>
    </row>
    <row r="110" spans="2:12" x14ac:dyDescent="0.25">
      <c r="H110" s="4">
        <f>+H80</f>
        <v>2024</v>
      </c>
      <c r="I110" s="4">
        <f t="shared" ref="I110:L110" si="5">+I80</f>
        <v>2025</v>
      </c>
      <c r="J110" s="4">
        <f t="shared" si="5"/>
        <v>2026</v>
      </c>
      <c r="K110" s="4">
        <f t="shared" si="5"/>
        <v>2027</v>
      </c>
      <c r="L110" s="4">
        <f t="shared" si="5"/>
        <v>2028</v>
      </c>
    </row>
    <row r="111" spans="2:12" ht="15.75" thickBot="1" x14ac:dyDescent="0.3">
      <c r="B111" t="s">
        <v>202</v>
      </c>
      <c r="C111" s="62" t="s">
        <v>203</v>
      </c>
      <c r="D111" s="58"/>
      <c r="H111" s="59"/>
      <c r="I111" s="59"/>
      <c r="J111" s="59"/>
      <c r="K111" s="59"/>
      <c r="L111" s="59"/>
    </row>
    <row r="112" spans="2:12" ht="15.75" thickTop="1" x14ac:dyDescent="0.25"/>
  </sheetData>
  <mergeCells count="2">
    <mergeCell ref="C57:E57"/>
    <mergeCell ref="C79:E7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B0A0A-1563-442F-AE11-178CF19A06CC}">
  <dimension ref="A1:P104"/>
  <sheetViews>
    <sheetView zoomScaleNormal="100" workbookViewId="0">
      <selection activeCell="R12" sqref="R12"/>
    </sheetView>
  </sheetViews>
  <sheetFormatPr defaultRowHeight="15" x14ac:dyDescent="0.25"/>
  <cols>
    <col min="1" max="1" width="3.85546875" customWidth="1"/>
    <col min="2" max="2" width="26.42578125" customWidth="1"/>
    <col min="3" max="10" width="10.28515625" customWidth="1"/>
    <col min="11" max="11" width="9.7109375" customWidth="1"/>
    <col min="13" max="13" width="10.140625" bestFit="1" customWidth="1"/>
    <col min="14" max="14" width="10.140625" customWidth="1"/>
  </cols>
  <sheetData>
    <row r="1" spans="1:16" ht="23.25" x14ac:dyDescent="0.35">
      <c r="A1" s="75" t="s">
        <v>272</v>
      </c>
    </row>
    <row r="2" spans="1:16" x14ac:dyDescent="0.25">
      <c r="A2" s="1" t="s">
        <v>271</v>
      </c>
    </row>
    <row r="4" spans="1:16" x14ac:dyDescent="0.25">
      <c r="B4" s="6" t="s">
        <v>1</v>
      </c>
      <c r="C4" s="5"/>
      <c r="D4" s="5"/>
      <c r="E4" s="5"/>
      <c r="F4" s="5"/>
      <c r="G4" s="5"/>
      <c r="H4" s="5"/>
      <c r="I4" s="5"/>
      <c r="J4" s="5"/>
      <c r="K4" s="5"/>
      <c r="M4" s="5"/>
      <c r="N4" s="5"/>
      <c r="O4" s="5"/>
      <c r="P4" s="5"/>
    </row>
    <row r="5" spans="1:16" x14ac:dyDescent="0.25">
      <c r="B5" s="4" t="s">
        <v>2</v>
      </c>
      <c r="C5" s="4"/>
      <c r="D5" s="4"/>
      <c r="E5" s="4"/>
      <c r="F5" s="4"/>
      <c r="G5" s="4"/>
      <c r="H5" s="4"/>
      <c r="I5" s="4"/>
      <c r="J5" s="4"/>
      <c r="K5" s="4"/>
      <c r="M5" s="4" t="s">
        <v>4</v>
      </c>
      <c r="N5" s="4"/>
      <c r="O5" s="4"/>
      <c r="P5" s="4"/>
    </row>
    <row r="6" spans="1:16" s="14" customFormat="1" ht="45.75" thickBot="1" x14ac:dyDescent="0.3">
      <c r="B6" s="20" t="s">
        <v>3</v>
      </c>
      <c r="C6" s="21" t="s">
        <v>62</v>
      </c>
      <c r="D6" s="22" t="s">
        <v>60</v>
      </c>
      <c r="E6" s="15"/>
      <c r="F6" s="15"/>
      <c r="G6" s="21" t="s">
        <v>9</v>
      </c>
      <c r="H6" s="21" t="s">
        <v>10</v>
      </c>
      <c r="I6" s="21" t="s">
        <v>11</v>
      </c>
      <c r="J6" s="21" t="s">
        <v>61</v>
      </c>
      <c r="K6" s="21" t="s">
        <v>62</v>
      </c>
      <c r="M6" s="21" t="s">
        <v>121</v>
      </c>
      <c r="N6" s="85"/>
      <c r="O6" s="86"/>
      <c r="P6" s="21" t="s">
        <v>122</v>
      </c>
    </row>
    <row r="7" spans="1:16" ht="16.5" thickTop="1" thickBot="1" x14ac:dyDescent="0.3">
      <c r="B7" t="s">
        <v>5</v>
      </c>
      <c r="C7" s="26">
        <f>+P7*M7</f>
        <v>1704</v>
      </c>
      <c r="D7" s="19">
        <f>+C7/$C$10</f>
        <v>0.14311459435012305</v>
      </c>
      <c r="F7" s="12" t="s">
        <v>8</v>
      </c>
      <c r="G7" s="76">
        <v>90</v>
      </c>
      <c r="H7" s="9">
        <v>0.3</v>
      </c>
      <c r="I7" s="16">
        <f>G7*(1+H7)</f>
        <v>117</v>
      </c>
      <c r="J7" s="8">
        <v>77.75</v>
      </c>
      <c r="K7" s="23">
        <f>+J7*I7</f>
        <v>9096.75</v>
      </c>
      <c r="M7" s="91">
        <f>+'INCOME YAHOO'!B48/1000000</f>
        <v>568</v>
      </c>
      <c r="N7" s="87" t="str">
        <f>+B7</f>
        <v>Bank Loan</v>
      </c>
      <c r="O7" s="87"/>
      <c r="P7" s="94">
        <v>3</v>
      </c>
    </row>
    <row r="8" spans="1:16" x14ac:dyDescent="0.25">
      <c r="B8" t="s">
        <v>6</v>
      </c>
      <c r="C8" s="26">
        <f>+M7*P8</f>
        <v>1136</v>
      </c>
      <c r="D8" s="10">
        <f t="shared" ref="D8:D10" si="0">+C8/$C$10</f>
        <v>9.5409729566748702E-2</v>
      </c>
      <c r="F8" s="12" t="s">
        <v>12</v>
      </c>
      <c r="K8" s="23">
        <f>C47</f>
        <v>2463</v>
      </c>
      <c r="N8" s="87" t="str">
        <f>+B8</f>
        <v>Corporate Bond</v>
      </c>
      <c r="O8" s="87"/>
      <c r="P8" s="95">
        <v>2</v>
      </c>
    </row>
    <row r="9" spans="1:16" ht="15.75" thickBot="1" x14ac:dyDescent="0.3">
      <c r="B9" t="s">
        <v>7</v>
      </c>
      <c r="C9" s="26">
        <f>+K10-C7-C8</f>
        <v>9066.5424999999996</v>
      </c>
      <c r="D9" s="10">
        <f t="shared" si="0"/>
        <v>0.76147567608312827</v>
      </c>
      <c r="F9" s="12" t="s">
        <v>13</v>
      </c>
      <c r="G9" s="13">
        <v>0.03</v>
      </c>
      <c r="K9" s="23">
        <f>+G9*(K7+K8)</f>
        <v>346.79249999999996</v>
      </c>
      <c r="N9" s="87" t="s">
        <v>59</v>
      </c>
      <c r="O9" s="87"/>
      <c r="P9" s="96">
        <f>+P8+P7</f>
        <v>5</v>
      </c>
    </row>
    <row r="10" spans="1:16" ht="16.5" thickTop="1" thickBot="1" x14ac:dyDescent="0.3">
      <c r="B10" t="s">
        <v>58</v>
      </c>
      <c r="C10" s="27">
        <f>SUM(C7:C9)</f>
        <v>11906.5425</v>
      </c>
      <c r="D10" s="28">
        <f t="shared" si="0"/>
        <v>1</v>
      </c>
      <c r="E10" s="93" t="s">
        <v>297</v>
      </c>
      <c r="F10" s="12" t="s">
        <v>59</v>
      </c>
      <c r="K10" s="29">
        <f>SUM(K7:K9)</f>
        <v>11906.5425</v>
      </c>
    </row>
    <row r="11" spans="1:16" ht="16.5" thickTop="1" thickBot="1" x14ac:dyDescent="0.3">
      <c r="E11" s="63">
        <f>C10/M7</f>
        <v>20.962222711267604</v>
      </c>
    </row>
    <row r="12" spans="1:16" x14ac:dyDescent="0.25">
      <c r="B12" s="6" t="s">
        <v>14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s="14" customFormat="1" ht="21" customHeight="1" x14ac:dyDescent="0.25">
      <c r="B13" s="18" t="s">
        <v>63</v>
      </c>
      <c r="C13" s="18"/>
      <c r="D13" s="18"/>
      <c r="E13" s="18"/>
      <c r="F13" s="18"/>
      <c r="G13" s="18"/>
      <c r="H13" s="78">
        <v>2024</v>
      </c>
      <c r="I13" s="78">
        <f>+H13+1</f>
        <v>2025</v>
      </c>
      <c r="J13" s="78">
        <f t="shared" ref="J13:P13" si="1">+I13+1</f>
        <v>2026</v>
      </c>
      <c r="K13" s="78">
        <f t="shared" si="1"/>
        <v>2027</v>
      </c>
      <c r="L13" s="78">
        <f t="shared" si="1"/>
        <v>2028</v>
      </c>
      <c r="M13" s="78">
        <f t="shared" si="1"/>
        <v>2029</v>
      </c>
      <c r="N13" s="78">
        <f t="shared" si="1"/>
        <v>2030</v>
      </c>
      <c r="O13" s="78">
        <f t="shared" si="1"/>
        <v>2031</v>
      </c>
      <c r="P13" s="78">
        <f t="shared" si="1"/>
        <v>2032</v>
      </c>
    </row>
    <row r="14" spans="1:16" x14ac:dyDescent="0.25">
      <c r="B14" s="2" t="s">
        <v>5</v>
      </c>
    </row>
    <row r="15" spans="1:16" x14ac:dyDescent="0.25">
      <c r="B15" t="s">
        <v>15</v>
      </c>
      <c r="H15" s="23">
        <f>+C7</f>
        <v>1704</v>
      </c>
      <c r="I15" s="31">
        <f>+H15-I16</f>
        <v>1686.96</v>
      </c>
      <c r="J15" s="31">
        <f t="shared" ref="J15:O15" si="2">+I15-J16</f>
        <v>1669.92</v>
      </c>
      <c r="K15" s="31">
        <f t="shared" si="2"/>
        <v>1652.88</v>
      </c>
      <c r="L15" s="31">
        <f t="shared" si="2"/>
        <v>1635.8400000000001</v>
      </c>
      <c r="M15" s="31">
        <f t="shared" si="2"/>
        <v>1618.8000000000002</v>
      </c>
      <c r="N15" s="31">
        <f t="shared" si="2"/>
        <v>1601.7600000000002</v>
      </c>
      <c r="O15" s="31">
        <f t="shared" si="2"/>
        <v>0</v>
      </c>
      <c r="P15" s="8"/>
    </row>
    <row r="16" spans="1:16" x14ac:dyDescent="0.25">
      <c r="B16" t="s">
        <v>16</v>
      </c>
      <c r="I16" s="30">
        <f t="shared" ref="I16:N16" si="3">0.01*$H$15</f>
        <v>17.04</v>
      </c>
      <c r="J16" s="30">
        <f t="shared" si="3"/>
        <v>17.04</v>
      </c>
      <c r="K16" s="30">
        <f t="shared" si="3"/>
        <v>17.04</v>
      </c>
      <c r="L16" s="30">
        <f t="shared" si="3"/>
        <v>17.04</v>
      </c>
      <c r="M16" s="30">
        <f t="shared" si="3"/>
        <v>17.04</v>
      </c>
      <c r="N16" s="30">
        <f t="shared" si="3"/>
        <v>17.04</v>
      </c>
      <c r="O16" s="30">
        <f>0.94*H15</f>
        <v>1601.76</v>
      </c>
      <c r="P16" s="8"/>
    </row>
    <row r="17" spans="2:16" x14ac:dyDescent="0.25">
      <c r="B17" t="s">
        <v>17</v>
      </c>
      <c r="I17" s="30">
        <f>+H15*I24</f>
        <v>93.72</v>
      </c>
      <c r="J17" s="30">
        <f t="shared" ref="J17:P17" si="4">+I15*J24</f>
        <v>101.2176</v>
      </c>
      <c r="K17" s="30">
        <f t="shared" si="4"/>
        <v>108.54480000000001</v>
      </c>
      <c r="L17" s="30">
        <f t="shared" si="4"/>
        <v>107.4372</v>
      </c>
      <c r="M17" s="30">
        <f t="shared" si="4"/>
        <v>106.32960000000001</v>
      </c>
      <c r="N17" s="30">
        <f t="shared" si="4"/>
        <v>105.22200000000001</v>
      </c>
      <c r="O17" s="30">
        <f t="shared" si="4"/>
        <v>104.11440000000002</v>
      </c>
      <c r="P17" s="30">
        <f t="shared" si="4"/>
        <v>0</v>
      </c>
    </row>
    <row r="18" spans="2:16" x14ac:dyDescent="0.25">
      <c r="B18" t="s">
        <v>18</v>
      </c>
      <c r="H18" s="46">
        <f>-H15</f>
        <v>-1704</v>
      </c>
      <c r="I18" s="31">
        <f>+I17+I16</f>
        <v>110.75999999999999</v>
      </c>
      <c r="J18" s="31">
        <f t="shared" ref="J18:P18" si="5">+J17+J16</f>
        <v>118.2576</v>
      </c>
      <c r="K18" s="31">
        <f t="shared" si="5"/>
        <v>125.5848</v>
      </c>
      <c r="L18" s="31">
        <f t="shared" si="5"/>
        <v>124.47720000000001</v>
      </c>
      <c r="M18" s="31">
        <f t="shared" si="5"/>
        <v>123.36960000000002</v>
      </c>
      <c r="N18" s="31">
        <f t="shared" si="5"/>
        <v>122.262</v>
      </c>
      <c r="O18" s="31">
        <f t="shared" si="5"/>
        <v>1705.8743999999999</v>
      </c>
      <c r="P18" s="31">
        <f t="shared" si="5"/>
        <v>0</v>
      </c>
    </row>
    <row r="19" spans="2:16" x14ac:dyDescent="0.25">
      <c r="B19" t="s">
        <v>190</v>
      </c>
      <c r="H19" s="47">
        <f>IRR(H18:O18)</f>
        <v>6.2436194887305563E-2</v>
      </c>
    </row>
    <row r="21" spans="2:16" x14ac:dyDescent="0.25">
      <c r="B21" s="1" t="s">
        <v>19</v>
      </c>
      <c r="H21" s="36">
        <v>0.01</v>
      </c>
      <c r="I21" s="36">
        <f>+H21+I22</f>
        <v>1.4999999999999999E-2</v>
      </c>
      <c r="J21" s="36">
        <f t="shared" ref="J21:P21" si="6">+I21+J22</f>
        <v>0.02</v>
      </c>
      <c r="K21" s="36">
        <f t="shared" si="6"/>
        <v>2.5000000000000001E-2</v>
      </c>
      <c r="L21" s="36">
        <f t="shared" si="6"/>
        <v>2.5000000000000001E-2</v>
      </c>
      <c r="M21" s="36">
        <f t="shared" si="6"/>
        <v>2.5000000000000001E-2</v>
      </c>
      <c r="N21" s="36">
        <f t="shared" si="6"/>
        <v>2.5000000000000001E-2</v>
      </c>
      <c r="O21" s="36">
        <f t="shared" si="6"/>
        <v>2.5000000000000001E-2</v>
      </c>
      <c r="P21" s="36">
        <f t="shared" si="6"/>
        <v>2.5000000000000001E-2</v>
      </c>
    </row>
    <row r="22" spans="2:16" x14ac:dyDescent="0.25">
      <c r="B22" t="s">
        <v>20</v>
      </c>
      <c r="H22" s="32"/>
      <c r="I22" s="10">
        <v>5.0000000000000001E-3</v>
      </c>
      <c r="J22" s="10">
        <v>5.0000000000000001E-3</v>
      </c>
      <c r="K22" s="10">
        <v>5.0000000000000001E-3</v>
      </c>
      <c r="L22" s="10"/>
      <c r="M22" s="10"/>
      <c r="N22" s="10"/>
      <c r="O22" s="10"/>
      <c r="P22" s="10"/>
    </row>
    <row r="23" spans="2:16" x14ac:dyDescent="0.25">
      <c r="B23" t="s">
        <v>21</v>
      </c>
      <c r="H23" s="32"/>
      <c r="I23" s="10">
        <v>0.04</v>
      </c>
      <c r="J23" s="10">
        <v>0.04</v>
      </c>
      <c r="K23" s="10">
        <v>0.04</v>
      </c>
      <c r="L23" s="10">
        <v>0.04</v>
      </c>
      <c r="M23" s="10">
        <v>0.04</v>
      </c>
      <c r="N23" s="10">
        <v>0.04</v>
      </c>
      <c r="O23" s="10">
        <v>0.04</v>
      </c>
      <c r="P23" s="10">
        <v>0.04</v>
      </c>
    </row>
    <row r="24" spans="2:16" x14ac:dyDescent="0.25">
      <c r="B24" t="s">
        <v>22</v>
      </c>
      <c r="H24" s="32"/>
      <c r="I24" s="10">
        <f>+I23+I21</f>
        <v>5.5E-2</v>
      </c>
      <c r="J24" s="10">
        <f t="shared" ref="J24:P24" si="7">+J23+J21</f>
        <v>0.06</v>
      </c>
      <c r="K24" s="10">
        <f t="shared" si="7"/>
        <v>6.5000000000000002E-2</v>
      </c>
      <c r="L24" s="10">
        <f t="shared" si="7"/>
        <v>6.5000000000000002E-2</v>
      </c>
      <c r="M24" s="10">
        <f t="shared" si="7"/>
        <v>6.5000000000000002E-2</v>
      </c>
      <c r="N24" s="10">
        <f t="shared" si="7"/>
        <v>6.5000000000000002E-2</v>
      </c>
      <c r="O24" s="10">
        <f t="shared" si="7"/>
        <v>6.5000000000000002E-2</v>
      </c>
      <c r="P24" s="10">
        <f t="shared" si="7"/>
        <v>6.5000000000000002E-2</v>
      </c>
    </row>
    <row r="26" spans="2:16" x14ac:dyDescent="0.25">
      <c r="B26" s="2" t="s">
        <v>23</v>
      </c>
    </row>
    <row r="27" spans="2:16" x14ac:dyDescent="0.25">
      <c r="B27" t="s">
        <v>15</v>
      </c>
      <c r="H27" s="23">
        <f>+C8</f>
        <v>1136</v>
      </c>
      <c r="I27" s="31">
        <f>+H27-I28</f>
        <v>1136</v>
      </c>
      <c r="J27" s="31">
        <f t="shared" ref="J27" si="8">+I27-J28</f>
        <v>1136</v>
      </c>
      <c r="K27" s="31">
        <f t="shared" ref="K27" si="9">+J27-K28</f>
        <v>1136</v>
      </c>
      <c r="L27" s="31">
        <f t="shared" ref="L27" si="10">+K27-L28</f>
        <v>1136</v>
      </c>
      <c r="M27" s="31">
        <f t="shared" ref="M27" si="11">+L27-M28</f>
        <v>1136</v>
      </c>
      <c r="N27" s="31">
        <f t="shared" ref="N27" si="12">+M27-N28</f>
        <v>1136</v>
      </c>
      <c r="O27" s="31">
        <f t="shared" ref="O27" si="13">+N27-O28</f>
        <v>1136</v>
      </c>
      <c r="P27" s="8"/>
    </row>
    <row r="28" spans="2:16" x14ac:dyDescent="0.25">
      <c r="B28" t="s">
        <v>16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23">
        <f>+H27</f>
        <v>1136</v>
      </c>
    </row>
    <row r="29" spans="2:16" x14ac:dyDescent="0.25">
      <c r="B29" t="s">
        <v>17</v>
      </c>
      <c r="I29" s="30">
        <f>+H27*I32</f>
        <v>90.88</v>
      </c>
      <c r="J29" s="30">
        <f t="shared" ref="J29:P29" si="14">+I27*J32</f>
        <v>90.88</v>
      </c>
      <c r="K29" s="30">
        <f t="shared" si="14"/>
        <v>90.88</v>
      </c>
      <c r="L29" s="30">
        <f t="shared" si="14"/>
        <v>90.88</v>
      </c>
      <c r="M29" s="30">
        <f t="shared" si="14"/>
        <v>90.88</v>
      </c>
      <c r="N29" s="30">
        <f t="shared" si="14"/>
        <v>90.88</v>
      </c>
      <c r="O29" s="30">
        <f t="shared" si="14"/>
        <v>90.88</v>
      </c>
      <c r="P29" s="30">
        <f t="shared" si="14"/>
        <v>90.88</v>
      </c>
    </row>
    <row r="30" spans="2:16" x14ac:dyDescent="0.25">
      <c r="B30" t="s">
        <v>18</v>
      </c>
      <c r="H30" s="46">
        <f>-H27</f>
        <v>-1136</v>
      </c>
      <c r="I30" s="31">
        <f>+I29+I28</f>
        <v>90.88</v>
      </c>
      <c r="J30" s="31">
        <f t="shared" ref="J30:P30" si="15">+J29+J28</f>
        <v>90.88</v>
      </c>
      <c r="K30" s="31">
        <f t="shared" si="15"/>
        <v>90.88</v>
      </c>
      <c r="L30" s="31">
        <f t="shared" si="15"/>
        <v>90.88</v>
      </c>
      <c r="M30" s="31">
        <f t="shared" si="15"/>
        <v>90.88</v>
      </c>
      <c r="N30" s="31">
        <f t="shared" si="15"/>
        <v>90.88</v>
      </c>
      <c r="O30" s="31">
        <f t="shared" si="15"/>
        <v>90.88</v>
      </c>
      <c r="P30" s="31">
        <f t="shared" si="15"/>
        <v>1226.8800000000001</v>
      </c>
    </row>
    <row r="31" spans="2:16" ht="15.75" thickBot="1" x14ac:dyDescent="0.3"/>
    <row r="32" spans="2:16" ht="15.75" thickBot="1" x14ac:dyDescent="0.3">
      <c r="B32" t="s">
        <v>22</v>
      </c>
      <c r="H32" s="51">
        <f>IRR(H30:P30)</f>
        <v>8.0000000000000071E-2</v>
      </c>
      <c r="I32" s="50">
        <v>0.08</v>
      </c>
      <c r="J32" s="13">
        <v>0.08</v>
      </c>
      <c r="K32" s="13">
        <v>0.08</v>
      </c>
      <c r="L32" s="13">
        <v>0.08</v>
      </c>
      <c r="M32" s="13">
        <v>0.08</v>
      </c>
      <c r="N32" s="13">
        <v>0.08</v>
      </c>
      <c r="O32" s="13">
        <v>0.08</v>
      </c>
      <c r="P32" s="13">
        <v>0.08</v>
      </c>
    </row>
    <row r="34" spans="2:16" x14ac:dyDescent="0.25">
      <c r="B34" t="s">
        <v>170</v>
      </c>
      <c r="H34" s="31">
        <f t="shared" ref="H34" si="16">+H27+H15</f>
        <v>2840</v>
      </c>
      <c r="I34" s="31">
        <f>+I27+I15</f>
        <v>2822.96</v>
      </c>
      <c r="J34" s="31">
        <f t="shared" ref="J34:P34" si="17">+J27+J15</f>
        <v>2805.92</v>
      </c>
      <c r="K34" s="31">
        <f t="shared" si="17"/>
        <v>2788.88</v>
      </c>
      <c r="L34" s="31">
        <f t="shared" si="17"/>
        <v>2771.84</v>
      </c>
      <c r="M34" s="31">
        <f t="shared" si="17"/>
        <v>2754.8</v>
      </c>
      <c r="N34" s="31">
        <f t="shared" si="17"/>
        <v>2737.76</v>
      </c>
      <c r="O34" s="31">
        <f t="shared" si="17"/>
        <v>1136</v>
      </c>
      <c r="P34" s="31">
        <f t="shared" si="17"/>
        <v>0</v>
      </c>
    </row>
    <row r="36" spans="2:16" x14ac:dyDescent="0.25">
      <c r="B36" s="6" t="s">
        <v>41</v>
      </c>
      <c r="C36" s="6"/>
      <c r="D36" s="6"/>
      <c r="E36" s="6"/>
      <c r="F36" s="6"/>
      <c r="G36" s="6"/>
      <c r="H36" s="6"/>
    </row>
    <row r="37" spans="2:16" x14ac:dyDescent="0.25">
      <c r="B37" s="17" t="s">
        <v>63</v>
      </c>
      <c r="C37" s="7">
        <f>+H13</f>
        <v>2024</v>
      </c>
      <c r="E37" s="7" t="s">
        <v>42</v>
      </c>
      <c r="F37" s="7" t="s">
        <v>43</v>
      </c>
      <c r="H37" s="7">
        <f>+C37</f>
        <v>2024</v>
      </c>
    </row>
    <row r="38" spans="2:16" x14ac:dyDescent="0.25">
      <c r="B38" t="s">
        <v>56</v>
      </c>
      <c r="C38" s="30">
        <f>INPUT!C37</f>
        <v>467</v>
      </c>
      <c r="D38" s="33"/>
      <c r="E38" s="30"/>
      <c r="F38" s="30"/>
      <c r="G38" s="33"/>
      <c r="H38" s="30">
        <f>+C38+E38-F38</f>
        <v>467</v>
      </c>
    </row>
    <row r="39" spans="2:16" x14ac:dyDescent="0.25">
      <c r="B39" t="s">
        <v>44</v>
      </c>
      <c r="C39" s="30">
        <f>INPUT!C38</f>
        <v>94</v>
      </c>
      <c r="D39" s="33"/>
      <c r="E39" s="30"/>
      <c r="F39" s="30"/>
      <c r="G39" s="33"/>
      <c r="H39" s="30">
        <f>+C39+E39-F39</f>
        <v>94</v>
      </c>
    </row>
    <row r="40" spans="2:16" x14ac:dyDescent="0.25">
      <c r="B40" t="s">
        <v>57</v>
      </c>
      <c r="C40" s="30">
        <f>INPUT!C39</f>
        <v>2137</v>
      </c>
      <c r="D40" s="33"/>
      <c r="E40" s="30"/>
      <c r="F40" s="30"/>
      <c r="G40" s="33"/>
      <c r="H40" s="30">
        <f>+C40+E40-F40</f>
        <v>2137</v>
      </c>
    </row>
    <row r="41" spans="2:16" x14ac:dyDescent="0.25">
      <c r="D41" s="33"/>
      <c r="E41" s="33"/>
      <c r="F41" s="33"/>
      <c r="G41" s="33"/>
      <c r="H41" s="33"/>
    </row>
    <row r="42" spans="2:16" x14ac:dyDescent="0.25">
      <c r="B42" t="s">
        <v>45</v>
      </c>
      <c r="C42" s="30">
        <f>INPUT!C41</f>
        <v>1525</v>
      </c>
      <c r="D42" s="33"/>
      <c r="E42" s="30">
        <f>+K7-ANSWER!C53</f>
        <v>8446.75</v>
      </c>
      <c r="F42" s="30"/>
      <c r="G42" s="33"/>
      <c r="H42" s="30">
        <f>+C42+E42-F42</f>
        <v>9971.75</v>
      </c>
    </row>
    <row r="43" spans="2:16" x14ac:dyDescent="0.25">
      <c r="B43" t="s">
        <v>46</v>
      </c>
      <c r="C43" s="30">
        <f>INPUT!C42</f>
        <v>0</v>
      </c>
      <c r="D43" s="33"/>
      <c r="E43" s="30">
        <f>+K9</f>
        <v>346.79249999999996</v>
      </c>
      <c r="F43" s="30"/>
      <c r="G43" s="33"/>
      <c r="H43" s="30">
        <f>+C43+E43-F43</f>
        <v>346.79249999999996</v>
      </c>
    </row>
    <row r="44" spans="2:16" ht="15.75" thickBot="1" x14ac:dyDescent="0.3">
      <c r="B44" t="s">
        <v>47</v>
      </c>
      <c r="C44" s="34">
        <f>INPUT!C43</f>
        <v>4223</v>
      </c>
      <c r="D44" s="33"/>
      <c r="E44" s="33"/>
      <c r="F44" s="33"/>
      <c r="G44" s="33"/>
      <c r="H44" s="34">
        <f>SUM(H38:H43)</f>
        <v>13016.5425</v>
      </c>
    </row>
    <row r="45" spans="2:16" ht="15.75" thickTop="1" x14ac:dyDescent="0.25">
      <c r="D45" s="33"/>
      <c r="E45" s="33"/>
      <c r="F45" s="33"/>
      <c r="G45" s="33"/>
      <c r="H45" s="33"/>
    </row>
    <row r="46" spans="2:16" x14ac:dyDescent="0.25">
      <c r="B46" t="s">
        <v>48</v>
      </c>
      <c r="C46" s="30">
        <f>INPUT!C45</f>
        <v>466</v>
      </c>
      <c r="D46" s="33"/>
      <c r="E46" s="30"/>
      <c r="F46" s="30"/>
      <c r="G46" s="33"/>
      <c r="H46" s="30">
        <f>+C46-E46+F46</f>
        <v>466</v>
      </c>
    </row>
    <row r="47" spans="2:16" x14ac:dyDescent="0.25">
      <c r="B47" t="s">
        <v>49</v>
      </c>
      <c r="C47" s="30">
        <f>INPUT!C46</f>
        <v>2463</v>
      </c>
      <c r="D47" s="33"/>
      <c r="E47" s="30">
        <f>+K8</f>
        <v>2463</v>
      </c>
      <c r="F47" s="30"/>
      <c r="G47" s="33"/>
      <c r="H47" s="30">
        <f t="shared" ref="H47:H50" si="18">+C47-E47+F47</f>
        <v>0</v>
      </c>
    </row>
    <row r="48" spans="2:16" x14ac:dyDescent="0.25">
      <c r="B48" t="s">
        <v>50</v>
      </c>
      <c r="C48" s="30">
        <f>INPUT!C47</f>
        <v>0</v>
      </c>
      <c r="D48" s="33"/>
      <c r="E48" s="30"/>
      <c r="F48" s="30">
        <f>+C7</f>
        <v>1704</v>
      </c>
      <c r="G48" s="33"/>
      <c r="H48" s="30">
        <f t="shared" si="18"/>
        <v>1704</v>
      </c>
    </row>
    <row r="49" spans="2:13" x14ac:dyDescent="0.25">
      <c r="B49" t="s">
        <v>51</v>
      </c>
      <c r="C49" s="30">
        <f>INPUT!C48</f>
        <v>0</v>
      </c>
      <c r="D49" s="33"/>
      <c r="E49" s="30"/>
      <c r="F49" s="30">
        <f>+C8</f>
        <v>1136</v>
      </c>
      <c r="G49" s="33"/>
      <c r="H49" s="30">
        <f t="shared" si="18"/>
        <v>1136</v>
      </c>
    </row>
    <row r="50" spans="2:13" x14ac:dyDescent="0.25">
      <c r="B50" t="s">
        <v>52</v>
      </c>
      <c r="C50" s="30">
        <f>INPUT!C49</f>
        <v>644</v>
      </c>
      <c r="D50" s="33"/>
      <c r="E50" s="30"/>
      <c r="F50" s="30"/>
      <c r="G50" s="33"/>
      <c r="H50" s="30">
        <f t="shared" si="18"/>
        <v>644</v>
      </c>
    </row>
    <row r="51" spans="2:13" ht="15.75" thickBot="1" x14ac:dyDescent="0.3">
      <c r="B51" t="s">
        <v>53</v>
      </c>
      <c r="C51" s="34">
        <f>INPUT!C50</f>
        <v>3573</v>
      </c>
      <c r="D51" s="33"/>
      <c r="E51" s="33"/>
      <c r="F51" s="33"/>
      <c r="G51" s="33"/>
      <c r="H51" s="34">
        <f>SUM(H46:H50)</f>
        <v>3950</v>
      </c>
    </row>
    <row r="52" spans="2:13" ht="15.75" thickTop="1" x14ac:dyDescent="0.25">
      <c r="D52" s="33"/>
      <c r="E52" s="33"/>
      <c r="F52" s="33"/>
      <c r="G52" s="33"/>
      <c r="H52" s="33"/>
    </row>
    <row r="53" spans="2:13" x14ac:dyDescent="0.25">
      <c r="B53" t="s">
        <v>54</v>
      </c>
      <c r="C53" s="30">
        <f>INPUT!C52</f>
        <v>650</v>
      </c>
      <c r="D53" s="33"/>
      <c r="E53" s="30">
        <f>+C53</f>
        <v>650</v>
      </c>
      <c r="F53" s="30">
        <f>+C9</f>
        <v>9066.5424999999996</v>
      </c>
      <c r="G53" s="33"/>
      <c r="H53" s="30">
        <f>+C53-E53+F53</f>
        <v>9066.5424999999996</v>
      </c>
    </row>
    <row r="54" spans="2:13" x14ac:dyDescent="0.25">
      <c r="D54" s="33"/>
      <c r="E54" s="33"/>
      <c r="F54" s="33"/>
      <c r="G54" s="33"/>
      <c r="H54" s="33"/>
    </row>
    <row r="55" spans="2:13" ht="15.75" thickBot="1" x14ac:dyDescent="0.3">
      <c r="B55" t="s">
        <v>55</v>
      </c>
      <c r="C55" s="34">
        <f>INPUT!C54</f>
        <v>4223</v>
      </c>
      <c r="D55" s="33"/>
      <c r="E55" s="35">
        <f>SUM(E38:E53)</f>
        <v>11906.5425</v>
      </c>
      <c r="F55" s="35">
        <f>SUM(F38:F53)</f>
        <v>11906.5425</v>
      </c>
      <c r="G55" s="33"/>
      <c r="H55" s="34">
        <f>+H53+H51</f>
        <v>13016.5425</v>
      </c>
    </row>
    <row r="56" spans="2:13" ht="15.75" thickTop="1" x14ac:dyDescent="0.25"/>
    <row r="58" spans="2:13" x14ac:dyDescent="0.25">
      <c r="B58" s="6" t="s">
        <v>24</v>
      </c>
      <c r="C58" s="84" t="s">
        <v>39</v>
      </c>
      <c r="D58" s="84"/>
      <c r="E58" s="84"/>
      <c r="H58" s="77" t="s">
        <v>40</v>
      </c>
      <c r="I58" s="77"/>
      <c r="J58" s="77"/>
      <c r="K58" s="77"/>
      <c r="L58" s="77"/>
      <c r="M58" s="77"/>
    </row>
    <row r="59" spans="2:13" x14ac:dyDescent="0.25">
      <c r="B59" s="4"/>
      <c r="C59" s="4">
        <v>2022</v>
      </c>
      <c r="D59" s="4">
        <f>+C59+1</f>
        <v>2023</v>
      </c>
      <c r="E59" s="37">
        <v>2024</v>
      </c>
      <c r="H59" s="4">
        <f>+E59</f>
        <v>2024</v>
      </c>
      <c r="I59" s="4">
        <f>+H59+1</f>
        <v>2025</v>
      </c>
      <c r="J59" s="4">
        <f>+I59+1</f>
        <v>2026</v>
      </c>
      <c r="K59" s="4">
        <f>+J59+1</f>
        <v>2027</v>
      </c>
      <c r="L59" s="4">
        <f>+K59+1</f>
        <v>2028</v>
      </c>
      <c r="M59" s="4">
        <f>+L59+1</f>
        <v>2029</v>
      </c>
    </row>
    <row r="60" spans="2:13" x14ac:dyDescent="0.25">
      <c r="B60" t="s">
        <v>25</v>
      </c>
      <c r="C60" s="30">
        <f>+'INCOME YAHOO'!D2/1000000</f>
        <v>1498</v>
      </c>
      <c r="D60" s="30">
        <f>+'INCOME YAHOO'!C2/1000000</f>
        <v>1397</v>
      </c>
      <c r="E60" s="30">
        <f>+'INCOME YAHOO'!B2/1000000</f>
        <v>1408</v>
      </c>
      <c r="F60" s="33"/>
      <c r="H60" s="30">
        <f>+E60</f>
        <v>1408</v>
      </c>
      <c r="I60" s="30">
        <f>+H60*(1+I61)</f>
        <v>1548.8000000000002</v>
      </c>
      <c r="J60" s="30">
        <f t="shared" ref="J60:M60" si="19">+I60*(1+J61)</f>
        <v>1703.6800000000003</v>
      </c>
      <c r="K60" s="30">
        <f t="shared" si="19"/>
        <v>1874.0480000000005</v>
      </c>
      <c r="L60" s="30">
        <f t="shared" si="19"/>
        <v>1967.7504000000006</v>
      </c>
      <c r="M60" s="30">
        <f t="shared" si="19"/>
        <v>4033.8883200000009</v>
      </c>
    </row>
    <row r="61" spans="2:13" x14ac:dyDescent="0.25">
      <c r="B61" t="s">
        <v>26</v>
      </c>
      <c r="C61" s="32"/>
      <c r="D61" s="10">
        <f>+D60/C60-1</f>
        <v>-6.7423230974632875E-2</v>
      </c>
      <c r="E61" s="10">
        <f>+E60/D60-1</f>
        <v>7.8740157480314821E-3</v>
      </c>
      <c r="F61" s="11"/>
      <c r="I61" s="73">
        <v>0.1</v>
      </c>
      <c r="J61" s="73">
        <v>0.1</v>
      </c>
      <c r="K61" s="73">
        <v>0.1</v>
      </c>
      <c r="L61" s="73">
        <v>0.05</v>
      </c>
      <c r="M61" s="73">
        <v>1.05</v>
      </c>
    </row>
    <row r="63" spans="2:13" x14ac:dyDescent="0.25">
      <c r="B63" t="s">
        <v>27</v>
      </c>
      <c r="C63" s="30">
        <f>+'INCOME YAHOO'!D4/1000000</f>
        <v>668</v>
      </c>
      <c r="D63" s="30">
        <f>+'INCOME YAHOO'!C4/1000000</f>
        <v>582</v>
      </c>
      <c r="E63" s="30">
        <f>+D63/D60*E60</f>
        <v>586.58267716535431</v>
      </c>
      <c r="H63" s="30">
        <f>+E63</f>
        <v>586.58267716535431</v>
      </c>
      <c r="I63" s="30">
        <f t="shared" ref="I63:L63" si="20">+I60*I64</f>
        <v>619.5200000000001</v>
      </c>
      <c r="J63" s="30">
        <f t="shared" si="20"/>
        <v>681.47200000000021</v>
      </c>
      <c r="K63" s="30">
        <f t="shared" si="20"/>
        <v>749.61920000000021</v>
      </c>
      <c r="L63" s="30">
        <f t="shared" si="20"/>
        <v>787.1001600000003</v>
      </c>
      <c r="M63" s="30">
        <f t="shared" ref="M63" si="21">+M60*M64</f>
        <v>1613.5553280000004</v>
      </c>
    </row>
    <row r="64" spans="2:13" x14ac:dyDescent="0.25">
      <c r="B64" t="s">
        <v>31</v>
      </c>
      <c r="C64" s="10">
        <f>+C63/C60</f>
        <v>0.44592790387182912</v>
      </c>
      <c r="D64" s="10">
        <f t="shared" ref="D64:E64" si="22">+D63/D60</f>
        <v>0.41660701503221187</v>
      </c>
      <c r="E64" s="10">
        <f t="shared" si="22"/>
        <v>0.41660701503221187</v>
      </c>
      <c r="F64" s="11"/>
      <c r="H64" s="10">
        <f>AVERAGE(C64:E64)</f>
        <v>0.42638064464541764</v>
      </c>
      <c r="I64" s="73">
        <v>0.4</v>
      </c>
      <c r="J64" s="10">
        <f t="shared" ref="J64:M64" si="23">+I64</f>
        <v>0.4</v>
      </c>
      <c r="K64" s="10">
        <f t="shared" si="23"/>
        <v>0.4</v>
      </c>
      <c r="L64" s="10">
        <f t="shared" si="23"/>
        <v>0.4</v>
      </c>
      <c r="M64" s="10">
        <f t="shared" si="23"/>
        <v>0.4</v>
      </c>
    </row>
    <row r="66" spans="2:13" x14ac:dyDescent="0.25">
      <c r="B66" t="s">
        <v>28</v>
      </c>
      <c r="C66" s="31">
        <f>+C60-C63</f>
        <v>830</v>
      </c>
      <c r="D66" s="31">
        <f t="shared" ref="D66:E66" si="24">+D60-D63</f>
        <v>815</v>
      </c>
      <c r="E66" s="31">
        <f t="shared" si="24"/>
        <v>821.41732283464569</v>
      </c>
      <c r="H66" s="31">
        <f>+E66</f>
        <v>821.41732283464569</v>
      </c>
      <c r="I66" s="31">
        <f t="shared" ref="I66:L66" si="25">+I60-I63</f>
        <v>929.28000000000009</v>
      </c>
      <c r="J66" s="31">
        <f t="shared" si="25"/>
        <v>1022.2080000000001</v>
      </c>
      <c r="K66" s="31">
        <f t="shared" si="25"/>
        <v>1124.4288000000001</v>
      </c>
      <c r="L66" s="31">
        <f t="shared" si="25"/>
        <v>1180.6502400000004</v>
      </c>
      <c r="M66" s="31">
        <f t="shared" ref="M66" si="26">+M60-M63</f>
        <v>2420.3329920000006</v>
      </c>
    </row>
    <row r="67" spans="2:13" x14ac:dyDescent="0.25">
      <c r="B67" t="s">
        <v>29</v>
      </c>
      <c r="C67" s="10">
        <f>+C66/C60</f>
        <v>0.55407209612817088</v>
      </c>
      <c r="D67" s="10">
        <f t="shared" ref="D67:E67" si="27">+D66/D60</f>
        <v>0.58339298496778813</v>
      </c>
      <c r="E67" s="10">
        <f t="shared" si="27"/>
        <v>0.58339298496778813</v>
      </c>
      <c r="H67" s="10">
        <f>+H66/H60</f>
        <v>0.58339298496778813</v>
      </c>
      <c r="I67" s="10">
        <f t="shared" ref="I67:L67" si="28">+I66/I60</f>
        <v>0.6</v>
      </c>
      <c r="J67" s="10">
        <f t="shared" si="28"/>
        <v>0.6</v>
      </c>
      <c r="K67" s="10">
        <f t="shared" si="28"/>
        <v>0.6</v>
      </c>
      <c r="L67" s="10">
        <f t="shared" si="28"/>
        <v>0.6</v>
      </c>
      <c r="M67" s="10">
        <f t="shared" ref="M67" si="29">+M66/M60</f>
        <v>0.6</v>
      </c>
    </row>
    <row r="69" spans="2:13" x14ac:dyDescent="0.25">
      <c r="B69" t="s">
        <v>30</v>
      </c>
      <c r="C69" s="30">
        <f>+'INCOME YAHOO'!D14/1000000</f>
        <v>250</v>
      </c>
      <c r="D69" s="30">
        <f>+'INCOME YAHOO'!C14/1000000</f>
        <v>107</v>
      </c>
      <c r="E69" s="30">
        <f>+'INCOME YAHOO'!B14/1000000</f>
        <v>85</v>
      </c>
      <c r="H69" s="30">
        <f>+E69</f>
        <v>85</v>
      </c>
      <c r="I69" s="30">
        <f t="shared" ref="I69:L69" si="30">+I70*I60</f>
        <v>93.500000000000014</v>
      </c>
      <c r="J69" s="30">
        <f t="shared" si="30"/>
        <v>102.85000000000002</v>
      </c>
      <c r="K69" s="30">
        <f t="shared" si="30"/>
        <v>113.13500000000003</v>
      </c>
      <c r="L69" s="30">
        <f t="shared" si="30"/>
        <v>118.79175000000004</v>
      </c>
      <c r="M69" s="30">
        <f t="shared" ref="M69" si="31">+M70*M60</f>
        <v>243.52308750000006</v>
      </c>
    </row>
    <row r="70" spans="2:13" x14ac:dyDescent="0.25">
      <c r="B70" t="s">
        <v>31</v>
      </c>
      <c r="C70" s="10">
        <f>+C69/C60</f>
        <v>0.16688918558077437</v>
      </c>
      <c r="D70" s="10">
        <f t="shared" ref="D70:E70" si="32">+D69/D60</f>
        <v>7.6592698639942738E-2</v>
      </c>
      <c r="E70" s="10">
        <f t="shared" si="32"/>
        <v>6.0369318181818184E-2</v>
      </c>
      <c r="F70" s="11"/>
      <c r="H70" s="10">
        <f>+E70</f>
        <v>6.0369318181818184E-2</v>
      </c>
      <c r="I70" s="73">
        <f>+H70</f>
        <v>6.0369318181818184E-2</v>
      </c>
      <c r="J70" s="10">
        <f t="shared" ref="J70:M70" si="33">+I70</f>
        <v>6.0369318181818184E-2</v>
      </c>
      <c r="K70" s="10">
        <f t="shared" si="33"/>
        <v>6.0369318181818184E-2</v>
      </c>
      <c r="L70" s="10">
        <f t="shared" si="33"/>
        <v>6.0369318181818184E-2</v>
      </c>
      <c r="M70" s="10">
        <f t="shared" si="33"/>
        <v>6.0369318181818184E-2</v>
      </c>
    </row>
    <row r="72" spans="2:13" x14ac:dyDescent="0.25">
      <c r="B72" t="s">
        <v>34</v>
      </c>
      <c r="I72" s="31">
        <f t="shared" ref="I72:L72" si="34">+I66-I69</f>
        <v>835.78000000000009</v>
      </c>
      <c r="J72" s="31">
        <f t="shared" si="34"/>
        <v>919.35800000000006</v>
      </c>
      <c r="K72" s="31">
        <f t="shared" si="34"/>
        <v>1011.2938000000001</v>
      </c>
      <c r="L72" s="31">
        <f t="shared" si="34"/>
        <v>1061.8584900000003</v>
      </c>
      <c r="M72" s="31">
        <f t="shared" ref="M72" si="35">+M66-M69</f>
        <v>2176.8099045000004</v>
      </c>
    </row>
    <row r="73" spans="2:13" x14ac:dyDescent="0.25">
      <c r="B73" t="s">
        <v>33</v>
      </c>
      <c r="C73">
        <v>7</v>
      </c>
      <c r="D73" t="s">
        <v>168</v>
      </c>
      <c r="I73" s="30">
        <f>+$K$9/$C$73</f>
        <v>49.541785714285709</v>
      </c>
      <c r="J73" s="30">
        <f>+$K$9/$C$73</f>
        <v>49.541785714285709</v>
      </c>
      <c r="K73" s="30">
        <f>+$K$9/$C$73</f>
        <v>49.541785714285709</v>
      </c>
      <c r="L73" s="30">
        <f>+$K$9/$C$73</f>
        <v>49.541785714285709</v>
      </c>
      <c r="M73" s="30">
        <f>+$K$9/$C$73</f>
        <v>49.541785714285709</v>
      </c>
    </row>
    <row r="74" spans="2:13" x14ac:dyDescent="0.25">
      <c r="B74" t="s">
        <v>32</v>
      </c>
      <c r="I74" s="31">
        <f t="shared" ref="I74:L74" si="36">+I72-I73</f>
        <v>786.23821428571432</v>
      </c>
      <c r="J74" s="31">
        <f t="shared" si="36"/>
        <v>869.8162142857143</v>
      </c>
      <c r="K74" s="31">
        <f t="shared" si="36"/>
        <v>961.75201428571449</v>
      </c>
      <c r="L74" s="31">
        <f t="shared" si="36"/>
        <v>1012.3167042857146</v>
      </c>
      <c r="M74" s="31">
        <f t="shared" ref="M74" si="37">+M72-M73</f>
        <v>2127.2681187857147</v>
      </c>
    </row>
    <row r="75" spans="2:13" x14ac:dyDescent="0.25">
      <c r="B75" t="s">
        <v>35</v>
      </c>
      <c r="I75" s="31">
        <f>+J17+J29</f>
        <v>192.0976</v>
      </c>
      <c r="J75" s="31">
        <f>+K17+K29</f>
        <v>199.4248</v>
      </c>
      <c r="K75" s="31">
        <f>+L17+L29</f>
        <v>198.31720000000001</v>
      </c>
      <c r="L75" s="31">
        <f>+M17+M29</f>
        <v>197.20960000000002</v>
      </c>
      <c r="M75" s="31">
        <f>+N17+N29</f>
        <v>196.102</v>
      </c>
    </row>
    <row r="76" spans="2:13" x14ac:dyDescent="0.25">
      <c r="B76" t="s">
        <v>36</v>
      </c>
      <c r="I76" s="31">
        <f t="shared" ref="I76:L76" si="38">+I74-I75</f>
        <v>594.14061428571426</v>
      </c>
      <c r="J76" s="31">
        <f t="shared" si="38"/>
        <v>670.39141428571429</v>
      </c>
      <c r="K76" s="31">
        <f t="shared" si="38"/>
        <v>763.43481428571454</v>
      </c>
      <c r="L76" s="31">
        <f t="shared" si="38"/>
        <v>815.10710428571463</v>
      </c>
      <c r="M76" s="31">
        <f t="shared" ref="M76" si="39">+M74-M75</f>
        <v>1931.1661187857146</v>
      </c>
    </row>
    <row r="77" spans="2:13" x14ac:dyDescent="0.25">
      <c r="B77" t="s">
        <v>37</v>
      </c>
      <c r="C77" s="39">
        <v>0.22</v>
      </c>
      <c r="D77" t="s">
        <v>169</v>
      </c>
      <c r="I77" s="31">
        <f t="shared" ref="I77:L77" si="40">+$C$77*I76</f>
        <v>130.71093514285715</v>
      </c>
      <c r="J77" s="31">
        <f t="shared" si="40"/>
        <v>147.48611114285714</v>
      </c>
      <c r="K77" s="31">
        <f t="shared" si="40"/>
        <v>167.9556591428572</v>
      </c>
      <c r="L77" s="31">
        <f t="shared" si="40"/>
        <v>179.32356294285722</v>
      </c>
      <c r="M77" s="31">
        <f t="shared" ref="M77" si="41">+$C$77*M76</f>
        <v>424.8565461328572</v>
      </c>
    </row>
    <row r="78" spans="2:13" ht="15.75" thickBot="1" x14ac:dyDescent="0.3">
      <c r="B78" t="s">
        <v>38</v>
      </c>
      <c r="I78" s="40">
        <f t="shared" ref="I78:L78" si="42">+I76-I77</f>
        <v>463.42967914285714</v>
      </c>
      <c r="J78" s="40">
        <f t="shared" si="42"/>
        <v>522.90530314285718</v>
      </c>
      <c r="K78" s="40">
        <f t="shared" si="42"/>
        <v>595.47915514285728</v>
      </c>
      <c r="L78" s="40">
        <f t="shared" si="42"/>
        <v>635.78354134285746</v>
      </c>
      <c r="M78" s="40">
        <f t="shared" ref="M78" si="43">+M76-M77</f>
        <v>1506.3095726528575</v>
      </c>
    </row>
    <row r="79" spans="2:13" ht="15.75" thickTop="1" x14ac:dyDescent="0.25"/>
    <row r="80" spans="2:13" x14ac:dyDescent="0.25">
      <c r="B80" s="6" t="s">
        <v>171</v>
      </c>
      <c r="C80" s="84" t="s">
        <v>39</v>
      </c>
      <c r="D80" s="84"/>
      <c r="E80" s="84"/>
      <c r="I80" s="77"/>
      <c r="J80" s="77"/>
      <c r="K80" s="77"/>
      <c r="L80" s="77"/>
      <c r="M80" s="77"/>
    </row>
    <row r="81" spans="2:14" x14ac:dyDescent="0.25">
      <c r="B81" s="4"/>
      <c r="C81" s="4">
        <f>+C59</f>
        <v>2022</v>
      </c>
      <c r="D81" s="37">
        <f>+D59</f>
        <v>2023</v>
      </c>
      <c r="E81" s="37">
        <f>+E59</f>
        <v>2024</v>
      </c>
      <c r="I81" s="4">
        <f>+I59</f>
        <v>2025</v>
      </c>
      <c r="J81" s="4">
        <f>+I81+1</f>
        <v>2026</v>
      </c>
      <c r="K81" s="4">
        <f>+J81+1</f>
        <v>2027</v>
      </c>
      <c r="L81" s="4">
        <f>+K81+1</f>
        <v>2028</v>
      </c>
      <c r="M81" s="4">
        <f>+L81+1</f>
        <v>2029</v>
      </c>
    </row>
    <row r="82" spans="2:14" x14ac:dyDescent="0.25">
      <c r="B82" t="s">
        <v>32</v>
      </c>
      <c r="I82" s="31">
        <f t="shared" ref="I82:L82" si="44">I74</f>
        <v>786.23821428571432</v>
      </c>
      <c r="J82" s="31">
        <f t="shared" si="44"/>
        <v>869.8162142857143</v>
      </c>
      <c r="K82" s="31">
        <f t="shared" si="44"/>
        <v>961.75201428571449</v>
      </c>
      <c r="L82" s="31">
        <f t="shared" si="44"/>
        <v>1012.3167042857146</v>
      </c>
      <c r="M82" s="31">
        <f t="shared" ref="M82" si="45">M74</f>
        <v>2127.2681187857147</v>
      </c>
    </row>
    <row r="83" spans="2:14" x14ac:dyDescent="0.25">
      <c r="B83" t="s">
        <v>173</v>
      </c>
      <c r="I83" s="31">
        <f t="shared" ref="I83:L83" si="46">-I82*$C$77</f>
        <v>-172.97240714285715</v>
      </c>
      <c r="J83" s="31">
        <f t="shared" si="46"/>
        <v>-191.35956714285714</v>
      </c>
      <c r="K83" s="31">
        <f t="shared" si="46"/>
        <v>-211.5854431428572</v>
      </c>
      <c r="L83" s="31">
        <f t="shared" si="46"/>
        <v>-222.70967494285722</v>
      </c>
      <c r="M83" s="31">
        <f t="shared" ref="M83" si="47">-M82*$C$77</f>
        <v>-467.99898613285723</v>
      </c>
    </row>
    <row r="84" spans="2:14" ht="15.75" thickBot="1" x14ac:dyDescent="0.3">
      <c r="B84" t="s">
        <v>174</v>
      </c>
      <c r="I84" s="40">
        <f t="shared" ref="I84:L84" si="48">+I82+I83</f>
        <v>613.26580714285717</v>
      </c>
      <c r="J84" s="40">
        <f t="shared" si="48"/>
        <v>678.45664714285715</v>
      </c>
      <c r="K84" s="40">
        <f t="shared" si="48"/>
        <v>750.16657114285726</v>
      </c>
      <c r="L84" s="40">
        <f t="shared" si="48"/>
        <v>789.60702934285746</v>
      </c>
      <c r="M84" s="40">
        <f t="shared" ref="M84" si="49">+M82+M83</f>
        <v>1659.2691326528575</v>
      </c>
    </row>
    <row r="85" spans="2:14" ht="15.75" thickTop="1" x14ac:dyDescent="0.25"/>
    <row r="86" spans="2:14" x14ac:dyDescent="0.25">
      <c r="B86" t="s">
        <v>172</v>
      </c>
      <c r="C86" s="31">
        <f>+'CASH FLOW YAHOO'!B8/1000000</f>
        <v>71</v>
      </c>
      <c r="D86" s="31">
        <f>+'CASH FLOW YAHOO'!C8/1000000</f>
        <v>76</v>
      </c>
      <c r="E86" s="31">
        <f>+'CASH FLOW YAHOO'!D8/1000000</f>
        <v>77</v>
      </c>
      <c r="I86" s="42">
        <f t="shared" ref="I86:L86" si="50">I87*I60</f>
        <v>80.788670458248802</v>
      </c>
      <c r="J86" s="42">
        <f t="shared" si="50"/>
        <v>88.867537504073695</v>
      </c>
      <c r="K86" s="42">
        <f t="shared" si="50"/>
        <v>97.75429125448106</v>
      </c>
      <c r="L86" s="42">
        <f t="shared" si="50"/>
        <v>102.64200581720513</v>
      </c>
      <c r="M86" s="42">
        <f t="shared" ref="M86" si="51">M87*M60</f>
        <v>210.41611192527049</v>
      </c>
    </row>
    <row r="87" spans="2:14" x14ac:dyDescent="0.25">
      <c r="B87" t="s">
        <v>184</v>
      </c>
      <c r="C87" s="10">
        <f>+C86/C60</f>
        <v>4.7396528704939919E-2</v>
      </c>
      <c r="D87" s="10">
        <f t="shared" ref="D87:E87" si="52">+D86/D60</f>
        <v>5.4402290622763062E-2</v>
      </c>
      <c r="E87" s="10">
        <f t="shared" si="52"/>
        <v>5.46875E-2</v>
      </c>
      <c r="I87" s="10">
        <f>AVERAGE(C87:E87)</f>
        <v>5.2162106442567663E-2</v>
      </c>
      <c r="J87" s="10">
        <f t="shared" ref="J87:M87" si="53">+I87</f>
        <v>5.2162106442567663E-2</v>
      </c>
      <c r="K87" s="10">
        <f t="shared" si="53"/>
        <v>5.2162106442567663E-2</v>
      </c>
      <c r="L87" s="10">
        <f t="shared" si="53"/>
        <v>5.2162106442567663E-2</v>
      </c>
      <c r="M87" s="10">
        <f t="shared" si="53"/>
        <v>5.2162106442567663E-2</v>
      </c>
    </row>
    <row r="88" spans="2:14" x14ac:dyDescent="0.25">
      <c r="B88" t="s">
        <v>175</v>
      </c>
      <c r="I88" s="31">
        <f t="shared" ref="I88:L88" si="54">I73</f>
        <v>49.541785714285709</v>
      </c>
      <c r="J88" s="31">
        <f t="shared" si="54"/>
        <v>49.541785714285709</v>
      </c>
      <c r="K88" s="31">
        <f t="shared" si="54"/>
        <v>49.541785714285709</v>
      </c>
      <c r="L88" s="31">
        <f t="shared" si="54"/>
        <v>49.541785714285709</v>
      </c>
      <c r="M88" s="31">
        <f t="shared" ref="M88" si="55">M73</f>
        <v>49.541785714285709</v>
      </c>
    </row>
    <row r="89" spans="2:14" ht="15.75" thickBot="1" x14ac:dyDescent="0.3">
      <c r="B89" t="s">
        <v>176</v>
      </c>
      <c r="C89" s="31">
        <f>+'CASH FLOW YAHOO'!B18/1000000</f>
        <v>-52</v>
      </c>
      <c r="D89" s="31">
        <f>+'CASH FLOW YAHOO'!C18/1000000</f>
        <v>38</v>
      </c>
      <c r="E89" s="31">
        <f>+'CASH FLOW YAHOO'!D18/1000000</f>
        <v>43</v>
      </c>
      <c r="I89" s="31">
        <f t="shared" ref="I89:L89" si="56">-I90*I60</f>
        <v>0</v>
      </c>
      <c r="J89" s="31">
        <f t="shared" si="56"/>
        <v>0</v>
      </c>
      <c r="K89" s="31">
        <f t="shared" si="56"/>
        <v>0</v>
      </c>
      <c r="L89" s="31">
        <f t="shared" si="56"/>
        <v>0</v>
      </c>
      <c r="M89" s="31">
        <f t="shared" ref="M89" si="57">-M90*M60</f>
        <v>0</v>
      </c>
      <c r="N89" s="41">
        <v>-1144855</v>
      </c>
    </row>
    <row r="90" spans="2:14" ht="15.75" thickBot="1" x14ac:dyDescent="0.3">
      <c r="B90" t="s">
        <v>185</v>
      </c>
      <c r="C90" s="10">
        <f>-C89/C60</f>
        <v>3.4712950600801068E-2</v>
      </c>
      <c r="D90" s="10">
        <f t="shared" ref="D90:E90" si="58">-D89/D60</f>
        <v>-2.7201145311381531E-2</v>
      </c>
      <c r="E90" s="10">
        <f t="shared" si="58"/>
        <v>-3.0539772727272728E-2</v>
      </c>
      <c r="I90" s="72">
        <v>0</v>
      </c>
      <c r="J90" s="72">
        <v>0</v>
      </c>
      <c r="K90" s="72">
        <v>0</v>
      </c>
      <c r="L90" s="72">
        <v>0</v>
      </c>
      <c r="M90" s="72">
        <v>0</v>
      </c>
      <c r="N90" s="41">
        <v>-1198055</v>
      </c>
    </row>
    <row r="91" spans="2:14" ht="15.75" thickBot="1" x14ac:dyDescent="0.3">
      <c r="C91" s="32"/>
      <c r="D91" s="32"/>
      <c r="E91" s="32"/>
      <c r="I91" s="32"/>
      <c r="J91" s="32"/>
      <c r="K91" s="32"/>
      <c r="L91" s="32"/>
      <c r="M91" s="32"/>
      <c r="N91" s="41">
        <v>-451945</v>
      </c>
    </row>
    <row r="92" spans="2:14" ht="15.75" thickBot="1" x14ac:dyDescent="0.3">
      <c r="B92" t="s">
        <v>177</v>
      </c>
      <c r="C92" s="31">
        <f>+'CASH FLOW YAHOO'!B35/1000000</f>
        <v>-175</v>
      </c>
      <c r="D92" s="31">
        <f>+'CASH FLOW YAHOO'!C35/1000000</f>
        <v>-402</v>
      </c>
      <c r="E92" s="31">
        <f>+'CASH FLOW YAHOO'!D35/1000000</f>
        <v>-584</v>
      </c>
      <c r="I92" s="31">
        <f t="shared" ref="I92:L92" si="59">-I93*I60</f>
        <v>-154.88000000000002</v>
      </c>
      <c r="J92" s="31">
        <f t="shared" si="59"/>
        <v>-170.36800000000005</v>
      </c>
      <c r="K92" s="31">
        <f t="shared" si="59"/>
        <v>-187.40480000000005</v>
      </c>
      <c r="L92" s="31">
        <f t="shared" si="59"/>
        <v>-196.77504000000008</v>
      </c>
      <c r="M92" s="31">
        <f t="shared" ref="M92" si="60">-M93*M60</f>
        <v>-403.38883200000009</v>
      </c>
      <c r="N92" s="41"/>
    </row>
    <row r="93" spans="2:14" x14ac:dyDescent="0.25">
      <c r="B93" t="s">
        <v>186</v>
      </c>
      <c r="C93" s="10">
        <f>-C92/C60</f>
        <v>0.11682242990654206</v>
      </c>
      <c r="D93" s="10">
        <f t="shared" ref="D93:E93" si="61">-D92/D60</f>
        <v>0.28775948460987832</v>
      </c>
      <c r="E93" s="10">
        <f t="shared" si="61"/>
        <v>0.41477272727272729</v>
      </c>
      <c r="I93" s="73">
        <v>0.1</v>
      </c>
      <c r="J93" s="10">
        <f t="shared" ref="J93:M93" si="62">+I93</f>
        <v>0.1</v>
      </c>
      <c r="K93" s="10">
        <f t="shared" si="62"/>
        <v>0.1</v>
      </c>
      <c r="L93" s="10">
        <f t="shared" si="62"/>
        <v>0.1</v>
      </c>
      <c r="M93" s="10">
        <f t="shared" si="62"/>
        <v>0.1</v>
      </c>
      <c r="N93" s="44"/>
    </row>
    <row r="94" spans="2:14" x14ac:dyDescent="0.25">
      <c r="N94" s="44"/>
    </row>
    <row r="95" spans="2:14" x14ac:dyDescent="0.25">
      <c r="B95" t="s">
        <v>178</v>
      </c>
      <c r="I95" s="31">
        <f t="shared" ref="I95:L95" si="63">+I84+I86+I88+I89+I92</f>
        <v>588.71626331539176</v>
      </c>
      <c r="J95" s="31">
        <f t="shared" si="63"/>
        <v>646.49797036121652</v>
      </c>
      <c r="K95" s="31">
        <f t="shared" si="63"/>
        <v>710.05784811162403</v>
      </c>
      <c r="L95" s="31">
        <f t="shared" si="63"/>
        <v>745.01578087434825</v>
      </c>
      <c r="M95" s="31">
        <f t="shared" ref="M95" si="64">+M84+M86+M88+M89+M92</f>
        <v>1515.8381982924136</v>
      </c>
    </row>
    <row r="97" spans="2:13" x14ac:dyDescent="0.25">
      <c r="F97" s="49"/>
      <c r="J97" s="61"/>
    </row>
    <row r="98" spans="2:13" x14ac:dyDescent="0.25">
      <c r="H98" s="7">
        <f>+H59</f>
        <v>2024</v>
      </c>
      <c r="I98" s="7">
        <f>+H98+1</f>
        <v>2025</v>
      </c>
      <c r="J98" s="7">
        <f>+I98+1</f>
        <v>2026</v>
      </c>
      <c r="K98" s="7">
        <f>+J98+1</f>
        <v>2027</v>
      </c>
      <c r="L98" s="7">
        <f>+L81</f>
        <v>2028</v>
      </c>
      <c r="M98" s="7">
        <f>+M81</f>
        <v>2029</v>
      </c>
    </row>
    <row r="99" spans="2:13" ht="15.75" thickBot="1" x14ac:dyDescent="0.3">
      <c r="B99" s="2" t="s">
        <v>179</v>
      </c>
      <c r="C99" s="79" t="s">
        <v>187</v>
      </c>
      <c r="D99" s="80"/>
      <c r="M99" s="60" t="s">
        <v>188</v>
      </c>
    </row>
    <row r="100" spans="2:13" ht="15.75" thickTop="1" x14ac:dyDescent="0.25">
      <c r="B100" t="s">
        <v>180</v>
      </c>
      <c r="C100" s="45">
        <f>+E11</f>
        <v>20.962222711267604</v>
      </c>
      <c r="D100" t="s">
        <v>200</v>
      </c>
      <c r="M100" s="33">
        <f>+C100*(M72+M86)</f>
        <v>50041.563418438702</v>
      </c>
    </row>
    <row r="101" spans="2:13" x14ac:dyDescent="0.25">
      <c r="B101" t="s">
        <v>183</v>
      </c>
      <c r="M101" s="43">
        <f>-N34</f>
        <v>-2737.76</v>
      </c>
    </row>
    <row r="102" spans="2:13" x14ac:dyDescent="0.25">
      <c r="B102" t="s">
        <v>201</v>
      </c>
      <c r="M102" s="43">
        <f>+M100+M101</f>
        <v>47303.8034184387</v>
      </c>
    </row>
    <row r="103" spans="2:13" ht="15.75" thickBot="1" x14ac:dyDescent="0.3">
      <c r="B103" t="s">
        <v>202</v>
      </c>
      <c r="C103" s="62" t="s">
        <v>203</v>
      </c>
      <c r="D103" s="58">
        <f>IRR(H103:M103)</f>
        <v>0.43827828886768838</v>
      </c>
      <c r="H103" s="59">
        <f>-C9</f>
        <v>-9066.5424999999996</v>
      </c>
      <c r="I103" s="59">
        <f>+I95</f>
        <v>588.71626331539176</v>
      </c>
      <c r="J103" s="59">
        <f>+J95</f>
        <v>646.49797036121652</v>
      </c>
      <c r="K103" s="59">
        <f>+K95</f>
        <v>710.05784811162403</v>
      </c>
      <c r="L103" s="59">
        <f>+L95+L102</f>
        <v>745.01578087434825</v>
      </c>
      <c r="M103" s="59">
        <f>+M95+M102</f>
        <v>48819.641616731111</v>
      </c>
    </row>
    <row r="104" spans="2:13" ht="15.75" thickTop="1" x14ac:dyDescent="0.25"/>
  </sheetData>
  <mergeCells count="3">
    <mergeCell ref="N6:O6"/>
    <mergeCell ref="C58:E58"/>
    <mergeCell ref="C80:E8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EA38F-E9AD-4ED2-8F58-A15A84DDE0BF}">
  <dimension ref="A1:J78"/>
  <sheetViews>
    <sheetView workbookViewId="0">
      <selection activeCell="B68" sqref="B68"/>
    </sheetView>
  </sheetViews>
  <sheetFormatPr defaultRowHeight="15" x14ac:dyDescent="0.25"/>
  <cols>
    <col min="1" max="1" width="43.7109375" bestFit="1" customWidth="1"/>
    <col min="2" max="8" width="13.140625" bestFit="1" customWidth="1"/>
    <col min="9" max="10" width="12.42578125" bestFit="1" customWidth="1"/>
  </cols>
  <sheetData>
    <row r="1" spans="1:10" x14ac:dyDescent="0.25">
      <c r="A1" t="s">
        <v>123</v>
      </c>
      <c r="B1" s="25">
        <v>45657</v>
      </c>
      <c r="C1" s="25">
        <v>45291</v>
      </c>
      <c r="D1" s="25">
        <v>44926</v>
      </c>
      <c r="E1" s="25">
        <v>44561</v>
      </c>
      <c r="F1" s="25">
        <v>44196</v>
      </c>
      <c r="G1" s="25">
        <v>43830</v>
      </c>
      <c r="H1" s="25">
        <v>43465</v>
      </c>
      <c r="I1" s="25">
        <v>43100</v>
      </c>
      <c r="J1" s="25">
        <v>42735</v>
      </c>
    </row>
    <row r="2" spans="1:10" x14ac:dyDescent="0.25">
      <c r="A2" t="s">
        <v>64</v>
      </c>
      <c r="B2" s="24">
        <v>4223000000</v>
      </c>
      <c r="C2" s="24">
        <v>4033000000</v>
      </c>
      <c r="D2" s="24">
        <v>4123000000</v>
      </c>
      <c r="E2" s="24">
        <v>4269000000</v>
      </c>
      <c r="F2" s="24">
        <v>4644000000</v>
      </c>
      <c r="G2" s="24">
        <v>4533000000</v>
      </c>
      <c r="H2" s="24">
        <v>4976000000</v>
      </c>
      <c r="I2" s="24">
        <v>2137000000</v>
      </c>
      <c r="J2" s="24">
        <v>1983000000</v>
      </c>
    </row>
    <row r="3" spans="1:10" x14ac:dyDescent="0.25">
      <c r="A3" t="s">
        <v>65</v>
      </c>
      <c r="B3" s="24">
        <v>467000000</v>
      </c>
      <c r="C3" s="24">
        <v>373000000</v>
      </c>
      <c r="D3" s="24">
        <v>545000000</v>
      </c>
      <c r="E3" s="24">
        <v>720000000</v>
      </c>
      <c r="F3" s="24">
        <v>900000000</v>
      </c>
      <c r="G3" s="24">
        <v>499000000</v>
      </c>
      <c r="H3" s="24">
        <v>851000000</v>
      </c>
      <c r="I3" s="24">
        <v>334000000</v>
      </c>
      <c r="J3" s="24">
        <v>255000000</v>
      </c>
    </row>
    <row r="4" spans="1:10" x14ac:dyDescent="0.25">
      <c r="A4" t="s">
        <v>66</v>
      </c>
      <c r="B4" s="24">
        <v>103000000</v>
      </c>
      <c r="C4" s="24">
        <v>66000000</v>
      </c>
      <c r="D4" s="24">
        <v>161000000</v>
      </c>
      <c r="E4" s="24">
        <v>171000000</v>
      </c>
      <c r="F4" s="24">
        <v>493000000</v>
      </c>
      <c r="G4" s="24">
        <v>94000000</v>
      </c>
      <c r="H4" s="24">
        <v>366000000</v>
      </c>
      <c r="I4" s="24">
        <v>57000000</v>
      </c>
      <c r="J4" s="24">
        <v>28000000</v>
      </c>
    </row>
    <row r="5" spans="1:10" x14ac:dyDescent="0.25">
      <c r="A5" t="s">
        <v>67</v>
      </c>
      <c r="B5" s="24">
        <v>103000000</v>
      </c>
      <c r="C5" s="24">
        <v>66000000</v>
      </c>
      <c r="D5" s="24">
        <v>161000000</v>
      </c>
      <c r="E5" s="24">
        <v>171000000</v>
      </c>
      <c r="F5" s="24">
        <v>493000000</v>
      </c>
      <c r="G5" s="24">
        <v>94000000</v>
      </c>
      <c r="H5" s="24">
        <v>366000000</v>
      </c>
      <c r="I5" s="24">
        <v>57000000</v>
      </c>
      <c r="J5" s="24">
        <v>28000000</v>
      </c>
    </row>
    <row r="6" spans="1:10" x14ac:dyDescent="0.25">
      <c r="A6" t="s">
        <v>279</v>
      </c>
      <c r="G6" s="24">
        <v>94000000</v>
      </c>
      <c r="H6" s="24">
        <v>366000000</v>
      </c>
    </row>
    <row r="7" spans="1:10" x14ac:dyDescent="0.25">
      <c r="A7" t="s">
        <v>68</v>
      </c>
      <c r="B7" s="24">
        <v>271000000</v>
      </c>
      <c r="C7" s="24">
        <v>241000000</v>
      </c>
      <c r="D7" s="24">
        <v>234000000</v>
      </c>
      <c r="E7" s="24">
        <v>246000000</v>
      </c>
      <c r="F7" s="24">
        <v>295000000</v>
      </c>
      <c r="G7" s="24">
        <v>304000000</v>
      </c>
      <c r="H7" s="24">
        <v>293000000</v>
      </c>
      <c r="I7" s="24">
        <v>194000000</v>
      </c>
      <c r="J7" s="24">
        <v>184000000</v>
      </c>
    </row>
    <row r="8" spans="1:10" x14ac:dyDescent="0.25">
      <c r="A8" t="s">
        <v>69</v>
      </c>
      <c r="B8" s="24">
        <v>271000000</v>
      </c>
      <c r="C8" s="24">
        <v>241000000</v>
      </c>
      <c r="D8" s="24">
        <v>234000000</v>
      </c>
      <c r="E8" s="24">
        <v>246000000</v>
      </c>
      <c r="F8" s="24">
        <v>295000000</v>
      </c>
      <c r="G8" s="24">
        <v>304000000</v>
      </c>
      <c r="H8" s="24">
        <v>293000000</v>
      </c>
      <c r="I8" s="24">
        <v>194000000</v>
      </c>
      <c r="J8" s="24">
        <v>184000000</v>
      </c>
    </row>
    <row r="9" spans="1:10" x14ac:dyDescent="0.25">
      <c r="A9" t="s">
        <v>280</v>
      </c>
      <c r="B9" s="24">
        <v>332000000</v>
      </c>
      <c r="C9" s="24">
        <v>301000000</v>
      </c>
      <c r="D9" s="24">
        <v>298000000</v>
      </c>
    </row>
    <row r="10" spans="1:10" x14ac:dyDescent="0.25">
      <c r="A10" t="s">
        <v>281</v>
      </c>
      <c r="B10" s="24">
        <v>-61000000</v>
      </c>
      <c r="C10" s="24">
        <v>-60000000</v>
      </c>
      <c r="D10" s="24">
        <v>-64000000</v>
      </c>
    </row>
    <row r="11" spans="1:10" x14ac:dyDescent="0.25">
      <c r="A11" t="s">
        <v>212</v>
      </c>
      <c r="B11" s="24">
        <v>44000000</v>
      </c>
      <c r="C11" s="24">
        <v>27000000</v>
      </c>
      <c r="D11" s="24">
        <v>59000000</v>
      </c>
      <c r="E11" s="24">
        <v>51000000</v>
      </c>
      <c r="F11" s="24">
        <v>45000000</v>
      </c>
      <c r="G11" s="24">
        <v>48000000</v>
      </c>
      <c r="H11" s="24">
        <v>40000000</v>
      </c>
      <c r="I11" s="24">
        <v>29000000</v>
      </c>
      <c r="J11" s="24">
        <v>24000000</v>
      </c>
    </row>
    <row r="12" spans="1:10" x14ac:dyDescent="0.25">
      <c r="A12" t="s">
        <v>282</v>
      </c>
      <c r="D12">
        <v>0</v>
      </c>
      <c r="E12" s="24">
        <v>154000000</v>
      </c>
      <c r="F12">
        <v>0</v>
      </c>
    </row>
    <row r="13" spans="1:10" x14ac:dyDescent="0.25">
      <c r="A13" t="s">
        <v>70</v>
      </c>
      <c r="B13" s="24">
        <v>49000000</v>
      </c>
      <c r="C13" s="24">
        <v>39000000</v>
      </c>
      <c r="D13" s="24">
        <v>91000000</v>
      </c>
      <c r="E13" s="24">
        <v>98000000</v>
      </c>
      <c r="F13" s="24">
        <v>67000000</v>
      </c>
      <c r="G13" s="24">
        <v>53000000</v>
      </c>
      <c r="H13" s="24">
        <v>152000000</v>
      </c>
      <c r="I13" s="24">
        <v>54000000</v>
      </c>
      <c r="J13" s="24">
        <v>19000000</v>
      </c>
    </row>
    <row r="14" spans="1:10" x14ac:dyDescent="0.25">
      <c r="A14" t="s">
        <v>71</v>
      </c>
      <c r="B14" s="24">
        <v>3756000000</v>
      </c>
      <c r="C14" s="24">
        <v>3660000000</v>
      </c>
      <c r="D14" s="24">
        <v>3579000000</v>
      </c>
      <c r="E14" s="24">
        <v>3549000000</v>
      </c>
      <c r="F14" s="24">
        <v>3744000000</v>
      </c>
      <c r="G14" s="24">
        <v>4034000000</v>
      </c>
      <c r="H14" s="24">
        <v>4125000000</v>
      </c>
      <c r="I14" s="24">
        <v>1803000000</v>
      </c>
      <c r="J14" s="24">
        <v>1728000000</v>
      </c>
    </row>
    <row r="15" spans="1:10" x14ac:dyDescent="0.25">
      <c r="A15" t="s">
        <v>72</v>
      </c>
      <c r="B15" s="24">
        <v>94000000</v>
      </c>
      <c r="C15" s="24">
        <v>88000000</v>
      </c>
      <c r="D15" s="24">
        <v>99000000</v>
      </c>
      <c r="E15" s="24">
        <v>106000000</v>
      </c>
      <c r="F15" s="24">
        <v>278000000</v>
      </c>
      <c r="G15" s="24">
        <v>307000000</v>
      </c>
      <c r="H15" s="24">
        <v>326000000</v>
      </c>
      <c r="I15" s="24">
        <v>250000000</v>
      </c>
      <c r="J15" s="24">
        <v>277000000</v>
      </c>
    </row>
    <row r="16" spans="1:10" x14ac:dyDescent="0.25">
      <c r="A16" t="s">
        <v>73</v>
      </c>
      <c r="B16" s="24">
        <v>225000000</v>
      </c>
      <c r="C16" s="24">
        <v>388000000</v>
      </c>
      <c r="D16" s="24">
        <v>417000000</v>
      </c>
      <c r="E16" s="24">
        <v>464000000</v>
      </c>
      <c r="F16" s="24">
        <v>740000000</v>
      </c>
      <c r="G16" s="24">
        <v>729000000</v>
      </c>
      <c r="H16" s="24">
        <v>701000000</v>
      </c>
      <c r="I16" s="24">
        <v>513000000</v>
      </c>
      <c r="J16" s="24">
        <v>523000000</v>
      </c>
    </row>
    <row r="17" spans="1:10" x14ac:dyDescent="0.25">
      <c r="A17" t="s">
        <v>213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</row>
    <row r="18" spans="1:10" x14ac:dyDescent="0.25">
      <c r="A18" t="s">
        <v>74</v>
      </c>
      <c r="B18" s="24">
        <v>7000000</v>
      </c>
      <c r="C18">
        <v>0</v>
      </c>
      <c r="E18">
        <v>0</v>
      </c>
      <c r="F18" s="24">
        <v>19000000</v>
      </c>
      <c r="G18" s="24">
        <v>19000000</v>
      </c>
      <c r="H18" s="24">
        <v>17000000</v>
      </c>
      <c r="I18" s="24">
        <v>14000000</v>
      </c>
      <c r="J18" s="24">
        <v>24000000</v>
      </c>
    </row>
    <row r="19" spans="1:10" x14ac:dyDescent="0.25">
      <c r="A19" t="s">
        <v>75</v>
      </c>
      <c r="B19" s="24">
        <v>28000000</v>
      </c>
      <c r="C19">
        <v>0</v>
      </c>
      <c r="E19" s="24">
        <v>30000000</v>
      </c>
      <c r="F19" s="24">
        <v>215000000</v>
      </c>
      <c r="G19" s="24">
        <v>214000000</v>
      </c>
      <c r="H19" s="24">
        <v>212000000</v>
      </c>
      <c r="I19" s="24">
        <v>171000000</v>
      </c>
      <c r="J19" s="24">
        <v>182000000</v>
      </c>
    </row>
    <row r="20" spans="1:10" x14ac:dyDescent="0.25">
      <c r="A20" t="s">
        <v>76</v>
      </c>
      <c r="B20" s="24">
        <v>182000000</v>
      </c>
      <c r="C20" s="24">
        <v>282000000</v>
      </c>
      <c r="D20" s="24">
        <v>314000000</v>
      </c>
      <c r="E20" s="24">
        <v>358000000</v>
      </c>
      <c r="F20" s="24">
        <v>438000000</v>
      </c>
      <c r="G20" s="24">
        <v>403000000</v>
      </c>
      <c r="H20" s="24">
        <v>378000000</v>
      </c>
      <c r="I20" s="24">
        <v>311000000</v>
      </c>
      <c r="J20" s="24">
        <v>308000000</v>
      </c>
    </row>
    <row r="21" spans="1:10" x14ac:dyDescent="0.25">
      <c r="A21" t="s">
        <v>214</v>
      </c>
      <c r="C21" s="24">
        <v>64000000</v>
      </c>
      <c r="D21" s="24">
        <v>64000000</v>
      </c>
      <c r="E21" s="24">
        <v>64000000</v>
      </c>
      <c r="F21" s="24">
        <v>65000000</v>
      </c>
      <c r="G21" s="24">
        <v>72000000</v>
      </c>
      <c r="H21" s="24">
        <v>72000000</v>
      </c>
      <c r="I21" s="24">
        <v>5000000</v>
      </c>
      <c r="J21" s="24">
        <v>4000000</v>
      </c>
    </row>
    <row r="22" spans="1:10" x14ac:dyDescent="0.25">
      <c r="A22" t="s">
        <v>77</v>
      </c>
      <c r="B22" s="24">
        <v>7000000</v>
      </c>
      <c r="C22" s="24">
        <v>13000000</v>
      </c>
      <c r="D22" s="24">
        <v>9000000</v>
      </c>
      <c r="E22" s="24">
        <v>12000000</v>
      </c>
      <c r="F22" s="24">
        <v>3000000</v>
      </c>
      <c r="G22" s="24">
        <v>21000000</v>
      </c>
      <c r="H22" s="24">
        <v>22000000</v>
      </c>
      <c r="I22" s="24">
        <v>12000000</v>
      </c>
      <c r="J22" s="24">
        <v>5000000</v>
      </c>
    </row>
    <row r="23" spans="1:10" x14ac:dyDescent="0.25">
      <c r="A23" t="s">
        <v>283</v>
      </c>
      <c r="B23" s="24">
        <v>1000000</v>
      </c>
      <c r="C23" s="24">
        <v>29000000</v>
      </c>
      <c r="D23" s="24">
        <v>30000000</v>
      </c>
      <c r="E23" s="24">
        <v>30000000</v>
      </c>
      <c r="G23" s="24">
        <v>72000000</v>
      </c>
      <c r="H23" s="24">
        <v>72000000</v>
      </c>
      <c r="I23" s="24">
        <v>5000000</v>
      </c>
      <c r="J23" s="24">
        <v>4000000</v>
      </c>
    </row>
    <row r="24" spans="1:10" x14ac:dyDescent="0.25">
      <c r="A24" t="s">
        <v>78</v>
      </c>
      <c r="B24" s="24">
        <v>-131000000</v>
      </c>
      <c r="C24" s="24">
        <v>-300000000</v>
      </c>
      <c r="D24" s="24">
        <v>-318000000</v>
      </c>
      <c r="E24" s="24">
        <v>-358000000</v>
      </c>
      <c r="F24" s="24">
        <v>-462000000</v>
      </c>
      <c r="G24" s="24">
        <v>-422000000</v>
      </c>
      <c r="H24" s="24">
        <v>-375000000</v>
      </c>
      <c r="I24" s="24">
        <v>-263000000</v>
      </c>
      <c r="J24" s="24">
        <v>-246000000</v>
      </c>
    </row>
    <row r="25" spans="1:10" x14ac:dyDescent="0.25">
      <c r="A25" t="s">
        <v>79</v>
      </c>
      <c r="B25" s="24">
        <v>3073000000</v>
      </c>
      <c r="C25" s="24">
        <v>3104000000</v>
      </c>
      <c r="D25" s="24">
        <v>3132000000</v>
      </c>
      <c r="E25" s="24">
        <v>3200000000</v>
      </c>
      <c r="F25" s="24">
        <v>3240000000</v>
      </c>
      <c r="G25" s="24">
        <v>3485000000</v>
      </c>
      <c r="H25" s="24">
        <v>3534000000</v>
      </c>
      <c r="I25" s="24">
        <v>1366000000</v>
      </c>
      <c r="J25" s="24">
        <v>1259000000</v>
      </c>
    </row>
    <row r="26" spans="1:10" x14ac:dyDescent="0.25">
      <c r="A26" t="s">
        <v>80</v>
      </c>
      <c r="B26" s="24">
        <v>1525000000</v>
      </c>
      <c r="C26" s="24">
        <v>1525000000</v>
      </c>
      <c r="D26" s="24">
        <v>1525000000</v>
      </c>
      <c r="E26" s="24">
        <v>1525000000</v>
      </c>
      <c r="F26" s="24">
        <v>1525000000</v>
      </c>
      <c r="G26" s="24">
        <v>1539000000</v>
      </c>
      <c r="H26" s="24">
        <v>1547000000</v>
      </c>
      <c r="I26" s="24">
        <v>423000000</v>
      </c>
      <c r="J26" s="24">
        <v>377000000</v>
      </c>
    </row>
    <row r="27" spans="1:10" x14ac:dyDescent="0.25">
      <c r="A27" t="s">
        <v>81</v>
      </c>
      <c r="B27" s="24">
        <v>1548000000</v>
      </c>
      <c r="C27" s="24">
        <v>1579000000</v>
      </c>
      <c r="D27" s="24">
        <v>1607000000</v>
      </c>
      <c r="E27" s="24">
        <v>1675000000</v>
      </c>
      <c r="F27" s="24">
        <v>1715000000</v>
      </c>
      <c r="G27" s="24">
        <v>1946000000</v>
      </c>
      <c r="H27" s="24">
        <v>1987000000</v>
      </c>
      <c r="I27" s="24">
        <v>943000000</v>
      </c>
      <c r="J27" s="24">
        <v>882000000</v>
      </c>
    </row>
    <row r="28" spans="1:10" x14ac:dyDescent="0.25">
      <c r="A28" t="s">
        <v>284</v>
      </c>
      <c r="I28" s="24">
        <v>41000000</v>
      </c>
      <c r="J28" s="24">
        <v>36000000</v>
      </c>
    </row>
    <row r="29" spans="1:10" x14ac:dyDescent="0.25">
      <c r="A29" t="s">
        <v>285</v>
      </c>
      <c r="I29" s="24">
        <v>23000000</v>
      </c>
      <c r="J29" s="24">
        <v>19000000</v>
      </c>
    </row>
    <row r="30" spans="1:10" x14ac:dyDescent="0.25">
      <c r="A30" t="s">
        <v>286</v>
      </c>
      <c r="I30" s="24">
        <v>64000000</v>
      </c>
      <c r="J30" s="24">
        <v>73000000</v>
      </c>
    </row>
    <row r="31" spans="1:10" x14ac:dyDescent="0.25">
      <c r="A31" t="s">
        <v>82</v>
      </c>
      <c r="B31" s="24">
        <v>589000000</v>
      </c>
      <c r="C31" s="24">
        <v>468000000</v>
      </c>
      <c r="D31" s="24">
        <v>348000000</v>
      </c>
      <c r="E31" s="24">
        <v>243000000</v>
      </c>
      <c r="F31" s="24">
        <v>226000000</v>
      </c>
      <c r="G31" s="24">
        <v>242000000</v>
      </c>
      <c r="H31" s="24">
        <v>265000000</v>
      </c>
      <c r="I31" s="24">
        <v>187000000</v>
      </c>
      <c r="J31" s="24">
        <v>64000000</v>
      </c>
    </row>
    <row r="32" spans="1:10" x14ac:dyDescent="0.25">
      <c r="A32" t="s">
        <v>83</v>
      </c>
      <c r="B32" s="24">
        <v>3573000000</v>
      </c>
      <c r="C32" s="24">
        <v>3287000000</v>
      </c>
      <c r="D32" s="24">
        <v>3161000000</v>
      </c>
      <c r="E32" s="24">
        <v>3180000000</v>
      </c>
      <c r="F32" s="24">
        <v>3681000000</v>
      </c>
      <c r="G32" s="24">
        <v>3321000000</v>
      </c>
      <c r="H32" s="24">
        <v>3558000000</v>
      </c>
      <c r="I32" s="24">
        <v>875000000</v>
      </c>
      <c r="J32" s="24">
        <v>872000000</v>
      </c>
    </row>
    <row r="33" spans="1:10" x14ac:dyDescent="0.25">
      <c r="A33" t="s">
        <v>84</v>
      </c>
      <c r="B33" s="24">
        <v>466000000</v>
      </c>
      <c r="C33" s="24">
        <v>459000000</v>
      </c>
      <c r="D33" s="24">
        <v>406000000</v>
      </c>
      <c r="E33" s="24">
        <v>397000000</v>
      </c>
      <c r="F33" s="24">
        <v>346000000</v>
      </c>
      <c r="G33" s="24">
        <v>462000000</v>
      </c>
      <c r="H33" s="24">
        <v>693000000</v>
      </c>
      <c r="I33" s="24">
        <v>411000000</v>
      </c>
      <c r="J33" s="24">
        <v>372000000</v>
      </c>
    </row>
    <row r="34" spans="1:10" x14ac:dyDescent="0.25">
      <c r="A34" t="s">
        <v>85</v>
      </c>
      <c r="B34" s="24">
        <v>281000000</v>
      </c>
      <c r="C34" s="24">
        <v>309000000</v>
      </c>
      <c r="D34" s="24">
        <v>284000000</v>
      </c>
      <c r="E34" s="24">
        <v>270000000</v>
      </c>
      <c r="F34" s="24">
        <v>236000000</v>
      </c>
      <c r="G34" s="24">
        <v>268000000</v>
      </c>
      <c r="H34" s="24">
        <v>535000000</v>
      </c>
      <c r="I34" s="24">
        <v>192000000</v>
      </c>
      <c r="J34" s="24">
        <v>168000000</v>
      </c>
    </row>
    <row r="35" spans="1:10" x14ac:dyDescent="0.25">
      <c r="A35" t="s">
        <v>86</v>
      </c>
      <c r="B35" s="24">
        <v>111000000</v>
      </c>
      <c r="C35" s="24">
        <v>116000000</v>
      </c>
      <c r="D35" s="24">
        <v>80000000</v>
      </c>
      <c r="E35" s="24">
        <v>69000000</v>
      </c>
      <c r="F35" s="24">
        <v>60000000</v>
      </c>
      <c r="G35" s="24">
        <v>57000000</v>
      </c>
      <c r="H35" s="24">
        <v>292000000</v>
      </c>
      <c r="I35" s="24">
        <v>48000000</v>
      </c>
      <c r="J35" s="24">
        <v>39000000</v>
      </c>
    </row>
    <row r="36" spans="1:10" x14ac:dyDescent="0.25">
      <c r="A36" t="s">
        <v>87</v>
      </c>
      <c r="B36" s="24">
        <v>37000000</v>
      </c>
      <c r="C36" s="24">
        <v>32000000</v>
      </c>
      <c r="D36" s="24">
        <v>39000000</v>
      </c>
      <c r="E36" s="24">
        <v>31000000</v>
      </c>
      <c r="F36" s="24">
        <v>28000000</v>
      </c>
      <c r="G36" s="24">
        <v>30000000</v>
      </c>
      <c r="H36" s="24">
        <v>61000000</v>
      </c>
      <c r="I36" s="24">
        <v>38000000</v>
      </c>
      <c r="J36" s="24">
        <v>27000000</v>
      </c>
    </row>
    <row r="37" spans="1:10" x14ac:dyDescent="0.25">
      <c r="A37" t="s">
        <v>88</v>
      </c>
      <c r="B37" s="24">
        <v>66000000</v>
      </c>
      <c r="C37" s="24">
        <v>64000000</v>
      </c>
      <c r="D37" s="24">
        <v>38000000</v>
      </c>
      <c r="E37" s="24">
        <v>33000000</v>
      </c>
      <c r="F37" s="24">
        <v>29000000</v>
      </c>
      <c r="G37" s="24">
        <v>17000000</v>
      </c>
      <c r="H37" s="24">
        <v>220000000</v>
      </c>
      <c r="I37" s="24">
        <v>10000000</v>
      </c>
      <c r="J37" s="24">
        <v>12000000</v>
      </c>
    </row>
    <row r="38" spans="1:10" x14ac:dyDescent="0.25">
      <c r="A38" t="s">
        <v>287</v>
      </c>
      <c r="B38" s="24">
        <v>8000000</v>
      </c>
      <c r="C38" s="24">
        <v>20000000</v>
      </c>
      <c r="D38" s="24">
        <v>3000000</v>
      </c>
      <c r="E38" s="24">
        <v>5000000</v>
      </c>
      <c r="F38" s="24">
        <v>3000000</v>
      </c>
      <c r="G38" s="24">
        <v>10000000</v>
      </c>
      <c r="H38" s="24">
        <v>11000000</v>
      </c>
      <c r="I38">
        <v>0</v>
      </c>
    </row>
    <row r="39" spans="1:10" x14ac:dyDescent="0.25">
      <c r="A39" t="s">
        <v>89</v>
      </c>
      <c r="B39" s="24">
        <v>170000000</v>
      </c>
      <c r="C39" s="24">
        <v>193000000</v>
      </c>
      <c r="D39" s="24">
        <v>204000000</v>
      </c>
      <c r="E39" s="24">
        <v>201000000</v>
      </c>
      <c r="F39" s="24">
        <v>176000000</v>
      </c>
      <c r="G39" s="24">
        <v>211000000</v>
      </c>
      <c r="H39" s="24">
        <v>243000000</v>
      </c>
      <c r="I39" s="24">
        <v>144000000</v>
      </c>
      <c r="J39" s="24">
        <v>129000000</v>
      </c>
    </row>
    <row r="40" spans="1:10" x14ac:dyDescent="0.25">
      <c r="A40" t="s">
        <v>90</v>
      </c>
      <c r="B40" s="24">
        <v>9000000</v>
      </c>
      <c r="C40" s="24">
        <v>10000000</v>
      </c>
      <c r="D40" s="24">
        <v>9000000</v>
      </c>
      <c r="E40" s="24">
        <v>9000000</v>
      </c>
      <c r="F40" s="24">
        <v>15000000</v>
      </c>
      <c r="G40" s="24">
        <v>6000000</v>
      </c>
      <c r="H40" s="24">
        <v>6000000</v>
      </c>
    </row>
    <row r="41" spans="1:10" x14ac:dyDescent="0.25">
      <c r="A41" t="s">
        <v>91</v>
      </c>
      <c r="B41" s="24">
        <v>46000000</v>
      </c>
      <c r="C41" s="24">
        <v>41000000</v>
      </c>
      <c r="D41" s="24">
        <v>24000000</v>
      </c>
      <c r="E41" s="24">
        <v>25000000</v>
      </c>
      <c r="F41" s="24">
        <v>25000000</v>
      </c>
      <c r="G41" s="24">
        <v>26000000</v>
      </c>
      <c r="H41" s="24">
        <v>21000000</v>
      </c>
      <c r="I41" s="24">
        <v>103000000</v>
      </c>
      <c r="J41" s="24">
        <v>103000000</v>
      </c>
    </row>
    <row r="42" spans="1:10" x14ac:dyDescent="0.25">
      <c r="A42" t="s">
        <v>92</v>
      </c>
      <c r="B42" s="24">
        <v>43000000</v>
      </c>
      <c r="C42" s="24">
        <v>37000000</v>
      </c>
      <c r="D42" s="24">
        <v>20000000</v>
      </c>
      <c r="E42" s="24">
        <v>21000000</v>
      </c>
      <c r="F42" s="24">
        <v>21000000</v>
      </c>
      <c r="G42" s="24">
        <v>21000000</v>
      </c>
      <c r="H42" s="24">
        <v>21000000</v>
      </c>
      <c r="I42" s="24">
        <v>103000000</v>
      </c>
      <c r="J42" s="24">
        <v>103000000</v>
      </c>
    </row>
    <row r="43" spans="1:10" x14ac:dyDescent="0.25">
      <c r="A43" t="s">
        <v>288</v>
      </c>
      <c r="B43" s="24">
        <v>43000000</v>
      </c>
      <c r="C43" s="24">
        <v>37000000</v>
      </c>
      <c r="D43" s="24">
        <v>20000000</v>
      </c>
      <c r="E43" s="24">
        <v>21000000</v>
      </c>
      <c r="F43" s="24">
        <v>21000000</v>
      </c>
      <c r="G43" s="24">
        <v>21000000</v>
      </c>
      <c r="H43" s="24">
        <v>21000000</v>
      </c>
      <c r="I43" s="24">
        <v>103000000</v>
      </c>
      <c r="J43" s="24">
        <v>103000000</v>
      </c>
    </row>
    <row r="44" spans="1:10" x14ac:dyDescent="0.25">
      <c r="A44" t="s">
        <v>215</v>
      </c>
      <c r="B44" s="24">
        <v>3000000</v>
      </c>
      <c r="C44" s="24">
        <v>4000000</v>
      </c>
      <c r="D44" s="24">
        <v>4000000</v>
      </c>
      <c r="E44" s="24">
        <v>4000000</v>
      </c>
      <c r="F44" s="24">
        <v>4000000</v>
      </c>
      <c r="G44" s="24">
        <v>5000000</v>
      </c>
      <c r="H44">
        <v>0</v>
      </c>
    </row>
    <row r="45" spans="1:10" x14ac:dyDescent="0.25">
      <c r="A45" t="s">
        <v>216</v>
      </c>
      <c r="B45" s="24">
        <v>121000000</v>
      </c>
      <c r="C45" s="24">
        <v>91000000</v>
      </c>
      <c r="D45" s="24">
        <v>83000000</v>
      </c>
      <c r="E45" s="24">
        <v>70000000</v>
      </c>
      <c r="F45" s="24">
        <v>71000000</v>
      </c>
      <c r="G45" s="24">
        <v>132000000</v>
      </c>
      <c r="H45" s="24">
        <v>109000000</v>
      </c>
      <c r="I45" s="24">
        <v>84000000</v>
      </c>
      <c r="J45" s="24">
        <v>68000000</v>
      </c>
    </row>
    <row r="46" spans="1:10" x14ac:dyDescent="0.25">
      <c r="A46" t="s">
        <v>217</v>
      </c>
      <c r="B46" s="24">
        <v>121000000</v>
      </c>
      <c r="C46" s="24">
        <v>91000000</v>
      </c>
      <c r="D46" s="24">
        <v>83000000</v>
      </c>
      <c r="E46" s="24">
        <v>70000000</v>
      </c>
      <c r="F46" s="24">
        <v>71000000</v>
      </c>
      <c r="G46" s="24">
        <v>132000000</v>
      </c>
      <c r="H46" s="24">
        <v>109000000</v>
      </c>
      <c r="I46" s="24">
        <v>84000000</v>
      </c>
      <c r="J46" s="24">
        <v>68000000</v>
      </c>
    </row>
    <row r="47" spans="1:10" x14ac:dyDescent="0.25">
      <c r="A47" t="s">
        <v>93</v>
      </c>
      <c r="B47" s="24">
        <v>18000000</v>
      </c>
      <c r="C47" s="24">
        <v>18000000</v>
      </c>
      <c r="D47" s="24">
        <v>15000000</v>
      </c>
      <c r="E47" s="24">
        <v>32000000</v>
      </c>
      <c r="F47" s="24">
        <v>14000000</v>
      </c>
      <c r="G47" s="24">
        <v>36000000</v>
      </c>
      <c r="H47" s="24">
        <v>28000000</v>
      </c>
      <c r="I47" s="24">
        <v>32000000</v>
      </c>
      <c r="J47" s="24">
        <v>33000000</v>
      </c>
    </row>
    <row r="48" spans="1:10" x14ac:dyDescent="0.25">
      <c r="A48" t="s">
        <v>94</v>
      </c>
      <c r="B48" s="24">
        <v>3107000000</v>
      </c>
      <c r="C48" s="24">
        <v>2828000000</v>
      </c>
      <c r="D48" s="24">
        <v>2755000000</v>
      </c>
      <c r="E48" s="24">
        <v>2783000000</v>
      </c>
      <c r="F48" s="24">
        <v>3335000000</v>
      </c>
      <c r="G48" s="24">
        <v>2859000000</v>
      </c>
      <c r="H48" s="24">
        <v>2865000000</v>
      </c>
      <c r="I48" s="24">
        <v>464000000</v>
      </c>
      <c r="J48" s="24">
        <v>500000000</v>
      </c>
    </row>
    <row r="49" spans="1:10" x14ac:dyDescent="0.25">
      <c r="A49" t="s">
        <v>95</v>
      </c>
      <c r="B49" s="24">
        <v>2420000000</v>
      </c>
      <c r="C49" s="24">
        <v>2164000000</v>
      </c>
      <c r="D49" s="24">
        <v>2057000000</v>
      </c>
      <c r="E49" s="24">
        <v>2063000000</v>
      </c>
      <c r="F49" s="24">
        <v>2576000000</v>
      </c>
      <c r="G49" s="24">
        <v>2101000000</v>
      </c>
      <c r="H49" s="24">
        <v>2120000000</v>
      </c>
      <c r="I49" s="24">
        <v>81000000</v>
      </c>
      <c r="J49" s="24">
        <v>71000000</v>
      </c>
    </row>
    <row r="50" spans="1:10" x14ac:dyDescent="0.25">
      <c r="A50" t="s">
        <v>96</v>
      </c>
      <c r="B50" s="24">
        <v>2420000000</v>
      </c>
      <c r="C50" s="24">
        <v>2164000000</v>
      </c>
      <c r="D50" s="24">
        <v>2057000000</v>
      </c>
      <c r="E50" s="24">
        <v>2063000000</v>
      </c>
      <c r="F50" s="24">
        <v>2576000000</v>
      </c>
      <c r="G50" s="24">
        <v>2101000000</v>
      </c>
      <c r="H50" s="24">
        <v>2120000000</v>
      </c>
      <c r="I50" s="24">
        <v>81000000</v>
      </c>
      <c r="J50" s="24">
        <v>71000000</v>
      </c>
    </row>
    <row r="51" spans="1:10" x14ac:dyDescent="0.25">
      <c r="A51" t="s">
        <v>97</v>
      </c>
      <c r="B51" s="24">
        <v>501000000</v>
      </c>
      <c r="C51" s="24">
        <v>492000000</v>
      </c>
      <c r="D51" s="24">
        <v>509000000</v>
      </c>
      <c r="E51" s="24">
        <v>531000000</v>
      </c>
      <c r="F51" s="24">
        <v>517000000</v>
      </c>
      <c r="G51" s="24">
        <v>538000000</v>
      </c>
      <c r="H51" s="24">
        <v>563000000</v>
      </c>
      <c r="I51" s="24">
        <v>337000000</v>
      </c>
      <c r="J51" s="24">
        <v>354000000</v>
      </c>
    </row>
    <row r="52" spans="1:10" x14ac:dyDescent="0.25">
      <c r="A52" t="s">
        <v>98</v>
      </c>
      <c r="B52" s="24">
        <v>332000000</v>
      </c>
      <c r="C52" s="24">
        <v>325000000</v>
      </c>
      <c r="D52" s="24">
        <v>345000000</v>
      </c>
      <c r="E52" s="24">
        <v>366000000</v>
      </c>
      <c r="F52" s="24">
        <v>359000000</v>
      </c>
      <c r="G52" s="24">
        <v>387000000</v>
      </c>
      <c r="H52" s="24">
        <v>399000000</v>
      </c>
      <c r="I52" s="24">
        <v>173000000</v>
      </c>
      <c r="J52" s="24">
        <v>273000000</v>
      </c>
    </row>
    <row r="53" spans="1:10" x14ac:dyDescent="0.25">
      <c r="A53" t="s">
        <v>218</v>
      </c>
      <c r="B53" s="24">
        <v>169000000</v>
      </c>
      <c r="C53" s="24">
        <v>167000000</v>
      </c>
      <c r="D53" s="24">
        <v>164000000</v>
      </c>
      <c r="E53" s="24">
        <v>165000000</v>
      </c>
      <c r="F53" s="24">
        <v>158000000</v>
      </c>
      <c r="G53" s="24">
        <v>151000000</v>
      </c>
      <c r="H53" s="24">
        <v>164000000</v>
      </c>
      <c r="I53" s="24">
        <v>164000000</v>
      </c>
      <c r="J53" s="24">
        <v>81000000</v>
      </c>
    </row>
    <row r="54" spans="1:10" x14ac:dyDescent="0.25">
      <c r="A54" t="s">
        <v>99</v>
      </c>
      <c r="B54" s="24">
        <v>186000000</v>
      </c>
      <c r="C54" s="24">
        <v>172000000</v>
      </c>
      <c r="D54" s="24">
        <v>189000000</v>
      </c>
      <c r="E54" s="24">
        <v>189000000</v>
      </c>
      <c r="F54" s="24">
        <v>242000000</v>
      </c>
      <c r="G54" s="24">
        <v>220000000</v>
      </c>
      <c r="H54" s="24">
        <v>182000000</v>
      </c>
      <c r="I54" s="24">
        <v>46000000</v>
      </c>
      <c r="J54" s="24">
        <v>75000000</v>
      </c>
    </row>
    <row r="55" spans="1:10" x14ac:dyDescent="0.25">
      <c r="A55" t="s">
        <v>100</v>
      </c>
      <c r="B55" s="24">
        <v>650000000</v>
      </c>
      <c r="C55" s="24">
        <v>746000000</v>
      </c>
      <c r="D55" s="24">
        <v>962000000</v>
      </c>
      <c r="E55" s="24">
        <v>1089000000</v>
      </c>
      <c r="F55" s="24">
        <v>963000000</v>
      </c>
      <c r="G55" s="24">
        <v>1212000000</v>
      </c>
      <c r="H55" s="24">
        <v>1418000000</v>
      </c>
      <c r="I55" s="24">
        <v>1262000000</v>
      </c>
      <c r="J55" s="24">
        <v>1111000000</v>
      </c>
    </row>
    <row r="56" spans="1:10" x14ac:dyDescent="0.25">
      <c r="A56" t="s">
        <v>101</v>
      </c>
      <c r="B56" s="24">
        <v>650000000</v>
      </c>
      <c r="C56" s="24">
        <v>746000000</v>
      </c>
      <c r="D56" s="24">
        <v>962000000</v>
      </c>
      <c r="E56" s="24">
        <v>1089000000</v>
      </c>
      <c r="F56" s="24">
        <v>963000000</v>
      </c>
      <c r="G56" s="24">
        <v>1212000000</v>
      </c>
      <c r="H56" s="24">
        <v>1418000000</v>
      </c>
      <c r="I56" s="24">
        <v>1262000000</v>
      </c>
      <c r="J56" s="24">
        <v>1111000000</v>
      </c>
    </row>
    <row r="57" spans="1:10" x14ac:dyDescent="0.25">
      <c r="A57" t="s">
        <v>102</v>
      </c>
      <c r="B57" s="24">
        <v>1000000</v>
      </c>
      <c r="C57" s="24">
        <v>1000000</v>
      </c>
      <c r="D57" s="24">
        <v>1000000</v>
      </c>
      <c r="E57" s="24">
        <v>1000000</v>
      </c>
      <c r="F57" s="24">
        <v>1000000</v>
      </c>
      <c r="G57" s="24">
        <v>1000000</v>
      </c>
      <c r="H57" s="24">
        <v>1000000</v>
      </c>
      <c r="I57">
        <v>0</v>
      </c>
      <c r="J57" s="24">
        <v>1111000000</v>
      </c>
    </row>
    <row r="58" spans="1:10" x14ac:dyDescent="0.25">
      <c r="A58" t="s">
        <v>289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</row>
    <row r="59" spans="1:10" x14ac:dyDescent="0.25">
      <c r="A59" t="s">
        <v>103</v>
      </c>
      <c r="B59" s="24">
        <v>1000000</v>
      </c>
      <c r="C59" s="24">
        <v>1000000</v>
      </c>
      <c r="D59" s="24">
        <v>1000000</v>
      </c>
      <c r="E59" s="24">
        <v>1000000</v>
      </c>
      <c r="F59" s="24">
        <v>1000000</v>
      </c>
      <c r="G59" s="24">
        <v>1000000</v>
      </c>
      <c r="H59" s="24">
        <v>1000000</v>
      </c>
      <c r="I59">
        <v>0</v>
      </c>
      <c r="J59" s="24">
        <v>1111000000</v>
      </c>
    </row>
    <row r="60" spans="1:10" x14ac:dyDescent="0.25">
      <c r="A60" t="s">
        <v>104</v>
      </c>
      <c r="B60" s="24">
        <v>1647000000</v>
      </c>
      <c r="C60" s="24">
        <v>1599000000</v>
      </c>
      <c r="D60" s="24">
        <v>1569000000</v>
      </c>
      <c r="E60" s="24">
        <v>1543000000</v>
      </c>
      <c r="F60" s="24">
        <v>1504000000</v>
      </c>
      <c r="G60" s="24">
        <v>1488000000</v>
      </c>
      <c r="H60" s="24">
        <v>1475000000</v>
      </c>
      <c r="I60">
        <v>0</v>
      </c>
    </row>
    <row r="61" spans="1:10" x14ac:dyDescent="0.25">
      <c r="A61" t="s">
        <v>105</v>
      </c>
      <c r="B61" s="24">
        <v>654000000</v>
      </c>
      <c r="C61" s="24">
        <v>488000000</v>
      </c>
      <c r="D61" s="24">
        <v>318000000</v>
      </c>
      <c r="E61" s="24">
        <v>79000000</v>
      </c>
      <c r="F61" s="24">
        <v>-82000000</v>
      </c>
      <c r="G61" s="24">
        <v>113000000</v>
      </c>
      <c r="H61" s="24">
        <v>69000000</v>
      </c>
      <c r="I61">
        <v>0</v>
      </c>
    </row>
    <row r="62" spans="1:10" x14ac:dyDescent="0.25">
      <c r="A62" t="s">
        <v>106</v>
      </c>
      <c r="B62" s="24">
        <v>1669000000</v>
      </c>
      <c r="C62" s="24">
        <v>1361000000</v>
      </c>
      <c r="D62" s="24">
        <v>964000000</v>
      </c>
      <c r="E62" s="24">
        <v>519000000</v>
      </c>
      <c r="F62" s="24">
        <v>408000000</v>
      </c>
      <c r="G62" s="24">
        <v>363000000</v>
      </c>
      <c r="H62" s="24">
        <v>119000000</v>
      </c>
      <c r="I62">
        <v>0</v>
      </c>
    </row>
    <row r="63" spans="1:10" x14ac:dyDescent="0.25">
      <c r="A63" t="s">
        <v>107</v>
      </c>
      <c r="B63" s="24">
        <v>17000000</v>
      </c>
      <c r="C63" s="24">
        <v>19000000</v>
      </c>
      <c r="D63" s="24">
        <v>38000000</v>
      </c>
      <c r="E63" s="24">
        <v>-15000000</v>
      </c>
      <c r="F63" s="24">
        <v>-52000000</v>
      </c>
      <c r="G63" s="24">
        <v>-27000000</v>
      </c>
      <c r="H63" s="24">
        <v>-8000000</v>
      </c>
      <c r="I63" s="24">
        <v>5000000</v>
      </c>
      <c r="J63">
        <v>0</v>
      </c>
    </row>
    <row r="64" spans="1:10" x14ac:dyDescent="0.25">
      <c r="A64" t="s">
        <v>290</v>
      </c>
      <c r="D64" s="24">
        <v>-3000000</v>
      </c>
      <c r="E64" s="24">
        <v>2000000</v>
      </c>
    </row>
    <row r="65" spans="1:10" x14ac:dyDescent="0.25">
      <c r="A65" t="s">
        <v>291</v>
      </c>
      <c r="B65" s="24">
        <v>17000000</v>
      </c>
      <c r="C65" s="24">
        <v>19000000</v>
      </c>
      <c r="D65" s="24">
        <v>38000000</v>
      </c>
      <c r="E65" s="24">
        <v>-17000000</v>
      </c>
      <c r="F65" s="24">
        <v>-52000000</v>
      </c>
      <c r="G65" s="24">
        <v>-27000000</v>
      </c>
      <c r="H65" s="24">
        <v>-8000000</v>
      </c>
      <c r="I65" s="24">
        <v>5000000</v>
      </c>
    </row>
    <row r="66" spans="1:10" x14ac:dyDescent="0.25">
      <c r="A66" t="s">
        <v>108</v>
      </c>
      <c r="I66" s="24">
        <v>1257000000</v>
      </c>
    </row>
    <row r="67" spans="1:10" x14ac:dyDescent="0.25">
      <c r="A67" t="s">
        <v>109</v>
      </c>
      <c r="B67" s="24">
        <v>3070000000</v>
      </c>
      <c r="C67" s="24">
        <v>2910000000</v>
      </c>
      <c r="D67" s="24">
        <v>3019000000</v>
      </c>
      <c r="E67" s="24">
        <v>3152000000</v>
      </c>
      <c r="F67" s="24">
        <v>3539000000</v>
      </c>
      <c r="G67" s="24">
        <v>3313000000</v>
      </c>
      <c r="H67" s="24">
        <v>3538000000</v>
      </c>
      <c r="I67" s="24">
        <v>1343000000</v>
      </c>
      <c r="J67" s="24">
        <v>1182000000</v>
      </c>
    </row>
    <row r="68" spans="1:10" x14ac:dyDescent="0.25">
      <c r="A68" t="s">
        <v>110</v>
      </c>
      <c r="B68" s="24">
        <v>650000000</v>
      </c>
      <c r="C68" s="24">
        <v>746000000</v>
      </c>
      <c r="D68" s="24">
        <v>962000000</v>
      </c>
      <c r="E68" s="24">
        <v>1089000000</v>
      </c>
      <c r="F68" s="24">
        <v>963000000</v>
      </c>
      <c r="G68" s="24">
        <v>1212000000</v>
      </c>
      <c r="H68" s="24">
        <v>1418000000</v>
      </c>
      <c r="I68" s="24">
        <v>1262000000</v>
      </c>
      <c r="J68" s="24">
        <v>1111000000</v>
      </c>
    </row>
    <row r="69" spans="1:10" x14ac:dyDescent="0.25">
      <c r="A69" t="s">
        <v>219</v>
      </c>
      <c r="B69" s="24">
        <v>3000000</v>
      </c>
      <c r="C69" s="24">
        <v>4000000</v>
      </c>
      <c r="D69" s="24">
        <v>4000000</v>
      </c>
      <c r="E69" s="24">
        <v>4000000</v>
      </c>
      <c r="F69" s="24">
        <v>4000000</v>
      </c>
      <c r="G69" s="24">
        <v>5000000</v>
      </c>
      <c r="H69">
        <v>0</v>
      </c>
    </row>
    <row r="70" spans="1:10" x14ac:dyDescent="0.25">
      <c r="A70" t="s">
        <v>111</v>
      </c>
      <c r="B70" s="24">
        <v>-2423000000</v>
      </c>
      <c r="C70" s="24">
        <v>-2358000000</v>
      </c>
      <c r="D70" s="24">
        <v>-2170000000</v>
      </c>
      <c r="E70" s="24">
        <v>-2111000000</v>
      </c>
      <c r="F70" s="24">
        <v>-2277000000</v>
      </c>
      <c r="G70" s="24">
        <v>-2273000000</v>
      </c>
      <c r="H70" s="24">
        <v>-2116000000</v>
      </c>
      <c r="I70" s="24">
        <v>-104000000</v>
      </c>
      <c r="J70" s="24">
        <v>-148000000</v>
      </c>
    </row>
    <row r="71" spans="1:10" x14ac:dyDescent="0.25">
      <c r="A71" t="s">
        <v>112</v>
      </c>
      <c r="B71" s="24">
        <v>1000000</v>
      </c>
      <c r="C71" s="24">
        <v>-86000000</v>
      </c>
      <c r="D71" s="24">
        <v>139000000</v>
      </c>
      <c r="E71" s="24">
        <v>323000000</v>
      </c>
      <c r="F71" s="24">
        <v>554000000</v>
      </c>
      <c r="G71" s="24">
        <v>37000000</v>
      </c>
      <c r="H71" s="24">
        <v>158000000</v>
      </c>
      <c r="I71" s="24">
        <v>-77000000</v>
      </c>
      <c r="J71" s="24">
        <v>-117000000</v>
      </c>
    </row>
    <row r="72" spans="1:10" x14ac:dyDescent="0.25">
      <c r="A72" t="s">
        <v>113</v>
      </c>
      <c r="B72" s="24">
        <v>3113000000</v>
      </c>
      <c r="C72" s="24">
        <v>2947000000</v>
      </c>
      <c r="D72" s="24">
        <v>3039000000</v>
      </c>
      <c r="E72" s="24">
        <v>3173000000</v>
      </c>
      <c r="F72" s="24">
        <v>3560000000</v>
      </c>
      <c r="G72" s="24">
        <v>3334000000</v>
      </c>
      <c r="H72" s="24">
        <v>3559000000</v>
      </c>
      <c r="I72" s="24">
        <v>1446000000</v>
      </c>
      <c r="J72" s="24">
        <v>1285000000</v>
      </c>
    </row>
    <row r="73" spans="1:10" x14ac:dyDescent="0.25">
      <c r="A73" t="s">
        <v>114</v>
      </c>
      <c r="B73" s="24">
        <v>-2423000000</v>
      </c>
      <c r="C73" s="24">
        <v>-2358000000</v>
      </c>
      <c r="D73" s="24">
        <v>-2170000000</v>
      </c>
      <c r="E73" s="24">
        <v>-2111000000</v>
      </c>
      <c r="F73" s="24">
        <v>-2277000000</v>
      </c>
      <c r="G73" s="24">
        <v>-2273000000</v>
      </c>
      <c r="H73" s="24">
        <v>-2116000000</v>
      </c>
      <c r="I73" s="24">
        <v>-104000000</v>
      </c>
      <c r="J73" s="24">
        <v>-148000000</v>
      </c>
    </row>
    <row r="74" spans="1:10" x14ac:dyDescent="0.25">
      <c r="A74" t="s">
        <v>115</v>
      </c>
      <c r="B74" s="24">
        <v>2466000000</v>
      </c>
      <c r="C74" s="24">
        <v>2205000000</v>
      </c>
      <c r="D74" s="24">
        <v>2081000000</v>
      </c>
      <c r="E74" s="24">
        <v>2088000000</v>
      </c>
      <c r="F74" s="24">
        <v>2601000000</v>
      </c>
      <c r="G74" s="24">
        <v>2127000000</v>
      </c>
      <c r="H74" s="24">
        <v>2141000000</v>
      </c>
      <c r="I74" s="24">
        <v>184000000</v>
      </c>
      <c r="J74" s="24">
        <v>174000000</v>
      </c>
    </row>
    <row r="75" spans="1:10" x14ac:dyDescent="0.25">
      <c r="A75" t="s">
        <v>116</v>
      </c>
      <c r="B75" s="24">
        <v>2360000000</v>
      </c>
      <c r="C75" s="24">
        <v>2135000000</v>
      </c>
      <c r="D75" s="24">
        <v>1916000000</v>
      </c>
      <c r="E75" s="24">
        <v>1913000000</v>
      </c>
      <c r="F75" s="24">
        <v>2104000000</v>
      </c>
      <c r="G75" s="24">
        <v>2028000000</v>
      </c>
      <c r="H75" s="24">
        <v>1775000000</v>
      </c>
      <c r="I75" s="24">
        <v>127000000</v>
      </c>
      <c r="J75" s="24">
        <v>146000000</v>
      </c>
    </row>
    <row r="76" spans="1:10" x14ac:dyDescent="0.25">
      <c r="A76" t="s">
        <v>117</v>
      </c>
      <c r="B76" s="24">
        <v>102800000</v>
      </c>
      <c r="C76" s="24">
        <v>102100000</v>
      </c>
      <c r="D76" s="24">
        <v>101600000</v>
      </c>
      <c r="E76" s="24">
        <v>101300000</v>
      </c>
      <c r="F76" s="24">
        <v>100800000</v>
      </c>
      <c r="G76" s="24">
        <v>100600000</v>
      </c>
      <c r="H76" s="24">
        <v>100360236</v>
      </c>
      <c r="I76" s="24">
        <v>99782991</v>
      </c>
      <c r="J76" s="24">
        <v>99782991</v>
      </c>
    </row>
    <row r="77" spans="1:10" x14ac:dyDescent="0.25">
      <c r="A77" t="s">
        <v>118</v>
      </c>
      <c r="B77" s="24">
        <v>78000000</v>
      </c>
      <c r="C77" s="24">
        <v>81400000</v>
      </c>
      <c r="D77" s="24">
        <v>86400000</v>
      </c>
      <c r="E77" s="24">
        <v>92300000</v>
      </c>
      <c r="F77" s="24">
        <v>93100000</v>
      </c>
      <c r="G77" s="24">
        <v>93800000</v>
      </c>
      <c r="H77" s="24">
        <v>98091067</v>
      </c>
      <c r="I77" s="24">
        <v>99782991</v>
      </c>
      <c r="J77" s="24">
        <v>99782991</v>
      </c>
    </row>
    <row r="78" spans="1:10" x14ac:dyDescent="0.25">
      <c r="A78" t="s">
        <v>119</v>
      </c>
      <c r="B78" s="24">
        <v>24800000</v>
      </c>
      <c r="C78" s="24">
        <v>20700000</v>
      </c>
      <c r="D78" s="24">
        <v>15200000</v>
      </c>
      <c r="E78" s="24">
        <v>9000000</v>
      </c>
      <c r="F78" s="24">
        <v>7700000</v>
      </c>
      <c r="G78" s="24">
        <v>6800000</v>
      </c>
      <c r="H78" s="24">
        <v>2269169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210CA-DBDD-4DAD-9627-61CE4FEC251A}">
  <dimension ref="A1:K56"/>
  <sheetViews>
    <sheetView topLeftCell="A29" workbookViewId="0">
      <selection activeCell="B48" sqref="B48"/>
    </sheetView>
  </sheetViews>
  <sheetFormatPr defaultRowHeight="15" x14ac:dyDescent="0.25"/>
  <cols>
    <col min="1" max="1" width="49.42578125" bestFit="1" customWidth="1"/>
    <col min="2" max="3" width="12.42578125" bestFit="1" customWidth="1"/>
    <col min="4" max="4" width="13.5703125" bestFit="1" customWidth="1"/>
    <col min="5" max="11" width="12.42578125" bestFit="1" customWidth="1"/>
  </cols>
  <sheetData>
    <row r="1" spans="1:11" x14ac:dyDescent="0.25">
      <c r="A1" t="s">
        <v>123</v>
      </c>
      <c r="B1" s="25">
        <v>45657</v>
      </c>
      <c r="C1" s="25">
        <v>45291</v>
      </c>
      <c r="D1" s="25">
        <v>44926</v>
      </c>
      <c r="E1" s="25">
        <v>44561</v>
      </c>
      <c r="F1" s="25">
        <v>44196</v>
      </c>
      <c r="G1" s="25">
        <v>43830</v>
      </c>
      <c r="H1" s="25">
        <v>43465</v>
      </c>
      <c r="I1" s="25">
        <v>43100</v>
      </c>
      <c r="J1" s="25">
        <v>42735</v>
      </c>
      <c r="K1" s="25">
        <v>42369</v>
      </c>
    </row>
    <row r="2" spans="1:11" x14ac:dyDescent="0.25">
      <c r="A2" t="s">
        <v>124</v>
      </c>
      <c r="B2" s="24">
        <v>1408000000</v>
      </c>
      <c r="C2" s="24">
        <v>1397000000</v>
      </c>
      <c r="D2" s="24">
        <v>1498000000</v>
      </c>
      <c r="E2" s="24">
        <v>1565000000</v>
      </c>
      <c r="F2" s="24">
        <v>1300000000</v>
      </c>
      <c r="G2" s="24">
        <v>2053000000</v>
      </c>
      <c r="H2" s="24">
        <v>1868000000</v>
      </c>
      <c r="I2" s="24">
        <v>1280000000</v>
      </c>
      <c r="J2" s="24">
        <v>1269000000</v>
      </c>
      <c r="K2" s="24">
        <v>1301000000</v>
      </c>
    </row>
    <row r="3" spans="1:11" x14ac:dyDescent="0.25">
      <c r="A3" t="s">
        <v>125</v>
      </c>
      <c r="B3" s="24">
        <v>1247000000</v>
      </c>
      <c r="C3" s="24">
        <v>1236000000</v>
      </c>
      <c r="D3" s="24">
        <v>1213000000</v>
      </c>
      <c r="E3" s="24">
        <v>1125000000</v>
      </c>
      <c r="F3" s="24">
        <v>846000000</v>
      </c>
      <c r="G3" s="24">
        <v>1298000000</v>
      </c>
      <c r="H3" s="24">
        <v>1167000000</v>
      </c>
      <c r="I3" s="24">
        <v>918000000</v>
      </c>
      <c r="J3" s="24">
        <v>901000000</v>
      </c>
      <c r="K3" s="24">
        <v>925000000</v>
      </c>
    </row>
    <row r="4" spans="1:11" x14ac:dyDescent="0.25">
      <c r="A4" t="s">
        <v>126</v>
      </c>
      <c r="C4" s="24">
        <v>582000000</v>
      </c>
      <c r="D4" s="24">
        <v>668000000</v>
      </c>
      <c r="E4" s="24">
        <v>770000000</v>
      </c>
      <c r="F4" s="24">
        <v>769000000</v>
      </c>
      <c r="G4" s="24">
        <v>1186000000</v>
      </c>
      <c r="H4" s="24">
        <v>1072000000</v>
      </c>
      <c r="I4" s="24">
        <v>637000000</v>
      </c>
      <c r="J4" s="24">
        <v>647000000</v>
      </c>
      <c r="K4" s="24">
        <v>690000000</v>
      </c>
    </row>
    <row r="5" spans="1:11" x14ac:dyDescent="0.25">
      <c r="A5" t="s">
        <v>127</v>
      </c>
      <c r="C5" s="24">
        <v>815000000</v>
      </c>
      <c r="D5" s="24">
        <v>830000000</v>
      </c>
      <c r="E5" s="24">
        <v>795000000</v>
      </c>
      <c r="F5" s="24">
        <v>531000000</v>
      </c>
      <c r="G5" s="24">
        <v>867000000</v>
      </c>
      <c r="H5" s="24">
        <v>796000000</v>
      </c>
      <c r="I5" s="24">
        <v>643000000</v>
      </c>
      <c r="J5" s="24">
        <v>622000000</v>
      </c>
      <c r="K5" s="24">
        <v>611000000</v>
      </c>
    </row>
    <row r="6" spans="1:11" x14ac:dyDescent="0.25">
      <c r="A6" t="s">
        <v>128</v>
      </c>
      <c r="B6" s="24">
        <v>850000000</v>
      </c>
      <c r="C6" s="24">
        <v>882000000</v>
      </c>
      <c r="D6" s="24">
        <v>974000000</v>
      </c>
      <c r="E6" s="24">
        <v>1110000000</v>
      </c>
      <c r="F6" s="24">
        <v>1092000000</v>
      </c>
      <c r="G6" s="24">
        <v>1589000000</v>
      </c>
      <c r="H6" s="24">
        <v>1472000000</v>
      </c>
      <c r="I6" s="24">
        <v>983000000</v>
      </c>
      <c r="J6" s="24">
        <v>971000000</v>
      </c>
      <c r="K6" s="24">
        <v>1038000000</v>
      </c>
    </row>
    <row r="7" spans="1:11" x14ac:dyDescent="0.25">
      <c r="A7" t="s">
        <v>129</v>
      </c>
      <c r="B7" s="24">
        <v>694000000</v>
      </c>
      <c r="C7" s="24">
        <v>699000000</v>
      </c>
      <c r="D7" s="24">
        <v>647000000</v>
      </c>
      <c r="E7" s="24">
        <v>563000000</v>
      </c>
      <c r="F7" s="24">
        <v>535000000</v>
      </c>
      <c r="G7" s="24">
        <v>693000000</v>
      </c>
      <c r="H7" s="24">
        <v>605000000</v>
      </c>
      <c r="I7" s="24">
        <v>461000000</v>
      </c>
      <c r="J7" s="24">
        <v>459000000</v>
      </c>
      <c r="K7" s="24">
        <v>508000000</v>
      </c>
    </row>
    <row r="8" spans="1:11" x14ac:dyDescent="0.25">
      <c r="A8" t="s">
        <v>130</v>
      </c>
      <c r="B8" s="24">
        <v>130000000</v>
      </c>
      <c r="C8" s="24">
        <v>130000000</v>
      </c>
      <c r="D8" s="24">
        <v>123000000</v>
      </c>
      <c r="E8" s="24">
        <v>113000000</v>
      </c>
      <c r="F8" s="24">
        <v>116000000</v>
      </c>
      <c r="G8" s="24">
        <v>130000000</v>
      </c>
      <c r="H8" s="24">
        <v>119000000</v>
      </c>
      <c r="I8" s="24">
        <v>88000000</v>
      </c>
      <c r="J8" s="24">
        <v>83000000</v>
      </c>
      <c r="K8" s="24">
        <v>90000000</v>
      </c>
    </row>
    <row r="9" spans="1:11" x14ac:dyDescent="0.25">
      <c r="A9" t="s">
        <v>131</v>
      </c>
      <c r="F9" s="24">
        <v>2000000</v>
      </c>
      <c r="G9" s="24">
        <v>22000000</v>
      </c>
      <c r="H9" s="24">
        <v>77000000</v>
      </c>
      <c r="I9" s="24">
        <v>3000000</v>
      </c>
      <c r="J9">
        <v>0</v>
      </c>
      <c r="K9">
        <v>0</v>
      </c>
    </row>
    <row r="10" spans="1:11" x14ac:dyDescent="0.25">
      <c r="A10" t="s">
        <v>132</v>
      </c>
      <c r="B10" s="24">
        <v>130000000</v>
      </c>
      <c r="C10" s="24">
        <v>130000000</v>
      </c>
      <c r="D10" s="24">
        <v>123000000</v>
      </c>
      <c r="E10" s="24">
        <v>113000000</v>
      </c>
      <c r="F10" s="24">
        <v>116000000</v>
      </c>
      <c r="G10" s="24">
        <v>130000000</v>
      </c>
      <c r="H10" s="24">
        <v>119000000</v>
      </c>
      <c r="I10" s="24">
        <v>88000000</v>
      </c>
      <c r="J10" s="24">
        <v>83000000</v>
      </c>
      <c r="K10" s="24">
        <v>90000000</v>
      </c>
    </row>
    <row r="11" spans="1:11" x14ac:dyDescent="0.25">
      <c r="A11" t="s">
        <v>273</v>
      </c>
      <c r="B11" s="24">
        <v>564000000</v>
      </c>
      <c r="C11" s="24">
        <v>569000000</v>
      </c>
      <c r="D11" s="24">
        <v>524000000</v>
      </c>
      <c r="E11" s="24">
        <v>450000000</v>
      </c>
      <c r="F11" s="24">
        <v>419000000</v>
      </c>
      <c r="G11" s="24">
        <v>563000000</v>
      </c>
      <c r="H11" s="24">
        <v>486000000</v>
      </c>
      <c r="I11" s="24">
        <v>373000000</v>
      </c>
      <c r="J11" s="24">
        <v>376000000</v>
      </c>
      <c r="K11" s="24">
        <v>418000000</v>
      </c>
    </row>
    <row r="12" spans="1:11" x14ac:dyDescent="0.25">
      <c r="A12" t="s">
        <v>133</v>
      </c>
      <c r="B12" s="24">
        <v>71000000</v>
      </c>
      <c r="C12" s="24">
        <v>76000000</v>
      </c>
      <c r="D12" s="24">
        <v>77000000</v>
      </c>
      <c r="E12" s="24">
        <v>95000000</v>
      </c>
      <c r="F12" s="24">
        <v>98000000</v>
      </c>
      <c r="G12" s="24">
        <v>109000000</v>
      </c>
      <c r="H12" s="24">
        <v>99000000</v>
      </c>
      <c r="I12" s="24">
        <v>75000000</v>
      </c>
      <c r="J12" s="24">
        <v>73000000</v>
      </c>
      <c r="K12" s="24">
        <v>67000000</v>
      </c>
    </row>
    <row r="13" spans="1:11" x14ac:dyDescent="0.25">
      <c r="A13" t="s">
        <v>134</v>
      </c>
      <c r="B13" s="24">
        <v>71000000</v>
      </c>
      <c r="C13" s="24">
        <v>76000000</v>
      </c>
      <c r="D13" s="24">
        <v>77000000</v>
      </c>
      <c r="E13" s="24">
        <v>95000000</v>
      </c>
      <c r="F13" s="24">
        <v>98000000</v>
      </c>
      <c r="G13" s="24">
        <v>109000000</v>
      </c>
      <c r="H13" s="24">
        <v>99000000</v>
      </c>
      <c r="I13" s="24">
        <v>75000000</v>
      </c>
      <c r="J13" s="24">
        <v>73000000</v>
      </c>
      <c r="K13" s="24">
        <v>67000000</v>
      </c>
    </row>
    <row r="14" spans="1:11" x14ac:dyDescent="0.25">
      <c r="A14" t="s">
        <v>135</v>
      </c>
      <c r="B14" s="24">
        <v>85000000</v>
      </c>
      <c r="C14" s="24">
        <v>107000000</v>
      </c>
      <c r="D14" s="24">
        <v>250000000</v>
      </c>
      <c r="E14" s="24">
        <v>452000000</v>
      </c>
      <c r="F14" s="24">
        <v>459000000</v>
      </c>
      <c r="G14" s="24">
        <v>787000000</v>
      </c>
      <c r="H14" s="24">
        <v>768000000</v>
      </c>
      <c r="I14" s="24">
        <v>447000000</v>
      </c>
      <c r="J14" s="24">
        <v>439000000</v>
      </c>
      <c r="K14" s="24">
        <v>463000000</v>
      </c>
    </row>
    <row r="15" spans="1:11" x14ac:dyDescent="0.25">
      <c r="A15" t="s">
        <v>136</v>
      </c>
      <c r="B15" s="24">
        <v>558000000</v>
      </c>
      <c r="C15" s="24">
        <v>515000000</v>
      </c>
      <c r="D15" s="24">
        <v>524000000</v>
      </c>
      <c r="E15" s="24">
        <v>455000000</v>
      </c>
      <c r="F15" s="24">
        <v>208000000</v>
      </c>
      <c r="G15" s="24">
        <v>464000000</v>
      </c>
      <c r="H15" s="24">
        <v>396000000</v>
      </c>
      <c r="I15" s="24">
        <v>297000000</v>
      </c>
      <c r="J15" s="24">
        <v>298000000</v>
      </c>
      <c r="K15" s="24">
        <v>263000000</v>
      </c>
    </row>
    <row r="16" spans="1:11" x14ac:dyDescent="0.25">
      <c r="A16" t="s">
        <v>137</v>
      </c>
      <c r="B16" s="24">
        <v>-124000000</v>
      </c>
      <c r="C16" s="24">
        <v>-102000000</v>
      </c>
      <c r="D16" s="24">
        <v>-80000000</v>
      </c>
      <c r="E16" s="24">
        <v>-93000000</v>
      </c>
      <c r="F16" s="24">
        <v>-112000000</v>
      </c>
      <c r="G16" s="24">
        <v>-100000000</v>
      </c>
      <c r="H16" s="24">
        <v>-60000000</v>
      </c>
      <c r="I16" s="24">
        <v>-6000000</v>
      </c>
      <c r="J16" s="24">
        <v>-1000000</v>
      </c>
      <c r="K16" s="24">
        <v>-1000000</v>
      </c>
    </row>
    <row r="17" spans="1:11" x14ac:dyDescent="0.25">
      <c r="A17" t="s">
        <v>274</v>
      </c>
      <c r="B17" s="24">
        <v>5000000</v>
      </c>
      <c r="C17" s="24">
        <v>6000000</v>
      </c>
      <c r="D17" s="24">
        <v>5000000</v>
      </c>
      <c r="E17" s="24">
        <v>1000000</v>
      </c>
      <c r="F17" s="24">
        <v>2000000</v>
      </c>
      <c r="G17" s="24">
        <v>4000000</v>
      </c>
    </row>
    <row r="18" spans="1:11" x14ac:dyDescent="0.25">
      <c r="A18" t="s">
        <v>138</v>
      </c>
      <c r="B18" s="24">
        <v>129000000</v>
      </c>
      <c r="C18" s="24">
        <v>108000000</v>
      </c>
      <c r="D18" s="24">
        <v>85000000</v>
      </c>
      <c r="E18" s="24">
        <v>94000000</v>
      </c>
      <c r="F18" s="24">
        <v>114000000</v>
      </c>
      <c r="G18" s="24">
        <v>104000000</v>
      </c>
      <c r="H18" s="24">
        <v>60000000</v>
      </c>
      <c r="I18" s="24">
        <v>6000000</v>
      </c>
      <c r="J18" s="24">
        <v>1000000</v>
      </c>
      <c r="K18" s="24">
        <v>1000000</v>
      </c>
    </row>
    <row r="19" spans="1:11" x14ac:dyDescent="0.25">
      <c r="A19" t="s">
        <v>275</v>
      </c>
      <c r="G19" s="24">
        <v>100000000</v>
      </c>
      <c r="H19" s="24">
        <v>60000000</v>
      </c>
      <c r="I19" s="24">
        <v>6000000</v>
      </c>
      <c r="J19" s="24">
        <v>1000000</v>
      </c>
      <c r="K19" s="24">
        <v>1000000</v>
      </c>
    </row>
    <row r="20" spans="1:11" x14ac:dyDescent="0.25">
      <c r="A20" t="s">
        <v>139</v>
      </c>
      <c r="B20" s="24">
        <v>-66000000</v>
      </c>
      <c r="C20" s="24">
        <v>-15000000</v>
      </c>
      <c r="D20" s="24">
        <v>32000000</v>
      </c>
      <c r="E20" s="24">
        <v>-27000000</v>
      </c>
      <c r="F20" s="24">
        <v>-254000000</v>
      </c>
      <c r="G20" s="24">
        <v>-157000000</v>
      </c>
      <c r="H20" s="24">
        <v>-113000000</v>
      </c>
      <c r="I20" s="24">
        <v>-48000000</v>
      </c>
      <c r="J20" s="24">
        <v>-3000000</v>
      </c>
      <c r="K20" s="24">
        <v>-13000000</v>
      </c>
    </row>
    <row r="21" spans="1:11" x14ac:dyDescent="0.25">
      <c r="A21" t="s">
        <v>140</v>
      </c>
      <c r="B21" s="24">
        <v>-66000000</v>
      </c>
      <c r="C21" s="24">
        <v>-15000000</v>
      </c>
      <c r="D21" s="24">
        <v>32000000</v>
      </c>
      <c r="E21" s="24">
        <v>-27000000</v>
      </c>
      <c r="F21" s="24">
        <v>-254000000</v>
      </c>
      <c r="G21" s="24">
        <v>-157000000</v>
      </c>
      <c r="H21" s="24">
        <v>-113000000</v>
      </c>
      <c r="I21" s="24">
        <v>-48000000</v>
      </c>
      <c r="J21" s="24">
        <v>-3000000</v>
      </c>
      <c r="K21" s="24">
        <v>-13000000</v>
      </c>
    </row>
    <row r="22" spans="1:11" x14ac:dyDescent="0.25">
      <c r="A22" t="s">
        <v>209</v>
      </c>
      <c r="B22" s="24">
        <v>51000000</v>
      </c>
      <c r="C22" s="24">
        <v>12000000</v>
      </c>
      <c r="D22" s="24">
        <v>1000000</v>
      </c>
      <c r="E22" s="24">
        <v>3000000</v>
      </c>
      <c r="F22" s="24">
        <v>48000000</v>
      </c>
      <c r="G22" s="24">
        <v>70000000</v>
      </c>
      <c r="H22" s="24">
        <v>113000000</v>
      </c>
      <c r="I22" s="24">
        <v>7000000</v>
      </c>
      <c r="J22" s="24">
        <v>3000000</v>
      </c>
      <c r="K22" s="24">
        <v>6000000</v>
      </c>
    </row>
    <row r="23" spans="1:11" x14ac:dyDescent="0.25">
      <c r="A23" t="s">
        <v>141</v>
      </c>
      <c r="C23">
        <v>0</v>
      </c>
      <c r="D23">
        <v>0</v>
      </c>
      <c r="E23" s="24">
        <v>6000000</v>
      </c>
      <c r="F23" s="24">
        <v>206000000</v>
      </c>
      <c r="G23" s="24">
        <v>45000000</v>
      </c>
      <c r="H23">
        <v>0</v>
      </c>
      <c r="I23" s="24">
        <v>41000000</v>
      </c>
      <c r="J23">
        <v>0</v>
      </c>
      <c r="K23" s="24">
        <v>7000000</v>
      </c>
    </row>
    <row r="24" spans="1:11" x14ac:dyDescent="0.25">
      <c r="A24" t="s">
        <v>210</v>
      </c>
      <c r="B24" s="24">
        <v>12000000</v>
      </c>
      <c r="C24">
        <v>0</v>
      </c>
      <c r="D24">
        <v>0</v>
      </c>
      <c r="E24" s="24">
        <v>6000000</v>
      </c>
      <c r="F24" s="24">
        <v>206000000</v>
      </c>
      <c r="G24" s="24">
        <v>45000000</v>
      </c>
      <c r="H24">
        <v>0</v>
      </c>
      <c r="I24" s="24">
        <v>41000000</v>
      </c>
      <c r="J24">
        <v>0</v>
      </c>
      <c r="K24" s="24">
        <v>7000000</v>
      </c>
    </row>
    <row r="25" spans="1:11" x14ac:dyDescent="0.25">
      <c r="A25" t="s">
        <v>142</v>
      </c>
      <c r="B25" s="24">
        <v>3000000</v>
      </c>
      <c r="C25" s="24">
        <v>3000000</v>
      </c>
      <c r="D25" s="24">
        <v>2000000</v>
      </c>
      <c r="E25" s="24">
        <v>18000000</v>
      </c>
      <c r="G25" s="24">
        <v>42000000</v>
      </c>
    </row>
    <row r="26" spans="1:11" x14ac:dyDescent="0.25">
      <c r="A26" t="s">
        <v>276</v>
      </c>
      <c r="F26" s="24">
        <v>-2000000</v>
      </c>
      <c r="G26" s="24">
        <v>-22000000</v>
      </c>
      <c r="H26" s="24">
        <v>-77000000</v>
      </c>
      <c r="I26" s="24">
        <v>-3000000</v>
      </c>
      <c r="J26">
        <v>0</v>
      </c>
      <c r="K26">
        <v>0</v>
      </c>
    </row>
    <row r="27" spans="1:11" x14ac:dyDescent="0.25">
      <c r="A27" t="s">
        <v>211</v>
      </c>
      <c r="B27">
        <v>0</v>
      </c>
      <c r="C27">
        <v>0</v>
      </c>
      <c r="D27" s="24">
        <v>35000000</v>
      </c>
      <c r="E27">
        <v>0</v>
      </c>
    </row>
    <row r="28" spans="1:11" x14ac:dyDescent="0.25">
      <c r="A28" t="s">
        <v>143</v>
      </c>
      <c r="B28" s="24">
        <v>368000000</v>
      </c>
      <c r="C28" s="24">
        <v>398000000</v>
      </c>
      <c r="D28" s="24">
        <v>476000000</v>
      </c>
      <c r="E28" s="24">
        <v>335000000</v>
      </c>
      <c r="F28" s="24">
        <v>-158000000</v>
      </c>
      <c r="G28" s="24">
        <v>207000000</v>
      </c>
      <c r="H28" s="24">
        <v>223000000</v>
      </c>
      <c r="I28" s="24">
        <v>243000000</v>
      </c>
      <c r="J28" s="24">
        <v>294000000</v>
      </c>
      <c r="K28" s="24">
        <v>249000000</v>
      </c>
    </row>
    <row r="29" spans="1:11" x14ac:dyDescent="0.25">
      <c r="A29" t="s">
        <v>144</v>
      </c>
      <c r="B29" s="24">
        <v>79000000</v>
      </c>
      <c r="C29" s="24">
        <v>109000000</v>
      </c>
      <c r="D29" s="24">
        <v>121000000</v>
      </c>
      <c r="E29" s="24">
        <v>91000000</v>
      </c>
      <c r="F29" s="24">
        <v>-26000000</v>
      </c>
      <c r="G29" s="24">
        <v>50000000</v>
      </c>
      <c r="H29" s="24">
        <v>61000000</v>
      </c>
      <c r="I29" s="24">
        <v>13000000</v>
      </c>
      <c r="J29" s="24">
        <v>118000000</v>
      </c>
      <c r="K29" s="24">
        <v>100000000</v>
      </c>
    </row>
    <row r="30" spans="1:11" x14ac:dyDescent="0.25">
      <c r="A30" t="s">
        <v>145</v>
      </c>
      <c r="B30" s="24">
        <v>289000000</v>
      </c>
      <c r="C30" s="24">
        <v>289000000</v>
      </c>
      <c r="D30" s="24">
        <v>355000000</v>
      </c>
      <c r="E30" s="24">
        <v>244000000</v>
      </c>
      <c r="F30" s="24">
        <v>-132000000</v>
      </c>
      <c r="G30" s="24">
        <v>157000000</v>
      </c>
      <c r="H30" s="24">
        <v>162000000</v>
      </c>
      <c r="I30" s="24">
        <v>230000000</v>
      </c>
      <c r="J30" s="24">
        <v>176000000</v>
      </c>
      <c r="K30" s="24">
        <v>149000000</v>
      </c>
    </row>
    <row r="31" spans="1:11" x14ac:dyDescent="0.25">
      <c r="A31" t="s">
        <v>146</v>
      </c>
      <c r="B31" s="24">
        <v>289000000</v>
      </c>
      <c r="C31" s="24">
        <v>289000000</v>
      </c>
      <c r="D31" s="24">
        <v>355000000</v>
      </c>
      <c r="E31" s="24">
        <v>244000000</v>
      </c>
      <c r="F31" s="24">
        <v>-132000000</v>
      </c>
      <c r="G31" s="24">
        <v>157000000</v>
      </c>
      <c r="H31" s="24">
        <v>162000000</v>
      </c>
      <c r="I31" s="24">
        <v>230000000</v>
      </c>
      <c r="J31" s="24">
        <v>176000000</v>
      </c>
      <c r="K31" s="24">
        <v>149000000</v>
      </c>
    </row>
    <row r="32" spans="1:11" x14ac:dyDescent="0.25">
      <c r="A32" t="s">
        <v>147</v>
      </c>
      <c r="B32" s="24">
        <v>289000000</v>
      </c>
      <c r="C32" s="24">
        <v>289000000</v>
      </c>
      <c r="D32" s="24">
        <v>355000000</v>
      </c>
      <c r="E32" s="24">
        <v>244000000</v>
      </c>
      <c r="F32" s="24">
        <v>-132000000</v>
      </c>
      <c r="G32" s="24">
        <v>157000000</v>
      </c>
      <c r="H32" s="24">
        <v>162000000</v>
      </c>
      <c r="I32" s="24">
        <v>230000000</v>
      </c>
      <c r="J32" s="24">
        <v>176000000</v>
      </c>
      <c r="K32" s="24">
        <v>149000000</v>
      </c>
    </row>
    <row r="33" spans="1:11" x14ac:dyDescent="0.25">
      <c r="A33" t="s">
        <v>148</v>
      </c>
      <c r="B33" s="24">
        <v>289000000</v>
      </c>
      <c r="C33" s="24">
        <v>289000000</v>
      </c>
      <c r="D33" s="24">
        <v>355000000</v>
      </c>
      <c r="E33" s="24">
        <v>244000000</v>
      </c>
      <c r="F33" s="24">
        <v>-132000000</v>
      </c>
      <c r="G33" s="24">
        <v>157000000</v>
      </c>
      <c r="H33" s="24">
        <v>162000000</v>
      </c>
      <c r="I33" s="24">
        <v>230000000</v>
      </c>
      <c r="J33" s="24">
        <v>176000000</v>
      </c>
      <c r="K33" s="24">
        <v>149000000</v>
      </c>
    </row>
    <row r="34" spans="1:11" x14ac:dyDescent="0.25">
      <c r="A34" t="s">
        <v>277</v>
      </c>
      <c r="I34" s="24">
        <v>-20000000</v>
      </c>
    </row>
    <row r="35" spans="1:11" x14ac:dyDescent="0.25">
      <c r="A35" t="s">
        <v>149</v>
      </c>
      <c r="B35" s="24">
        <v>289000000</v>
      </c>
      <c r="C35" s="24">
        <v>289000000</v>
      </c>
      <c r="D35" s="24">
        <v>355000000</v>
      </c>
      <c r="E35" s="24">
        <v>244000000</v>
      </c>
      <c r="F35" s="24">
        <v>-132000000</v>
      </c>
      <c r="G35" s="24">
        <v>157000000</v>
      </c>
      <c r="H35" s="24">
        <v>162000000</v>
      </c>
      <c r="I35" s="24">
        <v>230000000</v>
      </c>
      <c r="J35" s="24">
        <v>176000000</v>
      </c>
      <c r="K35" s="24">
        <v>149000000</v>
      </c>
    </row>
    <row r="36" spans="1:11" x14ac:dyDescent="0.25">
      <c r="A36" t="s">
        <v>150</v>
      </c>
      <c r="B36">
        <v>3.64</v>
      </c>
      <c r="C36">
        <v>3.43</v>
      </c>
      <c r="D36">
        <v>3.93</v>
      </c>
      <c r="E36">
        <v>2.61</v>
      </c>
      <c r="F36">
        <v>-1.42</v>
      </c>
      <c r="G36">
        <v>1.63</v>
      </c>
      <c r="H36">
        <v>1.62</v>
      </c>
      <c r="I36">
        <v>2.3050000000000002</v>
      </c>
      <c r="J36">
        <v>1.762</v>
      </c>
      <c r="K36">
        <v>1.4910000000000001</v>
      </c>
    </row>
    <row r="37" spans="1:11" x14ac:dyDescent="0.25">
      <c r="A37" t="s">
        <v>151</v>
      </c>
      <c r="B37">
        <v>3.61</v>
      </c>
      <c r="C37">
        <v>3.41</v>
      </c>
      <c r="D37">
        <v>3.91</v>
      </c>
      <c r="E37">
        <v>2.6</v>
      </c>
      <c r="F37">
        <v>-1.42</v>
      </c>
      <c r="G37">
        <v>1.62</v>
      </c>
      <c r="H37">
        <v>1.62</v>
      </c>
      <c r="I37">
        <v>2.3050000000000002</v>
      </c>
      <c r="J37">
        <v>1.762</v>
      </c>
      <c r="K37">
        <v>1.4910000000000001</v>
      </c>
    </row>
    <row r="38" spans="1:11" x14ac:dyDescent="0.25">
      <c r="A38" t="s">
        <v>152</v>
      </c>
      <c r="B38" s="24">
        <v>79500000</v>
      </c>
      <c r="C38" s="24">
        <v>84400000</v>
      </c>
      <c r="D38" s="24">
        <v>90300000</v>
      </c>
      <c r="E38" s="24">
        <v>93400000</v>
      </c>
      <c r="F38" s="24">
        <v>93400000</v>
      </c>
      <c r="G38" s="24">
        <v>96500000</v>
      </c>
      <c r="H38" s="24">
        <v>99500000</v>
      </c>
      <c r="I38" s="24">
        <v>99782991</v>
      </c>
      <c r="J38" s="24">
        <v>99900000</v>
      </c>
      <c r="K38" s="24">
        <v>99900000</v>
      </c>
    </row>
    <row r="39" spans="1:11" x14ac:dyDescent="0.25">
      <c r="A39" t="s">
        <v>153</v>
      </c>
      <c r="B39" s="24">
        <v>80100000</v>
      </c>
      <c r="C39" s="24">
        <v>84900000</v>
      </c>
      <c r="D39" s="24">
        <v>90800000</v>
      </c>
      <c r="E39" s="24">
        <v>93900000</v>
      </c>
      <c r="F39" s="24">
        <v>93400000</v>
      </c>
      <c r="G39" s="24">
        <v>96600000</v>
      </c>
      <c r="H39" s="24">
        <v>99800000</v>
      </c>
      <c r="I39" s="24">
        <v>99782991</v>
      </c>
      <c r="J39" s="24">
        <v>99900000</v>
      </c>
      <c r="K39" s="24">
        <v>99900000</v>
      </c>
    </row>
    <row r="40" spans="1:11" x14ac:dyDescent="0.25">
      <c r="A40" t="s">
        <v>154</v>
      </c>
      <c r="B40" s="24">
        <v>495000000</v>
      </c>
      <c r="C40" s="24">
        <v>503000000</v>
      </c>
      <c r="D40" s="24">
        <v>558000000</v>
      </c>
      <c r="E40" s="24">
        <v>446000000</v>
      </c>
      <c r="F40" s="24">
        <v>-46000000</v>
      </c>
      <c r="G40" s="24">
        <v>307000000</v>
      </c>
      <c r="H40" s="24">
        <v>283000000</v>
      </c>
      <c r="I40" s="24">
        <v>249000000</v>
      </c>
      <c r="J40" s="24">
        <v>295000000</v>
      </c>
      <c r="K40" s="24">
        <v>250000000</v>
      </c>
    </row>
    <row r="41" spans="1:11" x14ac:dyDescent="0.25">
      <c r="A41" t="s">
        <v>155</v>
      </c>
      <c r="B41" s="24">
        <v>850000000</v>
      </c>
      <c r="C41" s="24">
        <v>882000000</v>
      </c>
      <c r="D41" s="24">
        <v>974000000</v>
      </c>
      <c r="E41" s="24">
        <v>1110000000</v>
      </c>
      <c r="F41" s="24">
        <v>1092000000</v>
      </c>
      <c r="G41" s="24">
        <v>1589000000</v>
      </c>
      <c r="H41" s="24">
        <v>1472000000</v>
      </c>
      <c r="I41" s="24">
        <v>983000000</v>
      </c>
      <c r="J41" s="24">
        <v>971000000</v>
      </c>
      <c r="K41" s="24">
        <v>1038000000</v>
      </c>
    </row>
    <row r="42" spans="1:11" x14ac:dyDescent="0.25">
      <c r="A42" t="s">
        <v>158</v>
      </c>
      <c r="B42" s="24">
        <v>289000000</v>
      </c>
      <c r="C42" s="24">
        <v>289000000</v>
      </c>
      <c r="D42" s="24">
        <v>355000000</v>
      </c>
      <c r="E42" s="24">
        <v>244000000</v>
      </c>
      <c r="F42" s="24">
        <v>-132000000</v>
      </c>
      <c r="G42" s="24">
        <v>157000000</v>
      </c>
      <c r="H42" s="24">
        <v>162000000</v>
      </c>
      <c r="I42" s="24">
        <v>230000000</v>
      </c>
      <c r="J42" s="24">
        <v>176000000</v>
      </c>
      <c r="K42" s="24">
        <v>149000000</v>
      </c>
    </row>
    <row r="43" spans="1:11" x14ac:dyDescent="0.25">
      <c r="A43" t="s">
        <v>159</v>
      </c>
      <c r="B43" s="24">
        <v>340810000</v>
      </c>
      <c r="C43" s="24">
        <v>299890000</v>
      </c>
      <c r="D43" s="38">
        <v>331134453.78200001</v>
      </c>
      <c r="E43" s="24">
        <v>263656000</v>
      </c>
      <c r="F43" s="24">
        <v>80090000</v>
      </c>
      <c r="G43" s="24">
        <v>276006000</v>
      </c>
      <c r="H43" s="24">
        <v>244038000</v>
      </c>
      <c r="I43" s="24">
        <v>275456000</v>
      </c>
      <c r="J43" s="24">
        <v>177800000</v>
      </c>
      <c r="K43" s="24">
        <v>156800000</v>
      </c>
    </row>
    <row r="44" spans="1:11" x14ac:dyDescent="0.25">
      <c r="A44" t="s">
        <v>278</v>
      </c>
      <c r="B44" s="24">
        <v>5000000</v>
      </c>
      <c r="C44" s="24">
        <v>6000000</v>
      </c>
      <c r="D44" s="24">
        <v>5000000</v>
      </c>
      <c r="E44" s="24">
        <v>1000000</v>
      </c>
      <c r="F44" s="24">
        <v>2000000</v>
      </c>
      <c r="G44" s="24">
        <v>4000000</v>
      </c>
    </row>
    <row r="45" spans="1:11" x14ac:dyDescent="0.25">
      <c r="A45" t="s">
        <v>156</v>
      </c>
      <c r="B45" s="24">
        <v>129000000</v>
      </c>
      <c r="C45" s="24">
        <v>108000000</v>
      </c>
      <c r="D45" s="24">
        <v>85000000</v>
      </c>
      <c r="E45" s="24">
        <v>94000000</v>
      </c>
      <c r="F45" s="24">
        <v>114000000</v>
      </c>
      <c r="G45" s="24">
        <v>104000000</v>
      </c>
      <c r="H45" s="24">
        <v>60000000</v>
      </c>
      <c r="I45" s="24">
        <v>6000000</v>
      </c>
      <c r="J45" s="24">
        <v>1000000</v>
      </c>
      <c r="K45" s="24">
        <v>1000000</v>
      </c>
    </row>
    <row r="46" spans="1:11" x14ac:dyDescent="0.25">
      <c r="A46" t="s">
        <v>157</v>
      </c>
      <c r="B46" s="24">
        <v>-124000000</v>
      </c>
      <c r="C46" s="24">
        <v>-102000000</v>
      </c>
      <c r="D46" s="24">
        <v>-80000000</v>
      </c>
      <c r="E46" s="24">
        <v>-93000000</v>
      </c>
      <c r="F46" s="24">
        <v>-112000000</v>
      </c>
      <c r="G46" s="24">
        <v>-100000000</v>
      </c>
      <c r="H46" s="24">
        <v>-60000000</v>
      </c>
      <c r="I46" s="24">
        <v>-6000000</v>
      </c>
      <c r="J46" s="24">
        <v>-1000000</v>
      </c>
      <c r="K46" s="24">
        <v>-1000000</v>
      </c>
    </row>
    <row r="47" spans="1:11" x14ac:dyDescent="0.25">
      <c r="A47" t="s">
        <v>32</v>
      </c>
      <c r="B47" s="24">
        <v>497000000</v>
      </c>
      <c r="C47" s="24">
        <v>506000000</v>
      </c>
      <c r="D47" s="24">
        <v>561000000</v>
      </c>
      <c r="E47" s="24">
        <v>429000000</v>
      </c>
      <c r="F47" s="24">
        <v>-44000000</v>
      </c>
      <c r="G47" s="24">
        <v>311000000</v>
      </c>
      <c r="H47" s="24">
        <v>283000000</v>
      </c>
      <c r="I47" s="24">
        <v>249000000</v>
      </c>
      <c r="J47" s="24">
        <v>295000000</v>
      </c>
      <c r="K47" s="24">
        <v>250000000</v>
      </c>
    </row>
    <row r="48" spans="1:11" x14ac:dyDescent="0.25">
      <c r="A48" t="s">
        <v>120</v>
      </c>
      <c r="B48" s="24">
        <v>568000000</v>
      </c>
      <c r="C48" s="24">
        <v>582000000</v>
      </c>
      <c r="D48" s="24">
        <v>638000000</v>
      </c>
      <c r="E48" s="24">
        <v>524000000</v>
      </c>
      <c r="F48" s="24">
        <v>54000000</v>
      </c>
      <c r="G48" s="24">
        <v>420000000</v>
      </c>
      <c r="H48" s="24">
        <v>382000000</v>
      </c>
      <c r="I48" s="24">
        <v>324000000</v>
      </c>
      <c r="J48" s="24">
        <v>368000000</v>
      </c>
      <c r="K48" s="24">
        <v>317000000</v>
      </c>
    </row>
    <row r="49" spans="1:11" x14ac:dyDescent="0.25">
      <c r="A49" t="s">
        <v>160</v>
      </c>
      <c r="C49" s="24">
        <v>582000000</v>
      </c>
      <c r="D49" s="24">
        <v>668000000</v>
      </c>
      <c r="E49" s="24">
        <v>770000000</v>
      </c>
      <c r="F49" s="24">
        <v>769000000</v>
      </c>
      <c r="G49" s="24">
        <v>1186000000</v>
      </c>
      <c r="H49" s="24">
        <v>1072000000</v>
      </c>
      <c r="I49" s="24">
        <v>637000000</v>
      </c>
      <c r="J49" s="24">
        <v>647000000</v>
      </c>
      <c r="K49" s="24">
        <v>690000000</v>
      </c>
    </row>
    <row r="50" spans="1:11" x14ac:dyDescent="0.25">
      <c r="A50" t="s">
        <v>161</v>
      </c>
      <c r="B50" s="24">
        <v>71000000</v>
      </c>
      <c r="C50" s="24">
        <v>76000000</v>
      </c>
      <c r="D50" s="24">
        <v>77000000</v>
      </c>
      <c r="E50" s="24">
        <v>95000000</v>
      </c>
      <c r="F50" s="24">
        <v>98000000</v>
      </c>
      <c r="G50" s="24">
        <v>109000000</v>
      </c>
      <c r="H50" s="24">
        <v>99000000</v>
      </c>
      <c r="I50" s="24">
        <v>75000000</v>
      </c>
      <c r="J50" s="24">
        <v>73000000</v>
      </c>
      <c r="K50" s="24">
        <v>67000000</v>
      </c>
    </row>
    <row r="51" spans="1:11" x14ac:dyDescent="0.25">
      <c r="A51" t="s">
        <v>162</v>
      </c>
      <c r="B51" s="24">
        <v>289000000</v>
      </c>
      <c r="C51" s="24">
        <v>289000000</v>
      </c>
      <c r="D51" s="24">
        <v>355000000</v>
      </c>
      <c r="E51" s="24">
        <v>244000000</v>
      </c>
      <c r="F51" s="24">
        <v>-132000000</v>
      </c>
      <c r="G51" s="24">
        <v>157000000</v>
      </c>
      <c r="H51" s="24">
        <v>162000000</v>
      </c>
      <c r="I51" s="24">
        <v>230000000</v>
      </c>
      <c r="J51" s="24">
        <v>176000000</v>
      </c>
      <c r="K51" s="24">
        <v>149000000</v>
      </c>
    </row>
    <row r="52" spans="1:11" x14ac:dyDescent="0.25">
      <c r="A52" t="s">
        <v>163</v>
      </c>
      <c r="B52" s="24">
        <v>-66000000</v>
      </c>
      <c r="C52" s="24">
        <v>-15000000</v>
      </c>
      <c r="D52" s="24">
        <v>32000000</v>
      </c>
      <c r="E52" s="24">
        <v>-27000000</v>
      </c>
      <c r="F52" s="24">
        <v>-254000000</v>
      </c>
      <c r="G52" s="24">
        <v>-157000000</v>
      </c>
      <c r="H52" s="24">
        <v>-113000000</v>
      </c>
      <c r="I52" s="24">
        <v>-48000000</v>
      </c>
      <c r="J52" s="24">
        <v>-3000000</v>
      </c>
      <c r="K52" s="24">
        <v>-13000000</v>
      </c>
    </row>
    <row r="53" spans="1:11" x14ac:dyDescent="0.25">
      <c r="A53" t="s">
        <v>164</v>
      </c>
      <c r="B53" s="24">
        <v>-66000000</v>
      </c>
      <c r="C53" s="24">
        <v>-15000000</v>
      </c>
      <c r="D53" s="24">
        <v>32000000</v>
      </c>
      <c r="E53" s="24">
        <v>-27000000</v>
      </c>
      <c r="F53" s="24">
        <v>-254000000</v>
      </c>
      <c r="G53" s="24">
        <v>-157000000</v>
      </c>
      <c r="H53" s="24">
        <v>-113000000</v>
      </c>
      <c r="I53" s="24">
        <v>-48000000</v>
      </c>
      <c r="J53" s="24">
        <v>-3000000</v>
      </c>
      <c r="K53" s="24">
        <v>-13000000</v>
      </c>
    </row>
    <row r="54" spans="1:11" x14ac:dyDescent="0.25">
      <c r="A54" t="s">
        <v>165</v>
      </c>
      <c r="B54" s="24">
        <v>634000000</v>
      </c>
      <c r="C54" s="24">
        <v>597000000</v>
      </c>
      <c r="D54" s="24">
        <v>606000000</v>
      </c>
      <c r="E54" s="24">
        <v>551000000</v>
      </c>
      <c r="F54" s="24">
        <v>308000000</v>
      </c>
      <c r="G54" s="24">
        <v>577000000</v>
      </c>
      <c r="H54" s="24">
        <v>495000000</v>
      </c>
      <c r="I54" s="24">
        <v>372000000</v>
      </c>
      <c r="J54" s="24">
        <v>371000000</v>
      </c>
      <c r="K54" s="24">
        <v>330000000</v>
      </c>
    </row>
    <row r="55" spans="1:11" x14ac:dyDescent="0.25">
      <c r="A55" t="s">
        <v>166</v>
      </c>
      <c r="B55">
        <v>0.215</v>
      </c>
      <c r="C55">
        <v>0.27400000000000002</v>
      </c>
      <c r="D55">
        <v>0.254</v>
      </c>
      <c r="E55">
        <v>0.27200000000000002</v>
      </c>
      <c r="F55">
        <v>0.16500000000000001</v>
      </c>
      <c r="G55">
        <v>0.24199999999999999</v>
      </c>
      <c r="H55">
        <v>0.27400000000000002</v>
      </c>
      <c r="I55">
        <v>5.2999999999999999E-2</v>
      </c>
      <c r="J55">
        <v>0.4</v>
      </c>
      <c r="K55">
        <v>0.4</v>
      </c>
    </row>
    <row r="56" spans="1:11" x14ac:dyDescent="0.25">
      <c r="A56" t="s">
        <v>167</v>
      </c>
      <c r="B56" s="24">
        <v>-14190000</v>
      </c>
      <c r="C56" s="24">
        <v>-4110000</v>
      </c>
      <c r="D56" s="38">
        <v>8134453.7819999997</v>
      </c>
      <c r="E56" s="24">
        <v>-7344000</v>
      </c>
      <c r="F56" s="24">
        <v>-41910000</v>
      </c>
      <c r="G56" s="24">
        <v>-37994000</v>
      </c>
      <c r="H56" s="24">
        <v>-30962000</v>
      </c>
      <c r="I56" s="24">
        <v>-2544000</v>
      </c>
      <c r="J56" s="24">
        <v>-1200000</v>
      </c>
      <c r="K56" s="24">
        <v>-5200000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809BF-C473-45AF-AE4A-1A6905EB051B}">
  <dimension ref="A1:K55"/>
  <sheetViews>
    <sheetView workbookViewId="0">
      <selection activeCell="D12" sqref="D12"/>
    </sheetView>
  </sheetViews>
  <sheetFormatPr defaultRowHeight="15" x14ac:dyDescent="0.25"/>
  <cols>
    <col min="1" max="1" width="40.42578125" bestFit="1" customWidth="1"/>
    <col min="2" max="3" width="13.140625" bestFit="1" customWidth="1"/>
    <col min="4" max="5" width="11.5703125" bestFit="1" customWidth="1"/>
    <col min="6" max="6" width="12.42578125" bestFit="1" customWidth="1"/>
    <col min="7" max="7" width="11.5703125" bestFit="1" customWidth="1"/>
    <col min="8" max="8" width="13.140625" bestFit="1" customWidth="1"/>
    <col min="9" max="11" width="11.5703125" bestFit="1" customWidth="1"/>
  </cols>
  <sheetData>
    <row r="1" spans="1:11" x14ac:dyDescent="0.25">
      <c r="A1" t="s">
        <v>123</v>
      </c>
      <c r="B1" s="25">
        <v>45657</v>
      </c>
      <c r="C1" s="25">
        <v>45291</v>
      </c>
      <c r="D1" s="25">
        <v>44926</v>
      </c>
      <c r="E1" s="25">
        <v>44561</v>
      </c>
      <c r="F1" s="25">
        <v>44196</v>
      </c>
      <c r="G1" s="25">
        <v>43830</v>
      </c>
      <c r="H1" s="25">
        <v>43465</v>
      </c>
      <c r="I1" s="25">
        <v>43100</v>
      </c>
      <c r="J1" s="25">
        <v>42735</v>
      </c>
      <c r="K1" s="25">
        <v>42369</v>
      </c>
    </row>
    <row r="2" spans="1:11" x14ac:dyDescent="0.25">
      <c r="A2" t="s">
        <v>220</v>
      </c>
      <c r="B2" s="24">
        <v>290000000</v>
      </c>
      <c r="C2" s="24">
        <v>376000000</v>
      </c>
      <c r="D2" s="24">
        <v>399000000</v>
      </c>
      <c r="E2" s="24">
        <v>426000000</v>
      </c>
      <c r="F2" s="24">
        <v>67000000</v>
      </c>
      <c r="G2" s="24">
        <v>100000000</v>
      </c>
      <c r="H2" s="24">
        <v>231000000</v>
      </c>
      <c r="I2" s="24">
        <v>278000000</v>
      </c>
      <c r="J2" s="24">
        <v>264000000</v>
      </c>
      <c r="K2" s="24">
        <v>287000000</v>
      </c>
    </row>
    <row r="3" spans="1:11" x14ac:dyDescent="0.25">
      <c r="A3" t="s">
        <v>221</v>
      </c>
      <c r="B3" s="24">
        <v>290000000</v>
      </c>
      <c r="C3" s="24">
        <v>376000000</v>
      </c>
      <c r="D3" s="24">
        <v>399000000</v>
      </c>
      <c r="E3" s="24">
        <v>426000000</v>
      </c>
      <c r="F3" s="24">
        <v>67000000</v>
      </c>
      <c r="G3" s="24">
        <v>100000000</v>
      </c>
      <c r="H3" s="24">
        <v>231000000</v>
      </c>
      <c r="I3" s="24">
        <v>278000000</v>
      </c>
      <c r="J3" s="24">
        <v>264000000</v>
      </c>
      <c r="K3" s="24">
        <v>287000000</v>
      </c>
    </row>
    <row r="4" spans="1:11" x14ac:dyDescent="0.25">
      <c r="A4" t="s">
        <v>222</v>
      </c>
      <c r="B4" s="24">
        <v>289000000</v>
      </c>
      <c r="C4" s="24">
        <v>289000000</v>
      </c>
      <c r="D4" s="24">
        <v>355000000</v>
      </c>
      <c r="E4" s="24">
        <v>244000000</v>
      </c>
      <c r="F4" s="24">
        <v>-132000000</v>
      </c>
      <c r="G4" s="24">
        <v>157000000</v>
      </c>
      <c r="H4" s="24">
        <v>162000000</v>
      </c>
      <c r="I4" s="24">
        <v>230000000</v>
      </c>
      <c r="J4" s="24">
        <v>176000000</v>
      </c>
      <c r="K4" s="24">
        <v>149000000</v>
      </c>
    </row>
    <row r="5" spans="1:11" x14ac:dyDescent="0.25">
      <c r="A5" t="s">
        <v>223</v>
      </c>
      <c r="B5" s="24">
        <v>3000000</v>
      </c>
      <c r="C5" s="24">
        <v>3000000</v>
      </c>
      <c r="D5" s="24">
        <v>-33000000</v>
      </c>
      <c r="E5" s="24">
        <v>18000000</v>
      </c>
      <c r="H5" s="24">
        <v>-23000000</v>
      </c>
    </row>
    <row r="6" spans="1:11" x14ac:dyDescent="0.25">
      <c r="A6" t="s">
        <v>292</v>
      </c>
      <c r="F6">
        <v>0</v>
      </c>
      <c r="G6">
        <v>0</v>
      </c>
      <c r="H6" s="24">
        <v>-23000000</v>
      </c>
      <c r="I6">
        <v>0</v>
      </c>
      <c r="J6">
        <v>0</v>
      </c>
    </row>
    <row r="7" spans="1:11" x14ac:dyDescent="0.25">
      <c r="A7" t="s">
        <v>224</v>
      </c>
      <c r="B7" s="24">
        <v>71000000</v>
      </c>
      <c r="C7" s="24">
        <v>76000000</v>
      </c>
      <c r="D7" s="24">
        <v>77000000</v>
      </c>
      <c r="E7" s="24">
        <v>95000000</v>
      </c>
      <c r="F7" s="24">
        <v>98000000</v>
      </c>
      <c r="G7" s="24">
        <v>109000000</v>
      </c>
      <c r="H7" s="24">
        <v>99000000</v>
      </c>
      <c r="I7" s="24">
        <v>75000000</v>
      </c>
      <c r="J7" s="24">
        <v>73000000</v>
      </c>
      <c r="K7" s="24">
        <v>67000000</v>
      </c>
    </row>
    <row r="8" spans="1:11" x14ac:dyDescent="0.25">
      <c r="A8" t="s">
        <v>225</v>
      </c>
      <c r="B8" s="24">
        <v>71000000</v>
      </c>
      <c r="C8" s="24">
        <v>76000000</v>
      </c>
      <c r="D8" s="24">
        <v>77000000</v>
      </c>
      <c r="E8" s="24">
        <v>95000000</v>
      </c>
      <c r="F8" s="24">
        <v>98000000</v>
      </c>
      <c r="G8" s="24">
        <v>109000000</v>
      </c>
      <c r="H8" s="24">
        <v>99000000</v>
      </c>
      <c r="I8" s="24">
        <v>75000000</v>
      </c>
      <c r="J8" s="24">
        <v>73000000</v>
      </c>
      <c r="K8" s="24">
        <v>67000000</v>
      </c>
    </row>
    <row r="9" spans="1:11" x14ac:dyDescent="0.25">
      <c r="A9" t="s">
        <v>226</v>
      </c>
      <c r="B9" s="24">
        <v>44000000</v>
      </c>
      <c r="C9" s="24">
        <v>49000000</v>
      </c>
      <c r="D9" s="24">
        <v>46000000</v>
      </c>
      <c r="E9" s="24">
        <v>57000000</v>
      </c>
    </row>
    <row r="10" spans="1:11" x14ac:dyDescent="0.25">
      <c r="A10" t="s">
        <v>227</v>
      </c>
      <c r="B10" s="24">
        <v>27000000</v>
      </c>
      <c r="C10" s="24">
        <v>27000000</v>
      </c>
      <c r="D10" s="24">
        <v>31000000</v>
      </c>
      <c r="E10" s="24">
        <v>38000000</v>
      </c>
    </row>
    <row r="11" spans="1:11" x14ac:dyDescent="0.25">
      <c r="A11" t="s">
        <v>228</v>
      </c>
      <c r="B11" s="24">
        <v>27000000</v>
      </c>
      <c r="C11" s="24">
        <v>27000000</v>
      </c>
      <c r="D11" s="24">
        <v>31000000</v>
      </c>
      <c r="E11" s="24">
        <v>38000000</v>
      </c>
    </row>
    <row r="12" spans="1:11" x14ac:dyDescent="0.25">
      <c r="A12" t="s">
        <v>229</v>
      </c>
      <c r="B12" s="24">
        <v>4000000</v>
      </c>
      <c r="C12" s="24">
        <v>-17000000</v>
      </c>
      <c r="D12" s="24">
        <v>-39000000</v>
      </c>
      <c r="E12" s="24">
        <v>-1000000</v>
      </c>
      <c r="F12" s="24">
        <v>-23000000</v>
      </c>
      <c r="G12" s="24">
        <v>-14000000</v>
      </c>
      <c r="H12">
        <v>0</v>
      </c>
      <c r="I12" s="24">
        <v>-91000000</v>
      </c>
      <c r="J12" s="24">
        <v>26000000</v>
      </c>
      <c r="K12" s="24">
        <v>10000000</v>
      </c>
    </row>
    <row r="13" spans="1:11" x14ac:dyDescent="0.25">
      <c r="A13" t="s">
        <v>230</v>
      </c>
      <c r="B13" s="24">
        <v>4000000</v>
      </c>
      <c r="C13" s="24">
        <v>-17000000</v>
      </c>
      <c r="D13" s="24">
        <v>-39000000</v>
      </c>
      <c r="E13" s="24">
        <v>-1000000</v>
      </c>
      <c r="F13" s="24">
        <v>-23000000</v>
      </c>
      <c r="G13" s="24">
        <v>-14000000</v>
      </c>
      <c r="H13">
        <v>0</v>
      </c>
      <c r="I13" s="24">
        <v>-91000000</v>
      </c>
      <c r="J13" s="24">
        <v>26000000</v>
      </c>
      <c r="K13" s="24">
        <v>10000000</v>
      </c>
    </row>
    <row r="14" spans="1:11" x14ac:dyDescent="0.25">
      <c r="A14" t="s">
        <v>231</v>
      </c>
      <c r="B14" s="24">
        <v>12000000</v>
      </c>
      <c r="C14">
        <v>0</v>
      </c>
      <c r="D14">
        <v>0</v>
      </c>
      <c r="E14" s="24">
        <v>6000000</v>
      </c>
      <c r="F14" s="24">
        <v>209000000</v>
      </c>
      <c r="G14" s="24">
        <v>45000000</v>
      </c>
      <c r="H14">
        <v>0</v>
      </c>
      <c r="I14" s="24">
        <v>41000000</v>
      </c>
      <c r="J14">
        <v>0</v>
      </c>
      <c r="K14" s="24">
        <v>7000000</v>
      </c>
    </row>
    <row r="15" spans="1:11" x14ac:dyDescent="0.25">
      <c r="A15" t="s">
        <v>232</v>
      </c>
      <c r="B15" s="24">
        <v>4000000</v>
      </c>
      <c r="C15" s="24">
        <v>3000000</v>
      </c>
      <c r="D15" s="24">
        <v>-2000000</v>
      </c>
      <c r="E15" s="24">
        <v>21000000</v>
      </c>
      <c r="F15" s="24">
        <v>37000000</v>
      </c>
      <c r="G15" s="24">
        <v>16000000</v>
      </c>
      <c r="H15" s="24">
        <v>8000000</v>
      </c>
    </row>
    <row r="16" spans="1:11" x14ac:dyDescent="0.25">
      <c r="A16" t="s">
        <v>233</v>
      </c>
      <c r="B16" s="24">
        <v>45000000</v>
      </c>
      <c r="C16" s="24">
        <v>39000000</v>
      </c>
      <c r="D16" s="24">
        <v>33000000</v>
      </c>
      <c r="E16" s="24">
        <v>28000000</v>
      </c>
      <c r="F16" s="24">
        <v>21000000</v>
      </c>
      <c r="G16" s="24">
        <v>20000000</v>
      </c>
      <c r="H16" s="24">
        <v>25000000</v>
      </c>
      <c r="I16">
        <v>0</v>
      </c>
      <c r="J16">
        <v>0</v>
      </c>
    </row>
    <row r="17" spans="1:11" x14ac:dyDescent="0.25">
      <c r="A17" t="s">
        <v>234</v>
      </c>
      <c r="B17" s="24">
        <v>-86000000</v>
      </c>
      <c r="C17" s="24">
        <v>-55000000</v>
      </c>
      <c r="D17" s="24">
        <v>-35000000</v>
      </c>
      <c r="E17" s="24">
        <v>-11000000</v>
      </c>
      <c r="F17" s="24">
        <v>-9000000</v>
      </c>
      <c r="G17" s="24">
        <v>-210000000</v>
      </c>
      <c r="H17" s="24">
        <v>-38000000</v>
      </c>
      <c r="I17" s="24">
        <v>-1000000</v>
      </c>
      <c r="J17" s="24">
        <v>2000000</v>
      </c>
      <c r="K17" s="24">
        <v>10000000</v>
      </c>
    </row>
    <row r="18" spans="1:11" x14ac:dyDescent="0.25">
      <c r="A18" t="s">
        <v>235</v>
      </c>
      <c r="B18" s="24">
        <v>-52000000</v>
      </c>
      <c r="C18" s="24">
        <v>38000000</v>
      </c>
      <c r="D18" s="24">
        <v>43000000</v>
      </c>
      <c r="E18" s="24">
        <v>26000000</v>
      </c>
      <c r="F18" s="24">
        <v>-134000000</v>
      </c>
      <c r="G18" s="24">
        <v>-23000000</v>
      </c>
      <c r="H18" s="24">
        <v>-2000000</v>
      </c>
      <c r="I18" s="24">
        <v>24000000</v>
      </c>
      <c r="J18" s="24">
        <v>-13000000</v>
      </c>
      <c r="K18" s="24">
        <v>44000000</v>
      </c>
    </row>
    <row r="19" spans="1:11" x14ac:dyDescent="0.25">
      <c r="A19" t="s">
        <v>236</v>
      </c>
      <c r="B19" s="24">
        <v>-39000000</v>
      </c>
      <c r="C19" s="24">
        <v>-10000000</v>
      </c>
      <c r="D19" s="24">
        <v>16000000</v>
      </c>
      <c r="E19" s="24">
        <v>25000000</v>
      </c>
      <c r="F19" s="24">
        <v>-38000000</v>
      </c>
      <c r="G19" s="24">
        <v>-27000000</v>
      </c>
      <c r="H19" s="24">
        <v>-63000000</v>
      </c>
      <c r="I19" s="24">
        <v>-10000000</v>
      </c>
      <c r="J19">
        <v>0</v>
      </c>
      <c r="K19" s="24">
        <v>-17000000</v>
      </c>
    </row>
    <row r="20" spans="1:11" x14ac:dyDescent="0.25">
      <c r="A20" t="s">
        <v>237</v>
      </c>
      <c r="B20" s="24">
        <v>-39000000</v>
      </c>
      <c r="C20" s="24">
        <v>-10000000</v>
      </c>
      <c r="D20" s="24">
        <v>16000000</v>
      </c>
      <c r="E20" s="24">
        <v>25000000</v>
      </c>
      <c r="F20" s="24">
        <v>-38000000</v>
      </c>
      <c r="G20" s="24">
        <v>-27000000</v>
      </c>
      <c r="H20" s="24">
        <v>-63000000</v>
      </c>
      <c r="I20" s="24">
        <v>-10000000</v>
      </c>
      <c r="J20">
        <v>0</v>
      </c>
      <c r="K20" s="24">
        <v>-17000000</v>
      </c>
    </row>
    <row r="21" spans="1:11" x14ac:dyDescent="0.25">
      <c r="A21" t="s">
        <v>238</v>
      </c>
      <c r="B21" s="24">
        <v>-18000000</v>
      </c>
      <c r="C21" s="24">
        <v>5000000</v>
      </c>
      <c r="D21" s="24">
        <v>-6000000</v>
      </c>
      <c r="E21" s="24">
        <v>-9000000</v>
      </c>
      <c r="F21" s="24">
        <v>3000000</v>
      </c>
      <c r="G21" s="24">
        <v>-8000000</v>
      </c>
      <c r="H21" s="24">
        <v>1000000</v>
      </c>
      <c r="I21" s="24">
        <v>-5000000</v>
      </c>
      <c r="J21" s="24">
        <v>1000000</v>
      </c>
      <c r="K21" s="24">
        <v>-1000000</v>
      </c>
    </row>
    <row r="22" spans="1:11" x14ac:dyDescent="0.25">
      <c r="A22" t="s">
        <v>239</v>
      </c>
      <c r="B22" s="24">
        <v>-33000000</v>
      </c>
      <c r="C22" s="24">
        <v>-4000000</v>
      </c>
      <c r="D22" s="24">
        <v>14000000</v>
      </c>
      <c r="E22" s="24">
        <v>39000000</v>
      </c>
      <c r="F22" s="24">
        <v>-46000000</v>
      </c>
      <c r="G22" s="24">
        <v>-28000000</v>
      </c>
      <c r="H22" s="24">
        <v>85000000</v>
      </c>
      <c r="I22" s="24">
        <v>24000000</v>
      </c>
      <c r="J22" s="24">
        <v>-13000000</v>
      </c>
      <c r="K22" s="24">
        <v>26000000</v>
      </c>
    </row>
    <row r="23" spans="1:11" x14ac:dyDescent="0.25">
      <c r="A23" t="s">
        <v>240</v>
      </c>
      <c r="B23" s="24">
        <v>-33000000</v>
      </c>
      <c r="C23" s="24">
        <v>-4000000</v>
      </c>
      <c r="D23" s="24">
        <v>14000000</v>
      </c>
      <c r="E23" s="24">
        <v>39000000</v>
      </c>
      <c r="F23" s="24">
        <v>-46000000</v>
      </c>
      <c r="G23" s="24">
        <v>-28000000</v>
      </c>
      <c r="H23" s="24">
        <v>85000000</v>
      </c>
      <c r="I23" s="24">
        <v>24000000</v>
      </c>
      <c r="J23" s="24">
        <v>-13000000</v>
      </c>
      <c r="K23" s="24">
        <v>26000000</v>
      </c>
    </row>
    <row r="24" spans="1:11" x14ac:dyDescent="0.25">
      <c r="A24" t="s">
        <v>241</v>
      </c>
      <c r="B24" s="24">
        <v>-33000000</v>
      </c>
      <c r="C24" s="24">
        <v>-4000000</v>
      </c>
      <c r="D24" s="24">
        <v>14000000</v>
      </c>
      <c r="E24" s="24">
        <v>39000000</v>
      </c>
      <c r="F24" s="24">
        <v>-46000000</v>
      </c>
      <c r="G24" s="24">
        <v>-28000000</v>
      </c>
      <c r="H24" s="24">
        <v>85000000</v>
      </c>
      <c r="I24" s="24">
        <v>24000000</v>
      </c>
      <c r="J24" s="24">
        <v>-13000000</v>
      </c>
      <c r="K24" s="24">
        <v>26000000</v>
      </c>
    </row>
    <row r="25" spans="1:11" x14ac:dyDescent="0.25">
      <c r="A25" t="s">
        <v>242</v>
      </c>
      <c r="B25" s="24">
        <v>2000000</v>
      </c>
      <c r="C25" s="24">
        <v>37000000</v>
      </c>
      <c r="D25" s="24">
        <v>-3000000</v>
      </c>
      <c r="E25" s="24">
        <v>-45000000</v>
      </c>
      <c r="F25" s="24">
        <v>1000000</v>
      </c>
      <c r="G25" s="24">
        <v>7000000</v>
      </c>
      <c r="H25" s="24">
        <v>-22000000</v>
      </c>
      <c r="I25">
        <v>0</v>
      </c>
      <c r="J25" s="24">
        <v>8000000</v>
      </c>
      <c r="K25" s="24">
        <v>4000000</v>
      </c>
    </row>
    <row r="26" spans="1:11" x14ac:dyDescent="0.25">
      <c r="A26" t="s">
        <v>243</v>
      </c>
      <c r="G26" s="24">
        <v>-195000000</v>
      </c>
      <c r="H26" s="24">
        <v>-35000000</v>
      </c>
      <c r="I26">
        <v>0</v>
      </c>
      <c r="J26">
        <v>0</v>
      </c>
    </row>
    <row r="27" spans="1:11" x14ac:dyDescent="0.25">
      <c r="A27" t="s">
        <v>244</v>
      </c>
      <c r="B27" s="24">
        <v>36000000</v>
      </c>
      <c r="C27" s="24">
        <v>10000000</v>
      </c>
      <c r="D27" s="24">
        <v>22000000</v>
      </c>
      <c r="E27" s="24">
        <v>16000000</v>
      </c>
      <c r="F27" s="24">
        <v>-54000000</v>
      </c>
      <c r="G27" s="24">
        <v>33000000</v>
      </c>
      <c r="H27" s="24">
        <v>-3000000</v>
      </c>
      <c r="I27" s="24">
        <v>15000000</v>
      </c>
      <c r="J27" s="24">
        <v>-9000000</v>
      </c>
      <c r="K27" s="24">
        <v>32000000</v>
      </c>
    </row>
    <row r="28" spans="1:11" x14ac:dyDescent="0.25">
      <c r="A28" t="s">
        <v>245</v>
      </c>
      <c r="B28" s="24">
        <v>-65000000</v>
      </c>
      <c r="C28" s="24">
        <v>-66000000</v>
      </c>
      <c r="D28" s="24">
        <v>179000000</v>
      </c>
      <c r="E28" s="24">
        <v>-34000000</v>
      </c>
      <c r="F28" s="24">
        <v>-31000000</v>
      </c>
      <c r="G28" s="24">
        <v>-53000000</v>
      </c>
      <c r="H28" s="24">
        <v>-1728000000</v>
      </c>
      <c r="I28" s="24">
        <v>-197000000</v>
      </c>
      <c r="J28" s="24">
        <v>-114000000</v>
      </c>
      <c r="K28" s="24">
        <v>-104000000</v>
      </c>
    </row>
    <row r="29" spans="1:11" x14ac:dyDescent="0.25">
      <c r="A29" t="s">
        <v>246</v>
      </c>
      <c r="B29" s="24">
        <v>-65000000</v>
      </c>
      <c r="C29" s="24">
        <v>-66000000</v>
      </c>
      <c r="D29" s="24">
        <v>179000000</v>
      </c>
      <c r="E29" s="24">
        <v>-34000000</v>
      </c>
      <c r="F29" s="24">
        <v>-31000000</v>
      </c>
      <c r="G29" s="24">
        <v>-53000000</v>
      </c>
      <c r="H29" s="24">
        <v>-1728000000</v>
      </c>
      <c r="I29" s="24">
        <v>-197000000</v>
      </c>
      <c r="J29" s="24">
        <v>-114000000</v>
      </c>
      <c r="K29" s="24">
        <v>-104000000</v>
      </c>
    </row>
    <row r="30" spans="1:11" x14ac:dyDescent="0.25">
      <c r="A30" t="s">
        <v>247</v>
      </c>
      <c r="B30" s="24">
        <v>-49000000</v>
      </c>
      <c r="C30" s="24">
        <v>-37000000</v>
      </c>
      <c r="D30" s="24">
        <v>-39000000</v>
      </c>
      <c r="E30" s="24">
        <v>-37000000</v>
      </c>
      <c r="F30" s="24">
        <v>-33000000</v>
      </c>
      <c r="G30" s="24">
        <v>-50000000</v>
      </c>
      <c r="H30" s="24">
        <v>-73000000</v>
      </c>
      <c r="I30" s="24">
        <v>-46000000</v>
      </c>
      <c r="J30" s="24">
        <v>-42000000</v>
      </c>
      <c r="K30" s="24">
        <v>-51000000</v>
      </c>
    </row>
    <row r="31" spans="1:11" x14ac:dyDescent="0.25">
      <c r="A31" t="s">
        <v>248</v>
      </c>
      <c r="B31" s="24">
        <v>-49000000</v>
      </c>
      <c r="C31" s="24">
        <v>-37000000</v>
      </c>
      <c r="D31" s="24">
        <v>-39000000</v>
      </c>
      <c r="E31" s="24">
        <v>-37000000</v>
      </c>
      <c r="F31" s="24">
        <v>-33000000</v>
      </c>
      <c r="G31" s="24">
        <v>-50000000</v>
      </c>
      <c r="H31" s="24">
        <v>-73000000</v>
      </c>
      <c r="I31" s="24">
        <v>-46000000</v>
      </c>
      <c r="J31" s="24">
        <v>-42000000</v>
      </c>
      <c r="K31" s="24">
        <v>-51000000</v>
      </c>
    </row>
    <row r="32" spans="1:11" x14ac:dyDescent="0.25">
      <c r="A32" t="s">
        <v>249</v>
      </c>
      <c r="B32">
        <v>0</v>
      </c>
      <c r="C32">
        <v>0</v>
      </c>
      <c r="D32" s="24">
        <v>-44000000</v>
      </c>
      <c r="E32">
        <v>0</v>
      </c>
      <c r="F32">
        <v>0</v>
      </c>
      <c r="G32">
        <v>0</v>
      </c>
      <c r="H32" s="24">
        <v>-1703000000</v>
      </c>
      <c r="I32" s="24">
        <v>-140000000</v>
      </c>
      <c r="J32" s="24">
        <v>-70000000</v>
      </c>
    </row>
    <row r="33" spans="1:11" x14ac:dyDescent="0.25">
      <c r="A33" t="s">
        <v>250</v>
      </c>
      <c r="B33">
        <v>0</v>
      </c>
      <c r="C33">
        <v>0</v>
      </c>
      <c r="D33" s="24">
        <v>-44000000</v>
      </c>
      <c r="E33">
        <v>0</v>
      </c>
      <c r="F33">
        <v>0</v>
      </c>
      <c r="G33">
        <v>0</v>
      </c>
      <c r="H33" s="24">
        <v>-1703000000</v>
      </c>
      <c r="I33" s="24">
        <v>-140000000</v>
      </c>
      <c r="J33" s="24">
        <v>-70000000</v>
      </c>
    </row>
    <row r="34" spans="1:11" x14ac:dyDescent="0.25">
      <c r="A34" t="s">
        <v>251</v>
      </c>
      <c r="B34" s="24">
        <v>-16000000</v>
      </c>
      <c r="C34" s="24">
        <v>-29000000</v>
      </c>
      <c r="D34" s="24">
        <v>262000000</v>
      </c>
      <c r="E34" s="24">
        <v>3000000</v>
      </c>
      <c r="F34" s="24">
        <v>2000000</v>
      </c>
      <c r="G34" s="24">
        <v>-3000000</v>
      </c>
      <c r="H34" s="24">
        <v>48000000</v>
      </c>
      <c r="I34" s="24">
        <v>-11000000</v>
      </c>
      <c r="J34" s="24">
        <v>-2000000</v>
      </c>
      <c r="K34" s="24">
        <v>-53000000</v>
      </c>
    </row>
    <row r="35" spans="1:11" x14ac:dyDescent="0.25">
      <c r="A35" t="s">
        <v>252</v>
      </c>
      <c r="B35" s="24">
        <v>-175000000</v>
      </c>
      <c r="C35" s="24">
        <v>-402000000</v>
      </c>
      <c r="D35" s="24">
        <v>-584000000</v>
      </c>
      <c r="E35" s="24">
        <v>-713000000</v>
      </c>
      <c r="F35" s="24">
        <v>363000000</v>
      </c>
      <c r="G35" s="24">
        <v>-320000000</v>
      </c>
      <c r="H35" s="24">
        <v>1808000000</v>
      </c>
      <c r="I35" s="24">
        <v>-51000000</v>
      </c>
      <c r="J35" s="24">
        <v>-161000000</v>
      </c>
      <c r="K35" s="24">
        <v>-170000000</v>
      </c>
    </row>
    <row r="36" spans="1:11" x14ac:dyDescent="0.25">
      <c r="A36" t="s">
        <v>253</v>
      </c>
      <c r="B36" s="24">
        <v>-175000000</v>
      </c>
      <c r="C36" s="24">
        <v>-402000000</v>
      </c>
      <c r="D36" s="24">
        <v>-584000000</v>
      </c>
      <c r="E36" s="24">
        <v>-713000000</v>
      </c>
      <c r="F36" s="24">
        <v>363000000</v>
      </c>
      <c r="G36" s="24">
        <v>-320000000</v>
      </c>
      <c r="H36" s="24">
        <v>1808000000</v>
      </c>
      <c r="I36" s="24">
        <v>-51000000</v>
      </c>
      <c r="J36" s="24">
        <v>-161000000</v>
      </c>
      <c r="K36" s="24">
        <v>-170000000</v>
      </c>
    </row>
    <row r="37" spans="1:11" x14ac:dyDescent="0.25">
      <c r="A37" t="s">
        <v>254</v>
      </c>
      <c r="B37" s="24">
        <v>257000000</v>
      </c>
      <c r="C37" s="24">
        <v>128000000</v>
      </c>
      <c r="D37" s="24">
        <v>-9000000</v>
      </c>
      <c r="E37" s="24">
        <v>-534000000</v>
      </c>
      <c r="F37" s="24">
        <v>479000000</v>
      </c>
      <c r="G37" s="24">
        <v>-21000000</v>
      </c>
      <c r="H37" s="24">
        <v>2106000000</v>
      </c>
      <c r="I37" s="24">
        <v>9000000</v>
      </c>
      <c r="J37" s="24">
        <v>77000000</v>
      </c>
      <c r="K37" s="24">
        <v>-12000000</v>
      </c>
    </row>
    <row r="38" spans="1:11" x14ac:dyDescent="0.25">
      <c r="A38" t="s">
        <v>255</v>
      </c>
      <c r="B38" s="24">
        <v>257000000</v>
      </c>
      <c r="C38" s="24">
        <v>128000000</v>
      </c>
      <c r="D38" s="24">
        <v>-9000000</v>
      </c>
      <c r="E38" s="24">
        <v>-534000000</v>
      </c>
      <c r="F38" s="24">
        <v>479000000</v>
      </c>
      <c r="G38" s="24">
        <v>-21000000</v>
      </c>
      <c r="H38" s="24">
        <v>2106000000</v>
      </c>
      <c r="I38" s="24">
        <v>9000000</v>
      </c>
      <c r="J38" s="24">
        <v>77000000</v>
      </c>
      <c r="K38" s="24">
        <v>-12000000</v>
      </c>
    </row>
    <row r="39" spans="1:11" x14ac:dyDescent="0.25">
      <c r="A39" t="s">
        <v>256</v>
      </c>
      <c r="B39" s="24">
        <v>1835000000</v>
      </c>
      <c r="C39" s="24">
        <v>1378000000</v>
      </c>
      <c r="D39" s="24">
        <v>400000000</v>
      </c>
      <c r="E39" s="24">
        <v>45000000</v>
      </c>
      <c r="F39" s="24">
        <v>1244000000</v>
      </c>
      <c r="G39">
        <v>0</v>
      </c>
      <c r="H39" s="24">
        <v>2113000000</v>
      </c>
      <c r="I39" s="24">
        <v>9000000</v>
      </c>
      <c r="J39" s="24">
        <v>79000000</v>
      </c>
      <c r="K39" s="24">
        <v>-10000000</v>
      </c>
    </row>
    <row r="40" spans="1:11" x14ac:dyDescent="0.25">
      <c r="A40" t="s">
        <v>257</v>
      </c>
      <c r="B40" s="24">
        <v>-1578000000</v>
      </c>
      <c r="C40" s="24">
        <v>-1250000000</v>
      </c>
      <c r="D40" s="24">
        <v>-409000000</v>
      </c>
      <c r="E40" s="24">
        <v>-579000000</v>
      </c>
      <c r="F40" s="24">
        <v>-765000000</v>
      </c>
      <c r="G40" s="24">
        <v>-21000000</v>
      </c>
      <c r="H40" s="24">
        <v>-7000000</v>
      </c>
      <c r="I40">
        <v>0</v>
      </c>
      <c r="J40" s="24">
        <v>-2000000</v>
      </c>
      <c r="K40" s="24">
        <v>-2000000</v>
      </c>
    </row>
    <row r="41" spans="1:11" x14ac:dyDescent="0.25">
      <c r="A41" t="s">
        <v>258</v>
      </c>
      <c r="B41" s="24">
        <v>-310000000</v>
      </c>
      <c r="C41" s="24">
        <v>-393000000</v>
      </c>
      <c r="D41" s="24">
        <v>-448000000</v>
      </c>
      <c r="E41" s="24">
        <v>-107000000</v>
      </c>
      <c r="F41" s="24">
        <v>-50000000</v>
      </c>
      <c r="G41" s="24">
        <v>-242000000</v>
      </c>
      <c r="H41" s="24">
        <v>-117000000</v>
      </c>
      <c r="I41">
        <v>0</v>
      </c>
      <c r="J41">
        <v>0</v>
      </c>
      <c r="K41" s="24">
        <v>-156000000</v>
      </c>
    </row>
    <row r="42" spans="1:11" x14ac:dyDescent="0.25">
      <c r="A42" t="s">
        <v>259</v>
      </c>
      <c r="B42" s="24">
        <v>-310000000</v>
      </c>
      <c r="C42" s="24">
        <v>-393000000</v>
      </c>
      <c r="D42" s="24">
        <v>-448000000</v>
      </c>
      <c r="E42" s="24">
        <v>-107000000</v>
      </c>
      <c r="F42" s="24">
        <v>-50000000</v>
      </c>
      <c r="G42" s="24">
        <v>-242000000</v>
      </c>
      <c r="H42" s="24">
        <v>-117000000</v>
      </c>
      <c r="I42">
        <v>0</v>
      </c>
      <c r="J42">
        <v>0</v>
      </c>
      <c r="K42" s="24">
        <v>-156000000</v>
      </c>
    </row>
    <row r="43" spans="1:11" x14ac:dyDescent="0.25">
      <c r="A43" t="s">
        <v>260</v>
      </c>
      <c r="B43" s="24">
        <v>-122000000</v>
      </c>
      <c r="C43" s="24">
        <v>-118000000</v>
      </c>
      <c r="D43" s="24">
        <v>-116000000</v>
      </c>
      <c r="E43" s="24">
        <v>-82000000</v>
      </c>
      <c r="F43" s="24">
        <v>-53000000</v>
      </c>
      <c r="G43" s="24">
        <v>-112000000</v>
      </c>
      <c r="H43" s="24">
        <v>-186000000</v>
      </c>
      <c r="I43">
        <v>0</v>
      </c>
      <c r="J43">
        <v>0</v>
      </c>
    </row>
    <row r="44" spans="1:11" x14ac:dyDescent="0.25">
      <c r="A44" t="s">
        <v>261</v>
      </c>
      <c r="B44" s="24">
        <v>-122000000</v>
      </c>
      <c r="C44" s="24">
        <v>-118000000</v>
      </c>
      <c r="D44" s="24">
        <v>-116000000</v>
      </c>
      <c r="E44" s="24">
        <v>-82000000</v>
      </c>
      <c r="F44" s="24">
        <v>-53000000</v>
      </c>
      <c r="G44" s="24">
        <v>-112000000</v>
      </c>
      <c r="H44" s="24">
        <v>-186000000</v>
      </c>
      <c r="I44">
        <v>0</v>
      </c>
      <c r="J44">
        <v>0</v>
      </c>
    </row>
    <row r="45" spans="1:11" x14ac:dyDescent="0.25">
      <c r="A45" t="s">
        <v>293</v>
      </c>
      <c r="B45" s="24">
        <v>2000000</v>
      </c>
      <c r="C45" s="24">
        <v>-9000000</v>
      </c>
      <c r="D45" s="24">
        <v>-7000000</v>
      </c>
      <c r="E45" s="24">
        <v>10000000</v>
      </c>
      <c r="F45" s="24">
        <v>-4000000</v>
      </c>
      <c r="G45" s="24">
        <v>-5000000</v>
      </c>
      <c r="H45" s="24">
        <v>-34000000</v>
      </c>
      <c r="I45">
        <v>0</v>
      </c>
      <c r="J45">
        <v>0</v>
      </c>
    </row>
    <row r="46" spans="1:11" x14ac:dyDescent="0.25">
      <c r="A46" t="s">
        <v>262</v>
      </c>
      <c r="B46" s="24">
        <v>-2000000</v>
      </c>
      <c r="C46" s="24">
        <v>-10000000</v>
      </c>
      <c r="D46" s="24">
        <v>-4000000</v>
      </c>
      <c r="F46" s="24">
        <v>-9000000</v>
      </c>
      <c r="G46" s="24">
        <v>60000000</v>
      </c>
      <c r="H46" s="24">
        <v>39000000</v>
      </c>
      <c r="I46" s="24">
        <v>-60000000</v>
      </c>
      <c r="J46" s="24">
        <v>-238000000</v>
      </c>
      <c r="K46" s="24">
        <v>-158000000</v>
      </c>
    </row>
    <row r="47" spans="1:11" x14ac:dyDescent="0.25">
      <c r="A47" t="s">
        <v>263</v>
      </c>
      <c r="B47" s="24">
        <v>113000000</v>
      </c>
      <c r="C47" s="24">
        <v>66000000</v>
      </c>
      <c r="D47" s="24">
        <v>161000000</v>
      </c>
      <c r="E47" s="24">
        <v>171000000</v>
      </c>
      <c r="F47" s="24">
        <v>493000000</v>
      </c>
      <c r="G47" s="24">
        <v>94000000</v>
      </c>
      <c r="H47" s="24">
        <v>366000000</v>
      </c>
      <c r="I47" s="24">
        <v>59000000</v>
      </c>
      <c r="J47" s="24">
        <v>30000000</v>
      </c>
      <c r="K47" s="24">
        <v>38000000</v>
      </c>
    </row>
    <row r="48" spans="1:11" x14ac:dyDescent="0.25">
      <c r="A48" t="s">
        <v>264</v>
      </c>
      <c r="B48" s="24">
        <v>50000000</v>
      </c>
      <c r="C48" s="24">
        <v>-92000000</v>
      </c>
      <c r="D48" s="24">
        <v>-6000000</v>
      </c>
      <c r="E48" s="24">
        <v>-321000000</v>
      </c>
      <c r="F48" s="24">
        <v>399000000</v>
      </c>
      <c r="G48" s="24">
        <v>-273000000</v>
      </c>
      <c r="H48" s="24">
        <v>311000000</v>
      </c>
      <c r="I48" s="24">
        <v>30000000</v>
      </c>
      <c r="J48" s="24">
        <v>-11000000</v>
      </c>
      <c r="K48" s="24">
        <v>13000000</v>
      </c>
    </row>
    <row r="49" spans="1:11" x14ac:dyDescent="0.25">
      <c r="A49" t="s">
        <v>294</v>
      </c>
      <c r="B49" s="24">
        <v>-3000000</v>
      </c>
      <c r="C49" s="24">
        <v>-3000000</v>
      </c>
      <c r="D49" s="24">
        <v>-4000000</v>
      </c>
      <c r="E49" s="24">
        <v>-1000000</v>
      </c>
      <c r="F49">
        <v>0</v>
      </c>
      <c r="G49" s="24">
        <v>1000000</v>
      </c>
      <c r="H49" s="24">
        <v>-4000000</v>
      </c>
      <c r="I49" s="24">
        <v>-1000000</v>
      </c>
      <c r="J49" s="24">
        <v>1000000</v>
      </c>
      <c r="K49">
        <v>0</v>
      </c>
    </row>
    <row r="50" spans="1:11" x14ac:dyDescent="0.25">
      <c r="A50" t="s">
        <v>265</v>
      </c>
      <c r="B50" s="24">
        <v>66000000</v>
      </c>
      <c r="C50" s="24">
        <v>161000000</v>
      </c>
      <c r="D50" s="24">
        <v>171000000</v>
      </c>
      <c r="E50" s="24">
        <v>493000000</v>
      </c>
      <c r="F50" s="24">
        <v>94000000</v>
      </c>
      <c r="G50" s="24">
        <v>366000000</v>
      </c>
      <c r="H50" s="24">
        <v>59000000</v>
      </c>
      <c r="I50" s="24">
        <v>30000000</v>
      </c>
      <c r="J50" s="24">
        <v>40000000</v>
      </c>
      <c r="K50" s="24">
        <v>25000000</v>
      </c>
    </row>
    <row r="51" spans="1:11" x14ac:dyDescent="0.25">
      <c r="A51" t="s">
        <v>266</v>
      </c>
      <c r="B51" s="24">
        <v>-49000000</v>
      </c>
      <c r="C51" s="24">
        <v>-37000000</v>
      </c>
      <c r="D51" s="24">
        <v>-39000000</v>
      </c>
      <c r="E51" s="24">
        <v>-37000000</v>
      </c>
      <c r="F51" s="24">
        <v>-33000000</v>
      </c>
      <c r="G51" s="24">
        <v>-50000000</v>
      </c>
      <c r="H51" s="24">
        <v>-73000000</v>
      </c>
      <c r="I51" s="24">
        <v>-46000000</v>
      </c>
      <c r="J51" s="24">
        <v>-42000000</v>
      </c>
      <c r="K51" s="24">
        <v>-51000000</v>
      </c>
    </row>
    <row r="52" spans="1:11" x14ac:dyDescent="0.25">
      <c r="A52" t="s">
        <v>267</v>
      </c>
      <c r="B52" s="24">
        <v>1835000000</v>
      </c>
      <c r="C52" s="24">
        <v>1378000000</v>
      </c>
      <c r="D52" s="24">
        <v>400000000</v>
      </c>
      <c r="E52" s="24">
        <v>45000000</v>
      </c>
      <c r="F52" s="24">
        <v>1244000000</v>
      </c>
      <c r="G52">
        <v>0</v>
      </c>
      <c r="H52" s="24">
        <v>2113000000</v>
      </c>
      <c r="I52" s="24">
        <v>9000000</v>
      </c>
      <c r="J52" s="24">
        <v>79000000</v>
      </c>
      <c r="K52" s="24">
        <v>-10000000</v>
      </c>
    </row>
    <row r="53" spans="1:11" x14ac:dyDescent="0.25">
      <c r="A53" t="s">
        <v>268</v>
      </c>
      <c r="B53" s="24">
        <v>-1578000000</v>
      </c>
      <c r="C53" s="24">
        <v>-1250000000</v>
      </c>
      <c r="D53" s="24">
        <v>-409000000</v>
      </c>
      <c r="E53" s="24">
        <v>-579000000</v>
      </c>
      <c r="F53" s="24">
        <v>-765000000</v>
      </c>
      <c r="G53" s="24">
        <v>-21000000</v>
      </c>
      <c r="H53" s="24">
        <v>-7000000</v>
      </c>
      <c r="I53">
        <v>0</v>
      </c>
      <c r="J53" s="24">
        <v>-2000000</v>
      </c>
      <c r="K53" s="24">
        <v>-2000000</v>
      </c>
    </row>
    <row r="54" spans="1:11" x14ac:dyDescent="0.25">
      <c r="A54" t="s">
        <v>269</v>
      </c>
      <c r="B54" s="24">
        <v>-310000000</v>
      </c>
      <c r="C54" s="24">
        <v>-393000000</v>
      </c>
      <c r="D54" s="24">
        <v>-448000000</v>
      </c>
      <c r="E54" s="24">
        <v>-107000000</v>
      </c>
      <c r="F54" s="24">
        <v>-50000000</v>
      </c>
      <c r="G54" s="24">
        <v>-242000000</v>
      </c>
      <c r="H54" s="24">
        <v>-117000000</v>
      </c>
      <c r="I54">
        <v>0</v>
      </c>
      <c r="J54">
        <v>0</v>
      </c>
      <c r="K54" s="24">
        <v>-156000000</v>
      </c>
    </row>
    <row r="55" spans="1:11" x14ac:dyDescent="0.25">
      <c r="A55" t="s">
        <v>270</v>
      </c>
      <c r="B55" s="24">
        <v>241000000</v>
      </c>
      <c r="C55" s="24">
        <v>339000000</v>
      </c>
      <c r="D55" s="24">
        <v>360000000</v>
      </c>
      <c r="E55" s="24">
        <v>389000000</v>
      </c>
      <c r="F55" s="24">
        <v>34000000</v>
      </c>
      <c r="G55" s="24">
        <v>50000000</v>
      </c>
      <c r="H55" s="24">
        <v>158000000</v>
      </c>
      <c r="I55" s="24">
        <v>232000000</v>
      </c>
      <c r="J55" s="24">
        <v>222000000</v>
      </c>
      <c r="K55" s="24">
        <v>236000000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INPUT</vt:lpstr>
      <vt:lpstr>ANSWER</vt:lpstr>
      <vt:lpstr>BALANCE SHEET YAHOO</vt:lpstr>
      <vt:lpstr>INCOME YAHOO</vt:lpstr>
      <vt:lpstr>CASH FLOW YAHOO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2021-12-02T02:53:11Z</dcterms:created>
  <dcterms:modified xsi:type="dcterms:W3CDTF">2025-04-15T10:38:50Z</dcterms:modified>
</cp:coreProperties>
</file>