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roussch\Dropbox\File requests\INVESTMENTS FINANCE CREDIT\Chapters\ACTIVE LEARNING\PART V - FINANCIAL MODELS\Financial Models\"/>
    </mc:Choice>
  </mc:AlternateContent>
  <xr:revisionPtr revIDLastSave="0" documentId="13_ncr:1_{3D33D643-37EB-4A79-A978-5C2FF96DC331}" xr6:coauthVersionLast="47" xr6:coauthVersionMax="47" xr10:uidLastSave="{00000000-0000-0000-0000-000000000000}"/>
  <bookViews>
    <workbookView xWindow="-110" yWindow="-110" windowWidth="19420" windowHeight="11500" xr2:uid="{D36FC802-BAC1-4C29-B9E6-AA4387B1C22E}"/>
  </bookViews>
  <sheets>
    <sheet name="Waterfall Analysi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3" l="1"/>
  <c r="C28" i="3"/>
  <c r="C42" i="3"/>
  <c r="C41" i="3"/>
  <c r="C40" i="3"/>
  <c r="C27" i="3"/>
  <c r="C15" i="3"/>
  <c r="C14" i="3"/>
  <c r="F67" i="3"/>
  <c r="G67" i="3"/>
  <c r="H67" i="3"/>
  <c r="I67" i="3"/>
  <c r="J67" i="3"/>
  <c r="K67" i="3"/>
  <c r="L67" i="3"/>
  <c r="M67" i="3"/>
  <c r="N67" i="3"/>
  <c r="E67" i="3"/>
  <c r="B67" i="3"/>
  <c r="C35" i="3"/>
  <c r="C36" i="3"/>
  <c r="C34" i="3"/>
  <c r="C33" i="3"/>
  <c r="C113" i="3"/>
  <c r="C84" i="3"/>
  <c r="C64" i="3"/>
  <c r="N70" i="3"/>
  <c r="M86" i="3"/>
  <c r="N86" i="3"/>
  <c r="M115" i="3"/>
  <c r="N115" i="3"/>
  <c r="N128" i="3" s="1"/>
  <c r="L70" i="3"/>
  <c r="L19" i="3" s="1"/>
  <c r="L86" i="3"/>
  <c r="L115" i="3"/>
  <c r="L128" i="3" s="1"/>
  <c r="D22" i="3"/>
  <c r="D21" i="3"/>
  <c r="D20" i="3"/>
  <c r="D19" i="3"/>
  <c r="D36" i="3"/>
  <c r="D35" i="3"/>
  <c r="D34" i="3"/>
  <c r="D33" i="3"/>
  <c r="B37" i="3"/>
  <c r="B32" i="3"/>
  <c r="B34" i="3"/>
  <c r="B35" i="3"/>
  <c r="B36" i="3"/>
  <c r="B33" i="3"/>
  <c r="C137" i="3"/>
  <c r="C123" i="3"/>
  <c r="C83" i="3"/>
  <c r="C112" i="3"/>
  <c r="K115" i="3"/>
  <c r="K128" i="3" s="1"/>
  <c r="K21" i="3" s="1"/>
  <c r="J115" i="3"/>
  <c r="J128" i="3" s="1"/>
  <c r="J21" i="3" s="1"/>
  <c r="I115" i="3"/>
  <c r="I128" i="3" s="1"/>
  <c r="I21" i="3" s="1"/>
  <c r="H115" i="3"/>
  <c r="H128" i="3" s="1"/>
  <c r="H21" i="3" s="1"/>
  <c r="C94" i="3"/>
  <c r="K86" i="3"/>
  <c r="K99" i="3" s="1"/>
  <c r="K114" i="3" s="1"/>
  <c r="J86" i="3"/>
  <c r="J99" i="3" s="1"/>
  <c r="J114" i="3" s="1"/>
  <c r="I86" i="3"/>
  <c r="I99" i="3" s="1"/>
  <c r="I114" i="3" s="1"/>
  <c r="H86" i="3"/>
  <c r="H99" i="3" s="1"/>
  <c r="H114" i="3" s="1"/>
  <c r="H6" i="3"/>
  <c r="C86" i="3" s="1"/>
  <c r="H7" i="3"/>
  <c r="C115" i="3" s="1"/>
  <c r="H8" i="3"/>
  <c r="C136" i="3" s="1"/>
  <c r="H5" i="3"/>
  <c r="C54" i="3" s="1"/>
  <c r="C5" i="3"/>
  <c r="D84" i="3" s="1"/>
  <c r="D6" i="3"/>
  <c r="C6" i="3" s="1"/>
  <c r="C21" i="3" l="1"/>
  <c r="C20" i="3"/>
  <c r="C19" i="3"/>
  <c r="C93" i="3"/>
  <c r="C22" i="3"/>
  <c r="M123" i="3"/>
  <c r="N123" i="3"/>
  <c r="K123" i="3"/>
  <c r="L123" i="3"/>
  <c r="J123" i="3"/>
  <c r="I123" i="3"/>
  <c r="H123" i="3"/>
  <c r="H129" i="3" s="1"/>
  <c r="D113" i="3"/>
  <c r="L94" i="3"/>
  <c r="N94" i="3"/>
  <c r="I94" i="3"/>
  <c r="M94" i="3"/>
  <c r="K94" i="3"/>
  <c r="H94" i="3"/>
  <c r="H100" i="3" s="1"/>
  <c r="J94" i="3"/>
  <c r="C63" i="3"/>
  <c r="C55" i="3"/>
  <c r="E55" i="3" s="1"/>
  <c r="E64" i="3" s="1"/>
  <c r="D63" i="3"/>
  <c r="D93" i="3" s="1"/>
  <c r="D122" i="3" s="1"/>
  <c r="D54" i="3"/>
  <c r="N19" i="3"/>
  <c r="N85" i="3"/>
  <c r="N21" i="3"/>
  <c r="M128" i="3"/>
  <c r="N99" i="3"/>
  <c r="M99" i="3"/>
  <c r="M70" i="3"/>
  <c r="L21" i="3"/>
  <c r="L99" i="3"/>
  <c r="L85" i="3"/>
  <c r="J20" i="3"/>
  <c r="D32" i="3"/>
  <c r="D37" i="3" s="1"/>
  <c r="D13" i="3" s="1"/>
  <c r="H20" i="3"/>
  <c r="D18" i="3"/>
  <c r="D23" i="3" s="1"/>
  <c r="I20" i="3"/>
  <c r="K20" i="3"/>
  <c r="D8" i="3"/>
  <c r="H63" i="3" l="1"/>
  <c r="M63" i="3"/>
  <c r="E63" i="3"/>
  <c r="F63" i="3"/>
  <c r="G63" i="3"/>
  <c r="I63" i="3"/>
  <c r="K63" i="3"/>
  <c r="L63" i="3"/>
  <c r="J63" i="3"/>
  <c r="N63" i="3"/>
  <c r="H64" i="3"/>
  <c r="I64" i="3"/>
  <c r="J64" i="3"/>
  <c r="K64" i="3"/>
  <c r="L64" i="3"/>
  <c r="M64" i="3"/>
  <c r="N64" i="3"/>
  <c r="F55" i="3"/>
  <c r="F64" i="3" s="1"/>
  <c r="F60" i="3"/>
  <c r="E60" i="3"/>
  <c r="D119" i="3"/>
  <c r="M114" i="3"/>
  <c r="M20" i="3"/>
  <c r="N114" i="3"/>
  <c r="N20" i="3"/>
  <c r="M21" i="3"/>
  <c r="M19" i="3"/>
  <c r="M85" i="3"/>
  <c r="L20" i="3"/>
  <c r="L114" i="3"/>
  <c r="H130" i="3"/>
  <c r="H35" i="3"/>
  <c r="H101" i="3"/>
  <c r="H34" i="3"/>
  <c r="I129" i="3"/>
  <c r="D58" i="3"/>
  <c r="E51" i="3" s="1"/>
  <c r="E53" i="3" s="1"/>
  <c r="D60" i="3"/>
  <c r="E71" i="3"/>
  <c r="E33" i="3" s="1"/>
  <c r="I100" i="3"/>
  <c r="D117" i="3" l="1"/>
  <c r="D90" i="3"/>
  <c r="D88" i="3"/>
  <c r="E81" i="3" s="1"/>
  <c r="E83" i="3" s="1"/>
  <c r="E110" i="3"/>
  <c r="E112" i="3" s="1"/>
  <c r="I130" i="3"/>
  <c r="I35" i="3"/>
  <c r="I101" i="3"/>
  <c r="I34" i="3"/>
  <c r="F71" i="3"/>
  <c r="F33" i="3" s="1"/>
  <c r="J129" i="3"/>
  <c r="J100" i="3"/>
  <c r="E70" i="3"/>
  <c r="E19" i="3" s="1"/>
  <c r="E58" i="3"/>
  <c r="F51" i="3" s="1"/>
  <c r="F53" i="3" s="1"/>
  <c r="L100" i="3" l="1"/>
  <c r="L101" i="3" s="1"/>
  <c r="L129" i="3"/>
  <c r="L35" i="3" s="1"/>
  <c r="J101" i="3"/>
  <c r="J34" i="3"/>
  <c r="J130" i="3"/>
  <c r="J35" i="3"/>
  <c r="K129" i="3"/>
  <c r="E72" i="3"/>
  <c r="E74" i="3" s="1"/>
  <c r="E78" i="3" s="1"/>
  <c r="E96" i="3" s="1"/>
  <c r="E85" i="3"/>
  <c r="K100" i="3"/>
  <c r="H71" i="3"/>
  <c r="H33" i="3" s="1"/>
  <c r="F70" i="3"/>
  <c r="F19" i="3" s="1"/>
  <c r="F58" i="3"/>
  <c r="G51" i="3" s="1"/>
  <c r="G53" i="3" l="1"/>
  <c r="G60" i="3" s="1"/>
  <c r="L130" i="3"/>
  <c r="L34" i="3"/>
  <c r="N100" i="3"/>
  <c r="M100" i="3"/>
  <c r="N129" i="3"/>
  <c r="M129" i="3"/>
  <c r="K101" i="3"/>
  <c r="K34" i="3"/>
  <c r="K130" i="3"/>
  <c r="K35" i="3"/>
  <c r="E88" i="3"/>
  <c r="E90" i="3"/>
  <c r="E86" i="3" s="1"/>
  <c r="E94" i="3" s="1"/>
  <c r="F72" i="3"/>
  <c r="F74" i="3" s="1"/>
  <c r="F78" i="3" s="1"/>
  <c r="F96" i="3" s="1"/>
  <c r="F85" i="3"/>
  <c r="F90" i="3" s="1"/>
  <c r="F86" i="3" s="1"/>
  <c r="F94" i="3" s="1"/>
  <c r="H70" i="3"/>
  <c r="H19" i="3" s="1"/>
  <c r="I71" i="3"/>
  <c r="I33" i="3" s="1"/>
  <c r="E100" i="3" l="1"/>
  <c r="E34" i="3" s="1"/>
  <c r="G55" i="3"/>
  <c r="G64" i="3" s="1"/>
  <c r="C60" i="3"/>
  <c r="M35" i="3"/>
  <c r="M130" i="3"/>
  <c r="N35" i="3"/>
  <c r="N130" i="3"/>
  <c r="M34" i="3"/>
  <c r="M101" i="3"/>
  <c r="N34" i="3"/>
  <c r="N101" i="3"/>
  <c r="F99" i="3"/>
  <c r="F20" i="3" s="1"/>
  <c r="F114" i="3"/>
  <c r="F119" i="3" s="1"/>
  <c r="F115" i="3" s="1"/>
  <c r="F123" i="3" s="1"/>
  <c r="E114" i="3"/>
  <c r="E99" i="3"/>
  <c r="F100" i="3"/>
  <c r="F34" i="3" s="1"/>
  <c r="H72" i="3"/>
  <c r="H74" i="3" s="1"/>
  <c r="H78" i="3" s="1"/>
  <c r="H85" i="3"/>
  <c r="F81" i="3"/>
  <c r="F83" i="3" s="1"/>
  <c r="J71" i="3"/>
  <c r="J33" i="3" s="1"/>
  <c r="I70" i="3"/>
  <c r="I19" i="3" s="1"/>
  <c r="H103" i="3" l="1"/>
  <c r="H107" i="3" s="1"/>
  <c r="H96" i="3"/>
  <c r="G71" i="3"/>
  <c r="G33" i="3" s="1"/>
  <c r="G58" i="3"/>
  <c r="H51" i="3" s="1"/>
  <c r="H53" i="3" s="1"/>
  <c r="H58" i="3" s="1"/>
  <c r="G70" i="3"/>
  <c r="G19" i="3" s="1"/>
  <c r="E101" i="3"/>
  <c r="E103" i="3" s="1"/>
  <c r="E107" i="3" s="1"/>
  <c r="E125" i="3" s="1"/>
  <c r="E20" i="3"/>
  <c r="E119" i="3"/>
  <c r="E117" i="3"/>
  <c r="F110" i="3" s="1"/>
  <c r="F112" i="3" s="1"/>
  <c r="F129" i="3"/>
  <c r="F35" i="3" s="1"/>
  <c r="F128" i="3"/>
  <c r="F101" i="3"/>
  <c r="F103" i="3" s="1"/>
  <c r="F107" i="3" s="1"/>
  <c r="F125" i="3" s="1"/>
  <c r="F88" i="3"/>
  <c r="I72" i="3"/>
  <c r="I74" i="3" s="1"/>
  <c r="I78" i="3" s="1"/>
  <c r="I85" i="3"/>
  <c r="J70" i="3"/>
  <c r="J19" i="3" s="1"/>
  <c r="H132" i="3" l="1"/>
  <c r="H125" i="3"/>
  <c r="I103" i="3"/>
  <c r="I107" i="3" s="1"/>
  <c r="I96" i="3"/>
  <c r="F117" i="3"/>
  <c r="G110" i="3" s="1"/>
  <c r="G112" i="3" s="1"/>
  <c r="G85" i="3"/>
  <c r="G72" i="3"/>
  <c r="G74" i="3" s="1"/>
  <c r="G78" i="3" s="1"/>
  <c r="G96" i="3" s="1"/>
  <c r="I51" i="3"/>
  <c r="I53" i="3" s="1"/>
  <c r="I58" i="3" s="1"/>
  <c r="K71" i="3"/>
  <c r="K33" i="3" s="1"/>
  <c r="F130" i="3"/>
  <c r="F132" i="3" s="1"/>
  <c r="F21" i="3"/>
  <c r="E115" i="3"/>
  <c r="E123" i="3" s="1"/>
  <c r="G81" i="3"/>
  <c r="G83" i="3" s="1"/>
  <c r="J72" i="3"/>
  <c r="J74" i="3" s="1"/>
  <c r="J78" i="3" s="1"/>
  <c r="J85" i="3"/>
  <c r="K70" i="3"/>
  <c r="K19" i="3" s="1"/>
  <c r="I132" i="3" l="1"/>
  <c r="I136" i="3" s="1"/>
  <c r="I22" i="3" s="1"/>
  <c r="I23" i="3" s="1"/>
  <c r="I24" i="3" s="1"/>
  <c r="I125" i="3"/>
  <c r="H136" i="3"/>
  <c r="H137" i="3"/>
  <c r="H36" i="3" s="1"/>
  <c r="H37" i="3" s="1"/>
  <c r="J103" i="3"/>
  <c r="J107" i="3" s="1"/>
  <c r="J96" i="3"/>
  <c r="F136" i="3"/>
  <c r="F137" i="3"/>
  <c r="F36" i="3" s="1"/>
  <c r="F37" i="3" s="1"/>
  <c r="J51" i="3"/>
  <c r="J53" i="3" s="1"/>
  <c r="J58" i="3" s="1"/>
  <c r="L71" i="3"/>
  <c r="L72" i="3" s="1"/>
  <c r="L74" i="3" s="1"/>
  <c r="L78" i="3" s="1"/>
  <c r="E129" i="3"/>
  <c r="E35" i="3" s="1"/>
  <c r="E128" i="3"/>
  <c r="E21" i="3" s="1"/>
  <c r="G90" i="3"/>
  <c r="K72" i="3"/>
  <c r="K74" i="3" s="1"/>
  <c r="K78" i="3" s="1"/>
  <c r="K85" i="3"/>
  <c r="I137" i="3" l="1"/>
  <c r="I36" i="3" s="1"/>
  <c r="I37" i="3" s="1"/>
  <c r="I38" i="3" s="1"/>
  <c r="F38" i="3"/>
  <c r="H38" i="3"/>
  <c r="J132" i="3"/>
  <c r="J125" i="3"/>
  <c r="H138" i="3"/>
  <c r="H22" i="3"/>
  <c r="H23" i="3" s="1"/>
  <c r="H24" i="3" s="1"/>
  <c r="L103" i="3"/>
  <c r="L107" i="3" s="1"/>
  <c r="L96" i="3"/>
  <c r="K103" i="3"/>
  <c r="K107" i="3" s="1"/>
  <c r="K96" i="3"/>
  <c r="K51" i="3"/>
  <c r="K53" i="3" s="1"/>
  <c r="K58" i="3" s="1"/>
  <c r="L33" i="3"/>
  <c r="N71" i="3"/>
  <c r="M71" i="3"/>
  <c r="F22" i="3"/>
  <c r="F23" i="3" s="1"/>
  <c r="F24" i="3" s="1"/>
  <c r="E130" i="3"/>
  <c r="E132" i="3" s="1"/>
  <c r="F138" i="3"/>
  <c r="C90" i="3"/>
  <c r="G86" i="3"/>
  <c r="G94" i="3" s="1"/>
  <c r="I138" i="3" l="1"/>
  <c r="I13" i="3"/>
  <c r="H13" i="3"/>
  <c r="F13" i="3"/>
  <c r="L132" i="3"/>
  <c r="L137" i="3" s="1"/>
  <c r="L36" i="3" s="1"/>
  <c r="L37" i="3" s="1"/>
  <c r="L125" i="3"/>
  <c r="K132" i="3"/>
  <c r="K125" i="3"/>
  <c r="J136" i="3"/>
  <c r="J137" i="3"/>
  <c r="J36" i="3" s="1"/>
  <c r="J37" i="3" s="1"/>
  <c r="L136" i="3"/>
  <c r="L22" i="3" s="1"/>
  <c r="L23" i="3" s="1"/>
  <c r="L24" i="3" s="1"/>
  <c r="E136" i="3"/>
  <c r="E22" i="3" s="1"/>
  <c r="E23" i="3" s="1"/>
  <c r="E24" i="3" s="1"/>
  <c r="E137" i="3"/>
  <c r="E36" i="3" s="1"/>
  <c r="E37" i="3" s="1"/>
  <c r="L51" i="3"/>
  <c r="L53" i="3" s="1"/>
  <c r="L58" i="3" s="1"/>
  <c r="M33" i="3"/>
  <c r="M72" i="3"/>
  <c r="M74" i="3" s="1"/>
  <c r="M78" i="3" s="1"/>
  <c r="N33" i="3"/>
  <c r="N72" i="3"/>
  <c r="N74" i="3" s="1"/>
  <c r="N78" i="3" s="1"/>
  <c r="G114" i="3"/>
  <c r="G99" i="3"/>
  <c r="G20" i="3" s="1"/>
  <c r="E38" i="3" l="1"/>
  <c r="E13" i="3"/>
  <c r="L38" i="3"/>
  <c r="L13" i="3"/>
  <c r="J38" i="3"/>
  <c r="J22" i="3"/>
  <c r="J23" i="3" s="1"/>
  <c r="J24" i="3" s="1"/>
  <c r="J138" i="3"/>
  <c r="L138" i="3"/>
  <c r="K136" i="3"/>
  <c r="K137" i="3"/>
  <c r="K36" i="3" s="1"/>
  <c r="K37" i="3" s="1"/>
  <c r="N103" i="3"/>
  <c r="N107" i="3" s="1"/>
  <c r="N96" i="3"/>
  <c r="M103" i="3"/>
  <c r="M107" i="3" s="1"/>
  <c r="M96" i="3"/>
  <c r="M51" i="3"/>
  <c r="M53" i="3" s="1"/>
  <c r="M58" i="3" s="1"/>
  <c r="N51" i="3" s="1"/>
  <c r="E138" i="3"/>
  <c r="G115" i="3"/>
  <c r="G123" i="3" s="1"/>
  <c r="G119" i="3"/>
  <c r="C119" i="3" s="1"/>
  <c r="G100" i="3"/>
  <c r="G34" i="3" s="1"/>
  <c r="G88" i="3"/>
  <c r="H81" i="3" s="1"/>
  <c r="H83" i="3" s="1"/>
  <c r="K38" i="3" l="1"/>
  <c r="J13" i="3"/>
  <c r="M132" i="3"/>
  <c r="M137" i="3" s="1"/>
  <c r="M36" i="3" s="1"/>
  <c r="M37" i="3" s="1"/>
  <c r="M125" i="3"/>
  <c r="N132" i="3"/>
  <c r="N136" i="3" s="1"/>
  <c r="N22" i="3" s="1"/>
  <c r="N23" i="3" s="1"/>
  <c r="N24" i="3" s="1"/>
  <c r="N125" i="3"/>
  <c r="K22" i="3"/>
  <c r="K23" i="3" s="1"/>
  <c r="K24" i="3" s="1"/>
  <c r="K138" i="3"/>
  <c r="M136" i="3"/>
  <c r="M138" i="3" s="1"/>
  <c r="N137" i="3"/>
  <c r="N36" i="3" s="1"/>
  <c r="N37" i="3" s="1"/>
  <c r="N53" i="3"/>
  <c r="N58" i="3" s="1"/>
  <c r="G101" i="3"/>
  <c r="G103" i="3" s="1"/>
  <c r="G107" i="3" s="1"/>
  <c r="G125" i="3" s="1"/>
  <c r="H88" i="3"/>
  <c r="I81" i="3" s="1"/>
  <c r="I83" i="3" s="1"/>
  <c r="N38" i="3" l="1"/>
  <c r="N13" i="3"/>
  <c r="M38" i="3"/>
  <c r="N138" i="3"/>
  <c r="M22" i="3"/>
  <c r="M23" i="3" s="1"/>
  <c r="M24" i="3" s="1"/>
  <c r="K13" i="3"/>
  <c r="G129" i="3"/>
  <c r="G35" i="3" s="1"/>
  <c r="G117" i="3"/>
  <c r="H110" i="3" s="1"/>
  <c r="H112" i="3" s="1"/>
  <c r="G128" i="3"/>
  <c r="G21" i="3" s="1"/>
  <c r="I88" i="3"/>
  <c r="J81" i="3" s="1"/>
  <c r="J83" i="3" s="1"/>
  <c r="M13" i="3" l="1"/>
  <c r="G130" i="3"/>
  <c r="G132" i="3" s="1"/>
  <c r="H117" i="3"/>
  <c r="I110" i="3" s="1"/>
  <c r="I112" i="3" s="1"/>
  <c r="J88" i="3"/>
  <c r="K81" i="3" s="1"/>
  <c r="K83" i="3" s="1"/>
  <c r="G136" i="3" l="1"/>
  <c r="G137" i="3"/>
  <c r="G36" i="3" s="1"/>
  <c r="G37" i="3" s="1"/>
  <c r="I117" i="3"/>
  <c r="J110" i="3" s="1"/>
  <c r="J112" i="3" s="1"/>
  <c r="K88" i="3"/>
  <c r="L81" i="3" s="1"/>
  <c r="L83" i="3" s="1"/>
  <c r="J117" i="3" l="1"/>
  <c r="K110" i="3" s="1"/>
  <c r="K112" i="3" s="1"/>
  <c r="L88" i="3"/>
  <c r="M81" i="3" s="1"/>
  <c r="M83" i="3" s="1"/>
  <c r="G38" i="3"/>
  <c r="N6" i="3"/>
  <c r="N7" i="3"/>
  <c r="N8" i="3"/>
  <c r="C39" i="3"/>
  <c r="N5" i="3" s="1"/>
  <c r="G22" i="3"/>
  <c r="G23" i="3" s="1"/>
  <c r="G13" i="3" s="1"/>
  <c r="G138" i="3"/>
  <c r="K117" i="3" l="1"/>
  <c r="L110" i="3" s="1"/>
  <c r="L112" i="3" s="1"/>
  <c r="M88" i="3"/>
  <c r="N81" i="3" s="1"/>
  <c r="M7" i="3"/>
  <c r="C26" i="3"/>
  <c r="M5" i="3" s="1"/>
  <c r="G24" i="3"/>
  <c r="M6" i="3"/>
  <c r="M8" i="3"/>
  <c r="L117" i="3" l="1"/>
  <c r="M110" i="3" s="1"/>
  <c r="M112" i="3" s="1"/>
  <c r="N83" i="3"/>
  <c r="N88" i="3" s="1"/>
  <c r="M117" i="3" l="1"/>
  <c r="N110" i="3" s="1"/>
  <c r="N112" i="3" s="1"/>
  <c r="N117" i="3" l="1"/>
</calcChain>
</file>

<file path=xl/sharedStrings.xml><?xml version="1.0" encoding="utf-8"?>
<sst xmlns="http://schemas.openxmlformats.org/spreadsheetml/2006/main" count="157" uniqueCount="83">
  <si>
    <t xml:space="preserve"> Limited partner (LP)</t>
  </si>
  <si>
    <t xml:space="preserve"> General partner (GP</t>
  </si>
  <si>
    <t xml:space="preserve">  Total Investment</t>
  </si>
  <si>
    <t>Private Equity Waterfall Analysis</t>
  </si>
  <si>
    <t>Profit Sharing Model</t>
  </si>
  <si>
    <t>% Equity</t>
  </si>
  <si>
    <t>Amount</t>
  </si>
  <si>
    <t>Hurtle 1</t>
  </si>
  <si>
    <t>Hurtle 2</t>
  </si>
  <si>
    <t>Hurtle 3</t>
  </si>
  <si>
    <t>Above Hurtle 3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</si>
  <si>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</si>
  <si>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</si>
  <si>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</si>
  <si>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</si>
  <si>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</si>
  <si>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</si>
  <si>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</si>
  <si>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</si>
  <si>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</si>
  <si>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</si>
  <si>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Cash to Distribute</t>
  </si>
  <si>
    <t>Year 0</t>
  </si>
  <si>
    <t>Limited Partners (LPs)</t>
  </si>
  <si>
    <t xml:space="preserve">  Preferred Return</t>
  </si>
  <si>
    <t>Cash Flow Analysis</t>
  </si>
  <si>
    <t xml:space="preserve"> Cash Distribution (Hurtle 1) - LPs</t>
  </si>
  <si>
    <t xml:space="preserve">  Total Distribution</t>
  </si>
  <si>
    <t>Cash Remaining</t>
  </si>
  <si>
    <t>Capital Beginning Balance</t>
  </si>
  <si>
    <t>IRR Test</t>
  </si>
  <si>
    <t xml:space="preserve">  Prior Distribution</t>
  </si>
  <si>
    <t>Capital Ending Balance</t>
  </si>
  <si>
    <t xml:space="preserve"> Cash Distribution (Hurtle 2) - LPs</t>
  </si>
  <si>
    <t>General Partners (GP)</t>
  </si>
  <si>
    <t>Cash Distribution</t>
  </si>
  <si>
    <t xml:space="preserve">  Limited Partners</t>
  </si>
  <si>
    <t xml:space="preserve">  General Partners</t>
  </si>
  <si>
    <t xml:space="preserve">   Total</t>
  </si>
  <si>
    <t>Limited Partner</t>
  </si>
  <si>
    <t>Investment</t>
  </si>
  <si>
    <t xml:space="preserve">  Total</t>
  </si>
  <si>
    <t>IRR</t>
  </si>
  <si>
    <t xml:space="preserve">IRR = </t>
  </si>
  <si>
    <t>MOIC =</t>
  </si>
  <si>
    <t>Cash of Cash Yield</t>
  </si>
  <si>
    <t>Payoff $ =</t>
  </si>
  <si>
    <t>Profit $ =</t>
  </si>
  <si>
    <t>General Partners</t>
  </si>
  <si>
    <t xml:space="preserve"> Cash Distribution (Hurtle 1) - GPs</t>
  </si>
  <si>
    <t xml:space="preserve"> Cash Distribution (Hurtle 2) - GPs</t>
  </si>
  <si>
    <t xml:space="preserve"> Cash Distribution (Hurtle 3) - LPs</t>
  </si>
  <si>
    <t xml:space="preserve"> Cash Distribution (Hurtle 3) - GPs</t>
  </si>
  <si>
    <t>Prefered 
Return</t>
  </si>
  <si>
    <t>IRR 
Target</t>
  </si>
  <si>
    <t>Hurtle 1 Distribution</t>
  </si>
  <si>
    <t>Hurtle 2 Distribution</t>
  </si>
  <si>
    <t>Hurtle 3 Distribution</t>
  </si>
  <si>
    <t>Above Hurtle 3 Distribution</t>
  </si>
  <si>
    <t>Assumptions</t>
  </si>
  <si>
    <t xml:space="preserve">  Cash Injection</t>
  </si>
  <si>
    <t xml:space="preserve">  Cash Distribution</t>
  </si>
  <si>
    <t>Performance</t>
  </si>
  <si>
    <t>MOIC</t>
  </si>
  <si>
    <t>Asuumptions</t>
  </si>
  <si>
    <t>Limited
Partner</t>
  </si>
  <si>
    <t>General
Partner</t>
  </si>
  <si>
    <t>Metrrics</t>
  </si>
  <si>
    <t>LP
Profit
Shg %</t>
  </si>
  <si>
    <t>GP
Profit
Shg %</t>
  </si>
  <si>
    <t xml:space="preserve">Investor </t>
  </si>
  <si>
    <t>Investment Structure (000's)</t>
  </si>
  <si>
    <t>Payoff $ (000's)</t>
  </si>
  <si>
    <t>Profit $ (000's)</t>
  </si>
  <si>
    <t>Summary Waterfall Distribution (000's)</t>
  </si>
  <si>
    <t>Waterfall Model - Hurtle 1 (000's)</t>
  </si>
  <si>
    <t>Waterfall Model - Hurtle 2 (000's)</t>
  </si>
  <si>
    <t>Waterfall Model - Hurtle 3 (000's)</t>
  </si>
  <si>
    <t>Above Hurtle 3 (000's)</t>
  </si>
  <si>
    <t>Distribution</t>
  </si>
  <si>
    <t>IRR=</t>
  </si>
  <si>
    <t>MOIC=</t>
  </si>
  <si>
    <t>Total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</si>
</sst>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\x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0000FF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sz val="11"/>
      <color rgb="FF0000FF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164" fontId="0" fillId="0" borderId="0" xfId="1" applyNumberFormat="1" applyFont="1"/>
    <xf numFmtId="9" fontId="0" fillId="0" borderId="0" xfId="0" applyNumberFormat="1"/>
    <xf numFmtId="0" fontId="6" fillId="0" borderId="0" xfId="0" applyFont="1"/>
    <xf numFmtId="0" fontId="3" fillId="2" borderId="1" xfId="0" applyFont="1" applyFill="1" applyBorder="1"/>
    <xf numFmtId="0" fontId="2" fillId="3" borderId="2" xfId="0" applyFont="1" applyFill="1" applyBorder="1"/>
    <xf numFmtId="0" fontId="2" fillId="3" borderId="0" xfId="0" applyFont="1" applyFill="1"/>
    <xf numFmtId="0" fontId="3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3" fontId="4" fillId="3" borderId="0" xfId="1" applyFont="1" applyFill="1" applyAlignment="1">
      <alignment horizontal="center"/>
    </xf>
    <xf numFmtId="43" fontId="3" fillId="2" borderId="1" xfId="1" applyFont="1" applyFill="1" applyBorder="1" applyAlignment="1">
      <alignment horizontal="center"/>
    </xf>
    <xf numFmtId="10" fontId="0" fillId="0" borderId="0" xfId="2" applyNumberFormat="1" applyFont="1" applyAlignment="1">
      <alignment horizontal="center"/>
    </xf>
    <xf numFmtId="43" fontId="0" fillId="0" borderId="0" xfId="1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43" fontId="4" fillId="3" borderId="2" xfId="1" applyFont="1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0" fontId="2" fillId="3" borderId="0" xfId="0" applyFont="1" applyFill="1" applyAlignment="1">
      <alignment horizontal="center"/>
    </xf>
    <xf numFmtId="9" fontId="0" fillId="0" borderId="0" xfId="1" applyNumberFormat="1" applyFont="1" applyAlignment="1">
      <alignment horizontal="center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2" applyNumberFormat="1" applyFont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/>
    <xf numFmtId="43" fontId="3" fillId="2" borderId="1" xfId="1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3" fontId="3" fillId="2" borderId="1" xfId="1" applyFont="1" applyFill="1" applyBorder="1" applyAlignment="1">
      <alignment horizontal="center" vertical="center" wrapText="1"/>
    </xf>
    <xf numFmtId="9" fontId="3" fillId="4" borderId="3" xfId="1" applyNumberFormat="1" applyFont="1" applyFill="1" applyBorder="1" applyAlignment="1">
      <alignment horizontal="center"/>
    </xf>
    <xf numFmtId="166" fontId="3" fillId="4" borderId="3" xfId="1" applyNumberFormat="1" applyFont="1" applyFill="1" applyBorder="1" applyAlignment="1">
      <alignment horizontal="center"/>
    </xf>
    <xf numFmtId="164" fontId="3" fillId="4" borderId="3" xfId="1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10" fontId="5" fillId="0" borderId="0" xfId="2" applyNumberFormat="1" applyFont="1" applyAlignment="1">
      <alignment horizontal="center"/>
    </xf>
    <xf numFmtId="43" fontId="5" fillId="0" borderId="0" xfId="1" applyFont="1" applyAlignment="1">
      <alignment horizontal="center"/>
    </xf>
    <xf numFmtId="164" fontId="3" fillId="0" borderId="1" xfId="1" applyNumberFormat="1" applyFont="1" applyBorder="1" applyAlignment="1">
      <alignment horizontal="center" vertical="center"/>
    </xf>
    <xf numFmtId="0" fontId="8" fillId="0" borderId="0" xfId="0" applyFont="1"/>
    <xf numFmtId="43" fontId="8" fillId="0" borderId="0" xfId="1" applyFont="1" applyAlignment="1">
      <alignment horizontal="center"/>
    </xf>
    <xf numFmtId="164" fontId="8" fillId="0" borderId="0" xfId="1" applyNumberFormat="1" applyFont="1" applyAlignment="1">
      <alignment horizontal="center" vertical="center"/>
    </xf>
    <xf numFmtId="165" fontId="8" fillId="0" borderId="0" xfId="2" applyNumberFormat="1" applyFont="1" applyAlignment="1">
      <alignment horizontal="center" vertical="center"/>
    </xf>
    <xf numFmtId="0" fontId="3" fillId="4" borderId="0" xfId="0" applyFont="1" applyFill="1"/>
    <xf numFmtId="43" fontId="0" fillId="4" borderId="0" xfId="1" applyFont="1" applyFill="1" applyAlignment="1">
      <alignment horizontal="center"/>
    </xf>
    <xf numFmtId="0" fontId="0" fillId="4" borderId="0" xfId="0" applyFill="1" applyAlignment="1">
      <alignment horizontal="center" vertical="center"/>
    </xf>
    <xf numFmtId="164" fontId="0" fillId="4" borderId="0" xfId="1" applyNumberFormat="1" applyFont="1" applyFill="1" applyAlignment="1">
      <alignment horizontal="center" vertical="center"/>
    </xf>
    <xf numFmtId="164" fontId="0" fillId="4" borderId="0" xfId="1" applyNumberFormat="1" applyFont="1" applyFill="1"/>
    <xf numFmtId="0" fontId="0" fillId="4" borderId="0" xfId="0" applyFill="1"/>
    <xf numFmtId="9" fontId="0" fillId="4" borderId="0" xfId="0" applyNumberFormat="1" applyFill="1" applyAlignment="1">
      <alignment horizontal="center" vertical="center"/>
    </xf>
    <xf numFmtId="0" fontId="9" fillId="0" borderId="1" xfId="0" applyFont="1" applyBorder="1"/>
    <xf numFmtId="10" fontId="9" fillId="0" borderId="1" xfId="1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0" fontId="9" fillId="0" borderId="1" xfId="0" applyNumberFormat="1" applyFont="1" applyBorder="1" applyAlignment="1">
      <alignment horizontal="center" vertical="center"/>
    </xf>
    <xf numFmtId="43" fontId="3" fillId="0" borderId="0" xfId="1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164" fontId="0" fillId="4" borderId="0" xfId="0" applyNumberFormat="1" applyFill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9" fillId="0" borderId="0" xfId="0" applyFont="1"/>
    <xf numFmtId="10" fontId="9" fillId="0" borderId="0" xfId="1" applyNumberFormat="1" applyFont="1" applyBorder="1" applyAlignment="1">
      <alignment horizontal="center"/>
    </xf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164" fontId="11" fillId="0" borderId="0" xfId="1" applyNumberFormat="1" applyFont="1"/>
    <xf numFmtId="166" fontId="0" fillId="0" borderId="0" xfId="0" applyNumberFormat="1"/>
    <xf numFmtId="164" fontId="3" fillId="0" borderId="1" xfId="1" applyNumberFormat="1" applyFont="1" applyBorder="1" applyAlignment="1">
      <alignment horizontal="center"/>
    </xf>
    <xf numFmtId="9" fontId="3" fillId="0" borderId="1" xfId="0" applyNumberFormat="1" applyFont="1" applyBorder="1" applyAlignment="1">
      <alignment horizontal="center" vertical="center"/>
    </xf>
    <xf numFmtId="43" fontId="3" fillId="4" borderId="0" xfId="1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center" vertical="center"/>
    </xf>
    <xf numFmtId="164" fontId="3" fillId="4" borderId="1" xfId="0" applyNumberFormat="1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8CDFB-A555-4A67-8A36-6F8702F519B6}">
  <dimension ref="B1:O139"/>
  <sheetViews>
    <sheetView showGridLines="0" tabSelected="1" zoomScaleNormal="100" workbookViewId="0">
      <selection activeCell="K19" sqref="K19"/>
    </sheetView>
  </sheetViews>
  <sheetFormatPr defaultRowHeight="14.5" x14ac:dyDescent="0.35"/>
  <cols>
    <col min="1" max="1" width="2.90625" customWidth="1"/>
    <col min="2" max="2" width="28.08984375" customWidth="1"/>
    <col min="3" max="3" width="12" style="19" customWidth="1"/>
    <col min="4" max="4" width="11.81640625" style="9" customWidth="1"/>
    <col min="5" max="5" width="10.1796875" style="9" bestFit="1" customWidth="1"/>
    <col min="6" max="6" width="11.1796875" bestFit="1" customWidth="1"/>
    <col min="7" max="7" width="10.81640625" bestFit="1" customWidth="1"/>
    <col min="8" max="9" width="9.08984375" bestFit="1" customWidth="1"/>
    <col min="10" max="10" width="10.1796875" bestFit="1" customWidth="1"/>
    <col min="11" max="11" width="6.90625" bestFit="1" customWidth="1"/>
    <col min="13" max="14" width="10.1796875" bestFit="1" customWidth="1"/>
  </cols>
  <sheetData>
    <row r="1" spans="2:14" ht="18.5" x14ac:dyDescent="0.45">
      <c r="B1" s="4" t="s">
        <v>3</v>
      </c>
    </row>
    <row r="3" spans="2:14" ht="15" customHeight="1" x14ac:dyDescent="0.35">
      <c r="B3" s="6" t="s">
        <v>71</v>
      </c>
      <c r="C3" s="26"/>
      <c r="D3" s="10"/>
      <c r="F3" s="7" t="s">
        <v>4</v>
      </c>
      <c r="G3" s="16"/>
      <c r="H3" s="14"/>
      <c r="I3" s="14"/>
      <c r="K3" s="7" t="s">
        <v>62</v>
      </c>
      <c r="L3" s="7"/>
      <c r="M3" s="7"/>
      <c r="N3" s="7"/>
    </row>
    <row r="4" spans="2:14" ht="44" thickBot="1" x14ac:dyDescent="0.4">
      <c r="B4" s="38" t="s">
        <v>70</v>
      </c>
      <c r="C4" s="37" t="s">
        <v>6</v>
      </c>
      <c r="D4" s="11" t="s">
        <v>5</v>
      </c>
      <c r="F4" s="8" t="s">
        <v>53</v>
      </c>
      <c r="G4" s="39" t="s">
        <v>54</v>
      </c>
      <c r="H4" s="15" t="s">
        <v>68</v>
      </c>
      <c r="I4" s="15" t="s">
        <v>69</v>
      </c>
      <c r="K4" s="20" t="s">
        <v>67</v>
      </c>
      <c r="L4" s="15"/>
      <c r="M4" s="15" t="s">
        <v>65</v>
      </c>
      <c r="N4" s="15" t="s">
        <v>66</v>
      </c>
    </row>
    <row r="5" spans="2:14" ht="15" thickTop="1" x14ac:dyDescent="0.35">
      <c r="B5" t="s">
        <v>0</v>
      </c>
      <c r="C5" s="27">
        <f>D5*$C$8</f>
        <v>2250000</v>
      </c>
      <c r="D5" s="12">
        <v>0.9</v>
      </c>
      <c r="F5" t="s">
        <v>7</v>
      </c>
      <c r="G5" s="44">
        <v>0.08</v>
      </c>
      <c r="H5" s="13">
        <f>1-I5</f>
        <v>0.9</v>
      </c>
      <c r="I5" s="12">
        <v>0.1</v>
      </c>
      <c r="K5" t="s">
        <v>42</v>
      </c>
      <c r="M5" s="3">
        <f>C26</f>
        <v>0.36596800577166655</v>
      </c>
      <c r="N5" s="3">
        <f>C39</f>
        <v>0.71328133519267278</v>
      </c>
    </row>
    <row r="6" spans="2:14" x14ac:dyDescent="0.35">
      <c r="B6" t="s">
        <v>1</v>
      </c>
      <c r="C6" s="27">
        <f>D6*$C$8</f>
        <v>249999.99999999994</v>
      </c>
      <c r="D6" s="12">
        <f>1-D5</f>
        <v>9.9999999999999978E-2</v>
      </c>
      <c r="F6" t="s">
        <v>8</v>
      </c>
      <c r="G6" s="44">
        <v>0.12</v>
      </c>
      <c r="H6" s="13">
        <f>1-I6</f>
        <v>0.85</v>
      </c>
      <c r="I6" s="12">
        <v>0.15</v>
      </c>
      <c r="K6" t="s">
        <v>63</v>
      </c>
      <c r="M6" s="76">
        <f>C27</f>
        <v>3.565157019607843</v>
      </c>
      <c r="N6" s="76">
        <f>C40</f>
        <v>13.313586823529414</v>
      </c>
    </row>
    <row r="7" spans="2:14" x14ac:dyDescent="0.35">
      <c r="F7" t="s">
        <v>9</v>
      </c>
      <c r="G7" s="44">
        <v>0.2</v>
      </c>
      <c r="H7" s="13">
        <f>1-I7</f>
        <v>0.8</v>
      </c>
      <c r="I7" s="12">
        <v>0.2</v>
      </c>
      <c r="K7" t="s">
        <v>72</v>
      </c>
      <c r="M7" s="24">
        <f>C28</f>
        <v>8021603.2941176472</v>
      </c>
      <c r="N7" s="24">
        <f>C41</f>
        <v>3328396.7058823528</v>
      </c>
    </row>
    <row r="8" spans="2:14" ht="15" thickBot="1" x14ac:dyDescent="0.4">
      <c r="B8" s="1" t="s">
        <v>2</v>
      </c>
      <c r="C8" s="77">
        <v>2500000</v>
      </c>
      <c r="D8" s="78">
        <f>D6+D5</f>
        <v>1</v>
      </c>
      <c r="F8" t="s">
        <v>10</v>
      </c>
      <c r="G8" s="45"/>
      <c r="H8" s="13">
        <f>1-I8</f>
        <v>0.6</v>
      </c>
      <c r="I8" s="12">
        <v>0.4</v>
      </c>
      <c r="K8" t="s">
        <v>73</v>
      </c>
      <c r="M8" s="24">
        <f>C29</f>
        <v>5771603.2941176472</v>
      </c>
      <c r="N8" s="24">
        <f>C42</f>
        <v>3078396.7058823528</v>
      </c>
    </row>
    <row r="9" spans="2:14" ht="15" thickTop="1" x14ac:dyDescent="0.35"/>
    <row r="10" spans="2:14" x14ac:dyDescent="0.35">
      <c r="B10" s="7" t="s">
        <v>74</v>
      </c>
      <c r="C10" s="2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2:14" ht="15" thickBot="1" x14ac:dyDescent="0.4">
      <c r="B11" s="5"/>
      <c r="C11" s="17" t="s">
        <v>59</v>
      </c>
      <c r="D11" s="20" t="s">
        <v>22</v>
      </c>
      <c r="E11" s="20" t="s">
        <v>11</v>
      </c>
      <c r="F11" s="20" t="s">
        <v>12</v>
      </c>
      <c r="G11" s="20" t="s">
        <v>13</v>
      </c>
      <c r="H11" s="20" t="s">
        <v>14</v>
      </c>
      <c r="I11" s="20" t="s">
        <v>15</v>
      </c>
      <c r="J11" s="20" t="s">
        <v>16</v>
      </c>
      <c r="K11" s="20" t="s">
        <v>17</v>
      </c>
      <c r="L11" s="20" t="s">
        <v>18</v>
      </c>
      <c r="M11" s="20" t="s">
        <v>19</v>
      </c>
      <c r="N11" s="20" t="s">
        <v>20</v>
      </c>
    </row>
    <row r="12" spans="2:14" ht="15" thickTop="1" x14ac:dyDescent="0.35">
      <c r="B12" s="51" t="s">
        <v>82</v>
      </c>
      <c r="C12" s="52"/>
      <c r="D12" s="57"/>
      <c r="E12" s="57"/>
      <c r="F12" s="56"/>
      <c r="G12" s="56"/>
      <c r="H12" s="56"/>
      <c r="I12" s="56"/>
      <c r="J12" s="56"/>
      <c r="K12" s="56"/>
      <c r="L12" s="56"/>
      <c r="M12" s="56"/>
      <c r="N12" s="56"/>
    </row>
    <row r="13" spans="2:14" x14ac:dyDescent="0.35">
      <c r="B13" s="84" t="s">
        <v>79</v>
      </c>
      <c r="D13" s="22">
        <f>+D37+D23</f>
        <v>-2500000</v>
      </c>
      <c r="E13" s="22">
        <f>+E37+E23</f>
        <v>50000</v>
      </c>
      <c r="F13" s="22">
        <f>+F37+F23</f>
        <v>100000</v>
      </c>
      <c r="G13" s="22">
        <f>+G37+G23</f>
        <v>4500000</v>
      </c>
      <c r="H13" s="22">
        <f>+H37+H23</f>
        <v>200000</v>
      </c>
      <c r="I13" s="22">
        <f>+I37+I23</f>
        <v>500000</v>
      </c>
      <c r="J13" s="22">
        <f>+J37+J23</f>
        <v>6000000</v>
      </c>
      <c r="K13" s="22">
        <f>+K37+K23</f>
        <v>0</v>
      </c>
      <c r="L13" s="22">
        <f>+L37+L23</f>
        <v>0</v>
      </c>
      <c r="M13" s="22">
        <f>+M37+M23</f>
        <v>0</v>
      </c>
      <c r="N13" s="22">
        <f>+N37+N23</f>
        <v>0</v>
      </c>
    </row>
    <row r="14" spans="2:14" x14ac:dyDescent="0.35">
      <c r="B14" s="43" t="s">
        <v>80</v>
      </c>
      <c r="C14" s="40">
        <f>IRR(D13:N13)</f>
        <v>0.42348525912352941</v>
      </c>
      <c r="D14" s="13"/>
      <c r="E14" s="13"/>
    </row>
    <row r="15" spans="2:14" x14ac:dyDescent="0.35">
      <c r="B15" s="43" t="s">
        <v>81</v>
      </c>
      <c r="C15" s="41">
        <f>SUM(E13:N13)/-D13</f>
        <v>4.54</v>
      </c>
      <c r="D15" s="13"/>
      <c r="E15" s="13"/>
    </row>
    <row r="16" spans="2:14" x14ac:dyDescent="0.35">
      <c r="D16" s="13"/>
      <c r="E16" s="13"/>
    </row>
    <row r="17" spans="2:14" x14ac:dyDescent="0.35">
      <c r="B17" s="51" t="s">
        <v>39</v>
      </c>
      <c r="C17" s="52"/>
      <c r="D17" s="57"/>
      <c r="E17" s="57"/>
      <c r="F17" s="56"/>
      <c r="G17" s="56"/>
      <c r="H17" s="56"/>
      <c r="I17" s="56"/>
      <c r="J17" s="56"/>
      <c r="K17" s="56"/>
      <c r="L17" s="56"/>
      <c r="M17" s="56"/>
      <c r="N17" s="56"/>
    </row>
    <row r="18" spans="2:14" x14ac:dyDescent="0.35">
      <c r="B18" t="s">
        <v>40</v>
      </c>
      <c r="D18" s="22">
        <f>-C5</f>
        <v>-2250000</v>
      </c>
      <c r="E18" s="13"/>
    </row>
    <row r="19" spans="2:14" x14ac:dyDescent="0.35">
      <c r="B19" t="s">
        <v>55</v>
      </c>
      <c r="C19" s="29">
        <f>H5</f>
        <v>0.9</v>
      </c>
      <c r="D19" s="21">
        <f t="shared" ref="D19:K19" si="0">-D70</f>
        <v>0</v>
      </c>
      <c r="E19" s="21">
        <f t="shared" si="0"/>
        <v>45000</v>
      </c>
      <c r="F19" s="21">
        <f t="shared" si="0"/>
        <v>90000</v>
      </c>
      <c r="G19" s="21">
        <f t="shared" si="0"/>
        <v>2684664</v>
      </c>
      <c r="H19" s="21">
        <f t="shared" si="0"/>
        <v>0</v>
      </c>
      <c r="I19" s="21">
        <f t="shared" si="0"/>
        <v>0</v>
      </c>
      <c r="J19" s="21">
        <f t="shared" si="0"/>
        <v>0</v>
      </c>
      <c r="K19" s="21">
        <f t="shared" si="0"/>
        <v>0</v>
      </c>
      <c r="L19" s="21">
        <f t="shared" ref="L19:N19" si="1">-L70</f>
        <v>0</v>
      </c>
      <c r="M19" s="21">
        <f t="shared" si="1"/>
        <v>0</v>
      </c>
      <c r="N19" s="21">
        <f t="shared" si="1"/>
        <v>0</v>
      </c>
    </row>
    <row r="20" spans="2:14" x14ac:dyDescent="0.35">
      <c r="B20" t="s">
        <v>56</v>
      </c>
      <c r="C20" s="29">
        <f>H6</f>
        <v>0.85</v>
      </c>
      <c r="D20" s="21">
        <f t="shared" ref="D20:K20" si="2">-D99</f>
        <v>0</v>
      </c>
      <c r="E20" s="21">
        <f t="shared" si="2"/>
        <v>0</v>
      </c>
      <c r="F20" s="21">
        <f t="shared" si="2"/>
        <v>0</v>
      </c>
      <c r="G20" s="21">
        <f t="shared" si="2"/>
        <v>319176</v>
      </c>
      <c r="H20" s="21">
        <f t="shared" si="2"/>
        <v>0</v>
      </c>
      <c r="I20" s="21">
        <f t="shared" si="2"/>
        <v>0</v>
      </c>
      <c r="J20" s="21">
        <f t="shared" si="2"/>
        <v>0</v>
      </c>
      <c r="K20" s="21">
        <f t="shared" si="2"/>
        <v>0</v>
      </c>
      <c r="L20" s="21">
        <f t="shared" ref="L20:N20" si="3">-L99</f>
        <v>0</v>
      </c>
      <c r="M20" s="21">
        <f t="shared" si="3"/>
        <v>0</v>
      </c>
      <c r="N20" s="21">
        <f t="shared" si="3"/>
        <v>0</v>
      </c>
    </row>
    <row r="21" spans="2:14" x14ac:dyDescent="0.35">
      <c r="B21" t="s">
        <v>57</v>
      </c>
      <c r="C21" s="29">
        <f>H7</f>
        <v>0.8</v>
      </c>
      <c r="D21" s="21">
        <f t="shared" ref="D21:K21" si="4">-D128</f>
        <v>0</v>
      </c>
      <c r="E21" s="21">
        <f t="shared" si="4"/>
        <v>0</v>
      </c>
      <c r="F21" s="21">
        <f t="shared" si="4"/>
        <v>0</v>
      </c>
      <c r="G21" s="21">
        <f t="shared" si="4"/>
        <v>711360</v>
      </c>
      <c r="H21" s="21">
        <f t="shared" si="4"/>
        <v>0</v>
      </c>
      <c r="I21" s="21">
        <f t="shared" si="4"/>
        <v>0</v>
      </c>
      <c r="J21" s="21">
        <f t="shared" si="4"/>
        <v>0</v>
      </c>
      <c r="K21" s="21">
        <f t="shared" si="4"/>
        <v>0</v>
      </c>
      <c r="L21" s="21">
        <f t="shared" ref="L21:N21" si="5">-L128</f>
        <v>0</v>
      </c>
      <c r="M21" s="21">
        <f t="shared" si="5"/>
        <v>0</v>
      </c>
      <c r="N21" s="21">
        <f t="shared" si="5"/>
        <v>0</v>
      </c>
    </row>
    <row r="22" spans="2:14" x14ac:dyDescent="0.35">
      <c r="B22" t="s">
        <v>58</v>
      </c>
      <c r="C22" s="29">
        <f>H8</f>
        <v>0.6</v>
      </c>
      <c r="D22" s="21">
        <f t="shared" ref="D22:K22" si="6">D136</f>
        <v>0</v>
      </c>
      <c r="E22" s="21">
        <f t="shared" si="6"/>
        <v>0</v>
      </c>
      <c r="F22" s="21">
        <f t="shared" si="6"/>
        <v>0</v>
      </c>
      <c r="G22" s="21">
        <f t="shared" si="6"/>
        <v>151403.29411764708</v>
      </c>
      <c r="H22" s="21">
        <f t="shared" si="6"/>
        <v>120000</v>
      </c>
      <c r="I22" s="21">
        <f t="shared" si="6"/>
        <v>300000</v>
      </c>
      <c r="J22" s="21">
        <f t="shared" si="6"/>
        <v>3600000</v>
      </c>
      <c r="K22" s="21">
        <f t="shared" si="6"/>
        <v>0</v>
      </c>
      <c r="L22" s="21">
        <f t="shared" ref="L22:N22" si="7">L136</f>
        <v>0</v>
      </c>
      <c r="M22" s="21">
        <f t="shared" si="7"/>
        <v>0</v>
      </c>
      <c r="N22" s="21">
        <f t="shared" si="7"/>
        <v>0</v>
      </c>
    </row>
    <row r="23" spans="2:14" ht="15" thickBot="1" x14ac:dyDescent="0.4">
      <c r="B23" t="s">
        <v>41</v>
      </c>
      <c r="D23" s="46">
        <f>SUM(D17:D22)</f>
        <v>-2250000</v>
      </c>
      <c r="E23" s="46">
        <f t="shared" ref="E23:G23" si="8">SUM(E17:E22)</f>
        <v>45000</v>
      </c>
      <c r="F23" s="46">
        <f t="shared" si="8"/>
        <v>90000</v>
      </c>
      <c r="G23" s="46">
        <f t="shared" si="8"/>
        <v>3866603.2941176472</v>
      </c>
      <c r="H23" s="46">
        <f t="shared" ref="H23" si="9">SUM(H17:H22)</f>
        <v>120000</v>
      </c>
      <c r="I23" s="46">
        <f t="shared" ref="I23" si="10">SUM(I17:I22)</f>
        <v>300000</v>
      </c>
      <c r="J23" s="46">
        <f t="shared" ref="J23" si="11">SUM(J17:J22)</f>
        <v>3600000</v>
      </c>
      <c r="K23" s="46">
        <f t="shared" ref="K23:L23" si="12">SUM(K17:K22)</f>
        <v>0</v>
      </c>
      <c r="L23" s="46">
        <f t="shared" si="12"/>
        <v>0</v>
      </c>
      <c r="M23" s="46">
        <f t="shared" ref="M23" si="13">SUM(M17:M22)</f>
        <v>0</v>
      </c>
      <c r="N23" s="46">
        <f t="shared" ref="N23" si="14">SUM(N17:N22)</f>
        <v>0</v>
      </c>
    </row>
    <row r="24" spans="2:14" ht="15" thickTop="1" x14ac:dyDescent="0.35">
      <c r="B24" s="47" t="s">
        <v>45</v>
      </c>
      <c r="C24" s="48"/>
      <c r="D24" s="49"/>
      <c r="E24" s="50">
        <f t="shared" ref="E24:L24" si="15">E23/-$D$23</f>
        <v>0.02</v>
      </c>
      <c r="F24" s="50">
        <f t="shared" si="15"/>
        <v>0.04</v>
      </c>
      <c r="G24" s="50">
        <f t="shared" si="15"/>
        <v>1.7184903529411766</v>
      </c>
      <c r="H24" s="50">
        <f t="shared" si="15"/>
        <v>5.3333333333333337E-2</v>
      </c>
      <c r="I24" s="50">
        <f t="shared" si="15"/>
        <v>0.13333333333333333</v>
      </c>
      <c r="J24" s="50">
        <f t="shared" si="15"/>
        <v>1.6</v>
      </c>
      <c r="K24" s="50">
        <f t="shared" si="15"/>
        <v>0</v>
      </c>
      <c r="L24" s="50">
        <f t="shared" si="15"/>
        <v>0</v>
      </c>
      <c r="M24" s="50">
        <f t="shared" ref="M24:N24" si="16">M23/-$D$23</f>
        <v>0</v>
      </c>
      <c r="N24" s="50">
        <f t="shared" si="16"/>
        <v>0</v>
      </c>
    </row>
    <row r="25" spans="2:14" x14ac:dyDescent="0.35">
      <c r="D25" s="21"/>
      <c r="E25" s="32"/>
      <c r="F25" s="32"/>
      <c r="G25" s="32"/>
      <c r="H25" s="32"/>
      <c r="I25" s="32"/>
      <c r="J25" s="32"/>
      <c r="K25" s="32"/>
      <c r="L25" s="32"/>
      <c r="M25" s="32"/>
      <c r="N25" s="32"/>
    </row>
    <row r="26" spans="2:14" x14ac:dyDescent="0.35">
      <c r="B26" s="43" t="s">
        <v>43</v>
      </c>
      <c r="C26" s="40">
        <f>IRR(D23:K23)</f>
        <v>0.36596800577166655</v>
      </c>
      <c r="D26" s="21"/>
      <c r="E26" s="21"/>
      <c r="F26" s="2"/>
      <c r="G26" s="2"/>
      <c r="H26" s="2"/>
      <c r="I26" s="2"/>
      <c r="J26" s="2"/>
      <c r="K26" s="2"/>
      <c r="L26" s="2"/>
      <c r="M26" s="2"/>
      <c r="N26" s="2"/>
    </row>
    <row r="27" spans="2:14" x14ac:dyDescent="0.35">
      <c r="B27" s="43" t="s">
        <v>44</v>
      </c>
      <c r="C27" s="41">
        <f>SUM(E23:N23)/-D23</f>
        <v>3.565157019607843</v>
      </c>
      <c r="D27" s="13"/>
      <c r="E27" s="13"/>
    </row>
    <row r="28" spans="2:14" x14ac:dyDescent="0.35">
      <c r="B28" s="43" t="s">
        <v>46</v>
      </c>
      <c r="C28" s="42">
        <f>SUM(E23:N23)</f>
        <v>8021603.2941176472</v>
      </c>
      <c r="D28" s="13"/>
      <c r="E28" s="13"/>
    </row>
    <row r="29" spans="2:14" x14ac:dyDescent="0.35">
      <c r="B29" s="43" t="s">
        <v>47</v>
      </c>
      <c r="C29" s="42">
        <f>SUM(D23:N23)</f>
        <v>5771603.2941176472</v>
      </c>
      <c r="D29" s="13"/>
      <c r="E29" s="13"/>
    </row>
    <row r="30" spans="2:14" x14ac:dyDescent="0.35">
      <c r="D30" s="13"/>
      <c r="E30" s="13"/>
    </row>
    <row r="31" spans="2:14" x14ac:dyDescent="0.35">
      <c r="B31" s="51" t="s">
        <v>48</v>
      </c>
      <c r="C31" s="52"/>
      <c r="D31" s="57"/>
      <c r="E31" s="57"/>
      <c r="F31" s="56"/>
      <c r="G31" s="56"/>
      <c r="H31" s="56"/>
      <c r="I31" s="56"/>
      <c r="J31" s="56"/>
      <c r="K31" s="56"/>
      <c r="L31" s="56"/>
      <c r="M31" s="56"/>
      <c r="N31" s="56"/>
    </row>
    <row r="32" spans="2:14" x14ac:dyDescent="0.35">
      <c r="B32" t="str">
        <f t="shared" ref="B32:B37" si="17">+B18</f>
        <v>Investment</v>
      </c>
      <c r="D32" s="22">
        <f>-C6</f>
        <v>-249999.99999999994</v>
      </c>
      <c r="E32" s="13"/>
    </row>
    <row r="33" spans="2:14" x14ac:dyDescent="0.35">
      <c r="B33" t="str">
        <f t="shared" si="17"/>
        <v>Hurtle 1 Distribution</v>
      </c>
      <c r="C33" s="29">
        <f>I5</f>
        <v>0.1</v>
      </c>
      <c r="D33" s="21">
        <f>-D71</f>
        <v>0</v>
      </c>
      <c r="E33" s="21">
        <f t="shared" ref="E33:K33" si="18">-E71</f>
        <v>5000</v>
      </c>
      <c r="F33" s="21">
        <f t="shared" si="18"/>
        <v>10000</v>
      </c>
      <c r="G33" s="21">
        <f t="shared" si="18"/>
        <v>298296</v>
      </c>
      <c r="H33" s="21">
        <f t="shared" si="18"/>
        <v>0</v>
      </c>
      <c r="I33" s="21">
        <f t="shared" si="18"/>
        <v>0</v>
      </c>
      <c r="J33" s="21">
        <f t="shared" si="18"/>
        <v>0</v>
      </c>
      <c r="K33" s="21">
        <f t="shared" si="18"/>
        <v>0</v>
      </c>
      <c r="L33" s="21">
        <f t="shared" ref="L33:N33" si="19">-L71</f>
        <v>0</v>
      </c>
      <c r="M33" s="21">
        <f t="shared" si="19"/>
        <v>0</v>
      </c>
      <c r="N33" s="21">
        <f t="shared" si="19"/>
        <v>0</v>
      </c>
    </row>
    <row r="34" spans="2:14" x14ac:dyDescent="0.35">
      <c r="B34" t="str">
        <f t="shared" si="17"/>
        <v>Hurtle 2 Distribution</v>
      </c>
      <c r="C34" s="29">
        <f>I6</f>
        <v>0.15</v>
      </c>
      <c r="D34" s="21">
        <f>-D100</f>
        <v>0</v>
      </c>
      <c r="E34" s="21">
        <f t="shared" ref="E34:K34" si="20">-E100</f>
        <v>0</v>
      </c>
      <c r="F34" s="21">
        <f t="shared" si="20"/>
        <v>0</v>
      </c>
      <c r="G34" s="21">
        <f t="shared" si="20"/>
        <v>56325.176470588238</v>
      </c>
      <c r="H34" s="21">
        <f t="shared" si="20"/>
        <v>0</v>
      </c>
      <c r="I34" s="21">
        <f t="shared" si="20"/>
        <v>0</v>
      </c>
      <c r="J34" s="21">
        <f t="shared" si="20"/>
        <v>0</v>
      </c>
      <c r="K34" s="21">
        <f t="shared" si="20"/>
        <v>0</v>
      </c>
      <c r="L34" s="21">
        <f t="shared" ref="L34:N34" si="21">-L100</f>
        <v>0</v>
      </c>
      <c r="M34" s="21">
        <f t="shared" si="21"/>
        <v>0</v>
      </c>
      <c r="N34" s="21">
        <f t="shared" si="21"/>
        <v>0</v>
      </c>
    </row>
    <row r="35" spans="2:14" x14ac:dyDescent="0.35">
      <c r="B35" t="str">
        <f t="shared" si="17"/>
        <v>Hurtle 3 Distribution</v>
      </c>
      <c r="C35" s="29">
        <f>I7</f>
        <v>0.2</v>
      </c>
      <c r="D35" s="21">
        <f>-D129</f>
        <v>0</v>
      </c>
      <c r="E35" s="21">
        <f t="shared" ref="E35:K35" si="22">-E129</f>
        <v>0</v>
      </c>
      <c r="F35" s="21">
        <f t="shared" si="22"/>
        <v>0</v>
      </c>
      <c r="G35" s="21">
        <f t="shared" si="22"/>
        <v>177840</v>
      </c>
      <c r="H35" s="21">
        <f t="shared" si="22"/>
        <v>0</v>
      </c>
      <c r="I35" s="21">
        <f t="shared" si="22"/>
        <v>0</v>
      </c>
      <c r="J35" s="21">
        <f t="shared" si="22"/>
        <v>0</v>
      </c>
      <c r="K35" s="21">
        <f t="shared" si="22"/>
        <v>0</v>
      </c>
      <c r="L35" s="21">
        <f t="shared" ref="L35:N35" si="23">-L129</f>
        <v>0</v>
      </c>
      <c r="M35" s="21">
        <f t="shared" si="23"/>
        <v>0</v>
      </c>
      <c r="N35" s="21">
        <f t="shared" si="23"/>
        <v>0</v>
      </c>
    </row>
    <row r="36" spans="2:14" x14ac:dyDescent="0.35">
      <c r="B36" t="str">
        <f t="shared" si="17"/>
        <v>Above Hurtle 3 Distribution</v>
      </c>
      <c r="C36" s="29">
        <f>I8</f>
        <v>0.4</v>
      </c>
      <c r="D36" s="21">
        <f>D137</f>
        <v>0</v>
      </c>
      <c r="E36" s="21">
        <f t="shared" ref="E36:K36" si="24">E137</f>
        <v>0</v>
      </c>
      <c r="F36" s="21">
        <f t="shared" si="24"/>
        <v>0</v>
      </c>
      <c r="G36" s="21">
        <f t="shared" si="24"/>
        <v>100935.52941176473</v>
      </c>
      <c r="H36" s="21">
        <f t="shared" si="24"/>
        <v>80000</v>
      </c>
      <c r="I36" s="21">
        <f t="shared" si="24"/>
        <v>200000</v>
      </c>
      <c r="J36" s="21">
        <f t="shared" si="24"/>
        <v>2400000</v>
      </c>
      <c r="K36" s="21">
        <f t="shared" si="24"/>
        <v>0</v>
      </c>
      <c r="L36" s="21">
        <f t="shared" ref="L36:N36" si="25">L137</f>
        <v>0</v>
      </c>
      <c r="M36" s="21">
        <f t="shared" si="25"/>
        <v>0</v>
      </c>
      <c r="N36" s="21">
        <f t="shared" si="25"/>
        <v>0</v>
      </c>
    </row>
    <row r="37" spans="2:14" ht="15" thickBot="1" x14ac:dyDescent="0.4">
      <c r="B37" t="str">
        <f t="shared" si="17"/>
        <v xml:space="preserve">  Total</v>
      </c>
      <c r="D37" s="33">
        <f>SUM(D31:D36)</f>
        <v>-249999.99999999994</v>
      </c>
      <c r="E37" s="33">
        <f t="shared" ref="E37" si="26">SUM(E31:E36)</f>
        <v>5000</v>
      </c>
      <c r="F37" s="33">
        <f t="shared" ref="F37" si="27">SUM(F31:F36)</f>
        <v>10000</v>
      </c>
      <c r="G37" s="33">
        <f t="shared" ref="G37" si="28">SUM(G31:G36)</f>
        <v>633396.70588235289</v>
      </c>
      <c r="H37" s="33">
        <f t="shared" ref="H37" si="29">SUM(H31:H36)</f>
        <v>80000</v>
      </c>
      <c r="I37" s="33">
        <f t="shared" ref="I37" si="30">SUM(I31:I36)</f>
        <v>200000</v>
      </c>
      <c r="J37" s="33">
        <f t="shared" ref="J37" si="31">SUM(J31:J36)</f>
        <v>2400000</v>
      </c>
      <c r="K37" s="33">
        <f t="shared" ref="K37:L37" si="32">SUM(K31:K36)</f>
        <v>0</v>
      </c>
      <c r="L37" s="33">
        <f t="shared" si="32"/>
        <v>0</v>
      </c>
      <c r="M37" s="33">
        <f t="shared" ref="M37" si="33">SUM(M31:M36)</f>
        <v>0</v>
      </c>
      <c r="N37" s="33">
        <f t="shared" ref="N37" si="34">SUM(N31:N36)</f>
        <v>0</v>
      </c>
    </row>
    <row r="38" spans="2:14" ht="15" thickTop="1" x14ac:dyDescent="0.35">
      <c r="B38" t="s">
        <v>45</v>
      </c>
      <c r="D38" s="21"/>
      <c r="E38" s="32">
        <f t="shared" ref="E38:L38" si="35">E37/-$D$37</f>
        <v>2.0000000000000004E-2</v>
      </c>
      <c r="F38" s="32">
        <f t="shared" si="35"/>
        <v>4.0000000000000008E-2</v>
      </c>
      <c r="G38" s="32">
        <f t="shared" si="35"/>
        <v>2.5335868235294123</v>
      </c>
      <c r="H38" s="32">
        <f t="shared" si="35"/>
        <v>0.32000000000000006</v>
      </c>
      <c r="I38" s="32">
        <f t="shared" si="35"/>
        <v>0.80000000000000016</v>
      </c>
      <c r="J38" s="32">
        <f t="shared" si="35"/>
        <v>9.6000000000000014</v>
      </c>
      <c r="K38" s="32">
        <f t="shared" si="35"/>
        <v>0</v>
      </c>
      <c r="L38" s="32">
        <f t="shared" si="35"/>
        <v>0</v>
      </c>
      <c r="M38" s="32">
        <f t="shared" ref="M38:N38" si="36">M37/-$D$37</f>
        <v>0</v>
      </c>
      <c r="N38" s="32">
        <f t="shared" si="36"/>
        <v>0</v>
      </c>
    </row>
    <row r="39" spans="2:14" x14ac:dyDescent="0.35">
      <c r="B39" s="43" t="s">
        <v>43</v>
      </c>
      <c r="C39" s="40">
        <f>IRR(D37:K37)</f>
        <v>0.71328133519267278</v>
      </c>
      <c r="D39" s="21"/>
      <c r="E39" s="21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35">
      <c r="B40" s="43" t="s">
        <v>44</v>
      </c>
      <c r="C40" s="41">
        <f>SUM(E37:N37)/-D37</f>
        <v>13.313586823529414</v>
      </c>
      <c r="D40" s="13"/>
      <c r="E40" s="13"/>
    </row>
    <row r="41" spans="2:14" x14ac:dyDescent="0.35">
      <c r="B41" s="43" t="s">
        <v>46</v>
      </c>
      <c r="C41" s="42">
        <f>SUM(E37:N37)</f>
        <v>3328396.7058823528</v>
      </c>
      <c r="D41" s="13"/>
      <c r="E41" s="13"/>
    </row>
    <row r="42" spans="2:14" x14ac:dyDescent="0.35">
      <c r="B42" s="43" t="s">
        <v>47</v>
      </c>
      <c r="C42" s="42">
        <f>SUM(D37:N37)</f>
        <v>3078396.7058823528</v>
      </c>
      <c r="D42" s="13"/>
      <c r="E42" s="27"/>
      <c r="G42" s="24"/>
    </row>
    <row r="43" spans="2:14" x14ac:dyDescent="0.35">
      <c r="D43" s="13"/>
      <c r="E43" s="13"/>
    </row>
    <row r="44" spans="2:14" x14ac:dyDescent="0.35">
      <c r="D44" s="13"/>
      <c r="E44" s="13"/>
    </row>
    <row r="45" spans="2:14" x14ac:dyDescent="0.35">
      <c r="D45" s="13"/>
      <c r="E45" s="13"/>
    </row>
    <row r="46" spans="2:14" x14ac:dyDescent="0.35">
      <c r="B46" s="7" t="s">
        <v>75</v>
      </c>
      <c r="C46" s="28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2:14" ht="15" thickBot="1" x14ac:dyDescent="0.4">
      <c r="B47" s="5"/>
      <c r="C47" s="17" t="s">
        <v>59</v>
      </c>
      <c r="D47" s="20" t="s">
        <v>22</v>
      </c>
      <c r="E47" s="20" t="s">
        <v>11</v>
      </c>
      <c r="F47" s="20" t="s">
        <v>12</v>
      </c>
      <c r="G47" s="20" t="s">
        <v>13</v>
      </c>
      <c r="H47" s="20" t="s">
        <v>14</v>
      </c>
      <c r="I47" s="20" t="s">
        <v>15</v>
      </c>
      <c r="J47" s="20" t="s">
        <v>16</v>
      </c>
      <c r="K47" s="20" t="s">
        <v>17</v>
      </c>
      <c r="L47" s="20" t="s">
        <v>18</v>
      </c>
      <c r="M47" s="20" t="s">
        <v>19</v>
      </c>
      <c r="N47" s="20" t="s">
        <v>20</v>
      </c>
    </row>
    <row r="48" spans="2:14" ht="15" thickTop="1" x14ac:dyDescent="0.35">
      <c r="B48" s="1" t="s">
        <v>21</v>
      </c>
      <c r="C48" s="63"/>
      <c r="D48" s="74">
        <v>0</v>
      </c>
      <c r="E48" s="74">
        <v>50000</v>
      </c>
      <c r="F48" s="75">
        <v>100000</v>
      </c>
      <c r="G48" s="75">
        <v>4500000</v>
      </c>
      <c r="H48" s="75">
        <v>200000</v>
      </c>
      <c r="I48" s="75">
        <v>500000</v>
      </c>
      <c r="J48" s="75">
        <v>6000000</v>
      </c>
      <c r="K48" s="75">
        <v>0</v>
      </c>
      <c r="L48" s="75">
        <v>0</v>
      </c>
      <c r="M48" s="75">
        <v>0</v>
      </c>
      <c r="N48" s="75">
        <v>0</v>
      </c>
    </row>
    <row r="49" spans="2:15" x14ac:dyDescent="0.35">
      <c r="D49" s="35"/>
      <c r="E49" s="35"/>
      <c r="F49" s="36"/>
      <c r="G49" s="36"/>
      <c r="H49" s="36"/>
      <c r="I49" s="36"/>
      <c r="J49" s="36"/>
      <c r="K49" s="36"/>
      <c r="L49" s="36"/>
      <c r="M49" s="36"/>
      <c r="N49" s="36"/>
    </row>
    <row r="50" spans="2:15" x14ac:dyDescent="0.35">
      <c r="B50" s="51" t="s">
        <v>23</v>
      </c>
      <c r="C50" s="52"/>
      <c r="D50" s="53"/>
      <c r="E50" s="54"/>
      <c r="F50" s="55"/>
      <c r="G50" s="55"/>
      <c r="H50" s="55"/>
      <c r="I50" s="55"/>
      <c r="J50" s="55"/>
      <c r="K50" s="55"/>
      <c r="L50" s="55"/>
      <c r="M50" s="55"/>
      <c r="N50" s="55"/>
    </row>
    <row r="51" spans="2:15" x14ac:dyDescent="0.35">
      <c r="B51" s="1" t="s">
        <v>29</v>
      </c>
      <c r="C51" s="63"/>
      <c r="D51" s="64"/>
      <c r="E51" s="64">
        <f>D58</f>
        <v>2250000</v>
      </c>
      <c r="F51" s="65">
        <f>E58</f>
        <v>2385000</v>
      </c>
      <c r="G51" s="65">
        <f t="shared" ref="G51:K51" si="37">F58</f>
        <v>2485800</v>
      </c>
      <c r="H51" s="65">
        <f t="shared" si="37"/>
        <v>0</v>
      </c>
      <c r="I51" s="65">
        <f t="shared" si="37"/>
        <v>0</v>
      </c>
      <c r="J51" s="65">
        <f t="shared" si="37"/>
        <v>0</v>
      </c>
      <c r="K51" s="65">
        <f t="shared" si="37"/>
        <v>0</v>
      </c>
      <c r="L51" s="65">
        <f t="shared" ref="L51:N51" si="38">K58</f>
        <v>0</v>
      </c>
      <c r="M51" s="65">
        <f t="shared" si="38"/>
        <v>0</v>
      </c>
      <c r="N51" s="65">
        <f t="shared" si="38"/>
        <v>0</v>
      </c>
    </row>
    <row r="52" spans="2:15" x14ac:dyDescent="0.35">
      <c r="B52" s="1"/>
      <c r="D52" s="22"/>
      <c r="E52" s="22"/>
      <c r="F52" s="24"/>
      <c r="G52" s="24"/>
      <c r="H52" s="24"/>
      <c r="I52" s="24"/>
      <c r="J52" s="24"/>
      <c r="K52" s="24"/>
      <c r="L52" s="24"/>
      <c r="M52" s="24"/>
      <c r="N52" s="24"/>
    </row>
    <row r="53" spans="2:15" x14ac:dyDescent="0.35">
      <c r="B53" t="s">
        <v>24</v>
      </c>
      <c r="C53" s="30">
        <v>0.08</v>
      </c>
      <c r="D53" s="23"/>
      <c r="E53" s="22">
        <f t="shared" ref="E53:N53" si="39">E51*$C$53</f>
        <v>180000</v>
      </c>
      <c r="F53" s="22">
        <f t="shared" si="39"/>
        <v>190800</v>
      </c>
      <c r="G53" s="22">
        <f t="shared" si="39"/>
        <v>198864</v>
      </c>
      <c r="H53" s="22">
        <f t="shared" si="39"/>
        <v>0</v>
      </c>
      <c r="I53" s="22">
        <f t="shared" si="39"/>
        <v>0</v>
      </c>
      <c r="J53" s="22">
        <f t="shared" si="39"/>
        <v>0</v>
      </c>
      <c r="K53" s="22">
        <f t="shared" si="39"/>
        <v>0</v>
      </c>
      <c r="L53" s="22">
        <f t="shared" si="39"/>
        <v>0</v>
      </c>
      <c r="M53" s="22">
        <f t="shared" si="39"/>
        <v>0</v>
      </c>
      <c r="N53" s="22">
        <f t="shared" si="39"/>
        <v>0</v>
      </c>
    </row>
    <row r="54" spans="2:15" x14ac:dyDescent="0.35">
      <c r="B54" t="s">
        <v>60</v>
      </c>
      <c r="C54" s="30">
        <f>H5</f>
        <v>0.9</v>
      </c>
      <c r="D54" s="22">
        <f>C5</f>
        <v>2250000</v>
      </c>
    </row>
    <row r="55" spans="2:15" x14ac:dyDescent="0.35">
      <c r="B55" t="s">
        <v>61</v>
      </c>
      <c r="C55" s="30">
        <f>H5</f>
        <v>0.9</v>
      </c>
      <c r="D55" s="21"/>
      <c r="E55" s="21">
        <f>-$C$55*E48</f>
        <v>-45000</v>
      </c>
      <c r="F55" s="21">
        <f>-$C$55*F48</f>
        <v>-90000</v>
      </c>
      <c r="G55" s="21">
        <f>-G60</f>
        <v>-2684664</v>
      </c>
      <c r="H55" s="21"/>
      <c r="I55" s="21"/>
      <c r="J55" s="21"/>
      <c r="K55" s="21"/>
      <c r="L55" s="21"/>
      <c r="M55" s="21"/>
      <c r="N55" s="21"/>
      <c r="O55" s="23"/>
    </row>
    <row r="56" spans="2:15" x14ac:dyDescent="0.35">
      <c r="B56" t="s">
        <v>61</v>
      </c>
    </row>
    <row r="57" spans="2:15" x14ac:dyDescent="0.35">
      <c r="E57" s="21"/>
      <c r="F57" s="21"/>
      <c r="G57" s="21"/>
      <c r="H57" s="21"/>
      <c r="I57" s="21"/>
      <c r="J57" s="21"/>
      <c r="K57" s="21"/>
      <c r="L57" s="21"/>
      <c r="M57" s="21"/>
      <c r="N57" s="21"/>
    </row>
    <row r="58" spans="2:15" x14ac:dyDescent="0.35">
      <c r="B58" s="1" t="s">
        <v>32</v>
      </c>
      <c r="C58" s="63"/>
      <c r="D58" s="64">
        <f>+D51+D54</f>
        <v>2250000</v>
      </c>
      <c r="E58" s="64">
        <f t="shared" ref="E58:N58" si="40">D58+E55+E54+E53</f>
        <v>2385000</v>
      </c>
      <c r="F58" s="64">
        <f t="shared" si="40"/>
        <v>2485800</v>
      </c>
      <c r="G58" s="64">
        <f t="shared" si="40"/>
        <v>0</v>
      </c>
      <c r="H58" s="64">
        <f t="shared" si="40"/>
        <v>0</v>
      </c>
      <c r="I58" s="64">
        <f t="shared" si="40"/>
        <v>0</v>
      </c>
      <c r="J58" s="64">
        <f t="shared" si="40"/>
        <v>0</v>
      </c>
      <c r="K58" s="64">
        <f t="shared" si="40"/>
        <v>0</v>
      </c>
      <c r="L58" s="64">
        <f t="shared" si="40"/>
        <v>0</v>
      </c>
      <c r="M58" s="64">
        <f t="shared" si="40"/>
        <v>0</v>
      </c>
      <c r="N58" s="64">
        <f t="shared" si="40"/>
        <v>0</v>
      </c>
    </row>
    <row r="59" spans="2:15" x14ac:dyDescent="0.35"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</row>
    <row r="60" spans="2:15" ht="15" thickBot="1" x14ac:dyDescent="0.4">
      <c r="B60" s="58" t="s">
        <v>30</v>
      </c>
      <c r="C60" s="59">
        <f>IRR(D60:G60)</f>
        <v>8.0000000000000071E-2</v>
      </c>
      <c r="D60" s="60">
        <f>-D54</f>
        <v>-2250000</v>
      </c>
      <c r="E60" s="60">
        <f>E48*$C$55</f>
        <v>45000</v>
      </c>
      <c r="F60" s="60">
        <f>F48*$C$55</f>
        <v>90000</v>
      </c>
      <c r="G60" s="61">
        <f>E53+E55+F53+F55+G53-D60</f>
        <v>2684664</v>
      </c>
      <c r="H60" s="62"/>
      <c r="I60" s="62"/>
      <c r="J60" s="62"/>
      <c r="K60" s="62"/>
      <c r="L60" s="62"/>
      <c r="M60" s="62"/>
      <c r="N60" s="62"/>
    </row>
    <row r="61" spans="2:15" ht="15" thickTop="1" x14ac:dyDescent="0.35"/>
    <row r="62" spans="2:15" x14ac:dyDescent="0.35">
      <c r="B62" s="51" t="s">
        <v>34</v>
      </c>
      <c r="C62" s="52"/>
      <c r="D62" s="53"/>
      <c r="E62" s="53"/>
      <c r="F62" s="56"/>
      <c r="G62" s="56"/>
      <c r="H62" s="56"/>
      <c r="I62" s="56"/>
      <c r="J62" s="56"/>
      <c r="K62" s="56"/>
      <c r="L62" s="56"/>
      <c r="M62" s="56"/>
      <c r="N62" s="56"/>
    </row>
    <row r="63" spans="2:15" x14ac:dyDescent="0.35">
      <c r="B63" t="s">
        <v>60</v>
      </c>
      <c r="C63" s="29">
        <f>D6</f>
        <v>9.9999999999999978E-2</v>
      </c>
      <c r="D63" s="22">
        <f>C6</f>
        <v>249999.99999999994</v>
      </c>
      <c r="E63" s="22">
        <f t="shared" ref="E63:N63" si="41">$C$63*E54</f>
        <v>0</v>
      </c>
      <c r="F63" s="22">
        <f t="shared" si="41"/>
        <v>0</v>
      </c>
      <c r="G63" s="22">
        <f t="shared" si="41"/>
        <v>0</v>
      </c>
      <c r="H63" s="22">
        <f t="shared" si="41"/>
        <v>0</v>
      </c>
      <c r="I63" s="22">
        <f t="shared" si="41"/>
        <v>0</v>
      </c>
      <c r="J63" s="22">
        <f t="shared" si="41"/>
        <v>0</v>
      </c>
      <c r="K63" s="22">
        <f t="shared" si="41"/>
        <v>0</v>
      </c>
      <c r="L63" s="22">
        <f t="shared" si="41"/>
        <v>0</v>
      </c>
      <c r="M63" s="22">
        <f t="shared" si="41"/>
        <v>0</v>
      </c>
      <c r="N63" s="22">
        <f t="shared" si="41"/>
        <v>0</v>
      </c>
    </row>
    <row r="64" spans="2:15" x14ac:dyDescent="0.35">
      <c r="B64" t="s">
        <v>61</v>
      </c>
      <c r="C64" s="29">
        <f>I5</f>
        <v>0.1</v>
      </c>
      <c r="E64" s="22">
        <f t="shared" ref="E64:N64" si="42">E55/$C$55*$C$64</f>
        <v>-5000</v>
      </c>
      <c r="F64" s="22">
        <f t="shared" si="42"/>
        <v>-10000</v>
      </c>
      <c r="G64" s="22">
        <f t="shared" si="42"/>
        <v>-298296</v>
      </c>
      <c r="H64" s="22">
        <f t="shared" si="42"/>
        <v>0</v>
      </c>
      <c r="I64" s="22">
        <f t="shared" si="42"/>
        <v>0</v>
      </c>
      <c r="J64" s="22">
        <f t="shared" si="42"/>
        <v>0</v>
      </c>
      <c r="K64" s="22">
        <f t="shared" si="42"/>
        <v>0</v>
      </c>
      <c r="L64" s="22">
        <f t="shared" si="42"/>
        <v>0</v>
      </c>
      <c r="M64" s="22">
        <f t="shared" si="42"/>
        <v>0</v>
      </c>
      <c r="N64" s="22">
        <f t="shared" si="42"/>
        <v>0</v>
      </c>
    </row>
    <row r="67" spans="2:14" x14ac:dyDescent="0.35">
      <c r="B67" s="51" t="str">
        <f>B48</f>
        <v>Cash to Distribute</v>
      </c>
      <c r="C67" s="79"/>
      <c r="D67" s="80"/>
      <c r="E67" s="81">
        <f>E48</f>
        <v>50000</v>
      </c>
      <c r="F67" s="81">
        <f t="shared" ref="F67:N67" si="43">F48</f>
        <v>100000</v>
      </c>
      <c r="G67" s="81">
        <f t="shared" si="43"/>
        <v>4500000</v>
      </c>
      <c r="H67" s="81">
        <f t="shared" si="43"/>
        <v>200000</v>
      </c>
      <c r="I67" s="81">
        <f t="shared" si="43"/>
        <v>500000</v>
      </c>
      <c r="J67" s="81">
        <f t="shared" si="43"/>
        <v>6000000</v>
      </c>
      <c r="K67" s="81">
        <f t="shared" si="43"/>
        <v>0</v>
      </c>
      <c r="L67" s="81">
        <f t="shared" si="43"/>
        <v>0</v>
      </c>
      <c r="M67" s="81">
        <f t="shared" si="43"/>
        <v>0</v>
      </c>
      <c r="N67" s="81">
        <f t="shared" si="43"/>
        <v>0</v>
      </c>
    </row>
    <row r="68" spans="2:14" x14ac:dyDescent="0.35">
      <c r="B68" s="56"/>
      <c r="C68" s="52"/>
      <c r="D68" s="53"/>
      <c r="E68" s="53"/>
      <c r="F68" s="56"/>
      <c r="G68" s="56"/>
      <c r="H68" s="56"/>
      <c r="I68" s="56"/>
      <c r="J68" s="56"/>
      <c r="K68" s="56"/>
      <c r="L68" s="56"/>
      <c r="M68" s="56"/>
      <c r="N68" s="56"/>
    </row>
    <row r="69" spans="2:14" x14ac:dyDescent="0.35">
      <c r="B69" s="51" t="s">
        <v>25</v>
      </c>
      <c r="C69" s="52"/>
      <c r="D69" s="53"/>
      <c r="E69" s="53"/>
      <c r="F69" s="56"/>
      <c r="G69" s="56"/>
      <c r="H69" s="56"/>
      <c r="I69" s="56"/>
      <c r="J69" s="56"/>
      <c r="K69" s="56"/>
      <c r="L69" s="56"/>
      <c r="M69" s="56"/>
      <c r="N69" s="56"/>
    </row>
    <row r="70" spans="2:14" x14ac:dyDescent="0.35">
      <c r="B70" s="56" t="s">
        <v>26</v>
      </c>
      <c r="C70" s="52"/>
      <c r="D70" s="53"/>
      <c r="E70" s="66">
        <f t="shared" ref="E70:N70" si="44">E55</f>
        <v>-45000</v>
      </c>
      <c r="F70" s="66">
        <f t="shared" si="44"/>
        <v>-90000</v>
      </c>
      <c r="G70" s="66">
        <f t="shared" si="44"/>
        <v>-2684664</v>
      </c>
      <c r="H70" s="66">
        <f t="shared" si="44"/>
        <v>0</v>
      </c>
      <c r="I70" s="66">
        <f t="shared" si="44"/>
        <v>0</v>
      </c>
      <c r="J70" s="66">
        <f t="shared" si="44"/>
        <v>0</v>
      </c>
      <c r="K70" s="66">
        <f t="shared" si="44"/>
        <v>0</v>
      </c>
      <c r="L70" s="66">
        <f t="shared" si="44"/>
        <v>0</v>
      </c>
      <c r="M70" s="66">
        <f t="shared" si="44"/>
        <v>0</v>
      </c>
      <c r="N70" s="66">
        <f t="shared" si="44"/>
        <v>0</v>
      </c>
    </row>
    <row r="71" spans="2:14" x14ac:dyDescent="0.35">
      <c r="B71" s="56" t="s">
        <v>49</v>
      </c>
      <c r="C71" s="52"/>
      <c r="D71" s="53"/>
      <c r="E71" s="66">
        <f>E64</f>
        <v>-5000</v>
      </c>
      <c r="F71" s="66">
        <f t="shared" ref="F71:K71" si="45">F64</f>
        <v>-10000</v>
      </c>
      <c r="G71" s="66">
        <f t="shared" si="45"/>
        <v>-298296</v>
      </c>
      <c r="H71" s="66">
        <f t="shared" si="45"/>
        <v>0</v>
      </c>
      <c r="I71" s="66">
        <f t="shared" si="45"/>
        <v>0</v>
      </c>
      <c r="J71" s="66">
        <f t="shared" si="45"/>
        <v>0</v>
      </c>
      <c r="K71" s="66">
        <f t="shared" si="45"/>
        <v>0</v>
      </c>
      <c r="L71" s="66">
        <f t="shared" ref="L71:N71" si="46">L64</f>
        <v>0</v>
      </c>
      <c r="M71" s="66">
        <f t="shared" si="46"/>
        <v>0</v>
      </c>
      <c r="N71" s="66">
        <f t="shared" si="46"/>
        <v>0</v>
      </c>
    </row>
    <row r="72" spans="2:14" ht="15" thickBot="1" x14ac:dyDescent="0.4">
      <c r="B72" s="56" t="s">
        <v>27</v>
      </c>
      <c r="C72" s="52"/>
      <c r="D72" s="53"/>
      <c r="E72" s="67">
        <f>SUM(E70:E71)</f>
        <v>-50000</v>
      </c>
      <c r="F72" s="67">
        <f t="shared" ref="F72:L72" si="47">SUM(F70:F71)</f>
        <v>-100000</v>
      </c>
      <c r="G72" s="67">
        <f t="shared" si="47"/>
        <v>-2982960</v>
      </c>
      <c r="H72" s="67">
        <f t="shared" si="47"/>
        <v>0</v>
      </c>
      <c r="I72" s="67">
        <f t="shared" si="47"/>
        <v>0</v>
      </c>
      <c r="J72" s="67">
        <f t="shared" si="47"/>
        <v>0</v>
      </c>
      <c r="K72" s="67">
        <f t="shared" si="47"/>
        <v>0</v>
      </c>
      <c r="L72" s="67">
        <f t="shared" si="47"/>
        <v>0</v>
      </c>
      <c r="M72" s="67">
        <f t="shared" ref="M72" si="48">SUM(M70:M71)</f>
        <v>0</v>
      </c>
      <c r="N72" s="67">
        <f t="shared" ref="N72" si="49">SUM(N70:N71)</f>
        <v>0</v>
      </c>
    </row>
    <row r="73" spans="2:14" ht="15" thickTop="1" x14ac:dyDescent="0.35">
      <c r="B73" s="56"/>
      <c r="C73" s="52"/>
      <c r="D73" s="53"/>
      <c r="E73" s="53"/>
      <c r="F73" s="56"/>
      <c r="G73" s="56"/>
      <c r="H73" s="56"/>
      <c r="I73" s="56"/>
      <c r="J73" s="56"/>
      <c r="K73" s="56"/>
      <c r="L73" s="56"/>
      <c r="M73" s="56"/>
      <c r="N73" s="56"/>
    </row>
    <row r="74" spans="2:14" ht="15" thickBot="1" x14ac:dyDescent="0.4">
      <c r="B74" s="51" t="s">
        <v>28</v>
      </c>
      <c r="C74" s="79"/>
      <c r="D74" s="80"/>
      <c r="E74" s="82">
        <f t="shared" ref="E74:N74" si="50">E48+E72</f>
        <v>0</v>
      </c>
      <c r="F74" s="82">
        <f t="shared" si="50"/>
        <v>0</v>
      </c>
      <c r="G74" s="82">
        <f t="shared" si="50"/>
        <v>1517040</v>
      </c>
      <c r="H74" s="82">
        <f t="shared" si="50"/>
        <v>200000</v>
      </c>
      <c r="I74" s="82">
        <f t="shared" si="50"/>
        <v>500000</v>
      </c>
      <c r="J74" s="82">
        <f t="shared" si="50"/>
        <v>6000000</v>
      </c>
      <c r="K74" s="82">
        <f t="shared" si="50"/>
        <v>0</v>
      </c>
      <c r="L74" s="82">
        <f t="shared" si="50"/>
        <v>0</v>
      </c>
      <c r="M74" s="82">
        <f t="shared" si="50"/>
        <v>0</v>
      </c>
      <c r="N74" s="82">
        <f t="shared" si="50"/>
        <v>0</v>
      </c>
    </row>
    <row r="75" spans="2:14" ht="15" thickTop="1" x14ac:dyDescent="0.35"/>
    <row r="76" spans="2:14" x14ac:dyDescent="0.35">
      <c r="B76" s="7" t="s">
        <v>76</v>
      </c>
      <c r="C76" s="28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2:14" ht="15" thickBot="1" x14ac:dyDescent="0.4">
      <c r="B77" s="5"/>
      <c r="C77" s="17" t="s">
        <v>59</v>
      </c>
      <c r="D77" s="20" t="s">
        <v>22</v>
      </c>
      <c r="E77" s="20" t="s">
        <v>11</v>
      </c>
      <c r="F77" s="20" t="s">
        <v>12</v>
      </c>
      <c r="G77" s="20" t="s">
        <v>13</v>
      </c>
      <c r="H77" s="20" t="s">
        <v>14</v>
      </c>
      <c r="I77" s="20" t="s">
        <v>15</v>
      </c>
      <c r="J77" s="20" t="s">
        <v>16</v>
      </c>
      <c r="K77" s="20" t="s">
        <v>17</v>
      </c>
      <c r="L77" s="20" t="s">
        <v>18</v>
      </c>
      <c r="M77" s="20" t="s">
        <v>19</v>
      </c>
      <c r="N77" s="20" t="s">
        <v>20</v>
      </c>
    </row>
    <row r="78" spans="2:14" ht="15" thickTop="1" x14ac:dyDescent="0.35">
      <c r="B78" t="s">
        <v>21</v>
      </c>
      <c r="D78" s="21">
        <v>0</v>
      </c>
      <c r="E78" s="21">
        <f>+E74</f>
        <v>0</v>
      </c>
      <c r="F78" s="21">
        <f t="shared" ref="F78:K78" si="51">+F74</f>
        <v>0</v>
      </c>
      <c r="G78" s="21">
        <f t="shared" si="51"/>
        <v>1517040</v>
      </c>
      <c r="H78" s="21">
        <f t="shared" si="51"/>
        <v>200000</v>
      </c>
      <c r="I78" s="21">
        <f t="shared" si="51"/>
        <v>500000</v>
      </c>
      <c r="J78" s="21">
        <f t="shared" si="51"/>
        <v>6000000</v>
      </c>
      <c r="K78" s="21">
        <f t="shared" si="51"/>
        <v>0</v>
      </c>
      <c r="L78" s="21">
        <f t="shared" ref="L78:N78" si="52">+L74</f>
        <v>0</v>
      </c>
      <c r="M78" s="21">
        <f t="shared" si="52"/>
        <v>0</v>
      </c>
      <c r="N78" s="21">
        <f t="shared" si="52"/>
        <v>0</v>
      </c>
    </row>
    <row r="79" spans="2:14" x14ac:dyDescent="0.35">
      <c r="E79" s="21"/>
      <c r="F79" s="2"/>
      <c r="G79" s="2"/>
      <c r="H79" s="2"/>
      <c r="I79" s="2"/>
      <c r="J79" s="2"/>
      <c r="K79" s="2"/>
      <c r="L79" s="2"/>
      <c r="M79" s="2"/>
      <c r="N79" s="2"/>
    </row>
    <row r="80" spans="2:14" x14ac:dyDescent="0.35">
      <c r="B80" s="51" t="s">
        <v>23</v>
      </c>
      <c r="C80" s="52"/>
      <c r="D80" s="53"/>
      <c r="E80" s="54"/>
      <c r="F80" s="55"/>
      <c r="G80" s="55"/>
      <c r="H80" s="55"/>
      <c r="I80" s="55"/>
      <c r="J80" s="55"/>
      <c r="K80" s="55"/>
      <c r="L80" s="55"/>
      <c r="M80" s="55"/>
      <c r="N80" s="55"/>
    </row>
    <row r="81" spans="2:14" x14ac:dyDescent="0.35">
      <c r="B81" s="1" t="s">
        <v>29</v>
      </c>
      <c r="C81" s="63"/>
      <c r="D81" s="64"/>
      <c r="E81" s="65">
        <f>D88</f>
        <v>2250000</v>
      </c>
      <c r="F81" s="65">
        <f>E88</f>
        <v>2475000</v>
      </c>
      <c r="G81" s="65">
        <f t="shared" ref="G81:K81" si="53">F88</f>
        <v>2682000</v>
      </c>
      <c r="H81" s="65">
        <f t="shared" si="53"/>
        <v>0</v>
      </c>
      <c r="I81" s="65">
        <f t="shared" si="53"/>
        <v>0</v>
      </c>
      <c r="J81" s="65">
        <f t="shared" si="53"/>
        <v>0</v>
      </c>
      <c r="K81" s="65">
        <f t="shared" si="53"/>
        <v>0</v>
      </c>
      <c r="L81" s="65">
        <f t="shared" ref="L81:N81" si="54">K88</f>
        <v>0</v>
      </c>
      <c r="M81" s="65">
        <f t="shared" si="54"/>
        <v>0</v>
      </c>
      <c r="N81" s="65">
        <f t="shared" si="54"/>
        <v>0</v>
      </c>
    </row>
    <row r="82" spans="2:14" x14ac:dyDescent="0.35">
      <c r="B82" s="1"/>
      <c r="C82" s="63"/>
      <c r="D82" s="64"/>
      <c r="E82" s="65"/>
      <c r="F82" s="65"/>
      <c r="G82" s="65"/>
      <c r="H82" s="65"/>
      <c r="I82" s="65"/>
      <c r="J82" s="65"/>
      <c r="K82" s="65"/>
      <c r="L82" s="65"/>
      <c r="M82" s="65"/>
      <c r="N82" s="65"/>
    </row>
    <row r="83" spans="2:14" x14ac:dyDescent="0.35">
      <c r="B83" t="s">
        <v>24</v>
      </c>
      <c r="C83" s="30">
        <f>G6</f>
        <v>0.12</v>
      </c>
      <c r="D83" s="22"/>
      <c r="E83" s="22">
        <f t="shared" ref="E83:N83" si="55">E81*$C$83</f>
        <v>270000</v>
      </c>
      <c r="F83" s="22">
        <f t="shared" si="55"/>
        <v>297000</v>
      </c>
      <c r="G83" s="22">
        <f t="shared" si="55"/>
        <v>321840</v>
      </c>
      <c r="H83" s="22">
        <f t="shared" si="55"/>
        <v>0</v>
      </c>
      <c r="I83" s="22">
        <f t="shared" si="55"/>
        <v>0</v>
      </c>
      <c r="J83" s="22">
        <f t="shared" si="55"/>
        <v>0</v>
      </c>
      <c r="K83" s="22">
        <f t="shared" si="55"/>
        <v>0</v>
      </c>
      <c r="L83" s="22">
        <f t="shared" si="55"/>
        <v>0</v>
      </c>
      <c r="M83" s="22">
        <f t="shared" si="55"/>
        <v>0</v>
      </c>
      <c r="N83" s="22">
        <f t="shared" si="55"/>
        <v>0</v>
      </c>
    </row>
    <row r="84" spans="2:14" x14ac:dyDescent="0.35">
      <c r="B84" t="s">
        <v>60</v>
      </c>
      <c r="C84" s="30">
        <f>D5</f>
        <v>0.9</v>
      </c>
      <c r="D84" s="22">
        <f>C5</f>
        <v>2250000</v>
      </c>
    </row>
    <row r="85" spans="2:14" x14ac:dyDescent="0.35">
      <c r="B85" t="s">
        <v>31</v>
      </c>
      <c r="D85" s="22"/>
      <c r="E85" s="22">
        <f t="shared" ref="E85:N85" si="56">E70</f>
        <v>-45000</v>
      </c>
      <c r="F85" s="22">
        <f t="shared" si="56"/>
        <v>-90000</v>
      </c>
      <c r="G85" s="22">
        <f t="shared" si="56"/>
        <v>-2684664</v>
      </c>
      <c r="H85" s="22">
        <f t="shared" si="56"/>
        <v>0</v>
      </c>
      <c r="I85" s="22">
        <f t="shared" si="56"/>
        <v>0</v>
      </c>
      <c r="J85" s="22">
        <f t="shared" si="56"/>
        <v>0</v>
      </c>
      <c r="K85" s="22">
        <f t="shared" si="56"/>
        <v>0</v>
      </c>
      <c r="L85" s="22">
        <f t="shared" si="56"/>
        <v>0</v>
      </c>
      <c r="M85" s="22">
        <f t="shared" si="56"/>
        <v>0</v>
      </c>
      <c r="N85" s="22">
        <f t="shared" si="56"/>
        <v>0</v>
      </c>
    </row>
    <row r="86" spans="2:14" x14ac:dyDescent="0.35">
      <c r="B86" t="s">
        <v>61</v>
      </c>
      <c r="C86" s="30">
        <f>H6</f>
        <v>0.85</v>
      </c>
      <c r="E86" s="21">
        <f>E90+E85</f>
        <v>0</v>
      </c>
      <c r="F86" s="21">
        <f>F90+F85</f>
        <v>0</v>
      </c>
      <c r="G86" s="21">
        <f>-(+G81+G83+G85)</f>
        <v>-319176</v>
      </c>
      <c r="H86" s="21">
        <f t="shared" ref="H86:N86" si="57">-H90</f>
        <v>0</v>
      </c>
      <c r="I86" s="21">
        <f t="shared" si="57"/>
        <v>0</v>
      </c>
      <c r="J86" s="21">
        <f t="shared" si="57"/>
        <v>0</v>
      </c>
      <c r="K86" s="21">
        <f t="shared" si="57"/>
        <v>0</v>
      </c>
      <c r="L86" s="21">
        <f t="shared" si="57"/>
        <v>0</v>
      </c>
      <c r="M86" s="21">
        <f t="shared" si="57"/>
        <v>0</v>
      </c>
      <c r="N86" s="21">
        <f t="shared" si="57"/>
        <v>0</v>
      </c>
    </row>
    <row r="87" spans="2:14" x14ac:dyDescent="0.35">
      <c r="C87" s="30"/>
      <c r="E87" s="21"/>
      <c r="F87" s="21"/>
      <c r="G87" s="21"/>
      <c r="H87" s="21"/>
      <c r="I87" s="21"/>
      <c r="J87" s="21"/>
      <c r="K87" s="21"/>
      <c r="L87" s="21"/>
      <c r="M87" s="21"/>
      <c r="N87" s="21"/>
    </row>
    <row r="88" spans="2:14" x14ac:dyDescent="0.35">
      <c r="B88" s="1" t="s">
        <v>32</v>
      </c>
      <c r="C88" s="63"/>
      <c r="D88" s="64">
        <f>+D84</f>
        <v>2250000</v>
      </c>
      <c r="E88" s="64">
        <f>E81+E83+E84+E85</f>
        <v>2475000</v>
      </c>
      <c r="F88" s="64">
        <f>F81+F83+F84+F85</f>
        <v>2682000</v>
      </c>
      <c r="G88" s="64">
        <f t="shared" ref="G88:N88" si="58">G81+G83+G84+G85+G86</f>
        <v>0</v>
      </c>
      <c r="H88" s="64">
        <f t="shared" si="58"/>
        <v>0</v>
      </c>
      <c r="I88" s="64">
        <f t="shared" si="58"/>
        <v>0</v>
      </c>
      <c r="J88" s="64">
        <f t="shared" si="58"/>
        <v>0</v>
      </c>
      <c r="K88" s="64">
        <f t="shared" si="58"/>
        <v>0</v>
      </c>
      <c r="L88" s="64">
        <f t="shared" si="58"/>
        <v>0</v>
      </c>
      <c r="M88" s="64">
        <f t="shared" si="58"/>
        <v>0</v>
      </c>
      <c r="N88" s="64">
        <f t="shared" si="58"/>
        <v>0</v>
      </c>
    </row>
    <row r="89" spans="2:14" x14ac:dyDescent="0.35">
      <c r="C89" s="30"/>
      <c r="D89" s="23"/>
      <c r="E89" s="23"/>
      <c r="F89" s="23"/>
      <c r="G89" s="22"/>
      <c r="H89" s="23"/>
      <c r="I89" s="23"/>
      <c r="J89" s="23"/>
      <c r="K89" s="23"/>
      <c r="L89" s="23"/>
      <c r="M89" s="23"/>
      <c r="N89" s="23"/>
    </row>
    <row r="90" spans="2:14" ht="15" thickBot="1" x14ac:dyDescent="0.4">
      <c r="B90" s="58" t="s">
        <v>30</v>
      </c>
      <c r="C90" s="59">
        <f>IRR(D90:G90)</f>
        <v>0.11999999999998523</v>
      </c>
      <c r="D90" s="60">
        <f>-D84</f>
        <v>-2250000</v>
      </c>
      <c r="E90" s="60">
        <f>-E85</f>
        <v>45000</v>
      </c>
      <c r="F90" s="60">
        <f>-F85</f>
        <v>90000</v>
      </c>
      <c r="G90" s="61">
        <f>-G55+E83+E85+F83+F85+G83+G85-D90</f>
        <v>3003840</v>
      </c>
      <c r="H90" s="62"/>
      <c r="I90" s="62"/>
      <c r="J90" s="62"/>
      <c r="K90" s="62"/>
      <c r="L90" s="62"/>
      <c r="M90" s="62"/>
      <c r="N90" s="62"/>
    </row>
    <row r="91" spans="2:14" ht="15" thickTop="1" x14ac:dyDescent="0.35">
      <c r="C91" s="31"/>
      <c r="D91"/>
      <c r="E91"/>
      <c r="H91" s="21"/>
      <c r="I91" s="21"/>
      <c r="J91" s="21"/>
      <c r="K91" s="21"/>
      <c r="L91" s="21"/>
      <c r="M91" s="21"/>
      <c r="N91" s="21"/>
    </row>
    <row r="92" spans="2:14" x14ac:dyDescent="0.35">
      <c r="B92" s="51" t="s">
        <v>34</v>
      </c>
      <c r="C92" s="52"/>
      <c r="D92" s="53"/>
      <c r="E92" s="53"/>
      <c r="F92" s="56"/>
      <c r="G92" s="56"/>
      <c r="H92" s="56"/>
      <c r="I92" s="56"/>
      <c r="J92" s="56"/>
      <c r="K92" s="56"/>
      <c r="L92" s="56"/>
      <c r="M92" s="56"/>
      <c r="N92" s="56"/>
    </row>
    <row r="93" spans="2:14" x14ac:dyDescent="0.35">
      <c r="B93" t="s">
        <v>60</v>
      </c>
      <c r="C93" s="13">
        <f>D6</f>
        <v>9.9999999999999978E-2</v>
      </c>
      <c r="D93" s="22">
        <f>D63</f>
        <v>249999.99999999994</v>
      </c>
      <c r="E93" s="22"/>
      <c r="F93" s="22"/>
      <c r="G93" s="22"/>
      <c r="H93" s="22"/>
      <c r="I93" s="22"/>
      <c r="J93" s="22"/>
      <c r="K93" s="22"/>
      <c r="L93" s="22"/>
      <c r="M93" s="22"/>
      <c r="N93" s="22"/>
    </row>
    <row r="94" spans="2:14" x14ac:dyDescent="0.35">
      <c r="B94" t="s">
        <v>61</v>
      </c>
      <c r="C94" s="13">
        <f>I6</f>
        <v>0.15</v>
      </c>
      <c r="E94" s="22">
        <f t="shared" ref="E94:N94" si="59">E86/$C$86*$C$94</f>
        <v>0</v>
      </c>
      <c r="F94" s="22">
        <f t="shared" si="59"/>
        <v>0</v>
      </c>
      <c r="G94" s="22">
        <f t="shared" si="59"/>
        <v>-56325.176470588238</v>
      </c>
      <c r="H94" s="22">
        <f t="shared" si="59"/>
        <v>0</v>
      </c>
      <c r="I94" s="22">
        <f t="shared" si="59"/>
        <v>0</v>
      </c>
      <c r="J94" s="22">
        <f t="shared" si="59"/>
        <v>0</v>
      </c>
      <c r="K94" s="22">
        <f t="shared" si="59"/>
        <v>0</v>
      </c>
      <c r="L94" s="22">
        <f t="shared" si="59"/>
        <v>0</v>
      </c>
      <c r="M94" s="22">
        <f t="shared" si="59"/>
        <v>0</v>
      </c>
      <c r="N94" s="22">
        <f t="shared" si="59"/>
        <v>0</v>
      </c>
    </row>
    <row r="96" spans="2:14" x14ac:dyDescent="0.35">
      <c r="B96" s="51" t="s">
        <v>21</v>
      </c>
      <c r="C96" s="79"/>
      <c r="D96" s="80"/>
      <c r="E96" s="81">
        <f>E78</f>
        <v>0</v>
      </c>
      <c r="F96" s="81">
        <f t="shared" ref="F96:N96" si="60">F78</f>
        <v>0</v>
      </c>
      <c r="G96" s="81">
        <f t="shared" si="60"/>
        <v>1517040</v>
      </c>
      <c r="H96" s="81">
        <f t="shared" si="60"/>
        <v>200000</v>
      </c>
      <c r="I96" s="81">
        <f t="shared" si="60"/>
        <v>500000</v>
      </c>
      <c r="J96" s="81">
        <f t="shared" si="60"/>
        <v>6000000</v>
      </c>
      <c r="K96" s="81">
        <f t="shared" si="60"/>
        <v>0</v>
      </c>
      <c r="L96" s="81">
        <f t="shared" si="60"/>
        <v>0</v>
      </c>
      <c r="M96" s="81">
        <f t="shared" si="60"/>
        <v>0</v>
      </c>
      <c r="N96" s="81">
        <f t="shared" si="60"/>
        <v>0</v>
      </c>
    </row>
    <row r="97" spans="2:14" x14ac:dyDescent="0.35">
      <c r="B97" s="56"/>
      <c r="C97" s="52"/>
      <c r="D97" s="53"/>
      <c r="E97" s="53"/>
      <c r="F97" s="56"/>
      <c r="G97" s="56"/>
      <c r="H97" s="56"/>
      <c r="I97" s="56"/>
      <c r="J97" s="56"/>
      <c r="K97" s="56"/>
      <c r="L97" s="56"/>
      <c r="M97" s="56"/>
      <c r="N97" s="56"/>
    </row>
    <row r="98" spans="2:14" x14ac:dyDescent="0.35">
      <c r="B98" s="51" t="s">
        <v>25</v>
      </c>
      <c r="C98" s="52"/>
      <c r="D98" s="53"/>
      <c r="E98" s="53"/>
      <c r="F98" s="56"/>
      <c r="G98" s="56"/>
      <c r="H98" s="56"/>
      <c r="I98" s="56"/>
      <c r="J98" s="56"/>
      <c r="K98" s="56"/>
      <c r="L98" s="56"/>
      <c r="M98" s="56"/>
      <c r="N98" s="56"/>
    </row>
    <row r="99" spans="2:14" x14ac:dyDescent="0.35">
      <c r="B99" s="56" t="s">
        <v>33</v>
      </c>
      <c r="C99" s="52"/>
      <c r="D99" s="53"/>
      <c r="E99" s="66">
        <f t="shared" ref="E99:N99" si="61">E86</f>
        <v>0</v>
      </c>
      <c r="F99" s="66">
        <f t="shared" si="61"/>
        <v>0</v>
      </c>
      <c r="G99" s="66">
        <f t="shared" si="61"/>
        <v>-319176</v>
      </c>
      <c r="H99" s="66">
        <f t="shared" si="61"/>
        <v>0</v>
      </c>
      <c r="I99" s="66">
        <f t="shared" si="61"/>
        <v>0</v>
      </c>
      <c r="J99" s="66">
        <f t="shared" si="61"/>
        <v>0</v>
      </c>
      <c r="K99" s="66">
        <f t="shared" si="61"/>
        <v>0</v>
      </c>
      <c r="L99" s="66">
        <f t="shared" si="61"/>
        <v>0</v>
      </c>
      <c r="M99" s="66">
        <f t="shared" si="61"/>
        <v>0</v>
      </c>
      <c r="N99" s="66">
        <f t="shared" si="61"/>
        <v>0</v>
      </c>
    </row>
    <row r="100" spans="2:14" x14ac:dyDescent="0.35">
      <c r="B100" s="56" t="s">
        <v>50</v>
      </c>
      <c r="C100" s="52"/>
      <c r="D100" s="53"/>
      <c r="E100" s="66">
        <f>E94</f>
        <v>0</v>
      </c>
      <c r="F100" s="66">
        <f t="shared" ref="F100:K100" si="62">F94</f>
        <v>0</v>
      </c>
      <c r="G100" s="66">
        <f t="shared" si="62"/>
        <v>-56325.176470588238</v>
      </c>
      <c r="H100" s="66">
        <f t="shared" si="62"/>
        <v>0</v>
      </c>
      <c r="I100" s="66">
        <f t="shared" si="62"/>
        <v>0</v>
      </c>
      <c r="J100" s="66">
        <f t="shared" si="62"/>
        <v>0</v>
      </c>
      <c r="K100" s="66">
        <f t="shared" si="62"/>
        <v>0</v>
      </c>
      <c r="L100" s="66">
        <f t="shared" ref="L100:N100" si="63">L94</f>
        <v>0</v>
      </c>
      <c r="M100" s="66">
        <f t="shared" si="63"/>
        <v>0</v>
      </c>
      <c r="N100" s="66">
        <f t="shared" si="63"/>
        <v>0</v>
      </c>
    </row>
    <row r="101" spans="2:14" ht="15" thickBot="1" x14ac:dyDescent="0.4">
      <c r="B101" s="56" t="s">
        <v>27</v>
      </c>
      <c r="C101" s="52"/>
      <c r="D101" s="68"/>
      <c r="E101" s="67">
        <f>SUM(E99:E100)</f>
        <v>0</v>
      </c>
      <c r="F101" s="67">
        <f t="shared" ref="F101" si="64">SUM(F99:F100)</f>
        <v>0</v>
      </c>
      <c r="G101" s="67">
        <f t="shared" ref="G101" si="65">SUM(G99:G100)</f>
        <v>-375501.17647058825</v>
      </c>
      <c r="H101" s="67">
        <f t="shared" ref="H101" si="66">SUM(H99:H100)</f>
        <v>0</v>
      </c>
      <c r="I101" s="67">
        <f t="shared" ref="I101" si="67">SUM(I99:I100)</f>
        <v>0</v>
      </c>
      <c r="J101" s="67">
        <f t="shared" ref="J101" si="68">SUM(J99:J100)</f>
        <v>0</v>
      </c>
      <c r="K101" s="67">
        <f t="shared" ref="K101:L101" si="69">SUM(K99:K100)</f>
        <v>0</v>
      </c>
      <c r="L101" s="67">
        <f t="shared" si="69"/>
        <v>0</v>
      </c>
      <c r="M101" s="67">
        <f t="shared" ref="M101" si="70">SUM(M99:M100)</f>
        <v>0</v>
      </c>
      <c r="N101" s="67">
        <f t="shared" ref="N101" si="71">SUM(N99:N100)</f>
        <v>0</v>
      </c>
    </row>
    <row r="102" spans="2:14" ht="15" thickTop="1" x14ac:dyDescent="0.35">
      <c r="B102" s="56"/>
      <c r="C102" s="52"/>
      <c r="D102" s="53"/>
      <c r="E102" s="53"/>
      <c r="F102" s="56"/>
      <c r="G102" s="56"/>
      <c r="H102" s="56"/>
      <c r="I102" s="56"/>
      <c r="J102" s="56"/>
      <c r="K102" s="56"/>
      <c r="L102" s="56"/>
      <c r="M102" s="56"/>
      <c r="N102" s="56"/>
    </row>
    <row r="103" spans="2:14" ht="15" thickBot="1" x14ac:dyDescent="0.4">
      <c r="B103" s="51" t="s">
        <v>28</v>
      </c>
      <c r="C103" s="79"/>
      <c r="D103" s="83"/>
      <c r="E103" s="82">
        <f t="shared" ref="E103:N103" si="72">E78+E101</f>
        <v>0</v>
      </c>
      <c r="F103" s="82">
        <f t="shared" si="72"/>
        <v>0</v>
      </c>
      <c r="G103" s="82">
        <f t="shared" si="72"/>
        <v>1141538.8235294118</v>
      </c>
      <c r="H103" s="82">
        <f t="shared" si="72"/>
        <v>200000</v>
      </c>
      <c r="I103" s="82">
        <f t="shared" si="72"/>
        <v>500000</v>
      </c>
      <c r="J103" s="82">
        <f t="shared" si="72"/>
        <v>6000000</v>
      </c>
      <c r="K103" s="82">
        <f t="shared" si="72"/>
        <v>0</v>
      </c>
      <c r="L103" s="82">
        <f t="shared" si="72"/>
        <v>0</v>
      </c>
      <c r="M103" s="82">
        <f t="shared" si="72"/>
        <v>0</v>
      </c>
      <c r="N103" s="82">
        <f t="shared" si="72"/>
        <v>0</v>
      </c>
    </row>
    <row r="104" spans="2:14" ht="15" thickTop="1" x14ac:dyDescent="0.35"/>
    <row r="105" spans="2:14" x14ac:dyDescent="0.35">
      <c r="B105" s="7" t="s">
        <v>77</v>
      </c>
      <c r="C105" s="28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2:14" ht="15" thickBot="1" x14ac:dyDescent="0.4">
      <c r="B106" s="5"/>
      <c r="C106" s="17" t="s">
        <v>64</v>
      </c>
      <c r="D106" s="20" t="s">
        <v>22</v>
      </c>
      <c r="E106" s="20" t="s">
        <v>11</v>
      </c>
      <c r="F106" s="20" t="s">
        <v>12</v>
      </c>
      <c r="G106" s="20" t="s">
        <v>13</v>
      </c>
      <c r="H106" s="20" t="s">
        <v>14</v>
      </c>
      <c r="I106" s="20" t="s">
        <v>15</v>
      </c>
      <c r="J106" s="20" t="s">
        <v>16</v>
      </c>
      <c r="K106" s="20" t="s">
        <v>17</v>
      </c>
      <c r="L106" s="20" t="s">
        <v>18</v>
      </c>
      <c r="M106" s="20" t="s">
        <v>19</v>
      </c>
      <c r="N106" s="20" t="s">
        <v>20</v>
      </c>
    </row>
    <row r="107" spans="2:14" ht="15" thickTop="1" x14ac:dyDescent="0.35">
      <c r="B107" t="s">
        <v>21</v>
      </c>
      <c r="D107" s="21">
        <v>0</v>
      </c>
      <c r="E107" s="21">
        <f>+E103</f>
        <v>0</v>
      </c>
      <c r="F107" s="21">
        <f t="shared" ref="F107:K107" si="73">+F103</f>
        <v>0</v>
      </c>
      <c r="G107" s="21">
        <f t="shared" si="73"/>
        <v>1141538.8235294118</v>
      </c>
      <c r="H107" s="21">
        <f t="shared" si="73"/>
        <v>200000</v>
      </c>
      <c r="I107" s="21">
        <f t="shared" si="73"/>
        <v>500000</v>
      </c>
      <c r="J107" s="21">
        <f t="shared" si="73"/>
        <v>6000000</v>
      </c>
      <c r="K107" s="21">
        <f t="shared" si="73"/>
        <v>0</v>
      </c>
      <c r="L107" s="21">
        <f t="shared" ref="L107:N107" si="74">+L103</f>
        <v>0</v>
      </c>
      <c r="M107" s="21">
        <f t="shared" si="74"/>
        <v>0</v>
      </c>
      <c r="N107" s="21">
        <f t="shared" si="74"/>
        <v>0</v>
      </c>
    </row>
    <row r="108" spans="2:14" x14ac:dyDescent="0.35">
      <c r="E108" s="21"/>
      <c r="F108" s="2"/>
      <c r="G108" s="2"/>
      <c r="H108" s="2"/>
      <c r="I108" s="2"/>
      <c r="J108" s="2"/>
      <c r="K108" s="2"/>
      <c r="L108" s="2"/>
      <c r="M108" s="2"/>
      <c r="N108" s="2"/>
    </row>
    <row r="109" spans="2:14" x14ac:dyDescent="0.35">
      <c r="B109" s="51" t="s">
        <v>23</v>
      </c>
      <c r="C109" s="52"/>
      <c r="D109" s="53"/>
      <c r="E109" s="54"/>
      <c r="F109" s="55"/>
      <c r="G109" s="55"/>
      <c r="H109" s="55"/>
      <c r="I109" s="55"/>
      <c r="J109" s="55"/>
      <c r="K109" s="55"/>
      <c r="L109" s="55"/>
      <c r="M109" s="55"/>
      <c r="N109" s="55"/>
    </row>
    <row r="110" spans="2:14" x14ac:dyDescent="0.35">
      <c r="B110" s="1" t="s">
        <v>29</v>
      </c>
      <c r="C110" s="63"/>
      <c r="D110" s="64"/>
      <c r="E110" s="64">
        <f>+D113</f>
        <v>2250000</v>
      </c>
      <c r="F110" s="65">
        <f>E117</f>
        <v>2655000</v>
      </c>
      <c r="G110" s="65">
        <f t="shared" ref="G110:K110" si="75">F117</f>
        <v>3096000</v>
      </c>
      <c r="H110" s="65">
        <f t="shared" si="75"/>
        <v>0</v>
      </c>
      <c r="I110" s="65">
        <f t="shared" si="75"/>
        <v>0</v>
      </c>
      <c r="J110" s="65">
        <f t="shared" si="75"/>
        <v>0</v>
      </c>
      <c r="K110" s="65">
        <f t="shared" si="75"/>
        <v>0</v>
      </c>
      <c r="L110" s="65">
        <f t="shared" ref="L110:N110" si="76">K117</f>
        <v>0</v>
      </c>
      <c r="M110" s="65">
        <f t="shared" si="76"/>
        <v>0</v>
      </c>
      <c r="N110" s="65">
        <f t="shared" si="76"/>
        <v>0</v>
      </c>
    </row>
    <row r="111" spans="2:14" x14ac:dyDescent="0.35">
      <c r="B111" s="1"/>
      <c r="D111" s="22"/>
      <c r="E111" s="22"/>
      <c r="F111" s="24"/>
      <c r="G111" s="24"/>
      <c r="H111" s="24"/>
      <c r="I111" s="24"/>
      <c r="J111" s="24"/>
      <c r="K111" s="24"/>
      <c r="L111" s="24"/>
      <c r="M111" s="24"/>
      <c r="N111" s="24"/>
    </row>
    <row r="112" spans="2:14" x14ac:dyDescent="0.35">
      <c r="B112" t="s">
        <v>24</v>
      </c>
      <c r="C112" s="30">
        <f>G7</f>
        <v>0.2</v>
      </c>
      <c r="D112" s="22"/>
      <c r="E112" s="22">
        <f t="shared" ref="E112:N112" si="77">E110*$C$112</f>
        <v>450000</v>
      </c>
      <c r="F112" s="22">
        <f t="shared" si="77"/>
        <v>531000</v>
      </c>
      <c r="G112" s="22">
        <f t="shared" si="77"/>
        <v>619200</v>
      </c>
      <c r="H112" s="22">
        <f t="shared" si="77"/>
        <v>0</v>
      </c>
      <c r="I112" s="22">
        <f t="shared" si="77"/>
        <v>0</v>
      </c>
      <c r="J112" s="22">
        <f t="shared" si="77"/>
        <v>0</v>
      </c>
      <c r="K112" s="22">
        <f t="shared" si="77"/>
        <v>0</v>
      </c>
      <c r="L112" s="22">
        <f t="shared" si="77"/>
        <v>0</v>
      </c>
      <c r="M112" s="22">
        <f t="shared" si="77"/>
        <v>0</v>
      </c>
      <c r="N112" s="22">
        <f t="shared" si="77"/>
        <v>0</v>
      </c>
    </row>
    <row r="113" spans="2:14" x14ac:dyDescent="0.35">
      <c r="B113" t="s">
        <v>60</v>
      </c>
      <c r="C113" s="18">
        <f>D5</f>
        <v>0.9</v>
      </c>
      <c r="D113" s="22">
        <f>C5</f>
        <v>2250000</v>
      </c>
    </row>
    <row r="114" spans="2:14" x14ac:dyDescent="0.35">
      <c r="B114" t="s">
        <v>31</v>
      </c>
      <c r="D114" s="22"/>
      <c r="E114" s="22">
        <f>E86+E55</f>
        <v>-45000</v>
      </c>
      <c r="F114" s="22">
        <f>F86+F55</f>
        <v>-90000</v>
      </c>
      <c r="G114" s="22">
        <f>G86+G55</f>
        <v>-3003840</v>
      </c>
      <c r="H114" s="22">
        <f t="shared" ref="H114:N114" si="78">H99</f>
        <v>0</v>
      </c>
      <c r="I114" s="22">
        <f t="shared" si="78"/>
        <v>0</v>
      </c>
      <c r="J114" s="22">
        <f t="shared" si="78"/>
        <v>0</v>
      </c>
      <c r="K114" s="22">
        <f t="shared" si="78"/>
        <v>0</v>
      </c>
      <c r="L114" s="22">
        <f t="shared" si="78"/>
        <v>0</v>
      </c>
      <c r="M114" s="22">
        <f t="shared" si="78"/>
        <v>0</v>
      </c>
      <c r="N114" s="22">
        <f t="shared" si="78"/>
        <v>0</v>
      </c>
    </row>
    <row r="115" spans="2:14" x14ac:dyDescent="0.35">
      <c r="B115" t="s">
        <v>61</v>
      </c>
      <c r="C115" s="30">
        <f>H7</f>
        <v>0.8</v>
      </c>
      <c r="E115" s="21">
        <f>E119+E114</f>
        <v>0</v>
      </c>
      <c r="F115" s="21">
        <f>F119+F114</f>
        <v>0</v>
      </c>
      <c r="G115" s="21">
        <f>-(+G110+G112+G114)</f>
        <v>-711360</v>
      </c>
      <c r="H115" s="21">
        <f t="shared" ref="H115:N115" si="79">-H119</f>
        <v>0</v>
      </c>
      <c r="I115" s="21">
        <f t="shared" si="79"/>
        <v>0</v>
      </c>
      <c r="J115" s="21">
        <f t="shared" si="79"/>
        <v>0</v>
      </c>
      <c r="K115" s="21">
        <f t="shared" si="79"/>
        <v>0</v>
      </c>
      <c r="L115" s="21">
        <f t="shared" si="79"/>
        <v>0</v>
      </c>
      <c r="M115" s="21">
        <f t="shared" si="79"/>
        <v>0</v>
      </c>
      <c r="N115" s="21">
        <f t="shared" si="79"/>
        <v>0</v>
      </c>
    </row>
    <row r="116" spans="2:14" x14ac:dyDescent="0.35">
      <c r="E116" s="21"/>
      <c r="F116" s="21"/>
      <c r="G116" s="21"/>
      <c r="H116" s="21"/>
      <c r="I116" s="21"/>
      <c r="J116" s="21"/>
      <c r="K116" s="21"/>
      <c r="L116" s="21"/>
      <c r="M116" s="21"/>
      <c r="N116" s="21"/>
    </row>
    <row r="117" spans="2:14" x14ac:dyDescent="0.35">
      <c r="B117" s="1" t="s">
        <v>32</v>
      </c>
      <c r="C117" s="63"/>
      <c r="D117" s="64">
        <f>+D113</f>
        <v>2250000</v>
      </c>
      <c r="E117" s="64">
        <f>E110+E112+E113+E114</f>
        <v>2655000</v>
      </c>
      <c r="F117" s="64">
        <f>F110+F112+F113+F114</f>
        <v>3096000</v>
      </c>
      <c r="G117" s="64">
        <f t="shared" ref="G117:N117" si="80">G110+G112+G113+G114+G115</f>
        <v>0</v>
      </c>
      <c r="H117" s="64">
        <f t="shared" si="80"/>
        <v>0</v>
      </c>
      <c r="I117" s="64">
        <f t="shared" si="80"/>
        <v>0</v>
      </c>
      <c r="J117" s="64">
        <f t="shared" si="80"/>
        <v>0</v>
      </c>
      <c r="K117" s="64">
        <f t="shared" si="80"/>
        <v>0</v>
      </c>
      <c r="L117" s="64">
        <f t="shared" si="80"/>
        <v>0</v>
      </c>
      <c r="M117" s="64">
        <f t="shared" si="80"/>
        <v>0</v>
      </c>
      <c r="N117" s="64">
        <f t="shared" si="80"/>
        <v>0</v>
      </c>
    </row>
    <row r="119" spans="2:14" ht="15" thickBot="1" x14ac:dyDescent="0.4">
      <c r="B119" s="58" t="s">
        <v>30</v>
      </c>
      <c r="C119" s="59">
        <f>IRR(D119:G119)</f>
        <v>0.19999999999998508</v>
      </c>
      <c r="D119" s="60">
        <f>-D113</f>
        <v>-2250000</v>
      </c>
      <c r="E119" s="60">
        <f>-E114</f>
        <v>45000</v>
      </c>
      <c r="F119" s="60">
        <f>-F114</f>
        <v>90000</v>
      </c>
      <c r="G119" s="61">
        <f>G90+E112+E114+F112+F114+G112+G114-D119</f>
        <v>3715200</v>
      </c>
      <c r="H119" s="62"/>
      <c r="I119" s="62"/>
      <c r="J119" s="62"/>
      <c r="K119" s="62"/>
      <c r="L119" s="62"/>
      <c r="M119" s="62"/>
      <c r="N119" s="62"/>
    </row>
    <row r="120" spans="2:14" ht="15" thickTop="1" x14ac:dyDescent="0.35">
      <c r="B120" s="69"/>
      <c r="C120" s="70"/>
      <c r="D120" s="71"/>
      <c r="E120" s="71"/>
      <c r="F120" s="71"/>
      <c r="G120" s="72"/>
      <c r="H120" s="73"/>
      <c r="I120" s="73"/>
      <c r="J120" s="73"/>
      <c r="K120" s="73"/>
      <c r="L120" s="73"/>
      <c r="M120" s="73"/>
      <c r="N120" s="73"/>
    </row>
    <row r="121" spans="2:14" x14ac:dyDescent="0.35">
      <c r="B121" s="51" t="s">
        <v>34</v>
      </c>
      <c r="C121" s="52"/>
      <c r="D121" s="53"/>
      <c r="E121" s="53"/>
      <c r="F121" s="56"/>
      <c r="G121" s="56"/>
      <c r="H121" s="56"/>
      <c r="I121" s="56"/>
      <c r="J121" s="56"/>
      <c r="K121" s="56"/>
      <c r="L121" s="56"/>
      <c r="M121" s="56"/>
      <c r="N121" s="56"/>
    </row>
    <row r="122" spans="2:14" x14ac:dyDescent="0.35">
      <c r="B122" t="s">
        <v>60</v>
      </c>
      <c r="C122" s="27"/>
      <c r="D122" s="22">
        <f>D93</f>
        <v>249999.99999999994</v>
      </c>
      <c r="E122" s="22"/>
      <c r="F122" s="22"/>
      <c r="G122" s="22"/>
      <c r="H122" s="22"/>
      <c r="I122" s="22"/>
      <c r="J122" s="22"/>
      <c r="K122" s="22"/>
      <c r="L122" s="22"/>
      <c r="M122" s="22"/>
      <c r="N122" s="22"/>
    </row>
    <row r="123" spans="2:14" x14ac:dyDescent="0.35">
      <c r="B123" t="s">
        <v>61</v>
      </c>
      <c r="C123" s="29">
        <f>I7</f>
        <v>0.2</v>
      </c>
      <c r="E123" s="22">
        <f t="shared" ref="E123:N123" si="81">E115/$C$115*$C$123</f>
        <v>0</v>
      </c>
      <c r="F123" s="22">
        <f t="shared" si="81"/>
        <v>0</v>
      </c>
      <c r="G123" s="22">
        <f t="shared" si="81"/>
        <v>-177840</v>
      </c>
      <c r="H123" s="22">
        <f t="shared" si="81"/>
        <v>0</v>
      </c>
      <c r="I123" s="22">
        <f t="shared" si="81"/>
        <v>0</v>
      </c>
      <c r="J123" s="22">
        <f t="shared" si="81"/>
        <v>0</v>
      </c>
      <c r="K123" s="22">
        <f t="shared" si="81"/>
        <v>0</v>
      </c>
      <c r="L123" s="22">
        <f t="shared" si="81"/>
        <v>0</v>
      </c>
      <c r="M123" s="22">
        <f t="shared" si="81"/>
        <v>0</v>
      </c>
      <c r="N123" s="22">
        <f t="shared" si="81"/>
        <v>0</v>
      </c>
    </row>
    <row r="125" spans="2:14" x14ac:dyDescent="0.35">
      <c r="B125" s="51" t="s">
        <v>21</v>
      </c>
      <c r="C125" s="79"/>
      <c r="D125" s="80"/>
      <c r="E125" s="81">
        <f>+E107</f>
        <v>0</v>
      </c>
      <c r="F125" s="81">
        <f t="shared" ref="F125:N125" si="82">+F107</f>
        <v>0</v>
      </c>
      <c r="G125" s="81">
        <f t="shared" si="82"/>
        <v>1141538.8235294118</v>
      </c>
      <c r="H125" s="81">
        <f t="shared" si="82"/>
        <v>200000</v>
      </c>
      <c r="I125" s="81">
        <f t="shared" si="82"/>
        <v>500000</v>
      </c>
      <c r="J125" s="81">
        <f t="shared" si="82"/>
        <v>6000000</v>
      </c>
      <c r="K125" s="81">
        <f t="shared" si="82"/>
        <v>0</v>
      </c>
      <c r="L125" s="81">
        <f t="shared" si="82"/>
        <v>0</v>
      </c>
      <c r="M125" s="81">
        <f t="shared" si="82"/>
        <v>0</v>
      </c>
      <c r="N125" s="81">
        <f t="shared" si="82"/>
        <v>0</v>
      </c>
    </row>
    <row r="126" spans="2:14" x14ac:dyDescent="0.35">
      <c r="B126" s="56"/>
      <c r="C126" s="52"/>
      <c r="D126" s="53"/>
      <c r="E126" s="53"/>
      <c r="F126" s="56"/>
      <c r="G126" s="56"/>
      <c r="H126" s="56"/>
      <c r="I126" s="56"/>
      <c r="J126" s="56"/>
      <c r="K126" s="56"/>
      <c r="L126" s="56"/>
      <c r="M126" s="56"/>
      <c r="N126" s="56"/>
    </row>
    <row r="127" spans="2:14" x14ac:dyDescent="0.35">
      <c r="B127" s="51" t="s">
        <v>25</v>
      </c>
      <c r="C127" s="52"/>
      <c r="D127" s="53"/>
      <c r="E127" s="53"/>
      <c r="F127" s="56"/>
      <c r="G127" s="56"/>
      <c r="H127" s="56"/>
      <c r="I127" s="56"/>
      <c r="J127" s="56"/>
      <c r="K127" s="56"/>
      <c r="L127" s="56"/>
      <c r="M127" s="56"/>
      <c r="N127" s="56"/>
    </row>
    <row r="128" spans="2:14" x14ac:dyDescent="0.35">
      <c r="B128" s="56" t="s">
        <v>51</v>
      </c>
      <c r="C128" s="52"/>
      <c r="D128" s="53"/>
      <c r="E128" s="66">
        <f t="shared" ref="E128:L128" si="83">E115</f>
        <v>0</v>
      </c>
      <c r="F128" s="66">
        <f t="shared" si="83"/>
        <v>0</v>
      </c>
      <c r="G128" s="66">
        <f t="shared" si="83"/>
        <v>-711360</v>
      </c>
      <c r="H128" s="66">
        <f t="shared" si="83"/>
        <v>0</v>
      </c>
      <c r="I128" s="66">
        <f t="shared" si="83"/>
        <v>0</v>
      </c>
      <c r="J128" s="66">
        <f t="shared" si="83"/>
        <v>0</v>
      </c>
      <c r="K128" s="66">
        <f t="shared" si="83"/>
        <v>0</v>
      </c>
      <c r="L128" s="66">
        <f t="shared" si="83"/>
        <v>0</v>
      </c>
      <c r="M128" s="66">
        <f t="shared" ref="M128:N128" si="84">M115</f>
        <v>0</v>
      </c>
      <c r="N128" s="66">
        <f t="shared" si="84"/>
        <v>0</v>
      </c>
    </row>
    <row r="129" spans="2:14" x14ac:dyDescent="0.35">
      <c r="B129" s="56" t="s">
        <v>52</v>
      </c>
      <c r="C129" s="52"/>
      <c r="D129" s="53"/>
      <c r="E129" s="66">
        <f>E123</f>
        <v>0</v>
      </c>
      <c r="F129" s="66">
        <f t="shared" ref="F129:K129" si="85">F123</f>
        <v>0</v>
      </c>
      <c r="G129" s="66">
        <f t="shared" si="85"/>
        <v>-177840</v>
      </c>
      <c r="H129" s="66">
        <f t="shared" si="85"/>
        <v>0</v>
      </c>
      <c r="I129" s="66">
        <f t="shared" si="85"/>
        <v>0</v>
      </c>
      <c r="J129" s="66">
        <f t="shared" si="85"/>
        <v>0</v>
      </c>
      <c r="K129" s="66">
        <f t="shared" si="85"/>
        <v>0</v>
      </c>
      <c r="L129" s="66">
        <f t="shared" ref="L129:N129" si="86">L123</f>
        <v>0</v>
      </c>
      <c r="M129" s="66">
        <f t="shared" si="86"/>
        <v>0</v>
      </c>
      <c r="N129" s="66">
        <f t="shared" si="86"/>
        <v>0</v>
      </c>
    </row>
    <row r="130" spans="2:14" ht="15" thickBot="1" x14ac:dyDescent="0.4">
      <c r="B130" s="56" t="s">
        <v>27</v>
      </c>
      <c r="C130" s="52"/>
      <c r="D130" s="68"/>
      <c r="E130" s="67">
        <f>SUM(E128:E129)</f>
        <v>0</v>
      </c>
      <c r="F130" s="67">
        <f t="shared" ref="F130" si="87">SUM(F128:F129)</f>
        <v>0</v>
      </c>
      <c r="G130" s="67">
        <f t="shared" ref="G130" si="88">SUM(G128:G129)</f>
        <v>-889200</v>
      </c>
      <c r="H130" s="67">
        <f t="shared" ref="H130" si="89">SUM(H128:H129)</f>
        <v>0</v>
      </c>
      <c r="I130" s="67">
        <f t="shared" ref="I130" si="90">SUM(I128:I129)</f>
        <v>0</v>
      </c>
      <c r="J130" s="67">
        <f t="shared" ref="J130" si="91">SUM(J128:J129)</f>
        <v>0</v>
      </c>
      <c r="K130" s="67">
        <f t="shared" ref="K130:L130" si="92">SUM(K128:K129)</f>
        <v>0</v>
      </c>
      <c r="L130" s="67">
        <f t="shared" si="92"/>
        <v>0</v>
      </c>
      <c r="M130" s="67">
        <f t="shared" ref="M130" si="93">SUM(M128:M129)</f>
        <v>0</v>
      </c>
      <c r="N130" s="67">
        <f t="shared" ref="N130" si="94">SUM(N128:N129)</f>
        <v>0</v>
      </c>
    </row>
    <row r="131" spans="2:14" ht="15" thickTop="1" x14ac:dyDescent="0.35">
      <c r="B131" s="56"/>
      <c r="C131" s="52"/>
      <c r="D131" s="53"/>
      <c r="E131" s="53"/>
      <c r="F131" s="56"/>
      <c r="G131" s="56"/>
      <c r="H131" s="56"/>
      <c r="I131" s="56"/>
      <c r="J131" s="56"/>
      <c r="K131" s="56"/>
      <c r="L131" s="56"/>
      <c r="M131" s="56"/>
      <c r="N131" s="56"/>
    </row>
    <row r="132" spans="2:14" ht="15" thickBot="1" x14ac:dyDescent="0.4">
      <c r="B132" s="51" t="s">
        <v>28</v>
      </c>
      <c r="C132" s="79"/>
      <c r="D132" s="83"/>
      <c r="E132" s="82">
        <f t="shared" ref="E132:N132" si="95">E107+E130</f>
        <v>0</v>
      </c>
      <c r="F132" s="82">
        <f t="shared" si="95"/>
        <v>0</v>
      </c>
      <c r="G132" s="82">
        <f t="shared" si="95"/>
        <v>252338.82352941181</v>
      </c>
      <c r="H132" s="82">
        <f t="shared" si="95"/>
        <v>200000</v>
      </c>
      <c r="I132" s="82">
        <f t="shared" si="95"/>
        <v>500000</v>
      </c>
      <c r="J132" s="82">
        <f t="shared" si="95"/>
        <v>6000000</v>
      </c>
      <c r="K132" s="82">
        <f t="shared" si="95"/>
        <v>0</v>
      </c>
      <c r="L132" s="82">
        <f t="shared" si="95"/>
        <v>0</v>
      </c>
      <c r="M132" s="82">
        <f t="shared" si="95"/>
        <v>0</v>
      </c>
      <c r="N132" s="82">
        <f t="shared" si="95"/>
        <v>0</v>
      </c>
    </row>
    <row r="133" spans="2:14" ht="15" thickTop="1" x14ac:dyDescent="0.35"/>
    <row r="134" spans="2:14" x14ac:dyDescent="0.35">
      <c r="B134" s="7" t="s">
        <v>78</v>
      </c>
      <c r="C134" s="28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2:14" x14ac:dyDescent="0.35">
      <c r="B135" t="s">
        <v>35</v>
      </c>
    </row>
    <row r="136" spans="2:14" x14ac:dyDescent="0.35">
      <c r="B136" t="s">
        <v>36</v>
      </c>
      <c r="C136" s="29">
        <f>+H8</f>
        <v>0.6</v>
      </c>
      <c r="E136" s="24">
        <f t="shared" ref="E136:N136" si="96">+E132*$C$136</f>
        <v>0</v>
      </c>
      <c r="F136" s="24">
        <f t="shared" si="96"/>
        <v>0</v>
      </c>
      <c r="G136" s="24">
        <f t="shared" si="96"/>
        <v>151403.29411764708</v>
      </c>
      <c r="H136" s="24">
        <f t="shared" si="96"/>
        <v>120000</v>
      </c>
      <c r="I136" s="24">
        <f t="shared" si="96"/>
        <v>300000</v>
      </c>
      <c r="J136" s="24">
        <f t="shared" si="96"/>
        <v>3600000</v>
      </c>
      <c r="K136" s="24">
        <f t="shared" si="96"/>
        <v>0</v>
      </c>
      <c r="L136" s="24">
        <f t="shared" si="96"/>
        <v>0</v>
      </c>
      <c r="M136" s="24">
        <f t="shared" si="96"/>
        <v>0</v>
      </c>
      <c r="N136" s="24">
        <f t="shared" si="96"/>
        <v>0</v>
      </c>
    </row>
    <row r="137" spans="2:14" x14ac:dyDescent="0.35">
      <c r="B137" t="s">
        <v>37</v>
      </c>
      <c r="C137" s="29">
        <f>+I8</f>
        <v>0.4</v>
      </c>
      <c r="E137" s="24">
        <f t="shared" ref="E137:N137" si="97">+$C$137*E132</f>
        <v>0</v>
      </c>
      <c r="F137" s="24">
        <f t="shared" si="97"/>
        <v>0</v>
      </c>
      <c r="G137" s="24">
        <f t="shared" si="97"/>
        <v>100935.52941176473</v>
      </c>
      <c r="H137" s="24">
        <f t="shared" si="97"/>
        <v>80000</v>
      </c>
      <c r="I137" s="24">
        <f t="shared" si="97"/>
        <v>200000</v>
      </c>
      <c r="J137" s="24">
        <f t="shared" si="97"/>
        <v>2400000</v>
      </c>
      <c r="K137" s="24">
        <f t="shared" si="97"/>
        <v>0</v>
      </c>
      <c r="L137" s="24">
        <f t="shared" si="97"/>
        <v>0</v>
      </c>
      <c r="M137" s="24">
        <f t="shared" si="97"/>
        <v>0</v>
      </c>
      <c r="N137" s="24">
        <f t="shared" si="97"/>
        <v>0</v>
      </c>
    </row>
    <row r="138" spans="2:14" ht="15" thickBot="1" x14ac:dyDescent="0.4">
      <c r="B138" t="s">
        <v>38</v>
      </c>
      <c r="D138" s="34"/>
      <c r="E138" s="25">
        <f>SUM(E136:E137)</f>
        <v>0</v>
      </c>
      <c r="F138" s="25">
        <f t="shared" ref="F138:J138" si="98">SUM(F136:F137)</f>
        <v>0</v>
      </c>
      <c r="G138" s="25">
        <f t="shared" si="98"/>
        <v>252338.82352941181</v>
      </c>
      <c r="H138" s="25">
        <f t="shared" si="98"/>
        <v>200000</v>
      </c>
      <c r="I138" s="25">
        <f t="shared" si="98"/>
        <v>500000</v>
      </c>
      <c r="J138" s="25">
        <f t="shared" si="98"/>
        <v>6000000</v>
      </c>
      <c r="K138" s="25">
        <f t="shared" ref="K138:L138" si="99">SUM(K136:K137)</f>
        <v>0</v>
      </c>
      <c r="L138" s="25">
        <f t="shared" si="99"/>
        <v>0</v>
      </c>
      <c r="M138" s="25">
        <f t="shared" ref="M138" si="100">SUM(M136:M137)</f>
        <v>0</v>
      </c>
      <c r="N138" s="25">
        <f t="shared" ref="N138" si="101">SUM(N136:N137)</f>
        <v>0</v>
      </c>
    </row>
    <row r="139" spans="2:14" ht="15" thickTop="1" x14ac:dyDescent="0.35"/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Waterfall Analysis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2025-01-10T09:41:57Z</dcterms:created>
  <dcterms:modified xsi:type="dcterms:W3CDTF">2025-01-14T10:15:37Z</dcterms:modified>
</cp:coreProperties>
</file>