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/Baruch MS/MS/Exam/"/>
    </mc:Choice>
  </mc:AlternateContent>
  <xr:revisionPtr revIDLastSave="601" documentId="8_{96744BF1-9635-4F10-805D-BFEC6E75B878}" xr6:coauthVersionLast="45" xr6:coauthVersionMax="45" xr10:uidLastSave="{9E48CCC2-10E7-40CC-B8F5-ED8E3D497E35}"/>
  <bookViews>
    <workbookView xWindow="-93" yWindow="-93" windowWidth="20306" windowHeight="12186" activeTab="1" xr2:uid="{DE829C59-005D-4134-AB32-9DE65EDA7F93}"/>
  </bookViews>
  <sheets>
    <sheet name="Exam" sheetId="1" r:id="rId1"/>
    <sheet name="Answers" sheetId="2" r:id="rId2"/>
  </sheets>
  <definedNames>
    <definedName name="_xlnm.Print_Area" localSheetId="0">Exam!$A$1:$I$268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2" l="1"/>
  <c r="G270" i="2" l="1"/>
  <c r="F270" i="2"/>
  <c r="G256" i="2"/>
  <c r="G251" i="2"/>
  <c r="G250" i="2"/>
  <c r="G241" i="2"/>
  <c r="G233" i="2"/>
  <c r="G234" i="2"/>
  <c r="G232" i="2"/>
  <c r="G230" i="2"/>
  <c r="G235" i="2" s="1"/>
  <c r="G231" i="2"/>
  <c r="G229" i="2"/>
  <c r="G225" i="2"/>
  <c r="G224" i="2"/>
  <c r="C162" i="2"/>
  <c r="B165" i="2" s="1"/>
  <c r="E144" i="2"/>
  <c r="F144" i="2"/>
  <c r="G144" i="2"/>
  <c r="D144" i="2"/>
  <c r="D139" i="2"/>
  <c r="D149" i="2" s="1"/>
  <c r="C130" i="2"/>
  <c r="D132" i="2" s="1"/>
  <c r="D133" i="2" s="1"/>
  <c r="D124" i="2"/>
  <c r="E124" i="2" s="1"/>
  <c r="C124" i="2"/>
  <c r="D126" i="2" s="1"/>
  <c r="D127" i="2" s="1"/>
  <c r="E118" i="2"/>
  <c r="E117" i="2"/>
  <c r="D119" i="2"/>
  <c r="E119" i="2" s="1"/>
  <c r="F67" i="2"/>
  <c r="C96" i="2"/>
  <c r="C97" i="2" s="1"/>
  <c r="D96" i="2"/>
  <c r="D97" i="2" s="1"/>
  <c r="B96" i="2"/>
  <c r="B97" i="2" s="1"/>
  <c r="F65" i="2"/>
  <c r="E63" i="2"/>
  <c r="E62" i="2"/>
  <c r="E61" i="2"/>
  <c r="F59" i="2"/>
  <c r="F38" i="2"/>
  <c r="F39" i="2"/>
  <c r="F40" i="2"/>
  <c r="F41" i="2"/>
  <c r="F42" i="2"/>
  <c r="F37" i="2"/>
  <c r="B42" i="2"/>
  <c r="C42" i="2" s="1"/>
  <c r="B38" i="2"/>
  <c r="C38" i="2" s="1"/>
  <c r="B39" i="2"/>
  <c r="C39" i="2" s="1"/>
  <c r="B40" i="2"/>
  <c r="C40" i="2" s="1"/>
  <c r="B41" i="2"/>
  <c r="C41" i="2" s="1"/>
  <c r="B37" i="2"/>
  <c r="C37" i="2" s="1"/>
  <c r="B22" i="2"/>
  <c r="F17" i="2"/>
  <c r="B19" i="2" s="1"/>
  <c r="B20" i="2" s="1"/>
  <c r="G260" i="2"/>
  <c r="G221" i="2"/>
  <c r="C216" i="2"/>
  <c r="F264" i="2" s="1"/>
  <c r="D213" i="2"/>
  <c r="H204" i="2"/>
  <c r="G204" i="2"/>
  <c r="C204" i="2"/>
  <c r="C210" i="2" s="1"/>
  <c r="D203" i="2"/>
  <c r="D204" i="2" s="1"/>
  <c r="D210" i="2" s="1"/>
  <c r="H196" i="2"/>
  <c r="G196" i="2"/>
  <c r="D190" i="2"/>
  <c r="D189" i="2"/>
  <c r="C189" i="2"/>
  <c r="C191" i="2" s="1"/>
  <c r="H188" i="2"/>
  <c r="G267" i="2" s="1"/>
  <c r="G188" i="2"/>
  <c r="D183" i="2"/>
  <c r="C183" i="2"/>
  <c r="H182" i="2"/>
  <c r="H190" i="2" s="1"/>
  <c r="G182" i="2"/>
  <c r="G190" i="2" s="1"/>
  <c r="F269" i="2" s="1"/>
  <c r="H177" i="2"/>
  <c r="G177" i="2"/>
  <c r="F260" i="2" s="1"/>
  <c r="B120" i="2"/>
  <c r="G120" i="2" s="1"/>
  <c r="G269" i="2" l="1"/>
  <c r="C117" i="2"/>
  <c r="F117" i="2"/>
  <c r="C120" i="2"/>
  <c r="C119" i="2"/>
  <c r="F119" i="2" s="1"/>
  <c r="F124" i="2"/>
  <c r="G126" i="2" s="1"/>
  <c r="G127" i="2" s="1"/>
  <c r="F126" i="2"/>
  <c r="F127" i="2" s="1"/>
  <c r="E126" i="2"/>
  <c r="E127" i="2" s="1"/>
  <c r="G249" i="2"/>
  <c r="G252" i="2" s="1"/>
  <c r="D143" i="2"/>
  <c r="D147" i="2" s="1"/>
  <c r="E139" i="2"/>
  <c r="D191" i="2"/>
  <c r="D195" i="2" s="1"/>
  <c r="D130" i="2"/>
  <c r="D140" i="2"/>
  <c r="D148" i="2"/>
  <c r="H198" i="2"/>
  <c r="G266" i="2" s="1"/>
  <c r="B87" i="2"/>
  <c r="C118" i="2"/>
  <c r="F118" i="2" s="1"/>
  <c r="D141" i="2"/>
  <c r="G240" i="2"/>
  <c r="G242" i="2" s="1"/>
  <c r="G262" i="2"/>
  <c r="G268" i="2"/>
  <c r="F64" i="2"/>
  <c r="F66" i="2" s="1"/>
  <c r="F68" i="2" s="1"/>
  <c r="B77" i="2" s="1"/>
  <c r="D135" i="2"/>
  <c r="D151" i="2" s="1"/>
  <c r="B98" i="2"/>
  <c r="B100" i="2" s="1"/>
  <c r="G198" i="2"/>
  <c r="G40" i="2"/>
  <c r="G37" i="2"/>
  <c r="G39" i="2"/>
  <c r="G42" i="2"/>
  <c r="G38" i="2"/>
  <c r="G41" i="2"/>
  <c r="C51" i="2"/>
  <c r="D40" i="2" s="1"/>
  <c r="E40" i="2" s="1"/>
  <c r="C195" i="2"/>
  <c r="C218" i="2"/>
  <c r="F120" i="2" l="1"/>
  <c r="D142" i="2"/>
  <c r="D145" i="2" s="1"/>
  <c r="D146" i="2" s="1"/>
  <c r="D150" i="2" s="1"/>
  <c r="D152" i="2" s="1"/>
  <c r="D162" i="2" s="1"/>
  <c r="G202" i="2"/>
  <c r="G206" i="2" s="1"/>
  <c r="F265" i="2"/>
  <c r="F271" i="2"/>
  <c r="F266" i="2"/>
  <c r="E141" i="2"/>
  <c r="E140" i="2"/>
  <c r="E142" i="2" s="1"/>
  <c r="E149" i="2"/>
  <c r="E143" i="2"/>
  <c r="E147" i="2" s="1"/>
  <c r="E148" i="2"/>
  <c r="F139" i="2"/>
  <c r="E132" i="2"/>
  <c r="E133" i="2" s="1"/>
  <c r="E135" i="2" s="1"/>
  <c r="E151" i="2" s="1"/>
  <c r="E130" i="2"/>
  <c r="D136" i="2"/>
  <c r="H202" i="2"/>
  <c r="H206" i="2" s="1"/>
  <c r="H208" i="2" s="1"/>
  <c r="H210" i="2" s="1"/>
  <c r="G265" i="2"/>
  <c r="G271" i="2"/>
  <c r="G124" i="2"/>
  <c r="H126" i="2" s="1"/>
  <c r="H127" i="2" s="1"/>
  <c r="H124" i="2"/>
  <c r="G43" i="2"/>
  <c r="G44" i="2" s="1"/>
  <c r="G51" i="2" s="1"/>
  <c r="D41" i="2"/>
  <c r="E41" i="2" s="1"/>
  <c r="D42" i="2"/>
  <c r="E42" i="2" s="1"/>
  <c r="D39" i="2"/>
  <c r="E39" i="2" s="1"/>
  <c r="D38" i="2"/>
  <c r="E38" i="2" s="1"/>
  <c r="D37" i="2"/>
  <c r="E37" i="2" s="1"/>
  <c r="D163" i="2" l="1"/>
  <c r="E136" i="2"/>
  <c r="F132" i="2"/>
  <c r="F133" i="2" s="1"/>
  <c r="F135" i="2" s="1"/>
  <c r="F151" i="2" s="1"/>
  <c r="F130" i="2"/>
  <c r="E145" i="2"/>
  <c r="E146" i="2" s="1"/>
  <c r="E150" i="2" s="1"/>
  <c r="E152" i="2" s="1"/>
  <c r="E162" i="2" s="1"/>
  <c r="E163" i="2" s="1"/>
  <c r="G208" i="2"/>
  <c r="G210" i="2" s="1"/>
  <c r="D215" i="2"/>
  <c r="D216" i="2" s="1"/>
  <c r="G273" i="2"/>
  <c r="G223" i="2"/>
  <c r="G226" i="2" s="1"/>
  <c r="G237" i="2" s="1"/>
  <c r="G244" i="2" s="1"/>
  <c r="G246" i="2" s="1"/>
  <c r="G254" i="2" s="1"/>
  <c r="G258" i="2" s="1"/>
  <c r="G272" i="2"/>
  <c r="F143" i="2"/>
  <c r="F147" i="2" s="1"/>
  <c r="F148" i="2"/>
  <c r="G139" i="2"/>
  <c r="F141" i="2"/>
  <c r="F140" i="2"/>
  <c r="F142" i="2" s="1"/>
  <c r="F149" i="2"/>
  <c r="E51" i="2"/>
  <c r="F156" i="2" l="1"/>
  <c r="F145" i="2"/>
  <c r="D218" i="2"/>
  <c r="G264" i="2"/>
  <c r="G132" i="2"/>
  <c r="G133" i="2" s="1"/>
  <c r="G135" i="2" s="1"/>
  <c r="G151" i="2" s="1"/>
  <c r="G130" i="2"/>
  <c r="F136" i="2"/>
  <c r="F159" i="2" s="1"/>
  <c r="G140" i="2"/>
  <c r="G149" i="2"/>
  <c r="G143" i="2"/>
  <c r="G148" i="2"/>
  <c r="G141" i="2"/>
  <c r="G142" i="2" s="1"/>
  <c r="G145" i="2" l="1"/>
  <c r="G147" i="2"/>
  <c r="H130" i="2"/>
  <c r="H136" i="2" s="1"/>
  <c r="H132" i="2"/>
  <c r="H133" i="2" s="1"/>
  <c r="H135" i="2" s="1"/>
  <c r="G136" i="2"/>
  <c r="F146" i="2"/>
  <c r="F150" i="2" s="1"/>
  <c r="F152" i="2" s="1"/>
  <c r="G146" i="2" l="1"/>
  <c r="G150" i="2" s="1"/>
  <c r="G152" i="2" l="1"/>
  <c r="F157" i="2"/>
  <c r="F158" i="2" s="1"/>
  <c r="F160" i="2" s="1"/>
  <c r="F162" i="2" s="1"/>
  <c r="F163" i="2" l="1"/>
  <c r="B164" i="2" s="1"/>
  <c r="B167" i="2" s="1"/>
  <c r="B169" i="2"/>
  <c r="G254" i="1" l="1"/>
  <c r="G215" i="1"/>
  <c r="C212" i="1"/>
  <c r="D209" i="1"/>
  <c r="H200" i="1"/>
  <c r="G200" i="1"/>
  <c r="C200" i="1"/>
  <c r="C206" i="1" s="1"/>
  <c r="D199" i="1"/>
  <c r="D200" i="1" s="1"/>
  <c r="D206" i="1" s="1"/>
  <c r="H192" i="1"/>
  <c r="G192" i="1"/>
  <c r="D186" i="1"/>
  <c r="D185" i="1"/>
  <c r="C185" i="1"/>
  <c r="C187" i="1" s="1"/>
  <c r="H184" i="1"/>
  <c r="G184" i="1"/>
  <c r="D179" i="1"/>
  <c r="C179" i="1"/>
  <c r="H178" i="1"/>
  <c r="G178" i="1"/>
  <c r="G186" i="1" s="1"/>
  <c r="H173" i="1"/>
  <c r="G173" i="1"/>
  <c r="F254" i="1" s="1"/>
  <c r="B118" i="1"/>
  <c r="C191" i="1" l="1"/>
  <c r="D187" i="1"/>
  <c r="D191" i="1" s="1"/>
  <c r="G194" i="1"/>
  <c r="E134" i="1"/>
  <c r="D134" i="1"/>
  <c r="C213" i="1"/>
  <c r="H186" i="1"/>
  <c r="F134" i="1" l="1"/>
  <c r="G198" i="1"/>
  <c r="G202" i="1" s="1"/>
  <c r="D133" i="1"/>
  <c r="H194" i="1"/>
  <c r="E133" i="1"/>
  <c r="H134" i="1" l="1"/>
  <c r="G134" i="1"/>
  <c r="H198" i="1"/>
  <c r="H202" i="1" s="1"/>
  <c r="G204" i="1"/>
  <c r="G206" i="1" s="1"/>
  <c r="F133" i="1" l="1"/>
  <c r="G133" i="1"/>
  <c r="H133" i="1"/>
  <c r="H204" i="1"/>
  <c r="H206" i="1" s="1"/>
  <c r="D211" i="1" l="1"/>
  <c r="D212" i="1" s="1"/>
  <c r="D213" i="1" l="1"/>
</calcChain>
</file>

<file path=xl/sharedStrings.xml><?xml version="1.0" encoding="utf-8"?>
<sst xmlns="http://schemas.openxmlformats.org/spreadsheetml/2006/main" count="543" uniqueCount="242">
  <si>
    <t>MS EXECUTIVE FIN 9793</t>
  </si>
  <si>
    <t>Name:</t>
  </si>
  <si>
    <t>SECTION I - BOND ANALYSIS (25 POINTS)</t>
  </si>
  <si>
    <t>Face Value =</t>
  </si>
  <si>
    <t>CALCULATIONS</t>
  </si>
  <si>
    <t>Price =</t>
  </si>
  <si>
    <t>Coupon =</t>
  </si>
  <si>
    <t>Traded on Thursday, September 13 (apply T+3 days settlement)</t>
  </si>
  <si>
    <t>Invoice Price $ =</t>
  </si>
  <si>
    <t>Coupon Rate=</t>
  </si>
  <si>
    <t>Yield=</t>
  </si>
  <si>
    <t>Question 3 (15 points)</t>
  </si>
  <si>
    <t>Given the following data, calculate the Price, Duration and Convexity of the Bond:</t>
  </si>
  <si>
    <t>Remaining Years to Maturity=</t>
  </si>
  <si>
    <t>Redemption Price =</t>
  </si>
  <si>
    <t>Frequency (Pmts per year)</t>
  </si>
  <si>
    <t>Time  until</t>
  </si>
  <si>
    <t>Payment</t>
  </si>
  <si>
    <t>PV of Pmt</t>
  </si>
  <si>
    <t>%</t>
  </si>
  <si>
    <t>Duration</t>
  </si>
  <si>
    <t>Factor years</t>
  </si>
  <si>
    <t>Convexity</t>
  </si>
  <si>
    <t>Payments</t>
  </si>
  <si>
    <t>Weight</t>
  </si>
  <si>
    <t>(Years)</t>
  </si>
  <si>
    <t>Calc</t>
  </si>
  <si>
    <t>Price=</t>
  </si>
  <si>
    <t>Duration=</t>
  </si>
  <si>
    <t>Convexity=</t>
  </si>
  <si>
    <t>SECTION II- EQUITY ANALYSIS (50 POINTS)</t>
  </si>
  <si>
    <t>million</t>
  </si>
  <si>
    <t>Book Equity =</t>
  </si>
  <si>
    <t>billion</t>
  </si>
  <si>
    <t>Stock Outstanding =</t>
  </si>
  <si>
    <t>Short Term Bank Debt =</t>
  </si>
  <si>
    <t xml:space="preserve">Long Term Bank Debt = </t>
  </si>
  <si>
    <t xml:space="preserve">Corporate Bonds = </t>
  </si>
  <si>
    <t xml:space="preserve">Total Liabilities = </t>
  </si>
  <si>
    <t xml:space="preserve">Total Assets = </t>
  </si>
  <si>
    <t>Cash on Hand =</t>
  </si>
  <si>
    <t>EBIT =</t>
  </si>
  <si>
    <t>STOCK PRICE =</t>
  </si>
  <si>
    <t>Question 5 (5 points)</t>
  </si>
  <si>
    <t>Prepare a DCF Analysis given the following assumptions:</t>
  </si>
  <si>
    <t>Operating Assumptions (for years 1-5) (Please ingnore Year 0's Cost of Revenues &amp; Operating Expenses - just focus on year 1-5)</t>
  </si>
  <si>
    <t>Revenue Growth</t>
  </si>
  <si>
    <t>Risk Free=</t>
  </si>
  <si>
    <t>Cost of Revenue as % of Revenue</t>
  </si>
  <si>
    <t>Market Return =</t>
  </si>
  <si>
    <t>Oper. Expense as % of Revenue</t>
  </si>
  <si>
    <t>Beta =</t>
  </si>
  <si>
    <t>Depreciation Expense as % of Revenue</t>
  </si>
  <si>
    <t>Tax Rate</t>
  </si>
  <si>
    <t>Working Capital Expense as % of Revenues</t>
  </si>
  <si>
    <t>Capex as % of Revenue</t>
  </si>
  <si>
    <t>Interest and Principal Payments assumed that are paid at thet last day of the year</t>
  </si>
  <si>
    <t>Sources:</t>
  </si>
  <si>
    <t>Amount</t>
  </si>
  <si>
    <t>% Capital</t>
  </si>
  <si>
    <t>Interest (Fixed) /Expected Return</t>
  </si>
  <si>
    <t>Interest /Expected Return
After Tax</t>
  </si>
  <si>
    <t>WACC</t>
  </si>
  <si>
    <t>Zero Year's EBITDA
Multiple based on Total Sources</t>
  </si>
  <si>
    <t>Bank Loan (L + 3.0%)</t>
  </si>
  <si>
    <t>Mezzanine</t>
  </si>
  <si>
    <t>Equity</t>
  </si>
  <si>
    <t xml:space="preserve">  Total Sources</t>
  </si>
  <si>
    <t>Bank Loan Information</t>
  </si>
  <si>
    <t>Amount Outstanding</t>
  </si>
  <si>
    <t>Schedule Payments</t>
  </si>
  <si>
    <t>Interest Payment</t>
  </si>
  <si>
    <t xml:space="preserve">  Total Financing Payment</t>
  </si>
  <si>
    <t>Corporate Bond Information</t>
  </si>
  <si>
    <t>Total</t>
  </si>
  <si>
    <t>Total Financing</t>
  </si>
  <si>
    <t>Total Debt Outstanding</t>
  </si>
  <si>
    <t>Exit</t>
  </si>
  <si>
    <t>Revenues</t>
  </si>
  <si>
    <t xml:space="preserve">  Cost of Revenues</t>
  </si>
  <si>
    <t xml:space="preserve">  Operating Expenses</t>
  </si>
  <si>
    <t>EBITDA</t>
  </si>
  <si>
    <t>Depreciation</t>
  </si>
  <si>
    <t>Amortization of Fees</t>
  </si>
  <si>
    <t>EBIT</t>
  </si>
  <si>
    <t>Taxes</t>
  </si>
  <si>
    <t>Depreciation &amp; Amortization of Fees</t>
  </si>
  <si>
    <t>Working Capital Expense</t>
  </si>
  <si>
    <t>Capital Expenditures</t>
  </si>
  <si>
    <t xml:space="preserve">  Free Cash Flow before financing</t>
  </si>
  <si>
    <t>Financing Expenses</t>
  </si>
  <si>
    <t>Net Cash Flow</t>
  </si>
  <si>
    <t>Terminal Value</t>
  </si>
  <si>
    <t xml:space="preserve">  EBITDA Multiple Method using the intitial EBITDA multiple (Zero Year)</t>
  </si>
  <si>
    <t xml:space="preserve">  Perpetuity Method  (using WACC) with no growth</t>
  </si>
  <si>
    <t>Average of two valuation methods</t>
  </si>
  <si>
    <t>Debt Outstanding</t>
  </si>
  <si>
    <t xml:space="preserve">Equity Value </t>
  </si>
  <si>
    <t>Equity Cash Flows</t>
  </si>
  <si>
    <t>PV of Equity Cash Flows</t>
  </si>
  <si>
    <t>Equity NPV=</t>
  </si>
  <si>
    <t>IRR =</t>
  </si>
  <si>
    <t>SECTION III-  FINANCIAL ANALYSIS (25 POINTS)</t>
  </si>
  <si>
    <t>Question 7 (25 points)</t>
  </si>
  <si>
    <t xml:space="preserve">Prepare the Cash Flow Statement and Ratio Analysis </t>
  </si>
  <si>
    <t>Balance Sheet (000's)</t>
  </si>
  <si>
    <t>Income Statement (000's)</t>
  </si>
  <si>
    <t>Current Assets</t>
  </si>
  <si>
    <t>Revenues by Geography</t>
  </si>
  <si>
    <t xml:space="preserve"> Cash</t>
  </si>
  <si>
    <t xml:space="preserve">  U.S.</t>
  </si>
  <si>
    <t xml:space="preserve"> Accounts Receivable</t>
  </si>
  <si>
    <t xml:space="preserve">  Europe</t>
  </si>
  <si>
    <t xml:space="preserve"> Inventories</t>
  </si>
  <si>
    <t xml:space="preserve">  Asia</t>
  </si>
  <si>
    <t xml:space="preserve"> Prepaid Expenses</t>
  </si>
  <si>
    <t>Total Revenue</t>
  </si>
  <si>
    <t>Total Current Assets</t>
  </si>
  <si>
    <t>Cost of Revenues by Geography</t>
  </si>
  <si>
    <t>Property and Equipment</t>
  </si>
  <si>
    <t xml:space="preserve"> Land</t>
  </si>
  <si>
    <t xml:space="preserve"> Building</t>
  </si>
  <si>
    <t xml:space="preserve"> Furniture &amp; Equipment</t>
  </si>
  <si>
    <t>Total Cost of Revenue</t>
  </si>
  <si>
    <t>Total Gross P&amp;E</t>
  </si>
  <si>
    <t>Less Accumulated Depreciaition</t>
  </si>
  <si>
    <t>Gross Profit</t>
  </si>
  <si>
    <t>Net P&amp;E</t>
  </si>
  <si>
    <t>Operating Expenses</t>
  </si>
  <si>
    <t>Long-Term Investments</t>
  </si>
  <si>
    <t xml:space="preserve"> Administrative &amp; General</t>
  </si>
  <si>
    <t xml:space="preserve"> Marketing Expenses</t>
  </si>
  <si>
    <t>Total Assets</t>
  </si>
  <si>
    <t xml:space="preserve"> Other Operating Expenses</t>
  </si>
  <si>
    <t>Total Operating Expenses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</si>
  <si>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</si>
  <si>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</si>
  <si>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</si>
  <si>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</si>
  <si>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</si>
  <si>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 xml:space="preserve"> Current Portion of Long Term Debt</t>
  </si>
  <si>
    <t>Total Current Liabilities</t>
  </si>
  <si>
    <t>Interest Expense</t>
  </si>
  <si>
    <t>Long-Term Debt:</t>
  </si>
  <si>
    <t>EBT</t>
  </si>
  <si>
    <t>Deferred Income Taxes</t>
  </si>
  <si>
    <t>Total Liabilties</t>
  </si>
  <si>
    <t>Net Income</t>
  </si>
  <si>
    <t>Owners' Equity</t>
  </si>
  <si>
    <t xml:space="preserve"> Common Stock</t>
  </si>
  <si>
    <t xml:space="preserve"> Paid-in-Capital</t>
  </si>
  <si>
    <t xml:space="preserve"> Retained Earnings</t>
  </si>
  <si>
    <t>Total Owners' Equity</t>
  </si>
  <si>
    <t>Total Liabilities &amp; Owner's Equity</t>
  </si>
  <si>
    <t xml:space="preserve">Cash Flow Statement </t>
  </si>
  <si>
    <t xml:space="preserve">  Plus Depreciation</t>
  </si>
  <si>
    <t xml:space="preserve">  Deffered Taxes</t>
  </si>
  <si>
    <t>Cash Income</t>
  </si>
  <si>
    <t>Working Capital Activities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</si>
  <si>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</si>
  <si>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</si>
  <si>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</si>
  <si>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</si>
  <si>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</si>
  <si>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</si>
  <si>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>Total Change in Working Capital</t>
  </si>
  <si>
    <t>Operating Cash Flow (OCF)</t>
  </si>
  <si>
    <t>Investment Activities</t>
  </si>
  <si>
    <t xml:space="preserve">  Capital Expenditures</t>
  </si>
  <si>
    <t xml:space="preserve">  Investments (Change)</t>
  </si>
  <si>
    <t>Total Investment Activities</t>
  </si>
  <si>
    <t>Cash Available Before Financing Activities</t>
  </si>
  <si>
    <t>Financing Activities</t>
  </si>
  <si>
    <t xml:space="preserve">   ST Debt Payments</t>
  </si>
  <si>
    <t xml:space="preserve">   LT Payments</t>
  </si>
  <si>
    <t xml:space="preserve">   Equity Contribution</t>
  </si>
  <si>
    <t>Total Financing Activities</t>
  </si>
  <si>
    <t>Free Cash Flow</t>
  </si>
  <si>
    <t>Beginning Cash</t>
  </si>
  <si>
    <t>Ending Cash</t>
  </si>
  <si>
    <t>Ratio Analysis</t>
  </si>
  <si>
    <t>Total Revenue Growth</t>
  </si>
  <si>
    <t xml:space="preserve"> LTD / Total Capitalization</t>
  </si>
  <si>
    <t xml:space="preserve"> EBITDA / Interest (Coverage Ratio)</t>
  </si>
  <si>
    <t xml:space="preserve"> Total Debt / EBITDA (Leverage Ratio)</t>
  </si>
  <si>
    <t xml:space="preserve"> Inventory Days</t>
  </si>
  <si>
    <t>Days</t>
  </si>
  <si>
    <t xml:space="preserve"> Accounts Receivable Days</t>
  </si>
  <si>
    <t xml:space="preserve"> Total Company Gross Margin</t>
  </si>
  <si>
    <t xml:space="preserve"> US Business Gross Margin</t>
  </si>
  <si>
    <t xml:space="preserve"> EBITDA Margin</t>
  </si>
  <si>
    <t xml:space="preserve"> Return on Assets (ROA)</t>
  </si>
  <si>
    <t xml:space="preserve"> Return on Equity (ROE)</t>
  </si>
  <si>
    <t>Current Yield =</t>
  </si>
  <si>
    <t xml:space="preserve"> Use 7 years Amortization</t>
  </si>
  <si>
    <t>Total PV of Equity</t>
  </si>
  <si>
    <t>Less Initial Equity Invest.</t>
  </si>
  <si>
    <t>Question 1 (15 points)</t>
  </si>
  <si>
    <t>Cash Available Before Financing Activities (from previous page)</t>
  </si>
  <si>
    <t>Calculate the Trade Price, Invoice Price and Current Yield of the Corporate Bond given the following information (Based on 360 days per year)</t>
  </si>
  <si>
    <t>Trade Price =</t>
  </si>
  <si>
    <t>Question 4 (5 points)</t>
  </si>
  <si>
    <t>Year 1</t>
  </si>
  <si>
    <t>Year 2</t>
  </si>
  <si>
    <t>Year 3</t>
  </si>
  <si>
    <t>Terminal Equity Value</t>
  </si>
  <si>
    <t>($ millions)</t>
  </si>
  <si>
    <t>Question 6 (5 points)</t>
  </si>
  <si>
    <t>Question 8 (25 points)</t>
  </si>
  <si>
    <t>Amortozation Fees - Total</t>
  </si>
  <si>
    <t>Coupon Payment Days: Jan 15, June 15</t>
  </si>
  <si>
    <t>Risk Free Rate =</t>
  </si>
  <si>
    <t>Use ABC Inc.'s  information to answer Questions 4,5 and 6 bellow (15 points)</t>
  </si>
  <si>
    <t xml:space="preserve">Calculate ABC Inc's traded  Stock Price </t>
  </si>
  <si>
    <t>Calculate what ABC Inc's stock price should be today if the majority of analysts predict that the stock price will be $60 in a year from now.</t>
  </si>
  <si>
    <t>Dividends per share=</t>
  </si>
  <si>
    <t>Calculate ABC Inc's Stock Price given the following Data:</t>
  </si>
  <si>
    <t>ABC Inc.</t>
  </si>
  <si>
    <t>Trading EBITDA Multiple=</t>
  </si>
  <si>
    <t>Deprec. &amp; Amort. =</t>
  </si>
  <si>
    <t>3 days</t>
  </si>
  <si>
    <t>Sat Sun</t>
  </si>
  <si>
    <t>Accrued Interest=</t>
  </si>
  <si>
    <t>Enterpise Value=</t>
  </si>
  <si>
    <t>Less Debt</t>
  </si>
  <si>
    <t xml:space="preserve">  ST Bank Debt</t>
  </si>
  <si>
    <t xml:space="preserve">  LT Bank Debt</t>
  </si>
  <si>
    <t xml:space="preserve">  Corporate Bonds</t>
  </si>
  <si>
    <t>Total Debt</t>
  </si>
  <si>
    <t>Plus Cash</t>
  </si>
  <si>
    <t xml:space="preserve">  Equity Value</t>
  </si>
  <si>
    <t>FV=</t>
  </si>
  <si>
    <t>Time =</t>
  </si>
  <si>
    <t>Rate =</t>
  </si>
  <si>
    <t>PV =</t>
  </si>
  <si>
    <t>??</t>
  </si>
  <si>
    <t xml:space="preserve">  Outstanding Stock</t>
  </si>
  <si>
    <t>Stock Price</t>
  </si>
  <si>
    <t>Year 0</t>
  </si>
  <si>
    <t>Year 4</t>
  </si>
  <si>
    <t>Year 5</t>
  </si>
  <si>
    <t>Amortozation Fees - Total $000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</si>
</sst>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00%"/>
    <numFmt numFmtId="168" formatCode="0.0000"/>
    <numFmt numFmtId="169" formatCode="0.0\x"/>
    <numFmt numFmtId="170" formatCode="&quot;$&quot;\ 0.00"/>
    <numFmt numFmtId="171" formatCode="&quot;$&quot;#,##0"/>
    <numFmt numFmtId="172" formatCode="&quot;$&quot;#,##0.00"/>
    <numFmt numFmtId="173" formatCode="0.0%"/>
    <numFmt numFmtId="174" formatCode="0.00\x"/>
    <numFmt numFmtId="177" formatCode="_(&quot;$&quot;* #,##0.000_);_(&quot;$&quot;* \(#,##0.000\);_(&quot;$&quot;* &quot;-&quot;??_);_(@_)"/>
    <numFmt numFmtId="183" formatCode="#,#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/>
      <sz val="10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b/>
      <u/>
      <sz val="14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Times New Roman"/>
      <family val="1"/>
    </font>
    <font>
      <b/>
      <i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</cellStyleXfs>
  <cellXfs count="28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/>
    <xf numFmtId="164" fontId="7" fillId="0" borderId="0" xfId="4" applyNumberFormat="1" applyFont="1" applyFill="1"/>
    <xf numFmtId="43" fontId="7" fillId="0" borderId="0" xfId="1" quotePrefix="1" applyFont="1" applyFill="1" applyAlignment="1">
      <alignment horizontal="right"/>
    </xf>
    <xf numFmtId="10" fontId="7" fillId="0" borderId="0" xfId="0" applyNumberFormat="1" applyFont="1" applyFill="1"/>
    <xf numFmtId="0" fontId="7" fillId="0" borderId="0" xfId="0" applyFont="1" applyFill="1" applyAlignment="1">
      <alignment horizontal="right"/>
    </xf>
    <xf numFmtId="43" fontId="7" fillId="0" borderId="8" xfId="1" quotePrefix="1" applyFont="1" applyFill="1" applyBorder="1"/>
    <xf numFmtId="0" fontId="9" fillId="0" borderId="13" xfId="0" applyFont="1" applyFill="1" applyBorder="1"/>
    <xf numFmtId="0" fontId="9" fillId="0" borderId="16" xfId="0" applyFont="1" applyFill="1" applyBorder="1"/>
    <xf numFmtId="164" fontId="9" fillId="0" borderId="13" xfId="1" applyNumberFormat="1" applyFont="1" applyFill="1" applyBorder="1"/>
    <xf numFmtId="166" fontId="9" fillId="0" borderId="13" xfId="3" applyNumberFormat="1" applyFont="1" applyFill="1" applyBorder="1"/>
    <xf numFmtId="0" fontId="9" fillId="0" borderId="17" xfId="0" applyFont="1" applyFill="1" applyBorder="1"/>
    <xf numFmtId="0" fontId="9" fillId="0" borderId="12" xfId="0" applyFont="1" applyFill="1" applyBorder="1"/>
    <xf numFmtId="0" fontId="9" fillId="0" borderId="16" xfId="0" applyFont="1" applyFill="1" applyBorder="1"/>
    <xf numFmtId="0" fontId="9" fillId="0" borderId="18" xfId="0" applyFont="1" applyFill="1" applyBorder="1"/>
    <xf numFmtId="0" fontId="9" fillId="0" borderId="13" xfId="0" applyFont="1" applyFill="1" applyBorder="1" applyAlignment="1">
      <alignment horizontal="right"/>
    </xf>
    <xf numFmtId="0" fontId="9" fillId="0" borderId="13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/>
    <xf numFmtId="43" fontId="7" fillId="0" borderId="13" xfId="1" applyFont="1" applyFill="1" applyBorder="1"/>
    <xf numFmtId="10" fontId="7" fillId="0" borderId="13" xfId="0" applyNumberFormat="1" applyFont="1" applyFill="1" applyBorder="1"/>
    <xf numFmtId="168" fontId="7" fillId="0" borderId="16" xfId="0" applyNumberFormat="1" applyFont="1" applyFill="1" applyBorder="1"/>
    <xf numFmtId="43" fontId="9" fillId="0" borderId="13" xfId="1" applyFont="1" applyFill="1" applyBorder="1"/>
    <xf numFmtId="43" fontId="8" fillId="0" borderId="0" xfId="1" applyFont="1" applyFill="1"/>
    <xf numFmtId="10" fontId="8" fillId="0" borderId="0" xfId="1" applyNumberFormat="1" applyFont="1" applyFill="1"/>
    <xf numFmtId="168" fontId="8" fillId="0" borderId="0" xfId="1" applyNumberFormat="1" applyFont="1" applyFill="1"/>
    <xf numFmtId="43" fontId="7" fillId="0" borderId="8" xfId="1" applyFont="1" applyFill="1" applyBorder="1" applyAlignment="1">
      <alignment horizontal="right"/>
    </xf>
    <xf numFmtId="10" fontId="7" fillId="0" borderId="0" xfId="0" applyNumberFormat="1" applyFont="1" applyFill="1" applyAlignment="1">
      <alignment horizontal="right"/>
    </xf>
    <xf numFmtId="168" fontId="7" fillId="0" borderId="8" xfId="1" applyNumberFormat="1" applyFont="1" applyFill="1" applyBorder="1" applyAlignment="1">
      <alignment horizontal="right"/>
    </xf>
    <xf numFmtId="2" fontId="7" fillId="0" borderId="8" xfId="0" applyNumberFormat="1" applyFont="1" applyFill="1" applyBorder="1"/>
    <xf numFmtId="0" fontId="7" fillId="0" borderId="0" xfId="0" applyFont="1" applyFill="1" applyAlignment="1">
      <alignment horizontal="right" vertical="center"/>
    </xf>
    <xf numFmtId="44" fontId="9" fillId="0" borderId="0" xfId="2" applyFont="1" applyFill="1"/>
    <xf numFmtId="0" fontId="9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69" fontId="7" fillId="0" borderId="0" xfId="0" applyNumberFormat="1" applyFont="1" applyFill="1"/>
    <xf numFmtId="170" fontId="7" fillId="0" borderId="0" xfId="0" applyNumberFormat="1" applyFont="1" applyFill="1"/>
    <xf numFmtId="0" fontId="4" fillId="0" borderId="0" xfId="0" applyFont="1" applyFill="1" applyAlignment="1">
      <alignment horizontal="right"/>
    </xf>
    <xf numFmtId="44" fontId="8" fillId="0" borderId="8" xfId="2" applyFont="1" applyFill="1" applyBorder="1"/>
    <xf numFmtId="171" fontId="8" fillId="0" borderId="8" xfId="2" applyNumberFormat="1" applyFont="1" applyFill="1" applyBorder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/>
    <xf numFmtId="10" fontId="8" fillId="0" borderId="16" xfId="3" applyNumberFormat="1" applyFont="1" applyFill="1" applyBorder="1" applyAlignment="1">
      <alignment horizontal="center"/>
    </xf>
    <xf numFmtId="173" fontId="8" fillId="0" borderId="13" xfId="3" applyNumberFormat="1" applyFont="1" applyFill="1" applyBorder="1" applyAlignment="1">
      <alignment horizontal="center"/>
    </xf>
    <xf numFmtId="166" fontId="8" fillId="0" borderId="13" xfId="3" applyNumberFormat="1" applyFont="1" applyFill="1" applyBorder="1" applyAlignment="1">
      <alignment horizontal="center"/>
    </xf>
    <xf numFmtId="164" fontId="8" fillId="0" borderId="0" xfId="1" applyNumberFormat="1" applyFont="1" applyFill="1"/>
    <xf numFmtId="166" fontId="8" fillId="0" borderId="8" xfId="3" applyNumberFormat="1" applyFont="1" applyFill="1" applyBorder="1" applyAlignment="1">
      <alignment horizontal="center"/>
    </xf>
    <xf numFmtId="10" fontId="8" fillId="0" borderId="13" xfId="3" applyNumberFormat="1" applyFont="1" applyFill="1" applyBorder="1" applyAlignment="1">
      <alignment horizontal="center"/>
    </xf>
    <xf numFmtId="174" fontId="8" fillId="0" borderId="3" xfId="1" applyNumberFormat="1" applyFont="1" applyFill="1" applyBorder="1" applyAlignment="1">
      <alignment horizontal="center"/>
    </xf>
    <xf numFmtId="0" fontId="12" fillId="0" borderId="13" xfId="0" applyFont="1" applyFill="1" applyBorder="1"/>
    <xf numFmtId="43" fontId="12" fillId="0" borderId="0" xfId="1" applyFont="1" applyFill="1"/>
    <xf numFmtId="164" fontId="8" fillId="0" borderId="13" xfId="1" applyNumberFormat="1" applyFont="1" applyFill="1" applyBorder="1"/>
    <xf numFmtId="164" fontId="8" fillId="0" borderId="19" xfId="1" applyNumberFormat="1" applyFont="1" applyFill="1" applyBorder="1"/>
    <xf numFmtId="164" fontId="8" fillId="0" borderId="20" xfId="1" applyNumberFormat="1" applyFont="1" applyFill="1" applyBorder="1"/>
    <xf numFmtId="43" fontId="12" fillId="0" borderId="0" xfId="1" applyFont="1" applyFill="1"/>
    <xf numFmtId="164" fontId="8" fillId="0" borderId="15" xfId="1" applyNumberFormat="1" applyFont="1" applyFill="1" applyBorder="1"/>
    <xf numFmtId="0" fontId="8" fillId="0" borderId="18" xfId="1" applyNumberFormat="1" applyFont="1" applyFill="1" applyBorder="1"/>
    <xf numFmtId="0" fontId="8" fillId="0" borderId="19" xfId="1" applyNumberFormat="1" applyFont="1" applyFill="1" applyBorder="1"/>
    <xf numFmtId="0" fontId="8" fillId="0" borderId="13" xfId="1" applyNumberFormat="1" applyFont="1" applyFill="1" applyBorder="1"/>
    <xf numFmtId="164" fontId="8" fillId="0" borderId="23" xfId="1" applyNumberFormat="1" applyFont="1" applyFill="1" applyBorder="1"/>
    <xf numFmtId="43" fontId="12" fillId="0" borderId="12" xfId="1" applyFont="1" applyFill="1" applyBorder="1"/>
    <xf numFmtId="43" fontId="8" fillId="0" borderId="19" xfId="1" applyFont="1" applyFill="1" applyBorder="1"/>
    <xf numFmtId="164" fontId="8" fillId="0" borderId="24" xfId="1" applyNumberFormat="1" applyFont="1" applyFill="1" applyBorder="1"/>
    <xf numFmtId="0" fontId="8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164" fontId="8" fillId="0" borderId="16" xfId="1" applyNumberFormat="1" applyFont="1" applyFill="1" applyBorder="1"/>
    <xf numFmtId="164" fontId="8" fillId="0" borderId="26" xfId="1" applyNumberFormat="1" applyFont="1" applyFill="1" applyBorder="1"/>
    <xf numFmtId="164" fontId="8" fillId="0" borderId="27" xfId="1" applyNumberFormat="1" applyFont="1" applyFill="1" applyBorder="1"/>
    <xf numFmtId="164" fontId="8" fillId="0" borderId="17" xfId="1" applyNumberFormat="1" applyFont="1" applyFill="1" applyBorder="1"/>
    <xf numFmtId="164" fontId="8" fillId="0" borderId="35" xfId="1" applyNumberFormat="1" applyFont="1" applyFill="1" applyBorder="1"/>
    <xf numFmtId="164" fontId="8" fillId="0" borderId="16" xfId="1" applyNumberFormat="1" applyFont="1" applyFill="1" applyBorder="1"/>
    <xf numFmtId="164" fontId="8" fillId="0" borderId="21" xfId="1" applyNumberFormat="1" applyFont="1" applyFill="1" applyBorder="1"/>
    <xf numFmtId="164" fontId="8" fillId="0" borderId="36" xfId="1" applyNumberFormat="1" applyFont="1" applyFill="1" applyBorder="1"/>
    <xf numFmtId="164" fontId="8" fillId="0" borderId="22" xfId="1" applyNumberFormat="1" applyFont="1" applyFill="1" applyBorder="1"/>
    <xf numFmtId="164" fontId="8" fillId="0" borderId="17" xfId="1" applyNumberFormat="1" applyFont="1" applyFill="1" applyBorder="1"/>
    <xf numFmtId="164" fontId="8" fillId="0" borderId="28" xfId="1" applyNumberFormat="1" applyFont="1" applyFill="1" applyBorder="1"/>
    <xf numFmtId="164" fontId="8" fillId="0" borderId="32" xfId="1" applyNumberFormat="1" applyFont="1" applyFill="1" applyBorder="1"/>
    <xf numFmtId="164" fontId="8" fillId="0" borderId="37" xfId="1" applyNumberFormat="1" applyFont="1" applyFill="1" applyBorder="1"/>
    <xf numFmtId="164" fontId="8" fillId="0" borderId="33" xfId="1" applyNumberFormat="1" applyFont="1" applyFill="1" applyBorder="1"/>
    <xf numFmtId="164" fontId="8" fillId="0" borderId="12" xfId="1" applyNumberFormat="1" applyFont="1" applyFill="1" applyBorder="1"/>
    <xf numFmtId="164" fontId="8" fillId="0" borderId="18" xfId="1" applyNumberFormat="1" applyFont="1" applyFill="1" applyBorder="1"/>
    <xf numFmtId="164" fontId="8" fillId="0" borderId="34" xfId="1" applyNumberFormat="1" applyFont="1" applyFill="1" applyBorder="1"/>
    <xf numFmtId="164" fontId="8" fillId="0" borderId="18" xfId="1" applyNumberFormat="1" applyFont="1" applyFill="1" applyBorder="1"/>
    <xf numFmtId="0" fontId="12" fillId="0" borderId="13" xfId="0" applyFont="1" applyFill="1" applyBorder="1" applyAlignment="1">
      <alignment vertical="center"/>
    </xf>
    <xf numFmtId="0" fontId="8" fillId="0" borderId="0" xfId="0" applyFont="1" applyFill="1"/>
    <xf numFmtId="0" fontId="8" fillId="0" borderId="38" xfId="0" applyFont="1" applyFill="1" applyBorder="1"/>
    <xf numFmtId="43" fontId="8" fillId="0" borderId="16" xfId="1" applyFont="1" applyFill="1" applyBorder="1"/>
    <xf numFmtId="43" fontId="8" fillId="0" borderId="0" xfId="1" applyFont="1" applyFill="1" applyAlignment="1">
      <alignment horizontal="right"/>
    </xf>
    <xf numFmtId="164" fontId="8" fillId="0" borderId="20" xfId="1" applyNumberFormat="1" applyFont="1" applyFill="1" applyBorder="1" applyAlignment="1">
      <alignment horizontal="right"/>
    </xf>
    <xf numFmtId="43" fontId="7" fillId="0" borderId="0" xfId="1" applyFont="1" applyFill="1" applyAlignment="1">
      <alignment horizontal="right"/>
    </xf>
    <xf numFmtId="164" fontId="7" fillId="0" borderId="8" xfId="1" applyNumberFormat="1" applyFont="1" applyFill="1" applyBorder="1"/>
    <xf numFmtId="10" fontId="7" fillId="0" borderId="8" xfId="3" applyNumberFormat="1" applyFont="1" applyFill="1" applyBorder="1"/>
    <xf numFmtId="0" fontId="9" fillId="0" borderId="0" xfId="0" applyFont="1" applyFill="1"/>
    <xf numFmtId="0" fontId="13" fillId="0" borderId="0" xfId="0" applyFont="1" applyFill="1" applyAlignment="1">
      <alignment horizontal="right"/>
    </xf>
    <xf numFmtId="0" fontId="7" fillId="0" borderId="29" xfId="0" applyFont="1" applyFill="1" applyBorder="1"/>
    <xf numFmtId="0" fontId="8" fillId="0" borderId="12" xfId="0" applyFont="1" applyFill="1" applyBorder="1"/>
    <xf numFmtId="0" fontId="8" fillId="0" borderId="30" xfId="0" applyFont="1" applyFill="1" applyBorder="1"/>
    <xf numFmtId="0" fontId="8" fillId="0" borderId="6" xfId="0" applyFont="1" applyFill="1" applyBorder="1"/>
    <xf numFmtId="0" fontId="14" fillId="0" borderId="0" xfId="0" applyFont="1" applyFill="1"/>
    <xf numFmtId="0" fontId="5" fillId="0" borderId="0" xfId="0" applyFont="1" applyFill="1"/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1" fontId="7" fillId="0" borderId="13" xfId="1" applyNumberFormat="1" applyFont="1" applyFill="1" applyBorder="1"/>
    <xf numFmtId="41" fontId="7" fillId="0" borderId="20" xfId="1" applyNumberFormat="1" applyFont="1" applyFill="1" applyBorder="1"/>
    <xf numFmtId="41" fontId="7" fillId="0" borderId="0" xfId="1" applyNumberFormat="1" applyFont="1" applyFill="1"/>
    <xf numFmtId="41" fontId="9" fillId="0" borderId="0" xfId="1" applyNumberFormat="1" applyFont="1" applyFill="1"/>
    <xf numFmtId="0" fontId="4" fillId="0" borderId="12" xfId="0" applyFont="1" applyFill="1" applyBorder="1"/>
    <xf numFmtId="0" fontId="4" fillId="0" borderId="27" xfId="0" applyFont="1" applyFill="1" applyBorder="1" applyAlignment="1">
      <alignment horizontal="center"/>
    </xf>
    <xf numFmtId="43" fontId="8" fillId="0" borderId="0" xfId="4" applyFont="1" applyFill="1"/>
    <xf numFmtId="10" fontId="7" fillId="0" borderId="13" xfId="5" applyNumberFormat="1" applyFont="1" applyFill="1" applyBorder="1"/>
    <xf numFmtId="41" fontId="7" fillId="0" borderId="0" xfId="4" applyNumberFormat="1" applyFont="1" applyFill="1"/>
    <xf numFmtId="173" fontId="7" fillId="0" borderId="13" xfId="5" applyNumberFormat="1" applyFont="1" applyFill="1" applyBorder="1"/>
    <xf numFmtId="174" fontId="7" fillId="0" borderId="13" xfId="4" applyNumberFormat="1" applyFont="1" applyFill="1" applyBorder="1"/>
    <xf numFmtId="43" fontId="7" fillId="0" borderId="13" xfId="4" applyFont="1" applyFill="1" applyBorder="1"/>
    <xf numFmtId="0" fontId="16" fillId="0" borderId="0" xfId="0" applyFont="1" applyFill="1"/>
    <xf numFmtId="0" fontId="16" fillId="0" borderId="0" xfId="0" applyFont="1" applyFill="1"/>
    <xf numFmtId="164" fontId="16" fillId="0" borderId="0" xfId="4" applyNumberFormat="1" applyFont="1" applyFill="1"/>
    <xf numFmtId="10" fontId="16" fillId="0" borderId="0" xfId="0" applyNumberFormat="1" applyFont="1" applyFill="1"/>
    <xf numFmtId="46" fontId="6" fillId="0" borderId="0" xfId="0" quotePrefix="1" applyNumberFormat="1" applyFont="1" applyFill="1" applyAlignment="1">
      <alignment horizontal="right"/>
    </xf>
    <xf numFmtId="0" fontId="6" fillId="0" borderId="0" xfId="0" applyFont="1" applyFill="1"/>
    <xf numFmtId="0" fontId="16" fillId="0" borderId="10" xfId="0" applyFont="1" applyFill="1" applyBorder="1"/>
    <xf numFmtId="166" fontId="6" fillId="0" borderId="0" xfId="3" applyNumberFormat="1" applyFont="1" applyFill="1"/>
    <xf numFmtId="164" fontId="16" fillId="0" borderId="0" xfId="1" applyNumberFormat="1" applyFont="1" applyFill="1"/>
    <xf numFmtId="171" fontId="16" fillId="0" borderId="0" xfId="0" applyNumberFormat="1" applyFont="1" applyFill="1"/>
    <xf numFmtId="44" fontId="16" fillId="0" borderId="0" xfId="2" applyFont="1" applyFill="1"/>
    <xf numFmtId="172" fontId="16" fillId="0" borderId="0" xfId="0" applyNumberFormat="1" applyFont="1" applyFill="1"/>
    <xf numFmtId="0" fontId="16" fillId="0" borderId="13" xfId="0" applyFont="1" applyFill="1" applyBorder="1"/>
    <xf numFmtId="173" fontId="16" fillId="0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0" fontId="16" fillId="0" borderId="13" xfId="0" applyNumberFormat="1" applyFont="1" applyFill="1" applyBorder="1"/>
    <xf numFmtId="0" fontId="6" fillId="0" borderId="0" xfId="0" applyFont="1" applyFill="1" applyAlignment="1">
      <alignment horizontal="right"/>
    </xf>
    <xf numFmtId="174" fontId="16" fillId="0" borderId="13" xfId="0" applyNumberFormat="1" applyFont="1" applyFill="1" applyBorder="1"/>
    <xf numFmtId="0" fontId="6" fillId="0" borderId="16" xfId="0" applyFont="1" applyFill="1" applyBorder="1"/>
    <xf numFmtId="0" fontId="16" fillId="0" borderId="19" xfId="0" applyFont="1" applyFill="1" applyBorder="1"/>
    <xf numFmtId="43" fontId="6" fillId="0" borderId="13" xfId="1" applyFont="1" applyFill="1" applyBorder="1"/>
    <xf numFmtId="164" fontId="6" fillId="0" borderId="13" xfId="1" applyNumberFormat="1" applyFont="1" applyFill="1" applyBorder="1"/>
    <xf numFmtId="10" fontId="6" fillId="0" borderId="15" xfId="3" applyNumberFormat="1" applyFont="1" applyFill="1" applyBorder="1" applyAlignment="1">
      <alignment horizontal="center"/>
    </xf>
    <xf numFmtId="164" fontId="6" fillId="0" borderId="16" xfId="1" applyNumberFormat="1" applyFont="1" applyFill="1" applyBorder="1"/>
    <xf numFmtId="164" fontId="6" fillId="0" borderId="20" xfId="1" applyNumberFormat="1" applyFont="1" applyFill="1" applyBorder="1"/>
    <xf numFmtId="164" fontId="6" fillId="0" borderId="0" xfId="1" applyNumberFormat="1" applyFont="1" applyFill="1"/>
    <xf numFmtId="43" fontId="6" fillId="0" borderId="13" xfId="1" applyFont="1" applyFill="1" applyBorder="1"/>
    <xf numFmtId="43" fontId="6" fillId="0" borderId="16" xfId="1" applyFont="1" applyFill="1" applyBorder="1"/>
    <xf numFmtId="43" fontId="6" fillId="0" borderId="18" xfId="1" applyFont="1" applyFill="1" applyBorder="1"/>
    <xf numFmtId="43" fontId="6" fillId="0" borderId="17" xfId="1" applyFont="1" applyFill="1" applyBorder="1"/>
    <xf numFmtId="43" fontId="6" fillId="0" borderId="12" xfId="1" applyFont="1" applyFill="1" applyBorder="1"/>
    <xf numFmtId="0" fontId="16" fillId="0" borderId="18" xfId="0" applyFont="1" applyFill="1" applyBorder="1"/>
    <xf numFmtId="43" fontId="6" fillId="0" borderId="0" xfId="1" applyFont="1" applyFill="1"/>
    <xf numFmtId="43" fontId="6" fillId="0" borderId="21" xfId="1" applyFont="1" applyFill="1" applyBorder="1"/>
    <xf numFmtId="0" fontId="16" fillId="0" borderId="22" xfId="0" applyFont="1" applyFill="1" applyBorder="1"/>
    <xf numFmtId="0" fontId="16" fillId="0" borderId="12" xfId="0" applyFont="1" applyFill="1" applyBorder="1"/>
    <xf numFmtId="0" fontId="6" fillId="0" borderId="19" xfId="0" applyFont="1" applyFill="1" applyBorder="1" applyAlignment="1">
      <alignment horizontal="left"/>
    </xf>
    <xf numFmtId="164" fontId="6" fillId="0" borderId="16" xfId="1" applyNumberFormat="1" applyFont="1" applyFill="1" applyBorder="1"/>
    <xf numFmtId="164" fontId="6" fillId="0" borderId="19" xfId="1" applyNumberFormat="1" applyFont="1" applyFill="1" applyBorder="1"/>
    <xf numFmtId="164" fontId="6" fillId="0" borderId="0" xfId="0" applyNumberFormat="1" applyFont="1" applyFill="1"/>
    <xf numFmtId="164" fontId="6" fillId="0" borderId="12" xfId="1" applyNumberFormat="1" applyFont="1" applyFill="1" applyBorder="1"/>
    <xf numFmtId="164" fontId="16" fillId="0" borderId="23" xfId="1" applyNumberFormat="1" applyFont="1" applyFill="1" applyBorder="1"/>
    <xf numFmtId="164" fontId="6" fillId="0" borderId="12" xfId="1" applyNumberFormat="1" applyFont="1" applyFill="1" applyBorder="1"/>
    <xf numFmtId="164" fontId="16" fillId="0" borderId="23" xfId="1" applyNumberFormat="1" applyFont="1" applyFill="1" applyBorder="1"/>
    <xf numFmtId="164" fontId="16" fillId="0" borderId="18" xfId="1" applyNumberFormat="1" applyFont="1" applyFill="1" applyBorder="1"/>
    <xf numFmtId="164" fontId="16" fillId="0" borderId="19" xfId="1" applyNumberFormat="1" applyFont="1" applyFill="1" applyBorder="1"/>
    <xf numFmtId="164" fontId="6" fillId="0" borderId="18" xfId="1" applyNumberFormat="1" applyFont="1" applyFill="1" applyBorder="1"/>
    <xf numFmtId="164" fontId="6" fillId="0" borderId="18" xfId="1" applyNumberFormat="1" applyFont="1" applyFill="1" applyBorder="1"/>
    <xf numFmtId="164" fontId="16" fillId="0" borderId="19" xfId="1" applyNumberFormat="1" applyFont="1" applyFill="1" applyBorder="1"/>
    <xf numFmtId="164" fontId="6" fillId="0" borderId="16" xfId="1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vertical="center"/>
    </xf>
    <xf numFmtId="164" fontId="6" fillId="0" borderId="19" xfId="1" applyNumberFormat="1" applyFont="1" applyFill="1" applyBorder="1"/>
    <xf numFmtId="0" fontId="6" fillId="0" borderId="13" xfId="0" applyFont="1" applyFill="1" applyBorder="1" applyAlignment="1">
      <alignment vertical="center"/>
    </xf>
    <xf numFmtId="43" fontId="6" fillId="0" borderId="0" xfId="1" quotePrefix="1" applyFont="1" applyFill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41" fontId="6" fillId="0" borderId="0" xfId="1" applyNumberFormat="1" applyFont="1" applyFill="1"/>
    <xf numFmtId="41" fontId="6" fillId="0" borderId="7" xfId="1" applyNumberFormat="1" applyFont="1" applyFill="1" applyBorder="1"/>
    <xf numFmtId="41" fontId="6" fillId="0" borderId="12" xfId="1" applyNumberFormat="1" applyFont="1" applyFill="1" applyBorder="1"/>
    <xf numFmtId="41" fontId="6" fillId="0" borderId="30" xfId="1" applyNumberFormat="1" applyFont="1" applyFill="1" applyBorder="1"/>
    <xf numFmtId="41" fontId="16" fillId="0" borderId="0" xfId="1" applyNumberFormat="1" applyFont="1" applyFill="1"/>
    <xf numFmtId="41" fontId="16" fillId="0" borderId="7" xfId="1" applyNumberFormat="1" applyFont="1" applyFill="1" applyBorder="1"/>
    <xf numFmtId="41" fontId="16" fillId="0" borderId="30" xfId="1" applyNumberFormat="1" applyFont="1" applyFill="1" applyBorder="1"/>
    <xf numFmtId="41" fontId="16" fillId="0" borderId="31" xfId="1" applyNumberFormat="1" applyFont="1" applyFill="1" applyBorder="1"/>
    <xf numFmtId="41" fontId="16" fillId="0" borderId="14" xfId="1" applyNumberFormat="1" applyFont="1" applyFill="1" applyBorder="1"/>
    <xf numFmtId="41" fontId="16" fillId="0" borderId="12" xfId="1" applyNumberFormat="1" applyFont="1" applyFill="1" applyBorder="1"/>
    <xf numFmtId="9" fontId="16" fillId="0" borderId="0" xfId="3" applyFont="1" applyFill="1"/>
    <xf numFmtId="0" fontId="16" fillId="0" borderId="9" xfId="0" applyFont="1" applyFill="1" applyBorder="1"/>
    <xf numFmtId="41" fontId="16" fillId="0" borderId="10" xfId="1" applyNumberFormat="1" applyFont="1" applyFill="1" applyBorder="1"/>
    <xf numFmtId="41" fontId="16" fillId="0" borderId="11" xfId="1" applyNumberFormat="1" applyFont="1" applyFill="1" applyBorder="1"/>
    <xf numFmtId="0" fontId="16" fillId="0" borderId="10" xfId="0" applyFont="1" applyFill="1" applyBorder="1"/>
    <xf numFmtId="0" fontId="16" fillId="0" borderId="11" xfId="0" applyFont="1" applyFill="1" applyBorder="1"/>
    <xf numFmtId="0" fontId="16" fillId="0" borderId="12" xfId="0" applyFont="1" applyFill="1" applyBorder="1"/>
    <xf numFmtId="43" fontId="16" fillId="0" borderId="0" xfId="1" applyFont="1" applyFill="1"/>
    <xf numFmtId="173" fontId="16" fillId="0" borderId="0" xfId="3" applyNumberFormat="1" applyFont="1" applyFill="1"/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5" fillId="0" borderId="0" xfId="0" applyFont="1" applyFill="1"/>
    <xf numFmtId="0" fontId="7" fillId="0" borderId="16" xfId="0" applyFont="1" applyFill="1" applyBorder="1" applyAlignment="1">
      <alignment horizontal="center"/>
    </xf>
    <xf numFmtId="43" fontId="7" fillId="0" borderId="19" xfId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12" xfId="0" quotePrefix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9" fontId="22" fillId="0" borderId="0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16" fontId="16" fillId="0" borderId="0" xfId="0" applyNumberFormat="1" applyFont="1" applyFill="1"/>
    <xf numFmtId="46" fontId="9" fillId="0" borderId="0" xfId="0" quotePrefix="1" applyNumberFormat="1" applyFont="1" applyFill="1" applyAlignment="1">
      <alignment horizontal="right"/>
    </xf>
    <xf numFmtId="164" fontId="20" fillId="0" borderId="0" xfId="4" applyNumberFormat="1" applyFont="1" applyFill="1"/>
    <xf numFmtId="0" fontId="20" fillId="0" borderId="0" xfId="0" applyFont="1" applyFill="1"/>
    <xf numFmtId="43" fontId="16" fillId="0" borderId="0" xfId="0" applyNumberFormat="1" applyFont="1" applyFill="1"/>
    <xf numFmtId="166" fontId="7" fillId="0" borderId="8" xfId="3" quotePrefix="1" applyNumberFormat="1" applyFont="1" applyFill="1" applyBorder="1"/>
    <xf numFmtId="1" fontId="9" fillId="0" borderId="13" xfId="1" applyNumberFormat="1" applyFont="1" applyFill="1" applyBorder="1" applyAlignment="1">
      <alignment horizontal="center"/>
    </xf>
    <xf numFmtId="177" fontId="16" fillId="0" borderId="0" xfId="2" applyNumberFormat="1" applyFont="1" applyFill="1"/>
    <xf numFmtId="10" fontId="16" fillId="0" borderId="0" xfId="3" applyNumberFormat="1" applyFont="1" applyFill="1"/>
    <xf numFmtId="171" fontId="8" fillId="0" borderId="0" xfId="2" applyNumberFormat="1" applyFont="1" applyFill="1" applyBorder="1" applyAlignment="1">
      <alignment horizontal="center"/>
    </xf>
    <xf numFmtId="164" fontId="21" fillId="0" borderId="0" xfId="1" applyNumberFormat="1" applyFont="1" applyFill="1" applyAlignment="1">
      <alignment horizontal="center"/>
    </xf>
    <xf numFmtId="164" fontId="16" fillId="0" borderId="12" xfId="1" applyNumberFormat="1" applyFont="1" applyFill="1" applyBorder="1"/>
    <xf numFmtId="164" fontId="21" fillId="0" borderId="12" xfId="1" applyNumberFormat="1" applyFont="1" applyFill="1" applyBorder="1" applyAlignment="1">
      <alignment horizontal="center"/>
    </xf>
    <xf numFmtId="171" fontId="8" fillId="0" borderId="0" xfId="2" applyNumberFormat="1" applyFont="1" applyFill="1" applyBorder="1" applyAlignment="1">
      <alignment horizontal="right"/>
    </xf>
    <xf numFmtId="172" fontId="8" fillId="0" borderId="8" xfId="2" applyNumberFormat="1" applyFont="1" applyFill="1" applyBorder="1" applyAlignment="1">
      <alignment horizontal="center"/>
    </xf>
    <xf numFmtId="171" fontId="8" fillId="0" borderId="18" xfId="2" applyNumberFormat="1" applyFont="1" applyFill="1" applyBorder="1" applyAlignment="1">
      <alignment horizontal="right"/>
    </xf>
    <xf numFmtId="183" fontId="6" fillId="0" borderId="13" xfId="1" applyNumberFormat="1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16" fillId="0" borderId="13" xfId="0" applyFont="1" applyFill="1" applyBorder="1"/>
    <xf numFmtId="164" fontId="16" fillId="0" borderId="13" xfId="1" applyNumberFormat="1" applyFont="1" applyFill="1" applyBorder="1"/>
    <xf numFmtId="0" fontId="24" fillId="2" borderId="13" xfId="0" applyFont="1" applyFill="1" applyBorder="1" applyAlignment="1">
      <alignment vertical="center"/>
    </xf>
    <xf numFmtId="0" fontId="23" fillId="2" borderId="16" xfId="0" quotePrefix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2" borderId="40" xfId="0" applyFont="1" applyFill="1" applyBorder="1" applyAlignment="1">
      <alignment horizontal="center"/>
    </xf>
    <xf numFmtId="14" fontId="25" fillId="2" borderId="40" xfId="0" applyNumberFormat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 wrapText="1"/>
    </xf>
    <xf numFmtId="0" fontId="26" fillId="2" borderId="40" xfId="6" applyFont="1" applyFill="1" applyBorder="1" applyAlignment="1">
      <alignment horizontal="center" wrapText="1"/>
    </xf>
    <xf numFmtId="0" fontId="25" fillId="2" borderId="41" xfId="0" applyFont="1" applyFill="1" applyBorder="1"/>
    <xf numFmtId="0" fontId="25" fillId="2" borderId="27" xfId="0" applyFont="1" applyFill="1" applyBorder="1" applyAlignment="1">
      <alignment horizontal="center"/>
    </xf>
    <xf numFmtId="14" fontId="25" fillId="2" borderId="27" xfId="0" applyNumberFormat="1" applyFont="1" applyFill="1" applyBorder="1" applyAlignment="1">
      <alignment horizontal="center"/>
    </xf>
    <xf numFmtId="0" fontId="26" fillId="2" borderId="27" xfId="6" applyFont="1" applyFill="1" applyBorder="1" applyAlignment="1">
      <alignment horizontal="center" wrapText="1"/>
    </xf>
    <xf numFmtId="0" fontId="27" fillId="2" borderId="13" xfId="0" applyFont="1" applyFill="1" applyBorder="1"/>
    <xf numFmtId="0" fontId="15" fillId="2" borderId="13" xfId="0" applyFont="1" applyFill="1" applyBorder="1"/>
    <xf numFmtId="0" fontId="22" fillId="0" borderId="12" xfId="0" applyFont="1" applyFill="1" applyBorder="1" applyAlignment="1">
      <alignment horizontal="right"/>
    </xf>
    <xf numFmtId="0" fontId="25" fillId="2" borderId="41" xfId="0" applyFont="1" applyFill="1" applyBorder="1" applyAlignment="1">
      <alignment horizontal="center"/>
    </xf>
    <xf numFmtId="14" fontId="25" fillId="2" borderId="41" xfId="0" applyNumberFormat="1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 wrapText="1"/>
    </xf>
    <xf numFmtId="0" fontId="26" fillId="2" borderId="41" xfId="6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7" fillId="0" borderId="21" xfId="0" applyFont="1" applyFill="1" applyBorder="1"/>
    <xf numFmtId="0" fontId="16" fillId="0" borderId="42" xfId="0" applyFont="1" applyFill="1" applyBorder="1"/>
    <xf numFmtId="0" fontId="16" fillId="0" borderId="43" xfId="0" applyFont="1" applyFill="1" applyBorder="1"/>
    <xf numFmtId="0" fontId="7" fillId="0" borderId="44" xfId="0" applyFont="1" applyFill="1" applyBorder="1"/>
    <xf numFmtId="0" fontId="16" fillId="0" borderId="22" xfId="0" applyFont="1" applyFill="1" applyBorder="1"/>
    <xf numFmtId="0" fontId="16" fillId="0" borderId="39" xfId="0" applyFont="1" applyFill="1" applyBorder="1"/>
    <xf numFmtId="0" fontId="8" fillId="0" borderId="0" xfId="0" applyFont="1" applyFill="1" applyBorder="1"/>
    <xf numFmtId="0" fontId="8" fillId="0" borderId="23" xfId="0" applyFont="1" applyFill="1" applyBorder="1"/>
    <xf numFmtId="0" fontId="8" fillId="0" borderId="39" xfId="0" applyFont="1" applyFill="1" applyBorder="1"/>
    <xf numFmtId="0" fontId="16" fillId="0" borderId="0" xfId="0" applyFont="1" applyFill="1" applyBorder="1"/>
    <xf numFmtId="0" fontId="16" fillId="0" borderId="45" xfId="0" applyFont="1" applyFill="1" applyBorder="1"/>
    <xf numFmtId="41" fontId="6" fillId="0" borderId="0" xfId="1" applyNumberFormat="1" applyFont="1" applyFill="1" applyBorder="1"/>
    <xf numFmtId="41" fontId="6" fillId="0" borderId="45" xfId="1" applyNumberFormat="1" applyFont="1" applyFill="1" applyBorder="1"/>
    <xf numFmtId="41" fontId="6" fillId="0" borderId="23" xfId="1" applyNumberFormat="1" applyFont="1" applyFill="1" applyBorder="1"/>
    <xf numFmtId="41" fontId="16" fillId="0" borderId="0" xfId="1" applyNumberFormat="1" applyFont="1" applyFill="1" applyBorder="1"/>
    <xf numFmtId="41" fontId="16" fillId="0" borderId="45" xfId="1" applyNumberFormat="1" applyFont="1" applyFill="1" applyBorder="1"/>
    <xf numFmtId="41" fontId="16" fillId="0" borderId="23" xfId="1" applyNumberFormat="1" applyFont="1" applyFill="1" applyBorder="1"/>
    <xf numFmtId="9" fontId="16" fillId="0" borderId="0" xfId="3" applyFont="1" applyFill="1" applyBorder="1"/>
    <xf numFmtId="41" fontId="16" fillId="0" borderId="34" xfId="1" applyNumberFormat="1" applyFont="1" applyFill="1" applyBorder="1"/>
    <xf numFmtId="0" fontId="16" fillId="0" borderId="17" xfId="0" applyFont="1" applyFill="1" applyBorder="1"/>
    <xf numFmtId="41" fontId="16" fillId="0" borderId="18" xfId="1" applyNumberFormat="1" applyFont="1" applyFill="1" applyBorder="1"/>
    <xf numFmtId="41" fontId="16" fillId="0" borderId="46" xfId="1" applyNumberFormat="1" applyFont="1" applyFill="1" applyBorder="1"/>
    <xf numFmtId="0" fontId="16" fillId="0" borderId="47" xfId="0" applyFont="1" applyFill="1" applyBorder="1"/>
    <xf numFmtId="0" fontId="16" fillId="0" borderId="23" xfId="0" applyFont="1" applyFill="1" applyBorder="1"/>
    <xf numFmtId="0" fontId="23" fillId="2" borderId="27" xfId="0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164" fontId="8" fillId="0" borderId="14" xfId="1" applyNumberFormat="1" applyFont="1" applyFill="1" applyBorder="1"/>
    <xf numFmtId="0" fontId="23" fillId="2" borderId="1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4" fontId="8" fillId="0" borderId="49" xfId="1" applyNumberFormat="1" applyFont="1" applyFill="1" applyBorder="1"/>
    <xf numFmtId="164" fontId="8" fillId="0" borderId="50" xfId="1" applyNumberFormat="1" applyFont="1" applyFill="1" applyBorder="1"/>
    <xf numFmtId="164" fontId="8" fillId="0" borderId="51" xfId="1" applyNumberFormat="1" applyFont="1" applyFill="1" applyBorder="1"/>
    <xf numFmtId="0" fontId="8" fillId="0" borderId="52" xfId="0" applyFont="1" applyFill="1" applyBorder="1"/>
  </cellXfs>
  <cellStyles count="7">
    <cellStyle name="Comma" xfId="1" builtinId="3"/>
    <cellStyle name="Comma 2" xfId="4" xr:uid="{A3505435-6FCA-4156-B863-C98E5B4E20B3}"/>
    <cellStyle name="Currency" xfId="2" builtinId="4"/>
    <cellStyle name="Normal" xfId="0" builtinId="0"/>
    <cellStyle name="Normal_Sheet1" xfId="6" xr:uid="{B87FC84D-B7CB-4B39-95B1-4035BD6F2109}"/>
    <cellStyle name="Percent" xfId="3" builtinId="5"/>
    <cellStyle name="Percent 2" xfId="5" xr:uid="{0F4E95A4-90D1-4222-87A0-54A6670F8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B8D7-10E4-4C49-8A8D-772EA4CB5585}">
  <sheetPr>
    <pageSetUpPr fitToPage="1"/>
  </sheetPr>
  <dimension ref="A1:U268"/>
  <sheetViews>
    <sheetView topLeftCell="A150" workbookViewId="0">
      <selection activeCell="G158" sqref="G158"/>
    </sheetView>
  </sheetViews>
  <sheetFormatPr defaultRowHeight="14.35" x14ac:dyDescent="0.5"/>
  <cols>
    <col min="1" max="1" width="30.64453125" style="121" customWidth="1"/>
    <col min="2" max="2" width="14.52734375" style="121" customWidth="1"/>
    <col min="3" max="8" width="20.8203125" style="121" customWidth="1"/>
    <col min="9" max="9" width="1.8203125" style="121" customWidth="1"/>
    <col min="10" max="10" width="8.9375" style="121"/>
    <col min="11" max="11" width="12.17578125" style="121" customWidth="1"/>
    <col min="12" max="12" width="12.29296875" style="121" customWidth="1"/>
    <col min="13" max="17" width="8.9375" style="121"/>
    <col min="18" max="18" width="10.52734375" style="121" customWidth="1"/>
    <col min="19" max="256" width="8.9375" style="121"/>
    <col min="257" max="257" width="28.17578125" style="121" customWidth="1"/>
    <col min="258" max="264" width="20.8203125" style="121" customWidth="1"/>
    <col min="265" max="265" width="1.8203125" style="121" customWidth="1"/>
    <col min="266" max="266" width="8.9375" style="121"/>
    <col min="267" max="267" width="12.17578125" style="121" customWidth="1"/>
    <col min="268" max="268" width="12.29296875" style="121" customWidth="1"/>
    <col min="269" max="273" width="8.9375" style="121"/>
    <col min="274" max="274" width="10.52734375" style="121" customWidth="1"/>
    <col min="275" max="512" width="8.9375" style="121"/>
    <col min="513" max="513" width="28.17578125" style="121" customWidth="1"/>
    <col min="514" max="520" width="20.8203125" style="121" customWidth="1"/>
    <col min="521" max="521" width="1.8203125" style="121" customWidth="1"/>
    <col min="522" max="522" width="8.9375" style="121"/>
    <col min="523" max="523" width="12.17578125" style="121" customWidth="1"/>
    <col min="524" max="524" width="12.29296875" style="121" customWidth="1"/>
    <col min="525" max="529" width="8.9375" style="121"/>
    <col min="530" max="530" width="10.52734375" style="121" customWidth="1"/>
    <col min="531" max="768" width="8.9375" style="121"/>
    <col min="769" max="769" width="28.17578125" style="121" customWidth="1"/>
    <col min="770" max="776" width="20.8203125" style="121" customWidth="1"/>
    <col min="777" max="777" width="1.8203125" style="121" customWidth="1"/>
    <col min="778" max="778" width="8.9375" style="121"/>
    <col min="779" max="779" width="12.17578125" style="121" customWidth="1"/>
    <col min="780" max="780" width="12.29296875" style="121" customWidth="1"/>
    <col min="781" max="785" width="8.9375" style="121"/>
    <col min="786" max="786" width="10.52734375" style="121" customWidth="1"/>
    <col min="787" max="1024" width="8.9375" style="121"/>
    <col min="1025" max="1025" width="28.17578125" style="121" customWidth="1"/>
    <col min="1026" max="1032" width="20.8203125" style="121" customWidth="1"/>
    <col min="1033" max="1033" width="1.8203125" style="121" customWidth="1"/>
    <col min="1034" max="1034" width="8.9375" style="121"/>
    <col min="1035" max="1035" width="12.17578125" style="121" customWidth="1"/>
    <col min="1036" max="1036" width="12.29296875" style="121" customWidth="1"/>
    <col min="1037" max="1041" width="8.9375" style="121"/>
    <col min="1042" max="1042" width="10.52734375" style="121" customWidth="1"/>
    <col min="1043" max="1280" width="8.9375" style="121"/>
    <col min="1281" max="1281" width="28.17578125" style="121" customWidth="1"/>
    <col min="1282" max="1288" width="20.8203125" style="121" customWidth="1"/>
    <col min="1289" max="1289" width="1.8203125" style="121" customWidth="1"/>
    <col min="1290" max="1290" width="8.9375" style="121"/>
    <col min="1291" max="1291" width="12.17578125" style="121" customWidth="1"/>
    <col min="1292" max="1292" width="12.29296875" style="121" customWidth="1"/>
    <col min="1293" max="1297" width="8.9375" style="121"/>
    <col min="1298" max="1298" width="10.52734375" style="121" customWidth="1"/>
    <col min="1299" max="1536" width="8.9375" style="121"/>
    <col min="1537" max="1537" width="28.17578125" style="121" customWidth="1"/>
    <col min="1538" max="1544" width="20.8203125" style="121" customWidth="1"/>
    <col min="1545" max="1545" width="1.8203125" style="121" customWidth="1"/>
    <col min="1546" max="1546" width="8.9375" style="121"/>
    <col min="1547" max="1547" width="12.17578125" style="121" customWidth="1"/>
    <col min="1548" max="1548" width="12.29296875" style="121" customWidth="1"/>
    <col min="1549" max="1553" width="8.9375" style="121"/>
    <col min="1554" max="1554" width="10.52734375" style="121" customWidth="1"/>
    <col min="1555" max="1792" width="8.9375" style="121"/>
    <col min="1793" max="1793" width="28.17578125" style="121" customWidth="1"/>
    <col min="1794" max="1800" width="20.8203125" style="121" customWidth="1"/>
    <col min="1801" max="1801" width="1.8203125" style="121" customWidth="1"/>
    <col min="1802" max="1802" width="8.9375" style="121"/>
    <col min="1803" max="1803" width="12.17578125" style="121" customWidth="1"/>
    <col min="1804" max="1804" width="12.29296875" style="121" customWidth="1"/>
    <col min="1805" max="1809" width="8.9375" style="121"/>
    <col min="1810" max="1810" width="10.52734375" style="121" customWidth="1"/>
    <col min="1811" max="2048" width="8.9375" style="121"/>
    <col min="2049" max="2049" width="28.17578125" style="121" customWidth="1"/>
    <col min="2050" max="2056" width="20.8203125" style="121" customWidth="1"/>
    <col min="2057" max="2057" width="1.8203125" style="121" customWidth="1"/>
    <col min="2058" max="2058" width="8.9375" style="121"/>
    <col min="2059" max="2059" width="12.17578125" style="121" customWidth="1"/>
    <col min="2060" max="2060" width="12.29296875" style="121" customWidth="1"/>
    <col min="2061" max="2065" width="8.9375" style="121"/>
    <col min="2066" max="2066" width="10.52734375" style="121" customWidth="1"/>
    <col min="2067" max="2304" width="8.9375" style="121"/>
    <col min="2305" max="2305" width="28.17578125" style="121" customWidth="1"/>
    <col min="2306" max="2312" width="20.8203125" style="121" customWidth="1"/>
    <col min="2313" max="2313" width="1.8203125" style="121" customWidth="1"/>
    <col min="2314" max="2314" width="8.9375" style="121"/>
    <col min="2315" max="2315" width="12.17578125" style="121" customWidth="1"/>
    <col min="2316" max="2316" width="12.29296875" style="121" customWidth="1"/>
    <col min="2317" max="2321" width="8.9375" style="121"/>
    <col min="2322" max="2322" width="10.52734375" style="121" customWidth="1"/>
    <col min="2323" max="2560" width="8.9375" style="121"/>
    <col min="2561" max="2561" width="28.17578125" style="121" customWidth="1"/>
    <col min="2562" max="2568" width="20.8203125" style="121" customWidth="1"/>
    <col min="2569" max="2569" width="1.8203125" style="121" customWidth="1"/>
    <col min="2570" max="2570" width="8.9375" style="121"/>
    <col min="2571" max="2571" width="12.17578125" style="121" customWidth="1"/>
    <col min="2572" max="2572" width="12.29296875" style="121" customWidth="1"/>
    <col min="2573" max="2577" width="8.9375" style="121"/>
    <col min="2578" max="2578" width="10.52734375" style="121" customWidth="1"/>
    <col min="2579" max="2816" width="8.9375" style="121"/>
    <col min="2817" max="2817" width="28.17578125" style="121" customWidth="1"/>
    <col min="2818" max="2824" width="20.8203125" style="121" customWidth="1"/>
    <col min="2825" max="2825" width="1.8203125" style="121" customWidth="1"/>
    <col min="2826" max="2826" width="8.9375" style="121"/>
    <col min="2827" max="2827" width="12.17578125" style="121" customWidth="1"/>
    <col min="2828" max="2828" width="12.29296875" style="121" customWidth="1"/>
    <col min="2829" max="2833" width="8.9375" style="121"/>
    <col min="2834" max="2834" width="10.52734375" style="121" customWidth="1"/>
    <col min="2835" max="3072" width="8.9375" style="121"/>
    <col min="3073" max="3073" width="28.17578125" style="121" customWidth="1"/>
    <col min="3074" max="3080" width="20.8203125" style="121" customWidth="1"/>
    <col min="3081" max="3081" width="1.8203125" style="121" customWidth="1"/>
    <col min="3082" max="3082" width="8.9375" style="121"/>
    <col min="3083" max="3083" width="12.17578125" style="121" customWidth="1"/>
    <col min="3084" max="3084" width="12.29296875" style="121" customWidth="1"/>
    <col min="3085" max="3089" width="8.9375" style="121"/>
    <col min="3090" max="3090" width="10.52734375" style="121" customWidth="1"/>
    <col min="3091" max="3328" width="8.9375" style="121"/>
    <col min="3329" max="3329" width="28.17578125" style="121" customWidth="1"/>
    <col min="3330" max="3336" width="20.8203125" style="121" customWidth="1"/>
    <col min="3337" max="3337" width="1.8203125" style="121" customWidth="1"/>
    <col min="3338" max="3338" width="8.9375" style="121"/>
    <col min="3339" max="3339" width="12.17578125" style="121" customWidth="1"/>
    <col min="3340" max="3340" width="12.29296875" style="121" customWidth="1"/>
    <col min="3341" max="3345" width="8.9375" style="121"/>
    <col min="3346" max="3346" width="10.52734375" style="121" customWidth="1"/>
    <col min="3347" max="3584" width="8.9375" style="121"/>
    <col min="3585" max="3585" width="28.17578125" style="121" customWidth="1"/>
    <col min="3586" max="3592" width="20.8203125" style="121" customWidth="1"/>
    <col min="3593" max="3593" width="1.8203125" style="121" customWidth="1"/>
    <col min="3594" max="3594" width="8.9375" style="121"/>
    <col min="3595" max="3595" width="12.17578125" style="121" customWidth="1"/>
    <col min="3596" max="3596" width="12.29296875" style="121" customWidth="1"/>
    <col min="3597" max="3601" width="8.9375" style="121"/>
    <col min="3602" max="3602" width="10.52734375" style="121" customWidth="1"/>
    <col min="3603" max="3840" width="8.9375" style="121"/>
    <col min="3841" max="3841" width="28.17578125" style="121" customWidth="1"/>
    <col min="3842" max="3848" width="20.8203125" style="121" customWidth="1"/>
    <col min="3849" max="3849" width="1.8203125" style="121" customWidth="1"/>
    <col min="3850" max="3850" width="8.9375" style="121"/>
    <col min="3851" max="3851" width="12.17578125" style="121" customWidth="1"/>
    <col min="3852" max="3852" width="12.29296875" style="121" customWidth="1"/>
    <col min="3853" max="3857" width="8.9375" style="121"/>
    <col min="3858" max="3858" width="10.52734375" style="121" customWidth="1"/>
    <col min="3859" max="4096" width="8.9375" style="121"/>
    <col min="4097" max="4097" width="28.17578125" style="121" customWidth="1"/>
    <col min="4098" max="4104" width="20.8203125" style="121" customWidth="1"/>
    <col min="4105" max="4105" width="1.8203125" style="121" customWidth="1"/>
    <col min="4106" max="4106" width="8.9375" style="121"/>
    <col min="4107" max="4107" width="12.17578125" style="121" customWidth="1"/>
    <col min="4108" max="4108" width="12.29296875" style="121" customWidth="1"/>
    <col min="4109" max="4113" width="8.9375" style="121"/>
    <col min="4114" max="4114" width="10.52734375" style="121" customWidth="1"/>
    <col min="4115" max="4352" width="8.9375" style="121"/>
    <col min="4353" max="4353" width="28.17578125" style="121" customWidth="1"/>
    <col min="4354" max="4360" width="20.8203125" style="121" customWidth="1"/>
    <col min="4361" max="4361" width="1.8203125" style="121" customWidth="1"/>
    <col min="4362" max="4362" width="8.9375" style="121"/>
    <col min="4363" max="4363" width="12.17578125" style="121" customWidth="1"/>
    <col min="4364" max="4364" width="12.29296875" style="121" customWidth="1"/>
    <col min="4365" max="4369" width="8.9375" style="121"/>
    <col min="4370" max="4370" width="10.52734375" style="121" customWidth="1"/>
    <col min="4371" max="4608" width="8.9375" style="121"/>
    <col min="4609" max="4609" width="28.17578125" style="121" customWidth="1"/>
    <col min="4610" max="4616" width="20.8203125" style="121" customWidth="1"/>
    <col min="4617" max="4617" width="1.8203125" style="121" customWidth="1"/>
    <col min="4618" max="4618" width="8.9375" style="121"/>
    <col min="4619" max="4619" width="12.17578125" style="121" customWidth="1"/>
    <col min="4620" max="4620" width="12.29296875" style="121" customWidth="1"/>
    <col min="4621" max="4625" width="8.9375" style="121"/>
    <col min="4626" max="4626" width="10.52734375" style="121" customWidth="1"/>
    <col min="4627" max="4864" width="8.9375" style="121"/>
    <col min="4865" max="4865" width="28.17578125" style="121" customWidth="1"/>
    <col min="4866" max="4872" width="20.8203125" style="121" customWidth="1"/>
    <col min="4873" max="4873" width="1.8203125" style="121" customWidth="1"/>
    <col min="4874" max="4874" width="8.9375" style="121"/>
    <col min="4875" max="4875" width="12.17578125" style="121" customWidth="1"/>
    <col min="4876" max="4876" width="12.29296875" style="121" customWidth="1"/>
    <col min="4877" max="4881" width="8.9375" style="121"/>
    <col min="4882" max="4882" width="10.52734375" style="121" customWidth="1"/>
    <col min="4883" max="5120" width="8.9375" style="121"/>
    <col min="5121" max="5121" width="28.17578125" style="121" customWidth="1"/>
    <col min="5122" max="5128" width="20.8203125" style="121" customWidth="1"/>
    <col min="5129" max="5129" width="1.8203125" style="121" customWidth="1"/>
    <col min="5130" max="5130" width="8.9375" style="121"/>
    <col min="5131" max="5131" width="12.17578125" style="121" customWidth="1"/>
    <col min="5132" max="5132" width="12.29296875" style="121" customWidth="1"/>
    <col min="5133" max="5137" width="8.9375" style="121"/>
    <col min="5138" max="5138" width="10.52734375" style="121" customWidth="1"/>
    <col min="5139" max="5376" width="8.9375" style="121"/>
    <col min="5377" max="5377" width="28.17578125" style="121" customWidth="1"/>
    <col min="5378" max="5384" width="20.8203125" style="121" customWidth="1"/>
    <col min="5385" max="5385" width="1.8203125" style="121" customWidth="1"/>
    <col min="5386" max="5386" width="8.9375" style="121"/>
    <col min="5387" max="5387" width="12.17578125" style="121" customWidth="1"/>
    <col min="5388" max="5388" width="12.29296875" style="121" customWidth="1"/>
    <col min="5389" max="5393" width="8.9375" style="121"/>
    <col min="5394" max="5394" width="10.52734375" style="121" customWidth="1"/>
    <col min="5395" max="5632" width="8.9375" style="121"/>
    <col min="5633" max="5633" width="28.17578125" style="121" customWidth="1"/>
    <col min="5634" max="5640" width="20.8203125" style="121" customWidth="1"/>
    <col min="5641" max="5641" width="1.8203125" style="121" customWidth="1"/>
    <col min="5642" max="5642" width="8.9375" style="121"/>
    <col min="5643" max="5643" width="12.17578125" style="121" customWidth="1"/>
    <col min="5644" max="5644" width="12.29296875" style="121" customWidth="1"/>
    <col min="5645" max="5649" width="8.9375" style="121"/>
    <col min="5650" max="5650" width="10.52734375" style="121" customWidth="1"/>
    <col min="5651" max="5888" width="8.9375" style="121"/>
    <col min="5889" max="5889" width="28.17578125" style="121" customWidth="1"/>
    <col min="5890" max="5896" width="20.8203125" style="121" customWidth="1"/>
    <col min="5897" max="5897" width="1.8203125" style="121" customWidth="1"/>
    <col min="5898" max="5898" width="8.9375" style="121"/>
    <col min="5899" max="5899" width="12.17578125" style="121" customWidth="1"/>
    <col min="5900" max="5900" width="12.29296875" style="121" customWidth="1"/>
    <col min="5901" max="5905" width="8.9375" style="121"/>
    <col min="5906" max="5906" width="10.52734375" style="121" customWidth="1"/>
    <col min="5907" max="6144" width="8.9375" style="121"/>
    <col min="6145" max="6145" width="28.17578125" style="121" customWidth="1"/>
    <col min="6146" max="6152" width="20.8203125" style="121" customWidth="1"/>
    <col min="6153" max="6153" width="1.8203125" style="121" customWidth="1"/>
    <col min="6154" max="6154" width="8.9375" style="121"/>
    <col min="6155" max="6155" width="12.17578125" style="121" customWidth="1"/>
    <col min="6156" max="6156" width="12.29296875" style="121" customWidth="1"/>
    <col min="6157" max="6161" width="8.9375" style="121"/>
    <col min="6162" max="6162" width="10.52734375" style="121" customWidth="1"/>
    <col min="6163" max="6400" width="8.9375" style="121"/>
    <col min="6401" max="6401" width="28.17578125" style="121" customWidth="1"/>
    <col min="6402" max="6408" width="20.8203125" style="121" customWidth="1"/>
    <col min="6409" max="6409" width="1.8203125" style="121" customWidth="1"/>
    <col min="6410" max="6410" width="8.9375" style="121"/>
    <col min="6411" max="6411" width="12.17578125" style="121" customWidth="1"/>
    <col min="6412" max="6412" width="12.29296875" style="121" customWidth="1"/>
    <col min="6413" max="6417" width="8.9375" style="121"/>
    <col min="6418" max="6418" width="10.52734375" style="121" customWidth="1"/>
    <col min="6419" max="6656" width="8.9375" style="121"/>
    <col min="6657" max="6657" width="28.17578125" style="121" customWidth="1"/>
    <col min="6658" max="6664" width="20.8203125" style="121" customWidth="1"/>
    <col min="6665" max="6665" width="1.8203125" style="121" customWidth="1"/>
    <col min="6666" max="6666" width="8.9375" style="121"/>
    <col min="6667" max="6667" width="12.17578125" style="121" customWidth="1"/>
    <col min="6668" max="6668" width="12.29296875" style="121" customWidth="1"/>
    <col min="6669" max="6673" width="8.9375" style="121"/>
    <col min="6674" max="6674" width="10.52734375" style="121" customWidth="1"/>
    <col min="6675" max="6912" width="8.9375" style="121"/>
    <col min="6913" max="6913" width="28.17578125" style="121" customWidth="1"/>
    <col min="6914" max="6920" width="20.8203125" style="121" customWidth="1"/>
    <col min="6921" max="6921" width="1.8203125" style="121" customWidth="1"/>
    <col min="6922" max="6922" width="8.9375" style="121"/>
    <col min="6923" max="6923" width="12.17578125" style="121" customWidth="1"/>
    <col min="6924" max="6924" width="12.29296875" style="121" customWidth="1"/>
    <col min="6925" max="6929" width="8.9375" style="121"/>
    <col min="6930" max="6930" width="10.52734375" style="121" customWidth="1"/>
    <col min="6931" max="7168" width="8.9375" style="121"/>
    <col min="7169" max="7169" width="28.17578125" style="121" customWidth="1"/>
    <col min="7170" max="7176" width="20.8203125" style="121" customWidth="1"/>
    <col min="7177" max="7177" width="1.8203125" style="121" customWidth="1"/>
    <col min="7178" max="7178" width="8.9375" style="121"/>
    <col min="7179" max="7179" width="12.17578125" style="121" customWidth="1"/>
    <col min="7180" max="7180" width="12.29296875" style="121" customWidth="1"/>
    <col min="7181" max="7185" width="8.9375" style="121"/>
    <col min="7186" max="7186" width="10.52734375" style="121" customWidth="1"/>
    <col min="7187" max="7424" width="8.9375" style="121"/>
    <col min="7425" max="7425" width="28.17578125" style="121" customWidth="1"/>
    <col min="7426" max="7432" width="20.8203125" style="121" customWidth="1"/>
    <col min="7433" max="7433" width="1.8203125" style="121" customWidth="1"/>
    <col min="7434" max="7434" width="8.9375" style="121"/>
    <col min="7435" max="7435" width="12.17578125" style="121" customWidth="1"/>
    <col min="7436" max="7436" width="12.29296875" style="121" customWidth="1"/>
    <col min="7437" max="7441" width="8.9375" style="121"/>
    <col min="7442" max="7442" width="10.52734375" style="121" customWidth="1"/>
    <col min="7443" max="7680" width="8.9375" style="121"/>
    <col min="7681" max="7681" width="28.17578125" style="121" customWidth="1"/>
    <col min="7682" max="7688" width="20.8203125" style="121" customWidth="1"/>
    <col min="7689" max="7689" width="1.8203125" style="121" customWidth="1"/>
    <col min="7690" max="7690" width="8.9375" style="121"/>
    <col min="7691" max="7691" width="12.17578125" style="121" customWidth="1"/>
    <col min="7692" max="7692" width="12.29296875" style="121" customWidth="1"/>
    <col min="7693" max="7697" width="8.9375" style="121"/>
    <col min="7698" max="7698" width="10.52734375" style="121" customWidth="1"/>
    <col min="7699" max="7936" width="8.9375" style="121"/>
    <col min="7937" max="7937" width="28.17578125" style="121" customWidth="1"/>
    <col min="7938" max="7944" width="20.8203125" style="121" customWidth="1"/>
    <col min="7945" max="7945" width="1.8203125" style="121" customWidth="1"/>
    <col min="7946" max="7946" width="8.9375" style="121"/>
    <col min="7947" max="7947" width="12.17578125" style="121" customWidth="1"/>
    <col min="7948" max="7948" width="12.29296875" style="121" customWidth="1"/>
    <col min="7949" max="7953" width="8.9375" style="121"/>
    <col min="7954" max="7954" width="10.52734375" style="121" customWidth="1"/>
    <col min="7955" max="8192" width="8.9375" style="121"/>
    <col min="8193" max="8193" width="28.17578125" style="121" customWidth="1"/>
    <col min="8194" max="8200" width="20.8203125" style="121" customWidth="1"/>
    <col min="8201" max="8201" width="1.8203125" style="121" customWidth="1"/>
    <col min="8202" max="8202" width="8.9375" style="121"/>
    <col min="8203" max="8203" width="12.17578125" style="121" customWidth="1"/>
    <col min="8204" max="8204" width="12.29296875" style="121" customWidth="1"/>
    <col min="8205" max="8209" width="8.9375" style="121"/>
    <col min="8210" max="8210" width="10.52734375" style="121" customWidth="1"/>
    <col min="8211" max="8448" width="8.9375" style="121"/>
    <col min="8449" max="8449" width="28.17578125" style="121" customWidth="1"/>
    <col min="8450" max="8456" width="20.8203125" style="121" customWidth="1"/>
    <col min="8457" max="8457" width="1.8203125" style="121" customWidth="1"/>
    <col min="8458" max="8458" width="8.9375" style="121"/>
    <col min="8459" max="8459" width="12.17578125" style="121" customWidth="1"/>
    <col min="8460" max="8460" width="12.29296875" style="121" customWidth="1"/>
    <col min="8461" max="8465" width="8.9375" style="121"/>
    <col min="8466" max="8466" width="10.52734375" style="121" customWidth="1"/>
    <col min="8467" max="8704" width="8.9375" style="121"/>
    <col min="8705" max="8705" width="28.17578125" style="121" customWidth="1"/>
    <col min="8706" max="8712" width="20.8203125" style="121" customWidth="1"/>
    <col min="8713" max="8713" width="1.8203125" style="121" customWidth="1"/>
    <col min="8714" max="8714" width="8.9375" style="121"/>
    <col min="8715" max="8715" width="12.17578125" style="121" customWidth="1"/>
    <col min="8716" max="8716" width="12.29296875" style="121" customWidth="1"/>
    <col min="8717" max="8721" width="8.9375" style="121"/>
    <col min="8722" max="8722" width="10.52734375" style="121" customWidth="1"/>
    <col min="8723" max="8960" width="8.9375" style="121"/>
    <col min="8961" max="8961" width="28.17578125" style="121" customWidth="1"/>
    <col min="8962" max="8968" width="20.8203125" style="121" customWidth="1"/>
    <col min="8969" max="8969" width="1.8203125" style="121" customWidth="1"/>
    <col min="8970" max="8970" width="8.9375" style="121"/>
    <col min="8971" max="8971" width="12.17578125" style="121" customWidth="1"/>
    <col min="8972" max="8972" width="12.29296875" style="121" customWidth="1"/>
    <col min="8973" max="8977" width="8.9375" style="121"/>
    <col min="8978" max="8978" width="10.52734375" style="121" customWidth="1"/>
    <col min="8979" max="9216" width="8.9375" style="121"/>
    <col min="9217" max="9217" width="28.17578125" style="121" customWidth="1"/>
    <col min="9218" max="9224" width="20.8203125" style="121" customWidth="1"/>
    <col min="9225" max="9225" width="1.8203125" style="121" customWidth="1"/>
    <col min="9226" max="9226" width="8.9375" style="121"/>
    <col min="9227" max="9227" width="12.17578125" style="121" customWidth="1"/>
    <col min="9228" max="9228" width="12.29296875" style="121" customWidth="1"/>
    <col min="9229" max="9233" width="8.9375" style="121"/>
    <col min="9234" max="9234" width="10.52734375" style="121" customWidth="1"/>
    <col min="9235" max="9472" width="8.9375" style="121"/>
    <col min="9473" max="9473" width="28.17578125" style="121" customWidth="1"/>
    <col min="9474" max="9480" width="20.8203125" style="121" customWidth="1"/>
    <col min="9481" max="9481" width="1.8203125" style="121" customWidth="1"/>
    <col min="9482" max="9482" width="8.9375" style="121"/>
    <col min="9483" max="9483" width="12.17578125" style="121" customWidth="1"/>
    <col min="9484" max="9484" width="12.29296875" style="121" customWidth="1"/>
    <col min="9485" max="9489" width="8.9375" style="121"/>
    <col min="9490" max="9490" width="10.52734375" style="121" customWidth="1"/>
    <col min="9491" max="9728" width="8.9375" style="121"/>
    <col min="9729" max="9729" width="28.17578125" style="121" customWidth="1"/>
    <col min="9730" max="9736" width="20.8203125" style="121" customWidth="1"/>
    <col min="9737" max="9737" width="1.8203125" style="121" customWidth="1"/>
    <col min="9738" max="9738" width="8.9375" style="121"/>
    <col min="9739" max="9739" width="12.17578125" style="121" customWidth="1"/>
    <col min="9740" max="9740" width="12.29296875" style="121" customWidth="1"/>
    <col min="9741" max="9745" width="8.9375" style="121"/>
    <col min="9746" max="9746" width="10.52734375" style="121" customWidth="1"/>
    <col min="9747" max="9984" width="8.9375" style="121"/>
    <col min="9985" max="9985" width="28.17578125" style="121" customWidth="1"/>
    <col min="9986" max="9992" width="20.8203125" style="121" customWidth="1"/>
    <col min="9993" max="9993" width="1.8203125" style="121" customWidth="1"/>
    <col min="9994" max="9994" width="8.9375" style="121"/>
    <col min="9995" max="9995" width="12.17578125" style="121" customWidth="1"/>
    <col min="9996" max="9996" width="12.29296875" style="121" customWidth="1"/>
    <col min="9997" max="10001" width="8.9375" style="121"/>
    <col min="10002" max="10002" width="10.52734375" style="121" customWidth="1"/>
    <col min="10003" max="10240" width="8.9375" style="121"/>
    <col min="10241" max="10241" width="28.17578125" style="121" customWidth="1"/>
    <col min="10242" max="10248" width="20.8203125" style="121" customWidth="1"/>
    <col min="10249" max="10249" width="1.8203125" style="121" customWidth="1"/>
    <col min="10250" max="10250" width="8.9375" style="121"/>
    <col min="10251" max="10251" width="12.17578125" style="121" customWidth="1"/>
    <col min="10252" max="10252" width="12.29296875" style="121" customWidth="1"/>
    <col min="10253" max="10257" width="8.9375" style="121"/>
    <col min="10258" max="10258" width="10.52734375" style="121" customWidth="1"/>
    <col min="10259" max="10496" width="8.9375" style="121"/>
    <col min="10497" max="10497" width="28.17578125" style="121" customWidth="1"/>
    <col min="10498" max="10504" width="20.8203125" style="121" customWidth="1"/>
    <col min="10505" max="10505" width="1.8203125" style="121" customWidth="1"/>
    <col min="10506" max="10506" width="8.9375" style="121"/>
    <col min="10507" max="10507" width="12.17578125" style="121" customWidth="1"/>
    <col min="10508" max="10508" width="12.29296875" style="121" customWidth="1"/>
    <col min="10509" max="10513" width="8.9375" style="121"/>
    <col min="10514" max="10514" width="10.52734375" style="121" customWidth="1"/>
    <col min="10515" max="10752" width="8.9375" style="121"/>
    <col min="10753" max="10753" width="28.17578125" style="121" customWidth="1"/>
    <col min="10754" max="10760" width="20.8203125" style="121" customWidth="1"/>
    <col min="10761" max="10761" width="1.8203125" style="121" customWidth="1"/>
    <col min="10762" max="10762" width="8.9375" style="121"/>
    <col min="10763" max="10763" width="12.17578125" style="121" customWidth="1"/>
    <col min="10764" max="10764" width="12.29296875" style="121" customWidth="1"/>
    <col min="10765" max="10769" width="8.9375" style="121"/>
    <col min="10770" max="10770" width="10.52734375" style="121" customWidth="1"/>
    <col min="10771" max="11008" width="8.9375" style="121"/>
    <col min="11009" max="11009" width="28.17578125" style="121" customWidth="1"/>
    <col min="11010" max="11016" width="20.8203125" style="121" customWidth="1"/>
    <col min="11017" max="11017" width="1.8203125" style="121" customWidth="1"/>
    <col min="11018" max="11018" width="8.9375" style="121"/>
    <col min="11019" max="11019" width="12.17578125" style="121" customWidth="1"/>
    <col min="11020" max="11020" width="12.29296875" style="121" customWidth="1"/>
    <col min="11021" max="11025" width="8.9375" style="121"/>
    <col min="11026" max="11026" width="10.52734375" style="121" customWidth="1"/>
    <col min="11027" max="11264" width="8.9375" style="121"/>
    <col min="11265" max="11265" width="28.17578125" style="121" customWidth="1"/>
    <col min="11266" max="11272" width="20.8203125" style="121" customWidth="1"/>
    <col min="11273" max="11273" width="1.8203125" style="121" customWidth="1"/>
    <col min="11274" max="11274" width="8.9375" style="121"/>
    <col min="11275" max="11275" width="12.17578125" style="121" customWidth="1"/>
    <col min="11276" max="11276" width="12.29296875" style="121" customWidth="1"/>
    <col min="11277" max="11281" width="8.9375" style="121"/>
    <col min="11282" max="11282" width="10.52734375" style="121" customWidth="1"/>
    <col min="11283" max="11520" width="8.9375" style="121"/>
    <col min="11521" max="11521" width="28.17578125" style="121" customWidth="1"/>
    <col min="11522" max="11528" width="20.8203125" style="121" customWidth="1"/>
    <col min="11529" max="11529" width="1.8203125" style="121" customWidth="1"/>
    <col min="11530" max="11530" width="8.9375" style="121"/>
    <col min="11531" max="11531" width="12.17578125" style="121" customWidth="1"/>
    <col min="11532" max="11532" width="12.29296875" style="121" customWidth="1"/>
    <col min="11533" max="11537" width="8.9375" style="121"/>
    <col min="11538" max="11538" width="10.52734375" style="121" customWidth="1"/>
    <col min="11539" max="11776" width="8.9375" style="121"/>
    <col min="11777" max="11777" width="28.17578125" style="121" customWidth="1"/>
    <col min="11778" max="11784" width="20.8203125" style="121" customWidth="1"/>
    <col min="11785" max="11785" width="1.8203125" style="121" customWidth="1"/>
    <col min="11786" max="11786" width="8.9375" style="121"/>
    <col min="11787" max="11787" width="12.17578125" style="121" customWidth="1"/>
    <col min="11788" max="11788" width="12.29296875" style="121" customWidth="1"/>
    <col min="11789" max="11793" width="8.9375" style="121"/>
    <col min="11794" max="11794" width="10.52734375" style="121" customWidth="1"/>
    <col min="11795" max="12032" width="8.9375" style="121"/>
    <col min="12033" max="12033" width="28.17578125" style="121" customWidth="1"/>
    <col min="12034" max="12040" width="20.8203125" style="121" customWidth="1"/>
    <col min="12041" max="12041" width="1.8203125" style="121" customWidth="1"/>
    <col min="12042" max="12042" width="8.9375" style="121"/>
    <col min="12043" max="12043" width="12.17578125" style="121" customWidth="1"/>
    <col min="12044" max="12044" width="12.29296875" style="121" customWidth="1"/>
    <col min="12045" max="12049" width="8.9375" style="121"/>
    <col min="12050" max="12050" width="10.52734375" style="121" customWidth="1"/>
    <col min="12051" max="12288" width="8.9375" style="121"/>
    <col min="12289" max="12289" width="28.17578125" style="121" customWidth="1"/>
    <col min="12290" max="12296" width="20.8203125" style="121" customWidth="1"/>
    <col min="12297" max="12297" width="1.8203125" style="121" customWidth="1"/>
    <col min="12298" max="12298" width="8.9375" style="121"/>
    <col min="12299" max="12299" width="12.17578125" style="121" customWidth="1"/>
    <col min="12300" max="12300" width="12.29296875" style="121" customWidth="1"/>
    <col min="12301" max="12305" width="8.9375" style="121"/>
    <col min="12306" max="12306" width="10.52734375" style="121" customWidth="1"/>
    <col min="12307" max="12544" width="8.9375" style="121"/>
    <col min="12545" max="12545" width="28.17578125" style="121" customWidth="1"/>
    <col min="12546" max="12552" width="20.8203125" style="121" customWidth="1"/>
    <col min="12553" max="12553" width="1.8203125" style="121" customWidth="1"/>
    <col min="12554" max="12554" width="8.9375" style="121"/>
    <col min="12555" max="12555" width="12.17578125" style="121" customWidth="1"/>
    <col min="12556" max="12556" width="12.29296875" style="121" customWidth="1"/>
    <col min="12557" max="12561" width="8.9375" style="121"/>
    <col min="12562" max="12562" width="10.52734375" style="121" customWidth="1"/>
    <col min="12563" max="12800" width="8.9375" style="121"/>
    <col min="12801" max="12801" width="28.17578125" style="121" customWidth="1"/>
    <col min="12802" max="12808" width="20.8203125" style="121" customWidth="1"/>
    <col min="12809" max="12809" width="1.8203125" style="121" customWidth="1"/>
    <col min="12810" max="12810" width="8.9375" style="121"/>
    <col min="12811" max="12811" width="12.17578125" style="121" customWidth="1"/>
    <col min="12812" max="12812" width="12.29296875" style="121" customWidth="1"/>
    <col min="12813" max="12817" width="8.9375" style="121"/>
    <col min="12818" max="12818" width="10.52734375" style="121" customWidth="1"/>
    <col min="12819" max="13056" width="8.9375" style="121"/>
    <col min="13057" max="13057" width="28.17578125" style="121" customWidth="1"/>
    <col min="13058" max="13064" width="20.8203125" style="121" customWidth="1"/>
    <col min="13065" max="13065" width="1.8203125" style="121" customWidth="1"/>
    <col min="13066" max="13066" width="8.9375" style="121"/>
    <col min="13067" max="13067" width="12.17578125" style="121" customWidth="1"/>
    <col min="13068" max="13068" width="12.29296875" style="121" customWidth="1"/>
    <col min="13069" max="13073" width="8.9375" style="121"/>
    <col min="13074" max="13074" width="10.52734375" style="121" customWidth="1"/>
    <col min="13075" max="13312" width="8.9375" style="121"/>
    <col min="13313" max="13313" width="28.17578125" style="121" customWidth="1"/>
    <col min="13314" max="13320" width="20.8203125" style="121" customWidth="1"/>
    <col min="13321" max="13321" width="1.8203125" style="121" customWidth="1"/>
    <col min="13322" max="13322" width="8.9375" style="121"/>
    <col min="13323" max="13323" width="12.17578125" style="121" customWidth="1"/>
    <col min="13324" max="13324" width="12.29296875" style="121" customWidth="1"/>
    <col min="13325" max="13329" width="8.9375" style="121"/>
    <col min="13330" max="13330" width="10.52734375" style="121" customWidth="1"/>
    <col min="13331" max="13568" width="8.9375" style="121"/>
    <col min="13569" max="13569" width="28.17578125" style="121" customWidth="1"/>
    <col min="13570" max="13576" width="20.8203125" style="121" customWidth="1"/>
    <col min="13577" max="13577" width="1.8203125" style="121" customWidth="1"/>
    <col min="13578" max="13578" width="8.9375" style="121"/>
    <col min="13579" max="13579" width="12.17578125" style="121" customWidth="1"/>
    <col min="13580" max="13580" width="12.29296875" style="121" customWidth="1"/>
    <col min="13581" max="13585" width="8.9375" style="121"/>
    <col min="13586" max="13586" width="10.52734375" style="121" customWidth="1"/>
    <col min="13587" max="13824" width="8.9375" style="121"/>
    <col min="13825" max="13825" width="28.17578125" style="121" customWidth="1"/>
    <col min="13826" max="13832" width="20.8203125" style="121" customWidth="1"/>
    <col min="13833" max="13833" width="1.8203125" style="121" customWidth="1"/>
    <col min="13834" max="13834" width="8.9375" style="121"/>
    <col min="13835" max="13835" width="12.17578125" style="121" customWidth="1"/>
    <col min="13836" max="13836" width="12.29296875" style="121" customWidth="1"/>
    <col min="13837" max="13841" width="8.9375" style="121"/>
    <col min="13842" max="13842" width="10.52734375" style="121" customWidth="1"/>
    <col min="13843" max="14080" width="8.9375" style="121"/>
    <col min="14081" max="14081" width="28.17578125" style="121" customWidth="1"/>
    <col min="14082" max="14088" width="20.8203125" style="121" customWidth="1"/>
    <col min="14089" max="14089" width="1.8203125" style="121" customWidth="1"/>
    <col min="14090" max="14090" width="8.9375" style="121"/>
    <col min="14091" max="14091" width="12.17578125" style="121" customWidth="1"/>
    <col min="14092" max="14092" width="12.29296875" style="121" customWidth="1"/>
    <col min="14093" max="14097" width="8.9375" style="121"/>
    <col min="14098" max="14098" width="10.52734375" style="121" customWidth="1"/>
    <col min="14099" max="14336" width="8.9375" style="121"/>
    <col min="14337" max="14337" width="28.17578125" style="121" customWidth="1"/>
    <col min="14338" max="14344" width="20.8203125" style="121" customWidth="1"/>
    <col min="14345" max="14345" width="1.8203125" style="121" customWidth="1"/>
    <col min="14346" max="14346" width="8.9375" style="121"/>
    <col min="14347" max="14347" width="12.17578125" style="121" customWidth="1"/>
    <col min="14348" max="14348" width="12.29296875" style="121" customWidth="1"/>
    <col min="14349" max="14353" width="8.9375" style="121"/>
    <col min="14354" max="14354" width="10.52734375" style="121" customWidth="1"/>
    <col min="14355" max="14592" width="8.9375" style="121"/>
    <col min="14593" max="14593" width="28.17578125" style="121" customWidth="1"/>
    <col min="14594" max="14600" width="20.8203125" style="121" customWidth="1"/>
    <col min="14601" max="14601" width="1.8203125" style="121" customWidth="1"/>
    <col min="14602" max="14602" width="8.9375" style="121"/>
    <col min="14603" max="14603" width="12.17578125" style="121" customWidth="1"/>
    <col min="14604" max="14604" width="12.29296875" style="121" customWidth="1"/>
    <col min="14605" max="14609" width="8.9375" style="121"/>
    <col min="14610" max="14610" width="10.52734375" style="121" customWidth="1"/>
    <col min="14611" max="14848" width="8.9375" style="121"/>
    <col min="14849" max="14849" width="28.17578125" style="121" customWidth="1"/>
    <col min="14850" max="14856" width="20.8203125" style="121" customWidth="1"/>
    <col min="14857" max="14857" width="1.8203125" style="121" customWidth="1"/>
    <col min="14858" max="14858" width="8.9375" style="121"/>
    <col min="14859" max="14859" width="12.17578125" style="121" customWidth="1"/>
    <col min="14860" max="14860" width="12.29296875" style="121" customWidth="1"/>
    <col min="14861" max="14865" width="8.9375" style="121"/>
    <col min="14866" max="14866" width="10.52734375" style="121" customWidth="1"/>
    <col min="14867" max="15104" width="8.9375" style="121"/>
    <col min="15105" max="15105" width="28.17578125" style="121" customWidth="1"/>
    <col min="15106" max="15112" width="20.8203125" style="121" customWidth="1"/>
    <col min="15113" max="15113" width="1.8203125" style="121" customWidth="1"/>
    <col min="15114" max="15114" width="8.9375" style="121"/>
    <col min="15115" max="15115" width="12.17578125" style="121" customWidth="1"/>
    <col min="15116" max="15116" width="12.29296875" style="121" customWidth="1"/>
    <col min="15117" max="15121" width="8.9375" style="121"/>
    <col min="15122" max="15122" width="10.52734375" style="121" customWidth="1"/>
    <col min="15123" max="15360" width="8.9375" style="121"/>
    <col min="15361" max="15361" width="28.17578125" style="121" customWidth="1"/>
    <col min="15362" max="15368" width="20.8203125" style="121" customWidth="1"/>
    <col min="15369" max="15369" width="1.8203125" style="121" customWidth="1"/>
    <col min="15370" max="15370" width="8.9375" style="121"/>
    <col min="15371" max="15371" width="12.17578125" style="121" customWidth="1"/>
    <col min="15372" max="15372" width="12.29296875" style="121" customWidth="1"/>
    <col min="15373" max="15377" width="8.9375" style="121"/>
    <col min="15378" max="15378" width="10.52734375" style="121" customWidth="1"/>
    <col min="15379" max="15616" width="8.9375" style="121"/>
    <col min="15617" max="15617" width="28.17578125" style="121" customWidth="1"/>
    <col min="15618" max="15624" width="20.8203125" style="121" customWidth="1"/>
    <col min="15625" max="15625" width="1.8203125" style="121" customWidth="1"/>
    <col min="15626" max="15626" width="8.9375" style="121"/>
    <col min="15627" max="15627" width="12.17578125" style="121" customWidth="1"/>
    <col min="15628" max="15628" width="12.29296875" style="121" customWidth="1"/>
    <col min="15629" max="15633" width="8.9375" style="121"/>
    <col min="15634" max="15634" width="10.52734375" style="121" customWidth="1"/>
    <col min="15635" max="15872" width="8.9375" style="121"/>
    <col min="15873" max="15873" width="28.17578125" style="121" customWidth="1"/>
    <col min="15874" max="15880" width="20.8203125" style="121" customWidth="1"/>
    <col min="15881" max="15881" width="1.8203125" style="121" customWidth="1"/>
    <col min="15882" max="15882" width="8.9375" style="121"/>
    <col min="15883" max="15883" width="12.17578125" style="121" customWidth="1"/>
    <col min="15884" max="15884" width="12.29296875" style="121" customWidth="1"/>
    <col min="15885" max="15889" width="8.9375" style="121"/>
    <col min="15890" max="15890" width="10.52734375" style="121" customWidth="1"/>
    <col min="15891" max="16128" width="8.9375" style="121"/>
    <col min="16129" max="16129" width="28.17578125" style="121" customWidth="1"/>
    <col min="16130" max="16136" width="20.8203125" style="121" customWidth="1"/>
    <col min="16137" max="16137" width="1.8203125" style="121" customWidth="1"/>
    <col min="16138" max="16138" width="8.9375" style="121"/>
    <col min="16139" max="16139" width="12.17578125" style="121" customWidth="1"/>
    <col min="16140" max="16140" width="12.29296875" style="121" customWidth="1"/>
    <col min="16141" max="16145" width="8.9375" style="121"/>
    <col min="16146" max="16146" width="10.52734375" style="121" customWidth="1"/>
    <col min="16147" max="16384" width="8.9375" style="121"/>
  </cols>
  <sheetData>
    <row r="1" spans="1:9" ht="26.25" customHeight="1" thickBot="1" x14ac:dyDescent="0.95">
      <c r="A1" s="1" t="s">
        <v>0</v>
      </c>
      <c r="H1" s="2"/>
    </row>
    <row r="2" spans="1:9" ht="27" customHeight="1" thickBot="1" x14ac:dyDescent="0.65">
      <c r="A2" s="1" t="s">
        <v>1</v>
      </c>
      <c r="B2" s="3"/>
      <c r="C2" s="4"/>
      <c r="D2" s="4"/>
      <c r="E2" s="4"/>
      <c r="F2" s="4"/>
      <c r="G2" s="5"/>
    </row>
    <row r="3" spans="1:9" ht="12.75" customHeight="1" x14ac:dyDescent="0.5"/>
    <row r="4" spans="1:9" ht="20" x14ac:dyDescent="0.5">
      <c r="A4" s="198" t="s">
        <v>2</v>
      </c>
      <c r="B4" s="199"/>
      <c r="C4" s="199"/>
      <c r="D4" s="199"/>
      <c r="E4" s="199"/>
      <c r="F4" s="199"/>
      <c r="G4" s="199"/>
      <c r="H4" s="199"/>
      <c r="I4" s="199"/>
    </row>
    <row r="5" spans="1:9" ht="8.25" customHeight="1" x14ac:dyDescent="0.5"/>
    <row r="6" spans="1:9" ht="17.7" x14ac:dyDescent="0.55000000000000004">
      <c r="A6" s="105" t="s">
        <v>197</v>
      </c>
    </row>
    <row r="7" spans="1:9" ht="17.7" x14ac:dyDescent="0.55000000000000004">
      <c r="A7" s="6" t="s">
        <v>199</v>
      </c>
      <c r="B7" s="122"/>
      <c r="C7" s="122"/>
      <c r="D7" s="122"/>
      <c r="E7" s="122"/>
      <c r="F7" s="122"/>
      <c r="G7" s="122"/>
      <c r="H7" s="122"/>
    </row>
    <row r="8" spans="1:9" ht="9.75" customHeight="1" x14ac:dyDescent="0.55000000000000004">
      <c r="A8" s="7"/>
    </row>
    <row r="9" spans="1:9" ht="17.7" x14ac:dyDescent="0.55000000000000004">
      <c r="A9" s="7" t="s">
        <v>3</v>
      </c>
      <c r="B9" s="8">
        <v>1000</v>
      </c>
      <c r="C9" s="123"/>
    </row>
    <row r="10" spans="1:9" ht="17.7" x14ac:dyDescent="0.55000000000000004">
      <c r="A10" s="7" t="s">
        <v>5</v>
      </c>
      <c r="B10" s="9">
        <v>101.5</v>
      </c>
      <c r="C10" s="123"/>
    </row>
    <row r="11" spans="1:9" ht="17.7" x14ac:dyDescent="0.55000000000000004">
      <c r="A11" s="7" t="s">
        <v>6</v>
      </c>
      <c r="B11" s="10">
        <v>7.0000000000000007E-2</v>
      </c>
    </row>
    <row r="12" spans="1:9" ht="17.7" x14ac:dyDescent="0.55000000000000004">
      <c r="A12" s="7" t="s">
        <v>210</v>
      </c>
      <c r="B12" s="124"/>
      <c r="C12" s="123"/>
    </row>
    <row r="13" spans="1:9" ht="17.7" x14ac:dyDescent="0.55000000000000004">
      <c r="A13" s="7" t="s">
        <v>7</v>
      </c>
      <c r="B13" s="125"/>
      <c r="C13" s="123"/>
    </row>
    <row r="14" spans="1:9" ht="31.7" customHeight="1" x14ac:dyDescent="0.55000000000000004">
      <c r="A14" s="7"/>
      <c r="B14" s="125"/>
      <c r="C14" s="123"/>
    </row>
    <row r="15" spans="1:9" ht="25.7" customHeight="1" x14ac:dyDescent="0.55000000000000004">
      <c r="A15" s="7"/>
      <c r="B15" s="125"/>
      <c r="C15" s="123"/>
    </row>
    <row r="16" spans="1:9" ht="25.7" customHeight="1" x14ac:dyDescent="0.55000000000000004">
      <c r="A16" s="7"/>
      <c r="B16" s="125"/>
      <c r="C16" s="123"/>
    </row>
    <row r="17" spans="1:8" ht="25.7" customHeight="1" x14ac:dyDescent="0.55000000000000004">
      <c r="A17" s="7"/>
      <c r="B17" s="125"/>
      <c r="C17" s="123"/>
    </row>
    <row r="18" spans="1:8" ht="25.7" customHeight="1" x14ac:dyDescent="0.55000000000000004">
      <c r="A18" s="7"/>
      <c r="B18" s="125"/>
      <c r="C18" s="123"/>
    </row>
    <row r="19" spans="1:8" ht="25.7" customHeight="1" thickBot="1" x14ac:dyDescent="0.6">
      <c r="A19" s="7"/>
      <c r="B19" s="125"/>
      <c r="C19" s="123"/>
    </row>
    <row r="20" spans="1:8" ht="25.7" customHeight="1" thickBot="1" x14ac:dyDescent="0.55000000000000004">
      <c r="A20" s="11" t="s">
        <v>200</v>
      </c>
      <c r="B20" s="12"/>
      <c r="C20" s="123"/>
    </row>
    <row r="21" spans="1:8" ht="25.7" customHeight="1" thickBot="1" x14ac:dyDescent="0.55000000000000004">
      <c r="C21" s="123"/>
    </row>
    <row r="22" spans="1:8" ht="25.7" customHeight="1" thickBot="1" x14ac:dyDescent="0.55000000000000004">
      <c r="A22" s="11" t="s">
        <v>8</v>
      </c>
      <c r="B22" s="12"/>
      <c r="C22" s="123"/>
    </row>
    <row r="23" spans="1:8" ht="25.7" customHeight="1" thickBot="1" x14ac:dyDescent="0.55000000000000004">
      <c r="C23" s="123"/>
    </row>
    <row r="24" spans="1:8" ht="25.7" customHeight="1" thickBot="1" x14ac:dyDescent="0.55000000000000004">
      <c r="A24" s="11" t="s">
        <v>193</v>
      </c>
      <c r="B24" s="12"/>
    </row>
    <row r="25" spans="1:8" ht="30.7" customHeight="1" x14ac:dyDescent="0.55000000000000004">
      <c r="A25" s="7"/>
      <c r="C25" s="11"/>
      <c r="D25" s="11"/>
      <c r="E25" s="11"/>
    </row>
    <row r="26" spans="1:8" ht="17.7" x14ac:dyDescent="0.55000000000000004">
      <c r="A26" s="105" t="s">
        <v>11</v>
      </c>
    </row>
    <row r="27" spans="1:8" ht="17.7" x14ac:dyDescent="0.55000000000000004">
      <c r="A27" s="6" t="s">
        <v>12</v>
      </c>
      <c r="B27" s="122"/>
      <c r="C27" s="122"/>
      <c r="D27" s="122"/>
      <c r="E27" s="122"/>
      <c r="F27" s="122"/>
      <c r="G27" s="122"/>
      <c r="H27" s="122"/>
    </row>
    <row r="28" spans="1:8" ht="9" customHeight="1" x14ac:dyDescent="0.5">
      <c r="A28" s="126"/>
      <c r="B28" s="126"/>
      <c r="C28" s="126"/>
      <c r="D28" s="126"/>
      <c r="E28" s="126"/>
      <c r="F28" s="126"/>
    </row>
    <row r="29" spans="1:8" ht="17.25" customHeight="1" x14ac:dyDescent="0.5">
      <c r="A29" s="13" t="s">
        <v>3</v>
      </c>
      <c r="B29" s="14"/>
      <c r="C29" s="15">
        <v>1000</v>
      </c>
      <c r="D29" s="126"/>
      <c r="E29" s="126"/>
      <c r="F29" s="126"/>
    </row>
    <row r="30" spans="1:8" ht="17.25" customHeight="1" x14ac:dyDescent="0.5">
      <c r="A30" s="13" t="s">
        <v>9</v>
      </c>
      <c r="B30" s="14"/>
      <c r="C30" s="16">
        <v>7.4999999999999997E-2</v>
      </c>
      <c r="D30" s="126"/>
      <c r="E30" s="126"/>
      <c r="F30" s="126"/>
    </row>
    <row r="31" spans="1:8" ht="17.25" customHeight="1" x14ac:dyDescent="0.5">
      <c r="A31" s="17" t="s">
        <v>10</v>
      </c>
      <c r="B31" s="18"/>
      <c r="C31" s="16">
        <v>0.105</v>
      </c>
      <c r="D31" s="126"/>
      <c r="E31" s="126"/>
      <c r="F31" s="126"/>
      <c r="G31" s="126"/>
      <c r="H31" s="126"/>
    </row>
    <row r="32" spans="1:8" ht="17.25" customHeight="1" x14ac:dyDescent="0.5">
      <c r="A32" s="19" t="s">
        <v>13</v>
      </c>
      <c r="B32" s="20"/>
      <c r="C32" s="21">
        <v>3</v>
      </c>
      <c r="D32" s="126"/>
      <c r="E32" s="126"/>
      <c r="F32" s="126"/>
      <c r="G32" s="126"/>
      <c r="H32" s="126"/>
    </row>
    <row r="33" spans="1:8" ht="17.25" customHeight="1" x14ac:dyDescent="0.5">
      <c r="A33" s="19" t="s">
        <v>14</v>
      </c>
      <c r="B33" s="20"/>
      <c r="C33" s="22">
        <v>100</v>
      </c>
      <c r="D33" s="126"/>
      <c r="E33" s="126"/>
      <c r="F33" s="126"/>
      <c r="G33" s="126"/>
      <c r="H33" s="126"/>
    </row>
    <row r="34" spans="1:8" ht="17.25" customHeight="1" x14ac:dyDescent="0.5">
      <c r="A34" s="19" t="s">
        <v>15</v>
      </c>
      <c r="B34" s="20"/>
      <c r="C34" s="22">
        <v>2</v>
      </c>
      <c r="D34" s="126"/>
      <c r="E34" s="126"/>
      <c r="F34" s="126"/>
      <c r="G34" s="126"/>
      <c r="H34" s="126"/>
    </row>
    <row r="35" spans="1:8" ht="9" customHeight="1" x14ac:dyDescent="0.5">
      <c r="A35" s="126"/>
      <c r="B35" s="126"/>
      <c r="C35" s="126"/>
      <c r="D35" s="126"/>
      <c r="E35" s="126"/>
      <c r="F35" s="126"/>
      <c r="G35" s="126"/>
      <c r="H35" s="126"/>
    </row>
    <row r="36" spans="1:8" ht="21" customHeight="1" x14ac:dyDescent="0.5">
      <c r="A36" s="251" t="s">
        <v>4</v>
      </c>
      <c r="B36" s="252"/>
      <c r="C36" s="252"/>
      <c r="D36" s="252"/>
      <c r="E36" s="252"/>
      <c r="F36" s="252"/>
      <c r="G36" s="252"/>
      <c r="H36" s="252"/>
    </row>
    <row r="37" spans="1:8" ht="15.35" x14ac:dyDescent="0.5">
      <c r="A37" s="235" t="s">
        <v>16</v>
      </c>
      <c r="B37" s="247" t="s">
        <v>17</v>
      </c>
      <c r="C37" s="247" t="s">
        <v>18</v>
      </c>
      <c r="D37" s="248" t="s">
        <v>19</v>
      </c>
      <c r="E37" s="249" t="s">
        <v>20</v>
      </c>
      <c r="F37" s="250" t="s">
        <v>21</v>
      </c>
      <c r="G37" s="250" t="s">
        <v>22</v>
      </c>
    </row>
    <row r="38" spans="1:8" ht="15.35" x14ac:dyDescent="0.5">
      <c r="A38" s="235" t="s">
        <v>23</v>
      </c>
      <c r="B38" s="240"/>
      <c r="C38" s="241"/>
      <c r="D38" s="242" t="s">
        <v>24</v>
      </c>
      <c r="E38" s="241" t="s">
        <v>25</v>
      </c>
      <c r="F38" s="243"/>
      <c r="G38" s="243" t="s">
        <v>26</v>
      </c>
    </row>
    <row r="39" spans="1:8" ht="27.75" customHeight="1" x14ac:dyDescent="0.5">
      <c r="A39" s="201">
        <v>1</v>
      </c>
      <c r="B39" s="25"/>
      <c r="C39" s="202"/>
      <c r="D39" s="26"/>
      <c r="E39" s="27"/>
      <c r="F39" s="15"/>
      <c r="G39" s="28"/>
    </row>
    <row r="40" spans="1:8" ht="27.75" customHeight="1" x14ac:dyDescent="0.5">
      <c r="A40" s="201">
        <v>2</v>
      </c>
      <c r="B40" s="25"/>
      <c r="C40" s="202"/>
      <c r="D40" s="26"/>
      <c r="E40" s="27"/>
      <c r="F40" s="15"/>
      <c r="G40" s="28"/>
    </row>
    <row r="41" spans="1:8" ht="27.75" customHeight="1" x14ac:dyDescent="0.5">
      <c r="A41" s="201">
        <v>3</v>
      </c>
      <c r="B41" s="25"/>
      <c r="C41" s="202"/>
      <c r="D41" s="26"/>
      <c r="E41" s="27"/>
      <c r="F41" s="15"/>
      <c r="G41" s="28"/>
    </row>
    <row r="42" spans="1:8" ht="27.75" customHeight="1" x14ac:dyDescent="0.5">
      <c r="A42" s="201">
        <v>4</v>
      </c>
      <c r="B42" s="25"/>
      <c r="C42" s="202"/>
      <c r="D42" s="26"/>
      <c r="E42" s="27"/>
      <c r="F42" s="15"/>
      <c r="G42" s="28"/>
    </row>
    <row r="43" spans="1:8" ht="27.75" customHeight="1" x14ac:dyDescent="0.5">
      <c r="A43" s="201">
        <v>5</v>
      </c>
      <c r="B43" s="25"/>
      <c r="C43" s="202"/>
      <c r="D43" s="26"/>
      <c r="E43" s="27"/>
      <c r="F43" s="15"/>
      <c r="G43" s="28"/>
    </row>
    <row r="44" spans="1:8" ht="27.75" customHeight="1" x14ac:dyDescent="0.5">
      <c r="A44" s="201">
        <v>6</v>
      </c>
      <c r="B44" s="25"/>
      <c r="C44" s="202"/>
      <c r="D44" s="26"/>
      <c r="E44" s="27"/>
      <c r="F44" s="15"/>
      <c r="G44" s="28"/>
    </row>
    <row r="45" spans="1:8" ht="27.75" customHeight="1" x14ac:dyDescent="0.5">
      <c r="A45" s="201">
        <v>7</v>
      </c>
      <c r="B45" s="25"/>
      <c r="C45" s="202"/>
      <c r="D45" s="26"/>
      <c r="E45" s="27"/>
      <c r="F45" s="15"/>
      <c r="G45" s="28"/>
    </row>
    <row r="46" spans="1:8" ht="27.75" customHeight="1" x14ac:dyDescent="0.5">
      <c r="A46" s="201">
        <v>8</v>
      </c>
      <c r="B46" s="25"/>
      <c r="C46" s="202"/>
      <c r="D46" s="26"/>
      <c r="E46" s="27"/>
      <c r="F46" s="15"/>
      <c r="G46" s="28"/>
    </row>
    <row r="47" spans="1:8" ht="27.75" customHeight="1" x14ac:dyDescent="0.5">
      <c r="A47" s="201">
        <v>9</v>
      </c>
      <c r="B47" s="25"/>
      <c r="C47" s="202"/>
      <c r="D47" s="26"/>
      <c r="E47" s="27"/>
      <c r="F47" s="15"/>
      <c r="G47" s="28"/>
    </row>
    <row r="48" spans="1:8" ht="27.75" customHeight="1" x14ac:dyDescent="0.5">
      <c r="A48" s="201">
        <v>10</v>
      </c>
      <c r="B48" s="25"/>
      <c r="C48" s="202"/>
      <c r="D48" s="26"/>
      <c r="E48" s="27"/>
      <c r="F48" s="15"/>
      <c r="G48" s="28"/>
    </row>
    <row r="49" spans="1:9" ht="27.75" customHeight="1" x14ac:dyDescent="0.5">
      <c r="A49" s="201">
        <v>11</v>
      </c>
      <c r="B49" s="25"/>
      <c r="C49" s="202"/>
      <c r="D49" s="26"/>
      <c r="E49" s="27"/>
      <c r="F49" s="15"/>
      <c r="G49" s="28"/>
    </row>
    <row r="50" spans="1:9" ht="27.75" customHeight="1" x14ac:dyDescent="0.5">
      <c r="A50" s="201">
        <v>12</v>
      </c>
      <c r="B50" s="25"/>
      <c r="C50" s="202"/>
      <c r="D50" s="26"/>
      <c r="E50" s="27"/>
      <c r="F50" s="15"/>
      <c r="G50" s="28"/>
    </row>
    <row r="51" spans="1:9" ht="27.75" customHeight="1" x14ac:dyDescent="0.5">
      <c r="A51" s="201">
        <v>13</v>
      </c>
      <c r="B51" s="25"/>
      <c r="C51" s="202"/>
      <c r="D51" s="26"/>
      <c r="E51" s="27"/>
      <c r="F51" s="15"/>
      <c r="G51" s="28"/>
    </row>
    <row r="52" spans="1:9" ht="27.75" customHeight="1" x14ac:dyDescent="0.5">
      <c r="A52" s="201">
        <v>14</v>
      </c>
      <c r="B52" s="25"/>
      <c r="C52" s="202"/>
      <c r="D52" s="26"/>
      <c r="E52" s="27"/>
      <c r="F52" s="15"/>
      <c r="G52" s="28"/>
    </row>
    <row r="53" spans="1:9" ht="27.75" customHeight="1" x14ac:dyDescent="0.5">
      <c r="A53" s="201"/>
      <c r="B53" s="25"/>
      <c r="C53" s="202"/>
      <c r="D53" s="26"/>
      <c r="E53" s="27"/>
      <c r="F53" s="15"/>
      <c r="G53" s="28"/>
    </row>
    <row r="54" spans="1:9" ht="14.25" customHeight="1" thickBot="1" x14ac:dyDescent="0.55000000000000004">
      <c r="A54" s="29"/>
      <c r="B54" s="29"/>
      <c r="C54" s="29"/>
      <c r="D54" s="30"/>
      <c r="E54" s="31"/>
      <c r="F54" s="29"/>
      <c r="G54" s="29"/>
      <c r="H54" s="29"/>
    </row>
    <row r="55" spans="1:9" ht="27.75" customHeight="1" thickBot="1" x14ac:dyDescent="0.55000000000000004">
      <c r="B55" s="11" t="s">
        <v>27</v>
      </c>
      <c r="C55" s="32"/>
      <c r="D55" s="33" t="s">
        <v>28</v>
      </c>
      <c r="E55" s="34"/>
      <c r="F55" s="11" t="s">
        <v>29</v>
      </c>
      <c r="G55" s="35"/>
    </row>
    <row r="56" spans="1:9" s="200" customFormat="1" ht="20" x14ac:dyDescent="0.5">
      <c r="A56" s="198" t="s">
        <v>30</v>
      </c>
      <c r="B56" s="199"/>
      <c r="C56" s="199"/>
      <c r="D56" s="199"/>
      <c r="E56" s="199"/>
      <c r="F56" s="199"/>
      <c r="G56" s="199"/>
      <c r="H56" s="199"/>
      <c r="I56" s="199"/>
    </row>
    <row r="58" spans="1:9" ht="13.7" customHeight="1" x14ac:dyDescent="0.55000000000000004">
      <c r="A58" s="105" t="s">
        <v>212</v>
      </c>
    </row>
    <row r="59" spans="1:9" ht="13.7" customHeight="1" x14ac:dyDescent="0.55000000000000004">
      <c r="A59" s="105"/>
    </row>
    <row r="60" spans="1:9" ht="13.7" customHeight="1" x14ac:dyDescent="0.55000000000000004">
      <c r="A60" s="105" t="s">
        <v>217</v>
      </c>
    </row>
    <row r="61" spans="1:9" ht="15.35" x14ac:dyDescent="0.5">
      <c r="A61" s="11" t="s">
        <v>218</v>
      </c>
      <c r="B61" s="41">
        <v>10</v>
      </c>
      <c r="C61" s="24"/>
      <c r="F61" s="129"/>
    </row>
    <row r="62" spans="1:9" ht="15.35" x14ac:dyDescent="0.5">
      <c r="A62" s="11" t="s">
        <v>32</v>
      </c>
      <c r="B62" s="42">
        <v>1.5</v>
      </c>
      <c r="C62" s="24" t="s">
        <v>33</v>
      </c>
      <c r="F62" s="130"/>
    </row>
    <row r="63" spans="1:9" ht="15.35" x14ac:dyDescent="0.5">
      <c r="A63" s="11" t="s">
        <v>34</v>
      </c>
      <c r="B63" s="24">
        <v>100</v>
      </c>
      <c r="C63" s="24" t="s">
        <v>31</v>
      </c>
      <c r="F63" s="130"/>
    </row>
    <row r="64" spans="1:9" ht="15.35" x14ac:dyDescent="0.5">
      <c r="A64" s="11" t="s">
        <v>35</v>
      </c>
      <c r="B64" s="42">
        <v>150</v>
      </c>
      <c r="C64" s="24" t="s">
        <v>31</v>
      </c>
      <c r="F64" s="130"/>
    </row>
    <row r="65" spans="1:8" ht="15.35" x14ac:dyDescent="0.5">
      <c r="A65" s="11" t="s">
        <v>36</v>
      </c>
      <c r="B65" s="42">
        <v>1.45</v>
      </c>
      <c r="C65" s="24" t="s">
        <v>33</v>
      </c>
    </row>
    <row r="66" spans="1:8" ht="15.35" x14ac:dyDescent="0.5">
      <c r="A66" s="11" t="s">
        <v>37</v>
      </c>
      <c r="B66" s="42">
        <v>300</v>
      </c>
      <c r="C66" s="24" t="s">
        <v>31</v>
      </c>
      <c r="F66" s="131"/>
    </row>
    <row r="67" spans="1:8" ht="15.35" x14ac:dyDescent="0.5">
      <c r="A67" s="11" t="s">
        <v>38</v>
      </c>
      <c r="B67" s="42">
        <v>2.5</v>
      </c>
      <c r="C67" s="24" t="s">
        <v>33</v>
      </c>
    </row>
    <row r="68" spans="1:8" ht="15.35" x14ac:dyDescent="0.5">
      <c r="A68" s="11" t="s">
        <v>39</v>
      </c>
      <c r="B68" s="42">
        <v>4</v>
      </c>
      <c r="C68" s="24" t="s">
        <v>33</v>
      </c>
    </row>
    <row r="69" spans="1:8" ht="15.35" x14ac:dyDescent="0.5">
      <c r="A69" s="11" t="s">
        <v>40</v>
      </c>
      <c r="B69" s="42">
        <v>200</v>
      </c>
      <c r="C69" s="24" t="s">
        <v>31</v>
      </c>
    </row>
    <row r="70" spans="1:8" ht="15.35" x14ac:dyDescent="0.5">
      <c r="A70" s="11" t="s">
        <v>41</v>
      </c>
      <c r="B70" s="42">
        <v>450</v>
      </c>
      <c r="C70" s="24" t="s">
        <v>31</v>
      </c>
    </row>
    <row r="71" spans="1:8" ht="15.7" customHeight="1" x14ac:dyDescent="0.5">
      <c r="A71" s="11" t="s">
        <v>219</v>
      </c>
      <c r="B71" s="42">
        <v>100</v>
      </c>
      <c r="C71" s="24" t="s">
        <v>31</v>
      </c>
    </row>
    <row r="72" spans="1:8" ht="15.7" customHeight="1" x14ac:dyDescent="0.5">
      <c r="A72" s="11" t="s">
        <v>215</v>
      </c>
      <c r="B72" s="42">
        <v>0</v>
      </c>
      <c r="C72" s="24"/>
    </row>
    <row r="73" spans="1:8" ht="18" x14ac:dyDescent="0.6">
      <c r="A73" s="11" t="s">
        <v>211</v>
      </c>
      <c r="B73" s="210">
        <v>0.02</v>
      </c>
    </row>
    <row r="74" spans="1:8" ht="18" x14ac:dyDescent="0.6">
      <c r="A74" s="11" t="s">
        <v>51</v>
      </c>
      <c r="B74" s="209">
        <v>1.5</v>
      </c>
      <c r="C74" s="204"/>
    </row>
    <row r="75" spans="1:8" ht="18" x14ac:dyDescent="0.6">
      <c r="A75" s="11" t="s">
        <v>49</v>
      </c>
      <c r="B75" s="210">
        <v>0.1</v>
      </c>
      <c r="C75" s="204"/>
    </row>
    <row r="78" spans="1:8" ht="17.7" x14ac:dyDescent="0.55000000000000004">
      <c r="A78" s="105" t="s">
        <v>201</v>
      </c>
      <c r="B78" s="36"/>
      <c r="C78" s="37"/>
      <c r="D78" s="38"/>
      <c r="E78" s="24"/>
      <c r="F78" s="11"/>
      <c r="G78" s="128"/>
    </row>
    <row r="79" spans="1:8" ht="15.75" customHeight="1" x14ac:dyDescent="0.55000000000000004">
      <c r="A79" s="39" t="s">
        <v>213</v>
      </c>
      <c r="B79" s="40"/>
      <c r="C79" s="40"/>
      <c r="D79" s="40"/>
      <c r="E79" s="40"/>
      <c r="F79" s="40"/>
      <c r="G79" s="40"/>
      <c r="H79" s="40"/>
    </row>
    <row r="80" spans="1:8" ht="14.7" thickBot="1" x14ac:dyDescent="0.55000000000000004"/>
    <row r="81" spans="1:7" ht="18" thickBot="1" x14ac:dyDescent="0.6">
      <c r="A81" s="43" t="s">
        <v>42</v>
      </c>
      <c r="B81" s="44"/>
    </row>
    <row r="83" spans="1:7" ht="17.7" x14ac:dyDescent="0.55000000000000004">
      <c r="A83" s="105" t="s">
        <v>43</v>
      </c>
    </row>
    <row r="84" spans="1:7" ht="17.7" x14ac:dyDescent="0.55000000000000004">
      <c r="A84" s="7" t="s">
        <v>214</v>
      </c>
    </row>
    <row r="85" spans="1:7" ht="15.35" x14ac:dyDescent="0.5">
      <c r="B85" s="36"/>
      <c r="C85" s="37"/>
      <c r="G85" s="128"/>
    </row>
    <row r="88" spans="1:7" ht="14.7" thickBot="1" x14ac:dyDescent="0.55000000000000004">
      <c r="B88" s="126"/>
      <c r="C88" s="132"/>
    </row>
    <row r="89" spans="1:7" ht="18" thickBot="1" x14ac:dyDescent="0.6">
      <c r="A89" s="43" t="s">
        <v>42</v>
      </c>
      <c r="B89" s="45"/>
      <c r="C89" s="132"/>
    </row>
    <row r="90" spans="1:7" x14ac:dyDescent="0.5">
      <c r="B90" s="126"/>
      <c r="C90" s="132"/>
    </row>
    <row r="91" spans="1:7" ht="17.7" x14ac:dyDescent="0.55000000000000004">
      <c r="A91" s="105" t="s">
        <v>207</v>
      </c>
      <c r="B91" s="36"/>
      <c r="C91" s="37"/>
      <c r="G91" s="128"/>
    </row>
    <row r="92" spans="1:7" ht="17.7" x14ac:dyDescent="0.55000000000000004">
      <c r="A92" s="7" t="s">
        <v>216</v>
      </c>
    </row>
    <row r="93" spans="1:7" ht="17.7" x14ac:dyDescent="0.55000000000000004">
      <c r="A93" s="7"/>
    </row>
    <row r="94" spans="1:7" x14ac:dyDescent="0.5">
      <c r="B94" s="124"/>
    </row>
    <row r="95" spans="1:7" ht="18" x14ac:dyDescent="0.6">
      <c r="B95" s="208"/>
      <c r="C95" s="208"/>
      <c r="D95" s="208" t="s">
        <v>77</v>
      </c>
    </row>
    <row r="96" spans="1:7" ht="18.350000000000001" thickBot="1" x14ac:dyDescent="0.65">
      <c r="A96" s="207" t="s">
        <v>206</v>
      </c>
      <c r="B96" s="246" t="s">
        <v>202</v>
      </c>
      <c r="C96" s="246" t="s">
        <v>203</v>
      </c>
      <c r="D96" s="246" t="s">
        <v>204</v>
      </c>
    </row>
    <row r="97" spans="1:8" ht="18.350000000000001" thickBot="1" x14ac:dyDescent="0.65">
      <c r="A97" s="206" t="s">
        <v>98</v>
      </c>
      <c r="B97" s="221">
        <v>350</v>
      </c>
      <c r="C97" s="221">
        <v>400</v>
      </c>
      <c r="D97" s="221">
        <v>450</v>
      </c>
      <c r="F97" s="43" t="s">
        <v>42</v>
      </c>
      <c r="G97" s="45"/>
    </row>
    <row r="98" spans="1:8" ht="18" x14ac:dyDescent="0.6">
      <c r="A98" s="206" t="s">
        <v>205</v>
      </c>
      <c r="B98" s="129"/>
      <c r="C98" s="221"/>
      <c r="D98" s="221">
        <v>5500</v>
      </c>
    </row>
    <row r="99" spans="1:8" x14ac:dyDescent="0.5">
      <c r="B99" s="126"/>
      <c r="C99" s="132"/>
    </row>
    <row r="100" spans="1:8" ht="17.7" x14ac:dyDescent="0.55000000000000004">
      <c r="A100" s="105" t="s">
        <v>103</v>
      </c>
      <c r="B100" s="36"/>
      <c r="C100" s="37"/>
      <c r="D100" s="38"/>
      <c r="E100" s="24"/>
      <c r="F100" s="11"/>
      <c r="G100" s="128"/>
    </row>
    <row r="101" spans="1:8" ht="17.7" x14ac:dyDescent="0.55000000000000004">
      <c r="A101" s="46" t="s">
        <v>44</v>
      </c>
      <c r="B101" s="47"/>
      <c r="C101" s="47"/>
      <c r="D101" s="47"/>
      <c r="E101" s="47"/>
      <c r="F101" s="47"/>
      <c r="G101" s="47"/>
      <c r="H101" s="47"/>
    </row>
    <row r="102" spans="1:8" ht="15" customHeight="1" x14ac:dyDescent="0.5">
      <c r="A102" s="48" t="s">
        <v>45</v>
      </c>
    </row>
    <row r="103" spans="1:8" ht="6" customHeight="1" x14ac:dyDescent="0.5"/>
    <row r="104" spans="1:8" ht="15" customHeight="1" x14ac:dyDescent="0.5">
      <c r="A104" s="133" t="s">
        <v>46</v>
      </c>
      <c r="B104" s="133"/>
      <c r="C104" s="134">
        <v>0.05</v>
      </c>
      <c r="E104" s="135" t="s">
        <v>47</v>
      </c>
      <c r="F104" s="136">
        <v>0.02</v>
      </c>
    </row>
    <row r="105" spans="1:8" ht="15" customHeight="1" x14ac:dyDescent="0.5">
      <c r="A105" s="133" t="s">
        <v>48</v>
      </c>
      <c r="B105" s="133"/>
      <c r="C105" s="134">
        <v>0.5</v>
      </c>
      <c r="E105" s="137" t="s">
        <v>49</v>
      </c>
      <c r="F105" s="136">
        <v>0.12</v>
      </c>
    </row>
    <row r="106" spans="1:8" ht="15" customHeight="1" x14ac:dyDescent="0.5">
      <c r="A106" s="133" t="s">
        <v>50</v>
      </c>
      <c r="B106" s="133"/>
      <c r="C106" s="134">
        <v>0.15</v>
      </c>
      <c r="E106" s="135" t="s">
        <v>51</v>
      </c>
      <c r="F106" s="138">
        <v>2.1</v>
      </c>
    </row>
    <row r="107" spans="1:8" ht="15" customHeight="1" x14ac:dyDescent="0.5">
      <c r="A107" s="133" t="s">
        <v>52</v>
      </c>
      <c r="B107" s="133"/>
      <c r="C107" s="134">
        <v>0.05</v>
      </c>
    </row>
    <row r="108" spans="1:8" ht="15" customHeight="1" x14ac:dyDescent="0.5">
      <c r="A108" s="133" t="s">
        <v>53</v>
      </c>
      <c r="B108" s="133"/>
      <c r="C108" s="134">
        <v>0.25</v>
      </c>
    </row>
    <row r="109" spans="1:8" ht="15" customHeight="1" x14ac:dyDescent="0.5">
      <c r="A109" s="139" t="s">
        <v>54</v>
      </c>
      <c r="B109" s="140"/>
      <c r="C109" s="134">
        <v>0.01</v>
      </c>
    </row>
    <row r="110" spans="1:8" ht="15" customHeight="1" x14ac:dyDescent="0.5">
      <c r="A110" s="133" t="s">
        <v>55</v>
      </c>
      <c r="B110" s="133"/>
      <c r="C110" s="134">
        <v>0.05</v>
      </c>
    </row>
    <row r="111" spans="1:8" ht="15" customHeight="1" x14ac:dyDescent="0.5">
      <c r="A111" s="133" t="s">
        <v>209</v>
      </c>
      <c r="B111" s="133"/>
      <c r="C111" s="227">
        <v>10000</v>
      </c>
      <c r="D111" s="126" t="s">
        <v>194</v>
      </c>
    </row>
    <row r="112" spans="1:8" ht="9" customHeight="1" x14ac:dyDescent="0.5"/>
    <row r="113" spans="1:9" ht="14.25" customHeight="1" x14ac:dyDescent="0.5">
      <c r="A113" s="121" t="s">
        <v>56</v>
      </c>
    </row>
    <row r="114" spans="1:9" ht="38.450000000000003" customHeight="1" x14ac:dyDescent="0.5">
      <c r="A114" s="231" t="s">
        <v>57</v>
      </c>
      <c r="B114" s="228" t="s">
        <v>58</v>
      </c>
      <c r="C114" s="232" t="s">
        <v>59</v>
      </c>
      <c r="D114" s="233" t="s">
        <v>60</v>
      </c>
      <c r="E114" s="233" t="s">
        <v>61</v>
      </c>
      <c r="F114" s="233" t="s">
        <v>62</v>
      </c>
      <c r="G114" s="234" t="s">
        <v>63</v>
      </c>
      <c r="I114" s="126"/>
    </row>
    <row r="115" spans="1:9" ht="27.75" customHeight="1" x14ac:dyDescent="0.5">
      <c r="A115" s="141" t="s">
        <v>64</v>
      </c>
      <c r="B115" s="142">
        <v>160000</v>
      </c>
      <c r="C115" s="49"/>
      <c r="D115" s="143">
        <v>0.06</v>
      </c>
      <c r="E115" s="50"/>
      <c r="F115" s="51"/>
      <c r="G115" s="52"/>
      <c r="I115" s="126"/>
    </row>
    <row r="116" spans="1:9" ht="27.75" customHeight="1" thickBot="1" x14ac:dyDescent="0.55000000000000004">
      <c r="A116" s="141" t="s">
        <v>65</v>
      </c>
      <c r="B116" s="142">
        <v>50000</v>
      </c>
      <c r="C116" s="49"/>
      <c r="D116" s="143">
        <v>0.09</v>
      </c>
      <c r="E116" s="50"/>
      <c r="F116" s="51"/>
      <c r="G116" s="52"/>
      <c r="I116" s="126"/>
    </row>
    <row r="117" spans="1:9" ht="27.75" customHeight="1" thickBot="1" x14ac:dyDescent="0.55000000000000004">
      <c r="A117" s="141" t="s">
        <v>66</v>
      </c>
      <c r="B117" s="144">
        <v>140000</v>
      </c>
      <c r="C117" s="49"/>
      <c r="D117" s="53"/>
      <c r="E117" s="51"/>
      <c r="F117" s="51"/>
      <c r="G117" s="52"/>
      <c r="I117" s="126"/>
    </row>
    <row r="118" spans="1:9" ht="27.75" customHeight="1" thickBot="1" x14ac:dyDescent="0.55000000000000004">
      <c r="A118" s="141" t="s">
        <v>67</v>
      </c>
      <c r="B118" s="145">
        <f>SUM(B115:B117)</f>
        <v>350000</v>
      </c>
      <c r="C118" s="54"/>
      <c r="F118" s="53"/>
      <c r="G118" s="55"/>
      <c r="I118" s="126"/>
    </row>
    <row r="119" spans="1:9" ht="13.5" customHeight="1" thickTop="1" x14ac:dyDescent="0.5">
      <c r="A119" s="146"/>
      <c r="B119" s="146"/>
      <c r="C119" s="126"/>
      <c r="D119" s="146"/>
      <c r="E119" s="146"/>
      <c r="F119" s="146"/>
      <c r="G119" s="126"/>
      <c r="H119" s="126"/>
      <c r="I119" s="126"/>
    </row>
    <row r="120" spans="1:9" ht="19.5" customHeight="1" x14ac:dyDescent="0.5">
      <c r="A120" s="244"/>
      <c r="B120" s="245"/>
      <c r="C120" s="228" t="s">
        <v>238</v>
      </c>
      <c r="D120" s="228" t="s">
        <v>202</v>
      </c>
      <c r="E120" s="228" t="s">
        <v>203</v>
      </c>
      <c r="F120" s="228" t="s">
        <v>204</v>
      </c>
      <c r="G120" s="228" t="s">
        <v>239</v>
      </c>
      <c r="H120" s="228" t="s">
        <v>240</v>
      </c>
      <c r="I120" s="126"/>
    </row>
    <row r="121" spans="1:9" ht="12" customHeight="1" x14ac:dyDescent="0.5">
      <c r="A121" s="57" t="s">
        <v>68</v>
      </c>
      <c r="B121" s="122"/>
      <c r="C121" s="146"/>
      <c r="D121" s="146"/>
      <c r="E121" s="146"/>
      <c r="F121" s="146"/>
      <c r="G121" s="146"/>
      <c r="H121" s="146"/>
      <c r="I121" s="126"/>
    </row>
    <row r="122" spans="1:9" ht="20.7" customHeight="1" x14ac:dyDescent="0.5">
      <c r="A122" s="147" t="s">
        <v>69</v>
      </c>
      <c r="B122" s="147"/>
      <c r="C122" s="58"/>
      <c r="D122" s="58"/>
      <c r="E122" s="58"/>
      <c r="F122" s="58"/>
      <c r="G122" s="58"/>
      <c r="H122" s="58"/>
      <c r="I122" s="126"/>
    </row>
    <row r="123" spans="1:9" ht="20.7" customHeight="1" x14ac:dyDescent="0.5">
      <c r="A123" s="148" t="s">
        <v>70</v>
      </c>
      <c r="B123" s="149"/>
      <c r="C123" s="59"/>
      <c r="D123" s="58">
        <v>15000</v>
      </c>
      <c r="E123" s="58">
        <v>20000</v>
      </c>
      <c r="F123" s="58">
        <v>25000</v>
      </c>
      <c r="G123" s="58">
        <v>20000</v>
      </c>
      <c r="H123" s="58">
        <v>80000</v>
      </c>
      <c r="I123" s="126"/>
    </row>
    <row r="124" spans="1:9" ht="20.7" customHeight="1" x14ac:dyDescent="0.5">
      <c r="A124" s="150" t="s">
        <v>71</v>
      </c>
      <c r="B124" s="151"/>
      <c r="C124" s="59"/>
      <c r="D124" s="58"/>
      <c r="E124" s="58"/>
      <c r="F124" s="58"/>
      <c r="G124" s="58"/>
      <c r="H124" s="58"/>
      <c r="I124" s="126"/>
    </row>
    <row r="125" spans="1:9" ht="20.7" customHeight="1" thickBot="1" x14ac:dyDescent="0.55000000000000004">
      <c r="A125" s="148" t="s">
        <v>72</v>
      </c>
      <c r="B125" s="152"/>
      <c r="C125" s="58"/>
      <c r="D125" s="60"/>
      <c r="E125" s="60"/>
      <c r="F125" s="60"/>
      <c r="G125" s="60"/>
      <c r="H125" s="60"/>
      <c r="I125" s="126"/>
    </row>
    <row r="126" spans="1:9" ht="20.7" customHeight="1" thickTop="1" x14ac:dyDescent="0.5">
      <c r="A126" s="52"/>
      <c r="B126" s="52"/>
      <c r="C126" s="52"/>
      <c r="D126" s="52"/>
      <c r="E126" s="52"/>
      <c r="F126" s="52"/>
      <c r="G126" s="52"/>
      <c r="H126" s="52"/>
      <c r="I126" s="126"/>
    </row>
    <row r="127" spans="1:9" ht="20.7" customHeight="1" x14ac:dyDescent="0.5">
      <c r="A127" s="61" t="s">
        <v>73</v>
      </c>
      <c r="B127" s="153"/>
      <c r="C127" s="29"/>
      <c r="D127" s="29"/>
      <c r="E127" s="29"/>
      <c r="F127" s="29"/>
      <c r="G127" s="29"/>
      <c r="H127" s="29"/>
      <c r="I127" s="126"/>
    </row>
    <row r="128" spans="1:9" ht="20.7" customHeight="1" x14ac:dyDescent="0.5">
      <c r="A128" s="154" t="s">
        <v>69</v>
      </c>
      <c r="B128" s="155"/>
      <c r="C128" s="62"/>
      <c r="D128" s="58"/>
      <c r="E128" s="58"/>
      <c r="F128" s="58"/>
      <c r="G128" s="58"/>
      <c r="H128" s="58"/>
      <c r="I128" s="126"/>
    </row>
    <row r="129" spans="1:21" ht="20.7" customHeight="1" x14ac:dyDescent="0.5">
      <c r="A129" s="148" t="s">
        <v>70</v>
      </c>
      <c r="B129" s="152"/>
      <c r="C129" s="63"/>
      <c r="D129" s="64">
        <v>0</v>
      </c>
      <c r="E129" s="65">
        <v>0</v>
      </c>
      <c r="F129" s="65">
        <v>0</v>
      </c>
      <c r="G129" s="65">
        <v>0</v>
      </c>
      <c r="H129" s="58">
        <v>50000</v>
      </c>
      <c r="I129" s="126"/>
    </row>
    <row r="130" spans="1:21" ht="20.7" customHeight="1" x14ac:dyDescent="0.5">
      <c r="A130" s="150" t="s">
        <v>71</v>
      </c>
      <c r="B130" s="156"/>
      <c r="C130" s="66"/>
      <c r="D130" s="58"/>
      <c r="E130" s="58"/>
      <c r="F130" s="58"/>
      <c r="G130" s="58"/>
      <c r="H130" s="58"/>
      <c r="I130" s="126"/>
    </row>
    <row r="131" spans="1:21" ht="20.7" customHeight="1" thickBot="1" x14ac:dyDescent="0.55000000000000004">
      <c r="A131" s="148" t="s">
        <v>72</v>
      </c>
      <c r="B131" s="152"/>
      <c r="C131" s="59"/>
      <c r="D131" s="60"/>
      <c r="E131" s="60"/>
      <c r="F131" s="60"/>
      <c r="G131" s="60"/>
      <c r="H131" s="60"/>
      <c r="I131" s="126"/>
    </row>
    <row r="132" spans="1:21" ht="20.7" customHeight="1" thickTop="1" x14ac:dyDescent="0.5">
      <c r="A132" s="67"/>
      <c r="B132" s="156"/>
      <c r="C132" s="29"/>
      <c r="D132" s="29"/>
      <c r="E132" s="29"/>
      <c r="F132" s="29"/>
      <c r="G132" s="29"/>
      <c r="H132" s="29"/>
      <c r="I132" s="126"/>
    </row>
    <row r="133" spans="1:21" ht="20.7" customHeight="1" x14ac:dyDescent="0.5">
      <c r="A133" s="148" t="s">
        <v>75</v>
      </c>
      <c r="B133" s="149"/>
      <c r="C133" s="68"/>
      <c r="D133" s="59">
        <f>+D131+D125</f>
        <v>0</v>
      </c>
      <c r="E133" s="59">
        <f>+E131+E125</f>
        <v>0</v>
      </c>
      <c r="F133" s="59">
        <f>+F131+F125</f>
        <v>0</v>
      </c>
      <c r="G133" s="59">
        <f>+G131+G125</f>
        <v>0</v>
      </c>
      <c r="H133" s="59">
        <f>+H131+H125</f>
        <v>0</v>
      </c>
      <c r="I133" s="126"/>
    </row>
    <row r="134" spans="1:21" ht="20.7" customHeight="1" thickBot="1" x14ac:dyDescent="0.55000000000000004">
      <c r="A134" s="148" t="s">
        <v>76</v>
      </c>
      <c r="B134" s="140"/>
      <c r="C134" s="69"/>
      <c r="D134" s="60">
        <f>+D128+D122</f>
        <v>0</v>
      </c>
      <c r="E134" s="60">
        <f>+E128+E122</f>
        <v>0</v>
      </c>
      <c r="F134" s="62">
        <f>+F128+F122</f>
        <v>0</v>
      </c>
      <c r="G134" s="60">
        <f>+G128+G122</f>
        <v>0</v>
      </c>
      <c r="H134" s="60">
        <f>+H128+H122</f>
        <v>0</v>
      </c>
      <c r="I134" s="126"/>
    </row>
    <row r="135" spans="1:21" ht="13.5" customHeight="1" thickTop="1" x14ac:dyDescent="0.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</row>
    <row r="136" spans="1:21" ht="24.75" customHeight="1" x14ac:dyDescent="0.5">
      <c r="A136" s="71"/>
      <c r="B136" s="157"/>
      <c r="C136" s="228" t="s">
        <v>238</v>
      </c>
      <c r="D136" s="228" t="s">
        <v>202</v>
      </c>
      <c r="E136" s="228" t="s">
        <v>203</v>
      </c>
      <c r="F136" s="228" t="s">
        <v>204</v>
      </c>
      <c r="G136" s="228" t="s">
        <v>239</v>
      </c>
      <c r="H136" s="126"/>
      <c r="I136" s="126"/>
    </row>
    <row r="137" spans="1:21" ht="27.75" customHeight="1" x14ac:dyDescent="0.5">
      <c r="A137" s="158" t="s">
        <v>78</v>
      </c>
      <c r="B137" s="159"/>
      <c r="C137" s="58">
        <v>240000</v>
      </c>
      <c r="D137" s="58"/>
      <c r="E137" s="72"/>
      <c r="F137" s="73"/>
      <c r="G137" s="59"/>
      <c r="H137" s="126"/>
      <c r="I137" s="126"/>
    </row>
    <row r="138" spans="1:21" ht="27.75" customHeight="1" x14ac:dyDescent="0.5">
      <c r="A138" s="148" t="s">
        <v>79</v>
      </c>
      <c r="B138" s="149"/>
      <c r="C138" s="140"/>
      <c r="D138" s="58"/>
      <c r="E138" s="72"/>
      <c r="F138" s="73"/>
      <c r="G138" s="59"/>
      <c r="H138" s="126"/>
      <c r="I138" s="126"/>
    </row>
    <row r="139" spans="1:21" ht="27.75" customHeight="1" x14ac:dyDescent="0.5">
      <c r="A139" s="148" t="s">
        <v>80</v>
      </c>
      <c r="B139" s="149"/>
      <c r="C139" s="140"/>
      <c r="D139" s="74"/>
      <c r="E139" s="75"/>
      <c r="F139" s="76"/>
      <c r="G139" s="66"/>
      <c r="H139" s="160"/>
      <c r="I139" s="126"/>
    </row>
    <row r="140" spans="1:21" ht="27.75" customHeight="1" thickBot="1" x14ac:dyDescent="0.55000000000000004">
      <c r="A140" s="77" t="s">
        <v>81</v>
      </c>
      <c r="B140" s="159"/>
      <c r="C140" s="60">
        <v>70000</v>
      </c>
      <c r="D140" s="62"/>
      <c r="E140" s="78"/>
      <c r="F140" s="79"/>
      <c r="G140" s="80"/>
      <c r="H140" s="160"/>
      <c r="I140" s="126"/>
    </row>
    <row r="141" spans="1:21" ht="27.75" customHeight="1" thickTop="1" x14ac:dyDescent="0.5">
      <c r="A141" s="81" t="s">
        <v>82</v>
      </c>
      <c r="B141" s="161"/>
      <c r="C141" s="162"/>
      <c r="D141" s="58"/>
      <c r="E141" s="72"/>
      <c r="F141" s="73"/>
      <c r="G141" s="59"/>
      <c r="H141" s="146"/>
      <c r="I141" s="126"/>
    </row>
    <row r="142" spans="1:21" ht="27.75" customHeight="1" thickBot="1" x14ac:dyDescent="0.55000000000000004">
      <c r="A142" s="75" t="s">
        <v>83</v>
      </c>
      <c r="B142" s="163"/>
      <c r="C142" s="164"/>
      <c r="D142" s="82"/>
      <c r="E142" s="83"/>
      <c r="F142" s="84"/>
      <c r="G142" s="85"/>
      <c r="H142" s="146"/>
      <c r="I142" s="126"/>
    </row>
    <row r="143" spans="1:21" ht="27.75" customHeight="1" x14ac:dyDescent="0.5">
      <c r="A143" s="81" t="s">
        <v>84</v>
      </c>
      <c r="B143" s="161"/>
      <c r="C143" s="162"/>
      <c r="D143" s="74"/>
      <c r="E143" s="75"/>
      <c r="F143" s="76"/>
      <c r="G143" s="66"/>
      <c r="H143" s="160"/>
      <c r="I143" s="126"/>
    </row>
    <row r="144" spans="1:21" ht="27.75" customHeight="1" x14ac:dyDescent="0.5">
      <c r="A144" s="158" t="s">
        <v>85</v>
      </c>
      <c r="B144" s="165"/>
      <c r="C144" s="166"/>
      <c r="D144" s="58"/>
      <c r="E144" s="72"/>
      <c r="F144" s="73"/>
      <c r="G144" s="59"/>
      <c r="H144" s="160"/>
      <c r="I144" s="126"/>
    </row>
    <row r="145" spans="1:9" ht="27.75" customHeight="1" x14ac:dyDescent="0.5">
      <c r="A145" s="158" t="s">
        <v>86</v>
      </c>
      <c r="B145" s="167"/>
      <c r="C145" s="166"/>
      <c r="D145" s="58"/>
      <c r="E145" s="72"/>
      <c r="F145" s="73"/>
      <c r="G145" s="59"/>
      <c r="H145" s="160"/>
      <c r="I145" s="126"/>
    </row>
    <row r="146" spans="1:9" ht="27.75" customHeight="1" x14ac:dyDescent="0.5">
      <c r="A146" s="144" t="s">
        <v>87</v>
      </c>
      <c r="B146" s="168"/>
      <c r="C146" s="169"/>
      <c r="D146" s="62"/>
      <c r="E146" s="78"/>
      <c r="F146" s="79"/>
      <c r="G146" s="80"/>
      <c r="H146" s="160"/>
      <c r="I146" s="126"/>
    </row>
    <row r="147" spans="1:9" ht="27.75" customHeight="1" thickBot="1" x14ac:dyDescent="0.55000000000000004">
      <c r="A147" s="158" t="s">
        <v>88</v>
      </c>
      <c r="B147" s="167"/>
      <c r="C147" s="166"/>
      <c r="D147" s="82"/>
      <c r="E147" s="83"/>
      <c r="F147" s="84"/>
      <c r="G147" s="85"/>
      <c r="H147" s="160"/>
      <c r="I147" s="126"/>
    </row>
    <row r="148" spans="1:9" ht="27.75" customHeight="1" x14ac:dyDescent="0.5">
      <c r="A148" s="81" t="s">
        <v>89</v>
      </c>
      <c r="B148" s="86"/>
      <c r="C148" s="162"/>
      <c r="D148" s="74"/>
      <c r="E148" s="75"/>
      <c r="F148" s="76"/>
      <c r="G148" s="66"/>
      <c r="H148" s="126"/>
      <c r="I148" s="126"/>
    </row>
    <row r="149" spans="1:9" ht="27.75" customHeight="1" x14ac:dyDescent="0.5">
      <c r="A149" s="170" t="s">
        <v>90</v>
      </c>
      <c r="B149" s="171"/>
      <c r="C149" s="172"/>
      <c r="D149" s="58"/>
      <c r="E149" s="72"/>
      <c r="F149" s="73"/>
      <c r="G149" s="59"/>
      <c r="H149" s="126"/>
      <c r="I149" s="126"/>
    </row>
    <row r="150" spans="1:9" ht="27.75" customHeight="1" thickBot="1" x14ac:dyDescent="0.55000000000000004">
      <c r="A150" s="170" t="s">
        <v>91</v>
      </c>
      <c r="B150" s="171"/>
      <c r="C150" s="172"/>
      <c r="D150" s="58"/>
      <c r="E150" s="58"/>
      <c r="F150" s="279"/>
      <c r="G150" s="88"/>
      <c r="H150" s="126"/>
      <c r="I150" s="126"/>
    </row>
    <row r="151" spans="1:9" ht="27.75" customHeight="1" thickTop="1" thickBot="1" x14ac:dyDescent="0.55000000000000004">
      <c r="A151" s="278"/>
      <c r="B151" s="278"/>
      <c r="C151" s="278"/>
      <c r="D151" s="278"/>
      <c r="E151" s="278"/>
      <c r="F151" s="52"/>
      <c r="G151" s="52"/>
      <c r="H151" s="52"/>
      <c r="I151" s="126"/>
    </row>
    <row r="152" spans="1:9" ht="15.75" customHeight="1" x14ac:dyDescent="0.5">
      <c r="A152" s="278"/>
      <c r="B152" s="278"/>
      <c r="C152" s="278"/>
      <c r="D152" s="278"/>
      <c r="E152" s="278"/>
      <c r="F152" s="281" t="s">
        <v>77</v>
      </c>
      <c r="G152" s="52"/>
      <c r="H152" s="52"/>
      <c r="I152" s="126"/>
    </row>
    <row r="153" spans="1:9" ht="27.75" customHeight="1" x14ac:dyDescent="0.5">
      <c r="A153" s="90" t="s">
        <v>92</v>
      </c>
      <c r="B153" s="173"/>
      <c r="C153" s="277" t="s">
        <v>238</v>
      </c>
      <c r="D153" s="277" t="s">
        <v>202</v>
      </c>
      <c r="E153" s="280" t="s">
        <v>203</v>
      </c>
      <c r="F153" s="228" t="s">
        <v>204</v>
      </c>
      <c r="G153" s="52"/>
      <c r="H153" s="52"/>
      <c r="I153" s="126"/>
    </row>
    <row r="154" spans="1:9" ht="27.75" customHeight="1" x14ac:dyDescent="0.5">
      <c r="A154" s="147" t="s">
        <v>93</v>
      </c>
      <c r="B154" s="147"/>
      <c r="C154" s="133"/>
      <c r="D154" s="133"/>
      <c r="E154" s="29"/>
      <c r="F154" s="282"/>
      <c r="G154" s="52"/>
      <c r="H154" s="52"/>
      <c r="I154" s="126"/>
    </row>
    <row r="155" spans="1:9" ht="27.75" customHeight="1" thickBot="1" x14ac:dyDescent="0.55000000000000004">
      <c r="A155" s="147" t="s">
        <v>94</v>
      </c>
      <c r="B155" s="147"/>
      <c r="C155" s="133"/>
      <c r="D155" s="133"/>
      <c r="E155" s="29"/>
      <c r="F155" s="283"/>
      <c r="G155" s="126"/>
      <c r="H155" s="126"/>
      <c r="I155" s="126"/>
    </row>
    <row r="156" spans="1:9" ht="27.75" customHeight="1" x14ac:dyDescent="0.5">
      <c r="A156" s="147" t="s">
        <v>95</v>
      </c>
      <c r="B156" s="147"/>
      <c r="C156" s="133"/>
      <c r="D156" s="133"/>
      <c r="E156" s="29"/>
      <c r="F156" s="284"/>
      <c r="G156" s="126"/>
      <c r="H156" s="126"/>
      <c r="I156" s="126"/>
    </row>
    <row r="157" spans="1:9" ht="27.75" customHeight="1" thickBot="1" x14ac:dyDescent="0.55000000000000004">
      <c r="A157" s="147" t="s">
        <v>96</v>
      </c>
      <c r="B157" s="147"/>
      <c r="C157" s="133"/>
      <c r="D157" s="133"/>
      <c r="E157" s="29"/>
      <c r="F157" s="283"/>
      <c r="G157" s="126"/>
      <c r="H157" s="126"/>
      <c r="I157" s="126"/>
    </row>
    <row r="158" spans="1:9" ht="27.75" customHeight="1" x14ac:dyDescent="0.5">
      <c r="A158" s="147" t="s">
        <v>97</v>
      </c>
      <c r="B158" s="147"/>
      <c r="C158" s="133"/>
      <c r="D158" s="133"/>
      <c r="E158" s="29"/>
      <c r="F158" s="284"/>
      <c r="G158" s="126"/>
      <c r="H158" s="126"/>
      <c r="I158" s="126"/>
    </row>
    <row r="159" spans="1:9" ht="12" customHeight="1" x14ac:dyDescent="0.5">
      <c r="A159" s="126"/>
      <c r="B159" s="126"/>
      <c r="C159" s="126"/>
      <c r="D159" s="91"/>
      <c r="E159" s="91"/>
      <c r="F159" s="285"/>
      <c r="G159" s="126"/>
      <c r="H159" s="126"/>
      <c r="I159" s="126"/>
    </row>
    <row r="160" spans="1:9" ht="27.75" customHeight="1" x14ac:dyDescent="0.5">
      <c r="A160" s="93" t="s">
        <v>98</v>
      </c>
      <c r="B160" s="140"/>
      <c r="C160" s="58"/>
      <c r="D160" s="58"/>
      <c r="E160" s="72"/>
      <c r="F160" s="282"/>
      <c r="G160" s="126"/>
      <c r="H160" s="126"/>
      <c r="I160" s="126"/>
    </row>
    <row r="161" spans="1:9" ht="27.75" customHeight="1" thickBot="1" x14ac:dyDescent="0.55000000000000004">
      <c r="A161" s="94" t="s">
        <v>99</v>
      </c>
      <c r="B161" s="58"/>
      <c r="C161" s="58"/>
      <c r="D161" s="58"/>
      <c r="E161" s="72"/>
      <c r="F161" s="283"/>
      <c r="G161" s="126"/>
      <c r="H161" s="126"/>
      <c r="I161" s="126"/>
    </row>
    <row r="162" spans="1:9" ht="27.75" customHeight="1" thickBot="1" x14ac:dyDescent="0.55000000000000004">
      <c r="A162" s="94" t="s">
        <v>195</v>
      </c>
      <c r="B162" s="95"/>
      <c r="C162" s="94"/>
      <c r="D162" s="153"/>
      <c r="E162" s="153"/>
      <c r="F162" s="153"/>
      <c r="G162" s="126"/>
      <c r="H162" s="126"/>
      <c r="I162" s="126"/>
    </row>
    <row r="163" spans="1:9" ht="27.75" customHeight="1" thickTop="1" x14ac:dyDescent="0.5">
      <c r="A163" s="94" t="s">
        <v>196</v>
      </c>
      <c r="B163" s="74"/>
      <c r="C163" s="174"/>
      <c r="D163" s="153"/>
      <c r="E163" s="153"/>
      <c r="F163" s="153"/>
      <c r="G163" s="126"/>
      <c r="H163" s="126"/>
      <c r="I163" s="126"/>
    </row>
    <row r="164" spans="1:9" ht="9.75" customHeight="1" thickBot="1" x14ac:dyDescent="0.55000000000000004">
      <c r="A164" s="94"/>
      <c r="B164" s="29"/>
      <c r="C164" s="174"/>
      <c r="D164" s="153"/>
      <c r="E164" s="153"/>
      <c r="F164" s="153"/>
      <c r="G164" s="126"/>
      <c r="H164" s="126"/>
      <c r="I164" s="126"/>
    </row>
    <row r="165" spans="1:9" ht="27.75" customHeight="1" thickBot="1" x14ac:dyDescent="0.55000000000000004">
      <c r="A165" s="96" t="s">
        <v>100</v>
      </c>
      <c r="B165" s="97"/>
      <c r="C165" s="153"/>
      <c r="D165" s="153"/>
      <c r="E165" s="153"/>
      <c r="F165" s="153"/>
      <c r="G165" s="126"/>
      <c r="H165" s="126"/>
      <c r="I165" s="126"/>
    </row>
    <row r="166" spans="1:9" ht="15.35" x14ac:dyDescent="0.5">
      <c r="A166" s="99"/>
      <c r="B166" s="99"/>
      <c r="C166" s="126"/>
      <c r="D166" s="126"/>
      <c r="E166" s="126"/>
      <c r="F166" s="126"/>
      <c r="G166" s="126"/>
      <c r="H166" s="126"/>
      <c r="I166" s="126"/>
    </row>
    <row r="167" spans="1:9" ht="20.25" customHeight="1" x14ac:dyDescent="0.5">
      <c r="A167" s="198" t="s">
        <v>102</v>
      </c>
      <c r="B167" s="199"/>
      <c r="C167" s="199"/>
      <c r="D167" s="199"/>
      <c r="E167" s="199"/>
      <c r="F167" s="199"/>
      <c r="G167" s="199"/>
      <c r="H167" s="199"/>
      <c r="I167" s="199"/>
    </row>
    <row r="168" spans="1:9" x14ac:dyDescent="0.5">
      <c r="A168" s="126"/>
      <c r="B168" s="126"/>
      <c r="C168" s="126"/>
      <c r="D168" s="126"/>
      <c r="E168" s="126"/>
      <c r="F168" s="126"/>
      <c r="G168" s="126"/>
      <c r="H168" s="126"/>
      <c r="I168" s="126"/>
    </row>
    <row r="169" spans="1:9" ht="21.75" customHeight="1" x14ac:dyDescent="0.7">
      <c r="A169" s="105" t="s">
        <v>208</v>
      </c>
      <c r="B169" s="36"/>
      <c r="C169" s="37"/>
      <c r="D169" s="38"/>
      <c r="E169" s="24"/>
      <c r="F169" s="11"/>
      <c r="G169" s="128"/>
      <c r="H169" s="100"/>
      <c r="I169" s="126"/>
    </row>
    <row r="170" spans="1:9" ht="17.7" x14ac:dyDescent="0.55000000000000004">
      <c r="A170" s="46" t="s">
        <v>104</v>
      </c>
      <c r="B170" s="47"/>
      <c r="C170" s="47"/>
      <c r="D170" s="47"/>
      <c r="E170" s="47"/>
      <c r="F170" s="47"/>
      <c r="G170" s="47"/>
      <c r="H170" s="47"/>
      <c r="I170" s="126"/>
    </row>
    <row r="171" spans="1:9" ht="7.5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</row>
    <row r="172" spans="1:9" ht="15.35" x14ac:dyDescent="0.5">
      <c r="A172" s="253" t="s">
        <v>105</v>
      </c>
      <c r="B172" s="254"/>
      <c r="C172" s="254"/>
      <c r="D172" s="255"/>
      <c r="E172" s="256" t="s">
        <v>106</v>
      </c>
      <c r="F172" s="254"/>
      <c r="G172" s="254"/>
      <c r="H172" s="257"/>
    </row>
    <row r="173" spans="1:9" x14ac:dyDescent="0.5">
      <c r="A173" s="258"/>
      <c r="B173" s="259"/>
      <c r="C173" s="102">
        <v>2018</v>
      </c>
      <c r="D173" s="103">
        <v>2019</v>
      </c>
      <c r="E173" s="177"/>
      <c r="F173" s="259"/>
      <c r="G173" s="102">
        <f>+C173</f>
        <v>2018</v>
      </c>
      <c r="H173" s="260">
        <f>+D173</f>
        <v>2019</v>
      </c>
    </row>
    <row r="174" spans="1:9" x14ac:dyDescent="0.5">
      <c r="A174" s="261" t="s">
        <v>107</v>
      </c>
      <c r="B174" s="262"/>
      <c r="C174" s="262"/>
      <c r="D174" s="178"/>
      <c r="E174" s="104" t="s">
        <v>108</v>
      </c>
      <c r="F174" s="262"/>
      <c r="G174" s="262"/>
      <c r="H174" s="263"/>
    </row>
    <row r="175" spans="1:9" x14ac:dyDescent="0.5">
      <c r="A175" s="258" t="s">
        <v>109</v>
      </c>
      <c r="B175" s="264"/>
      <c r="C175" s="264">
        <v>67500</v>
      </c>
      <c r="D175" s="180">
        <v>96100</v>
      </c>
      <c r="E175" s="177" t="s">
        <v>110</v>
      </c>
      <c r="F175" s="264"/>
      <c r="G175" s="264">
        <v>1200000</v>
      </c>
      <c r="H175" s="265">
        <v>1400000</v>
      </c>
    </row>
    <row r="176" spans="1:9" x14ac:dyDescent="0.5">
      <c r="A176" s="258" t="s">
        <v>111</v>
      </c>
      <c r="B176" s="264"/>
      <c r="C176" s="264">
        <v>67500</v>
      </c>
      <c r="D176" s="180">
        <v>87000</v>
      </c>
      <c r="E176" s="177" t="s">
        <v>112</v>
      </c>
      <c r="F176" s="264"/>
      <c r="G176" s="264">
        <v>180000</v>
      </c>
      <c r="H176" s="265">
        <v>210000</v>
      </c>
    </row>
    <row r="177" spans="1:8" x14ac:dyDescent="0.5">
      <c r="A177" s="258" t="s">
        <v>113</v>
      </c>
      <c r="B177" s="264"/>
      <c r="C177" s="264">
        <v>52500</v>
      </c>
      <c r="D177" s="180">
        <v>55000</v>
      </c>
      <c r="E177" s="177" t="s">
        <v>114</v>
      </c>
      <c r="F177" s="264"/>
      <c r="G177" s="181">
        <v>60000</v>
      </c>
      <c r="H177" s="266">
        <v>75000</v>
      </c>
    </row>
    <row r="178" spans="1:8" x14ac:dyDescent="0.5">
      <c r="A178" s="258" t="s">
        <v>115</v>
      </c>
      <c r="B178" s="264"/>
      <c r="C178" s="181">
        <v>15000</v>
      </c>
      <c r="D178" s="182">
        <v>13000</v>
      </c>
      <c r="E178" s="177" t="s">
        <v>116</v>
      </c>
      <c r="F178" s="267"/>
      <c r="G178" s="267">
        <f>SUM(G175:G177)</f>
        <v>1440000</v>
      </c>
      <c r="H178" s="268">
        <f>SUM(H175:H177)</f>
        <v>1685000</v>
      </c>
    </row>
    <row r="179" spans="1:8" x14ac:dyDescent="0.5">
      <c r="A179" s="258" t="s">
        <v>117</v>
      </c>
      <c r="B179" s="267"/>
      <c r="C179" s="267">
        <f>SUM(C175:C178)</f>
        <v>202500</v>
      </c>
      <c r="D179" s="184">
        <f>SUM(D175:D178)</f>
        <v>251100</v>
      </c>
      <c r="E179" s="177"/>
      <c r="F179" s="267"/>
      <c r="G179" s="267"/>
      <c r="H179" s="268"/>
    </row>
    <row r="180" spans="1:8" x14ac:dyDescent="0.5">
      <c r="A180" s="258"/>
      <c r="B180" s="267"/>
      <c r="C180" s="267"/>
      <c r="D180" s="184"/>
      <c r="E180" s="104" t="s">
        <v>118</v>
      </c>
      <c r="F180" s="267"/>
      <c r="G180" s="267"/>
      <c r="H180" s="268"/>
    </row>
    <row r="181" spans="1:8" x14ac:dyDescent="0.5">
      <c r="A181" s="261" t="s">
        <v>119</v>
      </c>
      <c r="B181" s="267"/>
      <c r="C181" s="267"/>
      <c r="D181" s="184"/>
      <c r="E181" s="177" t="s">
        <v>110</v>
      </c>
      <c r="F181" s="264"/>
      <c r="G181" s="264">
        <v>330000</v>
      </c>
      <c r="H181" s="265">
        <v>405000</v>
      </c>
    </row>
    <row r="182" spans="1:8" x14ac:dyDescent="0.5">
      <c r="A182" s="258" t="s">
        <v>120</v>
      </c>
      <c r="B182" s="264"/>
      <c r="C182" s="264">
        <v>3750000</v>
      </c>
      <c r="D182" s="184">
        <v>3750000</v>
      </c>
      <c r="E182" s="177" t="s">
        <v>112</v>
      </c>
      <c r="F182" s="264"/>
      <c r="G182" s="264">
        <v>150000</v>
      </c>
      <c r="H182" s="265">
        <v>172500</v>
      </c>
    </row>
    <row r="183" spans="1:8" x14ac:dyDescent="0.5">
      <c r="A183" s="258" t="s">
        <v>121</v>
      </c>
      <c r="B183" s="264"/>
      <c r="C183" s="264">
        <v>675000</v>
      </c>
      <c r="D183" s="180">
        <v>750000</v>
      </c>
      <c r="E183" s="177" t="s">
        <v>114</v>
      </c>
      <c r="F183" s="264"/>
      <c r="G183" s="181">
        <v>37500</v>
      </c>
      <c r="H183" s="266">
        <v>52500</v>
      </c>
    </row>
    <row r="184" spans="1:8" x14ac:dyDescent="0.5">
      <c r="A184" s="258" t="s">
        <v>122</v>
      </c>
      <c r="B184" s="264"/>
      <c r="C184" s="181">
        <v>75000</v>
      </c>
      <c r="D184" s="182">
        <v>100000</v>
      </c>
      <c r="E184" s="177" t="s">
        <v>123</v>
      </c>
      <c r="F184" s="267"/>
      <c r="G184" s="267">
        <f>SUM(G181:G183)</f>
        <v>517500</v>
      </c>
      <c r="H184" s="268">
        <f>SUM(H181:H183)</f>
        <v>630000</v>
      </c>
    </row>
    <row r="185" spans="1:8" x14ac:dyDescent="0.5">
      <c r="A185" s="258" t="s">
        <v>124</v>
      </c>
      <c r="B185" s="267"/>
      <c r="C185" s="267">
        <f>SUM(C182:C184)</f>
        <v>4500000</v>
      </c>
      <c r="D185" s="184">
        <f>SUM(D182:D184)</f>
        <v>4600000</v>
      </c>
      <c r="E185" s="177"/>
      <c r="F185" s="267"/>
      <c r="G185" s="267"/>
      <c r="H185" s="268"/>
    </row>
    <row r="186" spans="1:8" x14ac:dyDescent="0.5">
      <c r="A186" s="258" t="s">
        <v>125</v>
      </c>
      <c r="B186" s="264"/>
      <c r="C186" s="181">
        <v>-450000</v>
      </c>
      <c r="D186" s="185">
        <f>+C186-H196</f>
        <v>-550000</v>
      </c>
      <c r="E186" s="177" t="s">
        <v>126</v>
      </c>
      <c r="F186" s="267"/>
      <c r="G186" s="267">
        <f>+G178-G184</f>
        <v>922500</v>
      </c>
      <c r="H186" s="268">
        <f>+H178-H184</f>
        <v>1055000</v>
      </c>
    </row>
    <row r="187" spans="1:8" x14ac:dyDescent="0.5">
      <c r="A187" s="258" t="s">
        <v>127</v>
      </c>
      <c r="B187" s="267"/>
      <c r="C187" s="267">
        <f>+C185+C186</f>
        <v>4050000</v>
      </c>
      <c r="D187" s="184">
        <f>+D186+D185</f>
        <v>4050000</v>
      </c>
      <c r="E187" s="177"/>
      <c r="F187" s="267"/>
      <c r="G187" s="267"/>
      <c r="H187" s="268"/>
    </row>
    <row r="188" spans="1:8" x14ac:dyDescent="0.5">
      <c r="A188" s="258"/>
      <c r="B188" s="267"/>
      <c r="C188" s="267"/>
      <c r="D188" s="184"/>
      <c r="E188" s="104" t="s">
        <v>128</v>
      </c>
      <c r="F188" s="267"/>
      <c r="G188" s="267"/>
      <c r="H188" s="268"/>
    </row>
    <row r="189" spans="1:8" x14ac:dyDescent="0.5">
      <c r="A189" s="258" t="s">
        <v>129</v>
      </c>
      <c r="B189" s="264"/>
      <c r="C189" s="264">
        <v>300000</v>
      </c>
      <c r="D189" s="180">
        <v>450000</v>
      </c>
      <c r="E189" s="177" t="s">
        <v>130</v>
      </c>
      <c r="F189" s="264"/>
      <c r="G189" s="264">
        <v>217500</v>
      </c>
      <c r="H189" s="265">
        <v>247500</v>
      </c>
    </row>
    <row r="190" spans="1:8" x14ac:dyDescent="0.5">
      <c r="A190" s="258"/>
      <c r="B190" s="267"/>
      <c r="C190" s="267"/>
      <c r="D190" s="184"/>
      <c r="E190" s="177" t="s">
        <v>131</v>
      </c>
      <c r="F190" s="264"/>
      <c r="G190" s="264">
        <v>112500</v>
      </c>
      <c r="H190" s="265">
        <v>120000</v>
      </c>
    </row>
    <row r="191" spans="1:8" ht="14.7" thickBot="1" x14ac:dyDescent="0.55000000000000004">
      <c r="A191" s="258" t="s">
        <v>132</v>
      </c>
      <c r="B191" s="267"/>
      <c r="C191" s="186">
        <f>+C189+C187+C179</f>
        <v>4552500</v>
      </c>
      <c r="D191" s="187">
        <f>+D189+D187+D179</f>
        <v>4751100</v>
      </c>
      <c r="E191" s="177" t="s">
        <v>133</v>
      </c>
      <c r="F191" s="264"/>
      <c r="G191" s="181">
        <v>15000</v>
      </c>
      <c r="H191" s="266">
        <v>18000</v>
      </c>
    </row>
    <row r="192" spans="1:8" ht="14.7" thickTop="1" x14ac:dyDescent="0.5">
      <c r="A192" s="258"/>
      <c r="B192" s="267"/>
      <c r="C192" s="267"/>
      <c r="D192" s="184"/>
      <c r="E192" s="177" t="s">
        <v>134</v>
      </c>
      <c r="F192" s="267"/>
      <c r="G192" s="267">
        <f>SUM(G189:G191)</f>
        <v>345000</v>
      </c>
      <c r="H192" s="268">
        <f>SUM(H189:H191)</f>
        <v>385500</v>
      </c>
    </row>
    <row r="193" spans="1:8" x14ac:dyDescent="0.5">
      <c r="A193" s="261" t="s">
        <v>135</v>
      </c>
      <c r="B193" s="267"/>
      <c r="C193" s="267"/>
      <c r="D193" s="184"/>
      <c r="E193" s="177"/>
      <c r="F193" s="267"/>
      <c r="G193" s="188"/>
      <c r="H193" s="269"/>
    </row>
    <row r="194" spans="1:8" x14ac:dyDescent="0.5">
      <c r="A194" s="258"/>
      <c r="B194" s="267"/>
      <c r="C194" s="267"/>
      <c r="D194" s="184"/>
      <c r="E194" s="104" t="s">
        <v>81</v>
      </c>
      <c r="F194" s="267"/>
      <c r="G194" s="188">
        <f>+G186-G192</f>
        <v>577500</v>
      </c>
      <c r="H194" s="269">
        <f>+H186-H192</f>
        <v>669500</v>
      </c>
    </row>
    <row r="195" spans="1:8" x14ac:dyDescent="0.5">
      <c r="A195" s="261" t="s">
        <v>136</v>
      </c>
      <c r="B195" s="267"/>
      <c r="C195" s="267"/>
      <c r="D195" s="184"/>
      <c r="E195" s="177"/>
      <c r="F195" s="267"/>
      <c r="G195" s="267"/>
      <c r="H195" s="268"/>
    </row>
    <row r="196" spans="1:8" x14ac:dyDescent="0.5">
      <c r="A196" s="258" t="s">
        <v>137</v>
      </c>
      <c r="B196" s="264"/>
      <c r="C196" s="264">
        <v>52500</v>
      </c>
      <c r="D196" s="180">
        <v>65000</v>
      </c>
      <c r="E196" s="104" t="s">
        <v>82</v>
      </c>
      <c r="F196" s="264"/>
      <c r="G196" s="264">
        <v>90000</v>
      </c>
      <c r="H196" s="265">
        <v>100000</v>
      </c>
    </row>
    <row r="197" spans="1:8" x14ac:dyDescent="0.5">
      <c r="A197" s="258" t="s">
        <v>138</v>
      </c>
      <c r="B197" s="264"/>
      <c r="C197" s="264">
        <v>18000</v>
      </c>
      <c r="D197" s="180">
        <v>15000</v>
      </c>
      <c r="E197" s="177"/>
      <c r="F197" s="267"/>
      <c r="G197" s="267"/>
      <c r="H197" s="268"/>
    </row>
    <row r="198" spans="1:8" x14ac:dyDescent="0.5">
      <c r="A198" s="258" t="s">
        <v>139</v>
      </c>
      <c r="B198" s="264"/>
      <c r="C198" s="264">
        <v>15000</v>
      </c>
      <c r="D198" s="180">
        <v>10000</v>
      </c>
      <c r="E198" s="104" t="s">
        <v>84</v>
      </c>
      <c r="F198" s="267"/>
      <c r="G198" s="267">
        <f>+G194-G196</f>
        <v>487500</v>
      </c>
      <c r="H198" s="268">
        <f>+H194-H196</f>
        <v>569500</v>
      </c>
    </row>
    <row r="199" spans="1:8" x14ac:dyDescent="0.5">
      <c r="A199" s="258" t="s">
        <v>140</v>
      </c>
      <c r="B199" s="264"/>
      <c r="C199" s="181">
        <v>30000</v>
      </c>
      <c r="D199" s="182">
        <f>+C199</f>
        <v>30000</v>
      </c>
      <c r="E199" s="177"/>
      <c r="F199" s="267"/>
      <c r="G199" s="267"/>
      <c r="H199" s="268"/>
    </row>
    <row r="200" spans="1:8" x14ac:dyDescent="0.5">
      <c r="A200" s="258" t="s">
        <v>141</v>
      </c>
      <c r="B200" s="267"/>
      <c r="C200" s="267">
        <f>SUM(C196:C199)</f>
        <v>115500</v>
      </c>
      <c r="D200" s="184">
        <f>SUM(D196:D199)</f>
        <v>120000</v>
      </c>
      <c r="E200" s="104" t="s">
        <v>142</v>
      </c>
      <c r="F200" s="267"/>
      <c r="G200" s="267">
        <f>+C202*0.08</f>
        <v>144000</v>
      </c>
      <c r="H200" s="268">
        <f>+D202*0.08</f>
        <v>136000</v>
      </c>
    </row>
    <row r="201" spans="1:8" x14ac:dyDescent="0.5">
      <c r="A201" s="258"/>
      <c r="B201" s="267"/>
      <c r="C201" s="267"/>
      <c r="D201" s="184"/>
      <c r="E201" s="177"/>
      <c r="F201" s="267"/>
      <c r="G201" s="188"/>
      <c r="H201" s="269"/>
    </row>
    <row r="202" spans="1:8" x14ac:dyDescent="0.5">
      <c r="A202" s="258" t="s">
        <v>143</v>
      </c>
      <c r="B202" s="264"/>
      <c r="C202" s="264">
        <v>1800000</v>
      </c>
      <c r="D202" s="180">
        <v>1700000</v>
      </c>
      <c r="E202" s="177" t="s">
        <v>144</v>
      </c>
      <c r="F202" s="267"/>
      <c r="G202" s="267">
        <f>+G198-G200</f>
        <v>343500</v>
      </c>
      <c r="H202" s="268">
        <f>+H198-H200</f>
        <v>433500</v>
      </c>
    </row>
    <row r="203" spans="1:8" x14ac:dyDescent="0.5">
      <c r="A203" s="258"/>
      <c r="B203" s="267"/>
      <c r="C203" s="267"/>
      <c r="D203" s="184"/>
      <c r="E203" s="177"/>
      <c r="F203" s="267"/>
      <c r="G203" s="267"/>
      <c r="H203" s="268"/>
    </row>
    <row r="204" spans="1:8" x14ac:dyDescent="0.5">
      <c r="A204" s="258" t="s">
        <v>145</v>
      </c>
      <c r="B204" s="264"/>
      <c r="C204" s="264">
        <v>18000</v>
      </c>
      <c r="D204" s="180">
        <v>22000</v>
      </c>
      <c r="E204" s="104" t="s">
        <v>85</v>
      </c>
      <c r="F204" s="270"/>
      <c r="G204" s="267">
        <f>+G202*0.4</f>
        <v>137400</v>
      </c>
      <c r="H204" s="268">
        <f>+H202*0.4</f>
        <v>173400</v>
      </c>
    </row>
    <row r="205" spans="1:8" x14ac:dyDescent="0.5">
      <c r="A205" s="258"/>
      <c r="B205" s="267"/>
      <c r="C205" s="188"/>
      <c r="D205" s="185"/>
      <c r="E205" s="177"/>
      <c r="F205" s="267"/>
      <c r="G205" s="267"/>
      <c r="H205" s="268"/>
    </row>
    <row r="206" spans="1:8" ht="14.7" thickBot="1" x14ac:dyDescent="0.55000000000000004">
      <c r="A206" s="258" t="s">
        <v>146</v>
      </c>
      <c r="B206" s="267"/>
      <c r="C206" s="267">
        <f>+C204+C202+C200</f>
        <v>1933500</v>
      </c>
      <c r="D206" s="184">
        <f>+D204+D202+D200</f>
        <v>1842000</v>
      </c>
      <c r="E206" s="177" t="s">
        <v>147</v>
      </c>
      <c r="F206" s="267"/>
      <c r="G206" s="186">
        <f>+G202-G204</f>
        <v>206100</v>
      </c>
      <c r="H206" s="271">
        <f>+H202-H204</f>
        <v>260100</v>
      </c>
    </row>
    <row r="207" spans="1:8" ht="14.7" thickTop="1" x14ac:dyDescent="0.5">
      <c r="A207" s="258"/>
      <c r="B207" s="267"/>
      <c r="C207" s="267"/>
      <c r="D207" s="184"/>
      <c r="E207" s="177"/>
      <c r="F207" s="262"/>
      <c r="G207" s="262"/>
      <c r="H207" s="263"/>
    </row>
    <row r="208" spans="1:8" x14ac:dyDescent="0.5">
      <c r="A208" s="261" t="s">
        <v>148</v>
      </c>
      <c r="B208" s="267"/>
      <c r="C208" s="267"/>
      <c r="D208" s="184"/>
      <c r="E208" s="177"/>
      <c r="F208" s="262"/>
      <c r="G208" s="262"/>
      <c r="H208" s="263"/>
    </row>
    <row r="209" spans="1:8" x14ac:dyDescent="0.5">
      <c r="A209" s="258" t="s">
        <v>149</v>
      </c>
      <c r="B209" s="264"/>
      <c r="C209" s="264">
        <v>1500000</v>
      </c>
      <c r="D209" s="180">
        <f>+C209</f>
        <v>1500000</v>
      </c>
      <c r="E209" s="177"/>
      <c r="F209" s="262"/>
      <c r="G209" s="262"/>
      <c r="H209" s="263"/>
    </row>
    <row r="210" spans="1:8" x14ac:dyDescent="0.5">
      <c r="A210" s="258" t="s">
        <v>150</v>
      </c>
      <c r="B210" s="264"/>
      <c r="C210" s="264">
        <v>0</v>
      </c>
      <c r="D210" s="180">
        <v>30000</v>
      </c>
      <c r="E210" s="177"/>
      <c r="F210" s="262"/>
      <c r="G210" s="262"/>
      <c r="H210" s="263"/>
    </row>
    <row r="211" spans="1:8" x14ac:dyDescent="0.5">
      <c r="A211" s="258" t="s">
        <v>151</v>
      </c>
      <c r="B211" s="267"/>
      <c r="C211" s="188">
        <v>1119000</v>
      </c>
      <c r="D211" s="185">
        <f>+C211+H206</f>
        <v>1379100</v>
      </c>
      <c r="E211" s="177"/>
      <c r="F211" s="262"/>
      <c r="G211" s="262"/>
      <c r="H211" s="263"/>
    </row>
    <row r="212" spans="1:8" x14ac:dyDescent="0.5">
      <c r="A212" s="258" t="s">
        <v>152</v>
      </c>
      <c r="B212" s="267"/>
      <c r="C212" s="267">
        <f>SUM(C209:C211)</f>
        <v>2619000</v>
      </c>
      <c r="D212" s="184">
        <f>SUM(D208:D211)</f>
        <v>2909100</v>
      </c>
      <c r="E212" s="177"/>
      <c r="F212" s="262"/>
      <c r="G212" s="262"/>
      <c r="H212" s="263"/>
    </row>
    <row r="213" spans="1:8" x14ac:dyDescent="0.5">
      <c r="A213" s="272" t="s">
        <v>153</v>
      </c>
      <c r="B213" s="188"/>
      <c r="C213" s="273">
        <f>+C212+C206</f>
        <v>4552500</v>
      </c>
      <c r="D213" s="274">
        <f>+D212+D206</f>
        <v>4751100</v>
      </c>
      <c r="E213" s="275"/>
      <c r="F213" s="195"/>
      <c r="G213" s="195"/>
      <c r="H213" s="276"/>
    </row>
    <row r="214" spans="1:8" x14ac:dyDescent="0.5">
      <c r="B214" s="183"/>
      <c r="C214" s="183"/>
      <c r="D214" s="183"/>
      <c r="E214" s="183"/>
    </row>
    <row r="215" spans="1:8" ht="17.7" x14ac:dyDescent="0.55000000000000004">
      <c r="A215" s="105" t="s">
        <v>154</v>
      </c>
      <c r="B215" s="106"/>
      <c r="C215" s="106"/>
      <c r="D215" s="106"/>
      <c r="E215" s="106"/>
      <c r="F215" s="106"/>
      <c r="G215" s="107">
        <f>+D173</f>
        <v>2019</v>
      </c>
    </row>
    <row r="216" spans="1:8" x14ac:dyDescent="0.5">
      <c r="F216" s="183"/>
      <c r="G216" s="183"/>
    </row>
    <row r="217" spans="1:8" ht="28.5" customHeight="1" x14ac:dyDescent="0.55000000000000004">
      <c r="A217" s="108" t="s">
        <v>147</v>
      </c>
      <c r="F217" s="183"/>
      <c r="G217" s="109"/>
    </row>
    <row r="218" spans="1:8" ht="28.5" customHeight="1" x14ac:dyDescent="0.55000000000000004">
      <c r="A218" s="108" t="s">
        <v>155</v>
      </c>
      <c r="F218" s="183"/>
      <c r="G218" s="109"/>
    </row>
    <row r="219" spans="1:8" ht="28.5" customHeight="1" x14ac:dyDescent="0.55000000000000004">
      <c r="A219" s="7" t="s">
        <v>156</v>
      </c>
      <c r="F219" s="183"/>
      <c r="G219" s="109"/>
    </row>
    <row r="220" spans="1:8" ht="28.5" customHeight="1" thickBot="1" x14ac:dyDescent="0.6">
      <c r="A220" s="108" t="s">
        <v>157</v>
      </c>
      <c r="F220" s="183"/>
      <c r="G220" s="110"/>
    </row>
    <row r="221" spans="1:8" ht="14.25" customHeight="1" thickTop="1" x14ac:dyDescent="0.5">
      <c r="E221" s="183"/>
      <c r="F221" s="183"/>
      <c r="G221" s="111"/>
    </row>
    <row r="222" spans="1:8" ht="28.5" customHeight="1" x14ac:dyDescent="0.55000000000000004">
      <c r="A222" s="105" t="s">
        <v>158</v>
      </c>
      <c r="E222" s="183"/>
      <c r="F222" s="183"/>
      <c r="G222" s="111"/>
    </row>
    <row r="223" spans="1:8" ht="28.5" customHeight="1" x14ac:dyDescent="0.55000000000000004">
      <c r="A223" s="7" t="s">
        <v>159</v>
      </c>
      <c r="F223" s="183"/>
      <c r="G223" s="109"/>
    </row>
    <row r="224" spans="1:8" ht="28.5" customHeight="1" x14ac:dyDescent="0.55000000000000004">
      <c r="A224" s="7" t="s">
        <v>160</v>
      </c>
      <c r="F224" s="183"/>
      <c r="G224" s="109"/>
    </row>
    <row r="225" spans="1:7" ht="28.5" customHeight="1" x14ac:dyDescent="0.55000000000000004">
      <c r="A225" s="7" t="s">
        <v>161</v>
      </c>
      <c r="F225" s="183"/>
      <c r="G225" s="109"/>
    </row>
    <row r="226" spans="1:7" ht="28.5" customHeight="1" x14ac:dyDescent="0.55000000000000004">
      <c r="A226" s="7" t="s">
        <v>162</v>
      </c>
      <c r="F226" s="183"/>
      <c r="G226" s="109"/>
    </row>
    <row r="227" spans="1:7" ht="28.5" customHeight="1" x14ac:dyDescent="0.55000000000000004">
      <c r="A227" s="7" t="s">
        <v>163</v>
      </c>
      <c r="F227" s="183"/>
      <c r="G227" s="109"/>
    </row>
    <row r="228" spans="1:7" ht="28.5" customHeight="1" x14ac:dyDescent="0.55000000000000004">
      <c r="A228" s="7" t="s">
        <v>164</v>
      </c>
      <c r="F228" s="183"/>
      <c r="G228" s="109"/>
    </row>
    <row r="229" spans="1:7" ht="28.5" customHeight="1" x14ac:dyDescent="0.55000000000000004">
      <c r="A229" s="7" t="s">
        <v>165</v>
      </c>
      <c r="F229" s="183"/>
      <c r="G229" s="109"/>
    </row>
    <row r="230" spans="1:7" ht="28.5" customHeight="1" x14ac:dyDescent="0.55000000000000004">
      <c r="A230" s="7"/>
      <c r="E230" s="183"/>
      <c r="F230" s="183"/>
      <c r="G230" s="111"/>
    </row>
    <row r="231" spans="1:7" ht="28.5" customHeight="1" thickBot="1" x14ac:dyDescent="0.6">
      <c r="A231" s="7" t="s">
        <v>166</v>
      </c>
      <c r="F231" s="183"/>
      <c r="G231" s="110"/>
    </row>
    <row r="232" spans="1:7" ht="28.5" customHeight="1" thickTop="1" x14ac:dyDescent="0.55000000000000004">
      <c r="A232" s="7"/>
      <c r="E232" s="183"/>
      <c r="F232" s="183"/>
      <c r="G232" s="112"/>
    </row>
    <row r="233" spans="1:7" ht="28.5" customHeight="1" x14ac:dyDescent="0.55000000000000004">
      <c r="A233" s="105" t="s">
        <v>167</v>
      </c>
      <c r="E233" s="183"/>
      <c r="F233" s="183"/>
      <c r="G233" s="112"/>
    </row>
    <row r="234" spans="1:7" ht="28.5" customHeight="1" x14ac:dyDescent="0.55000000000000004">
      <c r="A234" s="7" t="s">
        <v>168</v>
      </c>
      <c r="F234" s="183"/>
      <c r="G234" s="109"/>
    </row>
    <row r="235" spans="1:7" ht="28.5" customHeight="1" x14ac:dyDescent="0.55000000000000004">
      <c r="A235" s="7" t="s">
        <v>169</v>
      </c>
      <c r="F235" s="183"/>
      <c r="G235" s="109"/>
    </row>
    <row r="236" spans="1:7" ht="28.5" customHeight="1" x14ac:dyDescent="0.55000000000000004">
      <c r="A236" s="7" t="s">
        <v>170</v>
      </c>
      <c r="F236" s="183"/>
      <c r="G236" s="109"/>
    </row>
    <row r="237" spans="1:7" ht="28.5" customHeight="1" x14ac:dyDescent="0.55000000000000004">
      <c r="A237" s="7"/>
      <c r="E237" s="183"/>
      <c r="F237" s="183"/>
      <c r="G237" s="111"/>
    </row>
    <row r="238" spans="1:7" ht="28.5" customHeight="1" thickBot="1" x14ac:dyDescent="0.6">
      <c r="A238" s="7" t="s">
        <v>171</v>
      </c>
      <c r="F238" s="183"/>
      <c r="G238" s="110"/>
    </row>
    <row r="239" spans="1:7" ht="12.75" customHeight="1" thickTop="1" x14ac:dyDescent="0.55000000000000004">
      <c r="A239" s="7"/>
      <c r="E239" s="183"/>
      <c r="F239" s="183"/>
      <c r="G239" s="111"/>
    </row>
    <row r="240" spans="1:7" ht="28.5" customHeight="1" thickBot="1" x14ac:dyDescent="0.6">
      <c r="A240" s="7" t="s">
        <v>198</v>
      </c>
      <c r="F240" s="183"/>
      <c r="G240" s="110"/>
    </row>
    <row r="241" spans="1:9" ht="12.75" customHeight="1" thickTop="1" x14ac:dyDescent="0.55000000000000004">
      <c r="A241" s="7"/>
      <c r="E241" s="183"/>
      <c r="F241" s="183"/>
      <c r="G241" s="111"/>
    </row>
    <row r="242" spans="1:9" ht="28.5" customHeight="1" x14ac:dyDescent="0.55000000000000004">
      <c r="A242" s="105" t="s">
        <v>172</v>
      </c>
      <c r="E242" s="183"/>
      <c r="F242" s="183"/>
      <c r="G242" s="111"/>
    </row>
    <row r="243" spans="1:9" ht="28.5" customHeight="1" x14ac:dyDescent="0.55000000000000004">
      <c r="A243" s="7" t="s">
        <v>173</v>
      </c>
      <c r="F243" s="183"/>
      <c r="G243" s="109"/>
    </row>
    <row r="244" spans="1:9" ht="28.5" customHeight="1" x14ac:dyDescent="0.55000000000000004">
      <c r="A244" s="7" t="s">
        <v>174</v>
      </c>
      <c r="F244" s="183"/>
      <c r="G244" s="109"/>
    </row>
    <row r="245" spans="1:9" ht="28.5" customHeight="1" x14ac:dyDescent="0.55000000000000004">
      <c r="A245" s="7" t="s">
        <v>175</v>
      </c>
      <c r="F245" s="183"/>
      <c r="G245" s="109"/>
    </row>
    <row r="246" spans="1:9" ht="28.5" customHeight="1" x14ac:dyDescent="0.55000000000000004">
      <c r="A246" s="7" t="s">
        <v>176</v>
      </c>
      <c r="F246" s="183"/>
      <c r="G246" s="109"/>
    </row>
    <row r="247" spans="1:9" ht="15" customHeight="1" x14ac:dyDescent="0.55000000000000004">
      <c r="A247" s="7"/>
      <c r="E247" s="183"/>
      <c r="F247" s="183"/>
      <c r="G247" s="111"/>
    </row>
    <row r="248" spans="1:9" ht="28.5" customHeight="1" thickBot="1" x14ac:dyDescent="0.6">
      <c r="A248" s="7" t="s">
        <v>177</v>
      </c>
      <c r="F248" s="183"/>
      <c r="G248" s="110"/>
    </row>
    <row r="249" spans="1:9" ht="10.5" customHeight="1" thickTop="1" x14ac:dyDescent="0.55000000000000004">
      <c r="A249" s="7"/>
      <c r="E249" s="183"/>
      <c r="F249" s="183"/>
      <c r="G249" s="111"/>
    </row>
    <row r="250" spans="1:9" ht="28.5" customHeight="1" x14ac:dyDescent="0.55000000000000004">
      <c r="A250" s="7" t="s">
        <v>178</v>
      </c>
      <c r="F250" s="183"/>
      <c r="G250" s="109"/>
    </row>
    <row r="251" spans="1:9" ht="10.5" customHeight="1" x14ac:dyDescent="0.55000000000000004">
      <c r="A251" s="7"/>
      <c r="E251" s="183"/>
      <c r="F251" s="183"/>
      <c r="G251" s="111"/>
    </row>
    <row r="252" spans="1:9" ht="28.5" customHeight="1" thickBot="1" x14ac:dyDescent="0.6">
      <c r="A252" s="7" t="s">
        <v>179</v>
      </c>
      <c r="F252" s="183"/>
      <c r="G252" s="110"/>
    </row>
    <row r="253" spans="1:9" ht="18.75" customHeight="1" thickTop="1" x14ac:dyDescent="0.55000000000000004">
      <c r="A253" s="113"/>
      <c r="B253" s="188"/>
      <c r="C253" s="195"/>
      <c r="D253" s="195"/>
      <c r="E253" s="195"/>
      <c r="F253" s="188"/>
      <c r="G253" s="188"/>
      <c r="H253" s="195"/>
      <c r="I253" s="195"/>
    </row>
    <row r="254" spans="1:9" ht="25.5" customHeight="1" x14ac:dyDescent="0.55000000000000004">
      <c r="A254" s="105" t="s">
        <v>180</v>
      </c>
      <c r="F254" s="114">
        <f>+G173</f>
        <v>2018</v>
      </c>
      <c r="G254" s="114">
        <f>+D173</f>
        <v>2019</v>
      </c>
    </row>
    <row r="255" spans="1:9" ht="18.75" customHeight="1" x14ac:dyDescent="0.55000000000000004">
      <c r="A255" s="7"/>
    </row>
    <row r="256" spans="1:9" ht="24.75" customHeight="1" x14ac:dyDescent="0.55000000000000004">
      <c r="A256" s="7" t="s">
        <v>181</v>
      </c>
      <c r="B256" s="196"/>
      <c r="F256" s="115"/>
      <c r="G256" s="116"/>
    </row>
    <row r="257" spans="1:8" ht="24.75" customHeight="1" x14ac:dyDescent="0.55000000000000004">
      <c r="A257" s="7"/>
      <c r="F257" s="91"/>
      <c r="G257" s="117"/>
    </row>
    <row r="258" spans="1:8" ht="24.75" customHeight="1" x14ac:dyDescent="0.55000000000000004">
      <c r="A258" s="7" t="s">
        <v>182</v>
      </c>
      <c r="B258" s="197"/>
      <c r="F258" s="118"/>
      <c r="G258" s="118"/>
    </row>
    <row r="259" spans="1:8" ht="24.75" customHeight="1" x14ac:dyDescent="0.55000000000000004">
      <c r="A259" s="7" t="s">
        <v>183</v>
      </c>
      <c r="B259" s="196"/>
      <c r="F259" s="119"/>
      <c r="G259" s="119"/>
    </row>
    <row r="260" spans="1:8" ht="24.75" customHeight="1" x14ac:dyDescent="0.55000000000000004">
      <c r="A260" s="7" t="s">
        <v>184</v>
      </c>
      <c r="B260" s="196"/>
      <c r="F260" s="119"/>
      <c r="G260" s="119"/>
    </row>
    <row r="261" spans="1:8" ht="24.75" customHeight="1" x14ac:dyDescent="0.55000000000000004">
      <c r="A261" s="7" t="s">
        <v>185</v>
      </c>
      <c r="B261" s="196"/>
      <c r="F261" s="99"/>
      <c r="G261" s="120"/>
      <c r="H261" s="99" t="s">
        <v>186</v>
      </c>
    </row>
    <row r="262" spans="1:8" ht="24.75" customHeight="1" x14ac:dyDescent="0.55000000000000004">
      <c r="A262" s="7" t="s">
        <v>187</v>
      </c>
      <c r="B262" s="196"/>
      <c r="F262" s="99"/>
      <c r="G262" s="120"/>
      <c r="H262" s="99" t="s">
        <v>186</v>
      </c>
    </row>
    <row r="263" spans="1:8" ht="24.75" customHeight="1" x14ac:dyDescent="0.55000000000000004">
      <c r="A263" s="7" t="s">
        <v>188</v>
      </c>
      <c r="B263" s="197"/>
      <c r="F263" s="118"/>
      <c r="G263" s="118"/>
    </row>
    <row r="264" spans="1:8" ht="24.75" customHeight="1" x14ac:dyDescent="0.55000000000000004">
      <c r="A264" s="7" t="s">
        <v>189</v>
      </c>
      <c r="B264" s="197"/>
      <c r="F264" s="118"/>
      <c r="G264" s="118"/>
    </row>
    <row r="265" spans="1:8" ht="24.75" customHeight="1" x14ac:dyDescent="0.55000000000000004">
      <c r="A265" s="7" t="s">
        <v>190</v>
      </c>
      <c r="B265" s="197"/>
      <c r="F265" s="118"/>
      <c r="G265" s="118"/>
    </row>
    <row r="266" spans="1:8" ht="24.75" customHeight="1" x14ac:dyDescent="0.55000000000000004">
      <c r="A266" s="7" t="s">
        <v>191</v>
      </c>
      <c r="B266" s="197"/>
      <c r="F266" s="115"/>
      <c r="G266" s="118"/>
    </row>
    <row r="267" spans="1:8" ht="24.75" customHeight="1" x14ac:dyDescent="0.55000000000000004">
      <c r="A267" s="7" t="s">
        <v>192</v>
      </c>
      <c r="B267" s="197"/>
      <c r="F267" s="115"/>
      <c r="G267" s="118"/>
    </row>
    <row r="268" spans="1:8" x14ac:dyDescent="0.5">
      <c r="D268" s="196"/>
    </row>
  </sheetData>
  <mergeCells count="53">
    <mergeCell ref="A29:B29"/>
    <mergeCell ref="A30:B30"/>
    <mergeCell ref="B2:G2"/>
    <mergeCell ref="A4:I4"/>
    <mergeCell ref="A7:H7"/>
    <mergeCell ref="A27:H27"/>
    <mergeCell ref="A104:B104"/>
    <mergeCell ref="A105:B105"/>
    <mergeCell ref="A101:H101"/>
    <mergeCell ref="A36:H36"/>
    <mergeCell ref="A56:I56"/>
    <mergeCell ref="A79:H79"/>
    <mergeCell ref="A134:B134"/>
    <mergeCell ref="A120:B120"/>
    <mergeCell ref="A106:B106"/>
    <mergeCell ref="A107:B107"/>
    <mergeCell ref="A108:B108"/>
    <mergeCell ref="A109:B109"/>
    <mergeCell ref="A110:B110"/>
    <mergeCell ref="A129:B129"/>
    <mergeCell ref="A131:B131"/>
    <mergeCell ref="A132:B132"/>
    <mergeCell ref="A130:B130"/>
    <mergeCell ref="A133:B133"/>
    <mergeCell ref="A125:B125"/>
    <mergeCell ref="A157:D157"/>
    <mergeCell ref="A158:D158"/>
    <mergeCell ref="A160:B160"/>
    <mergeCell ref="A143:C143"/>
    <mergeCell ref="A144:C144"/>
    <mergeCell ref="A145:C145"/>
    <mergeCell ref="A147:C147"/>
    <mergeCell ref="A148:C148"/>
    <mergeCell ref="A138:C138"/>
    <mergeCell ref="A139:C139"/>
    <mergeCell ref="A136:B136"/>
    <mergeCell ref="A137:B137"/>
    <mergeCell ref="A140:B140"/>
    <mergeCell ref="A141:C141"/>
    <mergeCell ref="A128:B128"/>
    <mergeCell ref="A111:B111"/>
    <mergeCell ref="A121:B121"/>
    <mergeCell ref="A122:B122"/>
    <mergeCell ref="A123:B123"/>
    <mergeCell ref="A124:B124"/>
    <mergeCell ref="A167:I167"/>
    <mergeCell ref="A170:H170"/>
    <mergeCell ref="A149:B149"/>
    <mergeCell ref="A150:B150"/>
    <mergeCell ref="A153:B153"/>
    <mergeCell ref="A154:D154"/>
    <mergeCell ref="A155:D155"/>
    <mergeCell ref="A156:D156"/>
  </mergeCells>
  <phoneticPr fontId="19" type="noConversion"/>
  <pageMargins left="0.7" right="0.7" top="0.75" bottom="0.75" header="0.3" footer="0.3"/>
  <pageSetup scale="71" fitToHeight="0" orientation="landscape" r:id="rId1"/>
  <rowBreaks count="8" manualBreakCount="8">
    <brk id="25" max="16383" man="1"/>
    <brk id="55" max="16383" man="1"/>
    <brk id="98" max="16383" man="1"/>
    <brk id="134" max="16383" man="1"/>
    <brk id="151" max="16383" man="1"/>
    <brk id="166" max="16383" man="1"/>
    <brk id="213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7EB0D-1BBB-4646-B42E-9A1D37D389C6}">
  <dimension ref="A1:I274"/>
  <sheetViews>
    <sheetView tabSelected="1" topLeftCell="A59" workbookViewId="0">
      <selection activeCell="F65" sqref="F65"/>
    </sheetView>
  </sheetViews>
  <sheetFormatPr defaultRowHeight="14.35" x14ac:dyDescent="0.5"/>
  <cols>
    <col min="1" max="1" width="30.64453125" style="121" customWidth="1"/>
    <col min="2" max="4" width="23.5859375" style="121" customWidth="1"/>
    <col min="5" max="8" width="20.8203125" style="121" customWidth="1"/>
    <col min="9" max="9" width="1.8203125" style="121" customWidth="1"/>
    <col min="10" max="10" width="8.9375" style="121"/>
    <col min="11" max="11" width="12.17578125" style="121" customWidth="1"/>
    <col min="12" max="12" width="12.29296875" style="121" customWidth="1"/>
    <col min="13" max="17" width="8.9375" style="121"/>
    <col min="18" max="18" width="10.52734375" style="121" customWidth="1"/>
    <col min="19" max="256" width="8.9375" style="121"/>
    <col min="257" max="257" width="28.17578125" style="121" customWidth="1"/>
    <col min="258" max="264" width="20.8203125" style="121" customWidth="1"/>
    <col min="265" max="265" width="1.8203125" style="121" customWidth="1"/>
    <col min="266" max="266" width="8.9375" style="121"/>
    <col min="267" max="267" width="12.17578125" style="121" customWidth="1"/>
    <col min="268" max="268" width="12.29296875" style="121" customWidth="1"/>
    <col min="269" max="273" width="8.9375" style="121"/>
    <col min="274" max="274" width="10.52734375" style="121" customWidth="1"/>
    <col min="275" max="512" width="8.9375" style="121"/>
    <col min="513" max="513" width="28.17578125" style="121" customWidth="1"/>
    <col min="514" max="520" width="20.8203125" style="121" customWidth="1"/>
    <col min="521" max="521" width="1.8203125" style="121" customWidth="1"/>
    <col min="522" max="522" width="8.9375" style="121"/>
    <col min="523" max="523" width="12.17578125" style="121" customWidth="1"/>
    <col min="524" max="524" width="12.29296875" style="121" customWidth="1"/>
    <col min="525" max="529" width="8.9375" style="121"/>
    <col min="530" max="530" width="10.52734375" style="121" customWidth="1"/>
    <col min="531" max="768" width="8.9375" style="121"/>
    <col min="769" max="769" width="28.17578125" style="121" customWidth="1"/>
    <col min="770" max="776" width="20.8203125" style="121" customWidth="1"/>
    <col min="777" max="777" width="1.8203125" style="121" customWidth="1"/>
    <col min="778" max="778" width="8.9375" style="121"/>
    <col min="779" max="779" width="12.17578125" style="121" customWidth="1"/>
    <col min="780" max="780" width="12.29296875" style="121" customWidth="1"/>
    <col min="781" max="785" width="8.9375" style="121"/>
    <col min="786" max="786" width="10.52734375" style="121" customWidth="1"/>
    <col min="787" max="1024" width="8.9375" style="121"/>
    <col min="1025" max="1025" width="28.17578125" style="121" customWidth="1"/>
    <col min="1026" max="1032" width="20.8203125" style="121" customWidth="1"/>
    <col min="1033" max="1033" width="1.8203125" style="121" customWidth="1"/>
    <col min="1034" max="1034" width="8.9375" style="121"/>
    <col min="1035" max="1035" width="12.17578125" style="121" customWidth="1"/>
    <col min="1036" max="1036" width="12.29296875" style="121" customWidth="1"/>
    <col min="1037" max="1041" width="8.9375" style="121"/>
    <col min="1042" max="1042" width="10.52734375" style="121" customWidth="1"/>
    <col min="1043" max="1280" width="8.9375" style="121"/>
    <col min="1281" max="1281" width="28.17578125" style="121" customWidth="1"/>
    <col min="1282" max="1288" width="20.8203125" style="121" customWidth="1"/>
    <col min="1289" max="1289" width="1.8203125" style="121" customWidth="1"/>
    <col min="1290" max="1290" width="8.9375" style="121"/>
    <col min="1291" max="1291" width="12.17578125" style="121" customWidth="1"/>
    <col min="1292" max="1292" width="12.29296875" style="121" customWidth="1"/>
    <col min="1293" max="1297" width="8.9375" style="121"/>
    <col min="1298" max="1298" width="10.52734375" style="121" customWidth="1"/>
    <col min="1299" max="1536" width="8.9375" style="121"/>
    <col min="1537" max="1537" width="28.17578125" style="121" customWidth="1"/>
    <col min="1538" max="1544" width="20.8203125" style="121" customWidth="1"/>
    <col min="1545" max="1545" width="1.8203125" style="121" customWidth="1"/>
    <col min="1546" max="1546" width="8.9375" style="121"/>
    <col min="1547" max="1547" width="12.17578125" style="121" customWidth="1"/>
    <col min="1548" max="1548" width="12.29296875" style="121" customWidth="1"/>
    <col min="1549" max="1553" width="8.9375" style="121"/>
    <col min="1554" max="1554" width="10.52734375" style="121" customWidth="1"/>
    <col min="1555" max="1792" width="8.9375" style="121"/>
    <col min="1793" max="1793" width="28.17578125" style="121" customWidth="1"/>
    <col min="1794" max="1800" width="20.8203125" style="121" customWidth="1"/>
    <col min="1801" max="1801" width="1.8203125" style="121" customWidth="1"/>
    <col min="1802" max="1802" width="8.9375" style="121"/>
    <col min="1803" max="1803" width="12.17578125" style="121" customWidth="1"/>
    <col min="1804" max="1804" width="12.29296875" style="121" customWidth="1"/>
    <col min="1805" max="1809" width="8.9375" style="121"/>
    <col min="1810" max="1810" width="10.52734375" style="121" customWidth="1"/>
    <col min="1811" max="2048" width="8.9375" style="121"/>
    <col min="2049" max="2049" width="28.17578125" style="121" customWidth="1"/>
    <col min="2050" max="2056" width="20.8203125" style="121" customWidth="1"/>
    <col min="2057" max="2057" width="1.8203125" style="121" customWidth="1"/>
    <col min="2058" max="2058" width="8.9375" style="121"/>
    <col min="2059" max="2059" width="12.17578125" style="121" customWidth="1"/>
    <col min="2060" max="2060" width="12.29296875" style="121" customWidth="1"/>
    <col min="2061" max="2065" width="8.9375" style="121"/>
    <col min="2066" max="2066" width="10.52734375" style="121" customWidth="1"/>
    <col min="2067" max="2304" width="8.9375" style="121"/>
    <col min="2305" max="2305" width="28.17578125" style="121" customWidth="1"/>
    <col min="2306" max="2312" width="20.8203125" style="121" customWidth="1"/>
    <col min="2313" max="2313" width="1.8203125" style="121" customWidth="1"/>
    <col min="2314" max="2314" width="8.9375" style="121"/>
    <col min="2315" max="2315" width="12.17578125" style="121" customWidth="1"/>
    <col min="2316" max="2316" width="12.29296875" style="121" customWidth="1"/>
    <col min="2317" max="2321" width="8.9375" style="121"/>
    <col min="2322" max="2322" width="10.52734375" style="121" customWidth="1"/>
    <col min="2323" max="2560" width="8.9375" style="121"/>
    <col min="2561" max="2561" width="28.17578125" style="121" customWidth="1"/>
    <col min="2562" max="2568" width="20.8203125" style="121" customWidth="1"/>
    <col min="2569" max="2569" width="1.8203125" style="121" customWidth="1"/>
    <col min="2570" max="2570" width="8.9375" style="121"/>
    <col min="2571" max="2571" width="12.17578125" style="121" customWidth="1"/>
    <col min="2572" max="2572" width="12.29296875" style="121" customWidth="1"/>
    <col min="2573" max="2577" width="8.9375" style="121"/>
    <col min="2578" max="2578" width="10.52734375" style="121" customWidth="1"/>
    <col min="2579" max="2816" width="8.9375" style="121"/>
    <col min="2817" max="2817" width="28.17578125" style="121" customWidth="1"/>
    <col min="2818" max="2824" width="20.8203125" style="121" customWidth="1"/>
    <col min="2825" max="2825" width="1.8203125" style="121" customWidth="1"/>
    <col min="2826" max="2826" width="8.9375" style="121"/>
    <col min="2827" max="2827" width="12.17578125" style="121" customWidth="1"/>
    <col min="2828" max="2828" width="12.29296875" style="121" customWidth="1"/>
    <col min="2829" max="2833" width="8.9375" style="121"/>
    <col min="2834" max="2834" width="10.52734375" style="121" customWidth="1"/>
    <col min="2835" max="3072" width="8.9375" style="121"/>
    <col min="3073" max="3073" width="28.17578125" style="121" customWidth="1"/>
    <col min="3074" max="3080" width="20.8203125" style="121" customWidth="1"/>
    <col min="3081" max="3081" width="1.8203125" style="121" customWidth="1"/>
    <col min="3082" max="3082" width="8.9375" style="121"/>
    <col min="3083" max="3083" width="12.17578125" style="121" customWidth="1"/>
    <col min="3084" max="3084" width="12.29296875" style="121" customWidth="1"/>
    <col min="3085" max="3089" width="8.9375" style="121"/>
    <col min="3090" max="3090" width="10.52734375" style="121" customWidth="1"/>
    <col min="3091" max="3328" width="8.9375" style="121"/>
    <col min="3329" max="3329" width="28.17578125" style="121" customWidth="1"/>
    <col min="3330" max="3336" width="20.8203125" style="121" customWidth="1"/>
    <col min="3337" max="3337" width="1.8203125" style="121" customWidth="1"/>
    <col min="3338" max="3338" width="8.9375" style="121"/>
    <col min="3339" max="3339" width="12.17578125" style="121" customWidth="1"/>
    <col min="3340" max="3340" width="12.29296875" style="121" customWidth="1"/>
    <col min="3341" max="3345" width="8.9375" style="121"/>
    <col min="3346" max="3346" width="10.52734375" style="121" customWidth="1"/>
    <col min="3347" max="3584" width="8.9375" style="121"/>
    <col min="3585" max="3585" width="28.17578125" style="121" customWidth="1"/>
    <col min="3586" max="3592" width="20.8203125" style="121" customWidth="1"/>
    <col min="3593" max="3593" width="1.8203125" style="121" customWidth="1"/>
    <col min="3594" max="3594" width="8.9375" style="121"/>
    <col min="3595" max="3595" width="12.17578125" style="121" customWidth="1"/>
    <col min="3596" max="3596" width="12.29296875" style="121" customWidth="1"/>
    <col min="3597" max="3601" width="8.9375" style="121"/>
    <col min="3602" max="3602" width="10.52734375" style="121" customWidth="1"/>
    <col min="3603" max="3840" width="8.9375" style="121"/>
    <col min="3841" max="3841" width="28.17578125" style="121" customWidth="1"/>
    <col min="3842" max="3848" width="20.8203125" style="121" customWidth="1"/>
    <col min="3849" max="3849" width="1.8203125" style="121" customWidth="1"/>
    <col min="3850" max="3850" width="8.9375" style="121"/>
    <col min="3851" max="3851" width="12.17578125" style="121" customWidth="1"/>
    <col min="3852" max="3852" width="12.29296875" style="121" customWidth="1"/>
    <col min="3853" max="3857" width="8.9375" style="121"/>
    <col min="3858" max="3858" width="10.52734375" style="121" customWidth="1"/>
    <col min="3859" max="4096" width="8.9375" style="121"/>
    <col min="4097" max="4097" width="28.17578125" style="121" customWidth="1"/>
    <col min="4098" max="4104" width="20.8203125" style="121" customWidth="1"/>
    <col min="4105" max="4105" width="1.8203125" style="121" customWidth="1"/>
    <col min="4106" max="4106" width="8.9375" style="121"/>
    <col min="4107" max="4107" width="12.17578125" style="121" customWidth="1"/>
    <col min="4108" max="4108" width="12.29296875" style="121" customWidth="1"/>
    <col min="4109" max="4113" width="8.9375" style="121"/>
    <col min="4114" max="4114" width="10.52734375" style="121" customWidth="1"/>
    <col min="4115" max="4352" width="8.9375" style="121"/>
    <col min="4353" max="4353" width="28.17578125" style="121" customWidth="1"/>
    <col min="4354" max="4360" width="20.8203125" style="121" customWidth="1"/>
    <col min="4361" max="4361" width="1.8203125" style="121" customWidth="1"/>
    <col min="4362" max="4362" width="8.9375" style="121"/>
    <col min="4363" max="4363" width="12.17578125" style="121" customWidth="1"/>
    <col min="4364" max="4364" width="12.29296875" style="121" customWidth="1"/>
    <col min="4365" max="4369" width="8.9375" style="121"/>
    <col min="4370" max="4370" width="10.52734375" style="121" customWidth="1"/>
    <col min="4371" max="4608" width="8.9375" style="121"/>
    <col min="4609" max="4609" width="28.17578125" style="121" customWidth="1"/>
    <col min="4610" max="4616" width="20.8203125" style="121" customWidth="1"/>
    <col min="4617" max="4617" width="1.8203125" style="121" customWidth="1"/>
    <col min="4618" max="4618" width="8.9375" style="121"/>
    <col min="4619" max="4619" width="12.17578125" style="121" customWidth="1"/>
    <col min="4620" max="4620" width="12.29296875" style="121" customWidth="1"/>
    <col min="4621" max="4625" width="8.9375" style="121"/>
    <col min="4626" max="4626" width="10.52734375" style="121" customWidth="1"/>
    <col min="4627" max="4864" width="8.9375" style="121"/>
    <col min="4865" max="4865" width="28.17578125" style="121" customWidth="1"/>
    <col min="4866" max="4872" width="20.8203125" style="121" customWidth="1"/>
    <col min="4873" max="4873" width="1.8203125" style="121" customWidth="1"/>
    <col min="4874" max="4874" width="8.9375" style="121"/>
    <col min="4875" max="4875" width="12.17578125" style="121" customWidth="1"/>
    <col min="4876" max="4876" width="12.29296875" style="121" customWidth="1"/>
    <col min="4877" max="4881" width="8.9375" style="121"/>
    <col min="4882" max="4882" width="10.52734375" style="121" customWidth="1"/>
    <col min="4883" max="5120" width="8.9375" style="121"/>
    <col min="5121" max="5121" width="28.17578125" style="121" customWidth="1"/>
    <col min="5122" max="5128" width="20.8203125" style="121" customWidth="1"/>
    <col min="5129" max="5129" width="1.8203125" style="121" customWidth="1"/>
    <col min="5130" max="5130" width="8.9375" style="121"/>
    <col min="5131" max="5131" width="12.17578125" style="121" customWidth="1"/>
    <col min="5132" max="5132" width="12.29296875" style="121" customWidth="1"/>
    <col min="5133" max="5137" width="8.9375" style="121"/>
    <col min="5138" max="5138" width="10.52734375" style="121" customWidth="1"/>
    <col min="5139" max="5376" width="8.9375" style="121"/>
    <col min="5377" max="5377" width="28.17578125" style="121" customWidth="1"/>
    <col min="5378" max="5384" width="20.8203125" style="121" customWidth="1"/>
    <col min="5385" max="5385" width="1.8203125" style="121" customWidth="1"/>
    <col min="5386" max="5386" width="8.9375" style="121"/>
    <col min="5387" max="5387" width="12.17578125" style="121" customWidth="1"/>
    <col min="5388" max="5388" width="12.29296875" style="121" customWidth="1"/>
    <col min="5389" max="5393" width="8.9375" style="121"/>
    <col min="5394" max="5394" width="10.52734375" style="121" customWidth="1"/>
    <col min="5395" max="5632" width="8.9375" style="121"/>
    <col min="5633" max="5633" width="28.17578125" style="121" customWidth="1"/>
    <col min="5634" max="5640" width="20.8203125" style="121" customWidth="1"/>
    <col min="5641" max="5641" width="1.8203125" style="121" customWidth="1"/>
    <col min="5642" max="5642" width="8.9375" style="121"/>
    <col min="5643" max="5643" width="12.17578125" style="121" customWidth="1"/>
    <col min="5644" max="5644" width="12.29296875" style="121" customWidth="1"/>
    <col min="5645" max="5649" width="8.9375" style="121"/>
    <col min="5650" max="5650" width="10.52734375" style="121" customWidth="1"/>
    <col min="5651" max="5888" width="8.9375" style="121"/>
    <col min="5889" max="5889" width="28.17578125" style="121" customWidth="1"/>
    <col min="5890" max="5896" width="20.8203125" style="121" customWidth="1"/>
    <col min="5897" max="5897" width="1.8203125" style="121" customWidth="1"/>
    <col min="5898" max="5898" width="8.9375" style="121"/>
    <col min="5899" max="5899" width="12.17578125" style="121" customWidth="1"/>
    <col min="5900" max="5900" width="12.29296875" style="121" customWidth="1"/>
    <col min="5901" max="5905" width="8.9375" style="121"/>
    <col min="5906" max="5906" width="10.52734375" style="121" customWidth="1"/>
    <col min="5907" max="6144" width="8.9375" style="121"/>
    <col min="6145" max="6145" width="28.17578125" style="121" customWidth="1"/>
    <col min="6146" max="6152" width="20.8203125" style="121" customWidth="1"/>
    <col min="6153" max="6153" width="1.8203125" style="121" customWidth="1"/>
    <col min="6154" max="6154" width="8.9375" style="121"/>
    <col min="6155" max="6155" width="12.17578125" style="121" customWidth="1"/>
    <col min="6156" max="6156" width="12.29296875" style="121" customWidth="1"/>
    <col min="6157" max="6161" width="8.9375" style="121"/>
    <col min="6162" max="6162" width="10.52734375" style="121" customWidth="1"/>
    <col min="6163" max="6400" width="8.9375" style="121"/>
    <col min="6401" max="6401" width="28.17578125" style="121" customWidth="1"/>
    <col min="6402" max="6408" width="20.8203125" style="121" customWidth="1"/>
    <col min="6409" max="6409" width="1.8203125" style="121" customWidth="1"/>
    <col min="6410" max="6410" width="8.9375" style="121"/>
    <col min="6411" max="6411" width="12.17578125" style="121" customWidth="1"/>
    <col min="6412" max="6412" width="12.29296875" style="121" customWidth="1"/>
    <col min="6413" max="6417" width="8.9375" style="121"/>
    <col min="6418" max="6418" width="10.52734375" style="121" customWidth="1"/>
    <col min="6419" max="6656" width="8.9375" style="121"/>
    <col min="6657" max="6657" width="28.17578125" style="121" customWidth="1"/>
    <col min="6658" max="6664" width="20.8203125" style="121" customWidth="1"/>
    <col min="6665" max="6665" width="1.8203125" style="121" customWidth="1"/>
    <col min="6666" max="6666" width="8.9375" style="121"/>
    <col min="6667" max="6667" width="12.17578125" style="121" customWidth="1"/>
    <col min="6668" max="6668" width="12.29296875" style="121" customWidth="1"/>
    <col min="6669" max="6673" width="8.9375" style="121"/>
    <col min="6674" max="6674" width="10.52734375" style="121" customWidth="1"/>
    <col min="6675" max="6912" width="8.9375" style="121"/>
    <col min="6913" max="6913" width="28.17578125" style="121" customWidth="1"/>
    <col min="6914" max="6920" width="20.8203125" style="121" customWidth="1"/>
    <col min="6921" max="6921" width="1.8203125" style="121" customWidth="1"/>
    <col min="6922" max="6922" width="8.9375" style="121"/>
    <col min="6923" max="6923" width="12.17578125" style="121" customWidth="1"/>
    <col min="6924" max="6924" width="12.29296875" style="121" customWidth="1"/>
    <col min="6925" max="6929" width="8.9375" style="121"/>
    <col min="6930" max="6930" width="10.52734375" style="121" customWidth="1"/>
    <col min="6931" max="7168" width="8.9375" style="121"/>
    <col min="7169" max="7169" width="28.17578125" style="121" customWidth="1"/>
    <col min="7170" max="7176" width="20.8203125" style="121" customWidth="1"/>
    <col min="7177" max="7177" width="1.8203125" style="121" customWidth="1"/>
    <col min="7178" max="7178" width="8.9375" style="121"/>
    <col min="7179" max="7179" width="12.17578125" style="121" customWidth="1"/>
    <col min="7180" max="7180" width="12.29296875" style="121" customWidth="1"/>
    <col min="7181" max="7185" width="8.9375" style="121"/>
    <col min="7186" max="7186" width="10.52734375" style="121" customWidth="1"/>
    <col min="7187" max="7424" width="8.9375" style="121"/>
    <col min="7425" max="7425" width="28.17578125" style="121" customWidth="1"/>
    <col min="7426" max="7432" width="20.8203125" style="121" customWidth="1"/>
    <col min="7433" max="7433" width="1.8203125" style="121" customWidth="1"/>
    <col min="7434" max="7434" width="8.9375" style="121"/>
    <col min="7435" max="7435" width="12.17578125" style="121" customWidth="1"/>
    <col min="7436" max="7436" width="12.29296875" style="121" customWidth="1"/>
    <col min="7437" max="7441" width="8.9375" style="121"/>
    <col min="7442" max="7442" width="10.52734375" style="121" customWidth="1"/>
    <col min="7443" max="7680" width="8.9375" style="121"/>
    <col min="7681" max="7681" width="28.17578125" style="121" customWidth="1"/>
    <col min="7682" max="7688" width="20.8203125" style="121" customWidth="1"/>
    <col min="7689" max="7689" width="1.8203125" style="121" customWidth="1"/>
    <col min="7690" max="7690" width="8.9375" style="121"/>
    <col min="7691" max="7691" width="12.17578125" style="121" customWidth="1"/>
    <col min="7692" max="7692" width="12.29296875" style="121" customWidth="1"/>
    <col min="7693" max="7697" width="8.9375" style="121"/>
    <col min="7698" max="7698" width="10.52734375" style="121" customWidth="1"/>
    <col min="7699" max="7936" width="8.9375" style="121"/>
    <col min="7937" max="7937" width="28.17578125" style="121" customWidth="1"/>
    <col min="7938" max="7944" width="20.8203125" style="121" customWidth="1"/>
    <col min="7945" max="7945" width="1.8203125" style="121" customWidth="1"/>
    <col min="7946" max="7946" width="8.9375" style="121"/>
    <col min="7947" max="7947" width="12.17578125" style="121" customWidth="1"/>
    <col min="7948" max="7948" width="12.29296875" style="121" customWidth="1"/>
    <col min="7949" max="7953" width="8.9375" style="121"/>
    <col min="7954" max="7954" width="10.52734375" style="121" customWidth="1"/>
    <col min="7955" max="8192" width="8.9375" style="121"/>
    <col min="8193" max="8193" width="28.17578125" style="121" customWidth="1"/>
    <col min="8194" max="8200" width="20.8203125" style="121" customWidth="1"/>
    <col min="8201" max="8201" width="1.8203125" style="121" customWidth="1"/>
    <col min="8202" max="8202" width="8.9375" style="121"/>
    <col min="8203" max="8203" width="12.17578125" style="121" customWidth="1"/>
    <col min="8204" max="8204" width="12.29296875" style="121" customWidth="1"/>
    <col min="8205" max="8209" width="8.9375" style="121"/>
    <col min="8210" max="8210" width="10.52734375" style="121" customWidth="1"/>
    <col min="8211" max="8448" width="8.9375" style="121"/>
    <col min="8449" max="8449" width="28.17578125" style="121" customWidth="1"/>
    <col min="8450" max="8456" width="20.8203125" style="121" customWidth="1"/>
    <col min="8457" max="8457" width="1.8203125" style="121" customWidth="1"/>
    <col min="8458" max="8458" width="8.9375" style="121"/>
    <col min="8459" max="8459" width="12.17578125" style="121" customWidth="1"/>
    <col min="8460" max="8460" width="12.29296875" style="121" customWidth="1"/>
    <col min="8461" max="8465" width="8.9375" style="121"/>
    <col min="8466" max="8466" width="10.52734375" style="121" customWidth="1"/>
    <col min="8467" max="8704" width="8.9375" style="121"/>
    <col min="8705" max="8705" width="28.17578125" style="121" customWidth="1"/>
    <col min="8706" max="8712" width="20.8203125" style="121" customWidth="1"/>
    <col min="8713" max="8713" width="1.8203125" style="121" customWidth="1"/>
    <col min="8714" max="8714" width="8.9375" style="121"/>
    <col min="8715" max="8715" width="12.17578125" style="121" customWidth="1"/>
    <col min="8716" max="8716" width="12.29296875" style="121" customWidth="1"/>
    <col min="8717" max="8721" width="8.9375" style="121"/>
    <col min="8722" max="8722" width="10.52734375" style="121" customWidth="1"/>
    <col min="8723" max="8960" width="8.9375" style="121"/>
    <col min="8961" max="8961" width="28.17578125" style="121" customWidth="1"/>
    <col min="8962" max="8968" width="20.8203125" style="121" customWidth="1"/>
    <col min="8969" max="8969" width="1.8203125" style="121" customWidth="1"/>
    <col min="8970" max="8970" width="8.9375" style="121"/>
    <col min="8971" max="8971" width="12.17578125" style="121" customWidth="1"/>
    <col min="8972" max="8972" width="12.29296875" style="121" customWidth="1"/>
    <col min="8973" max="8977" width="8.9375" style="121"/>
    <col min="8978" max="8978" width="10.52734375" style="121" customWidth="1"/>
    <col min="8979" max="9216" width="8.9375" style="121"/>
    <col min="9217" max="9217" width="28.17578125" style="121" customWidth="1"/>
    <col min="9218" max="9224" width="20.8203125" style="121" customWidth="1"/>
    <col min="9225" max="9225" width="1.8203125" style="121" customWidth="1"/>
    <col min="9226" max="9226" width="8.9375" style="121"/>
    <col min="9227" max="9227" width="12.17578125" style="121" customWidth="1"/>
    <col min="9228" max="9228" width="12.29296875" style="121" customWidth="1"/>
    <col min="9229" max="9233" width="8.9375" style="121"/>
    <col min="9234" max="9234" width="10.52734375" style="121" customWidth="1"/>
    <col min="9235" max="9472" width="8.9375" style="121"/>
    <col min="9473" max="9473" width="28.17578125" style="121" customWidth="1"/>
    <col min="9474" max="9480" width="20.8203125" style="121" customWidth="1"/>
    <col min="9481" max="9481" width="1.8203125" style="121" customWidth="1"/>
    <col min="9482" max="9482" width="8.9375" style="121"/>
    <col min="9483" max="9483" width="12.17578125" style="121" customWidth="1"/>
    <col min="9484" max="9484" width="12.29296875" style="121" customWidth="1"/>
    <col min="9485" max="9489" width="8.9375" style="121"/>
    <col min="9490" max="9490" width="10.52734375" style="121" customWidth="1"/>
    <col min="9491" max="9728" width="8.9375" style="121"/>
    <col min="9729" max="9729" width="28.17578125" style="121" customWidth="1"/>
    <col min="9730" max="9736" width="20.8203125" style="121" customWidth="1"/>
    <col min="9737" max="9737" width="1.8203125" style="121" customWidth="1"/>
    <col min="9738" max="9738" width="8.9375" style="121"/>
    <col min="9739" max="9739" width="12.17578125" style="121" customWidth="1"/>
    <col min="9740" max="9740" width="12.29296875" style="121" customWidth="1"/>
    <col min="9741" max="9745" width="8.9375" style="121"/>
    <col min="9746" max="9746" width="10.52734375" style="121" customWidth="1"/>
    <col min="9747" max="9984" width="8.9375" style="121"/>
    <col min="9985" max="9985" width="28.17578125" style="121" customWidth="1"/>
    <col min="9986" max="9992" width="20.8203125" style="121" customWidth="1"/>
    <col min="9993" max="9993" width="1.8203125" style="121" customWidth="1"/>
    <col min="9994" max="9994" width="8.9375" style="121"/>
    <col min="9995" max="9995" width="12.17578125" style="121" customWidth="1"/>
    <col min="9996" max="9996" width="12.29296875" style="121" customWidth="1"/>
    <col min="9997" max="10001" width="8.9375" style="121"/>
    <col min="10002" max="10002" width="10.52734375" style="121" customWidth="1"/>
    <col min="10003" max="10240" width="8.9375" style="121"/>
    <col min="10241" max="10241" width="28.17578125" style="121" customWidth="1"/>
    <col min="10242" max="10248" width="20.8203125" style="121" customWidth="1"/>
    <col min="10249" max="10249" width="1.8203125" style="121" customWidth="1"/>
    <col min="10250" max="10250" width="8.9375" style="121"/>
    <col min="10251" max="10251" width="12.17578125" style="121" customWidth="1"/>
    <col min="10252" max="10252" width="12.29296875" style="121" customWidth="1"/>
    <col min="10253" max="10257" width="8.9375" style="121"/>
    <col min="10258" max="10258" width="10.52734375" style="121" customWidth="1"/>
    <col min="10259" max="10496" width="8.9375" style="121"/>
    <col min="10497" max="10497" width="28.17578125" style="121" customWidth="1"/>
    <col min="10498" max="10504" width="20.8203125" style="121" customWidth="1"/>
    <col min="10505" max="10505" width="1.8203125" style="121" customWidth="1"/>
    <col min="10506" max="10506" width="8.9375" style="121"/>
    <col min="10507" max="10507" width="12.17578125" style="121" customWidth="1"/>
    <col min="10508" max="10508" width="12.29296875" style="121" customWidth="1"/>
    <col min="10509" max="10513" width="8.9375" style="121"/>
    <col min="10514" max="10514" width="10.52734375" style="121" customWidth="1"/>
    <col min="10515" max="10752" width="8.9375" style="121"/>
    <col min="10753" max="10753" width="28.17578125" style="121" customWidth="1"/>
    <col min="10754" max="10760" width="20.8203125" style="121" customWidth="1"/>
    <col min="10761" max="10761" width="1.8203125" style="121" customWidth="1"/>
    <col min="10762" max="10762" width="8.9375" style="121"/>
    <col min="10763" max="10763" width="12.17578125" style="121" customWidth="1"/>
    <col min="10764" max="10764" width="12.29296875" style="121" customWidth="1"/>
    <col min="10765" max="10769" width="8.9375" style="121"/>
    <col min="10770" max="10770" width="10.52734375" style="121" customWidth="1"/>
    <col min="10771" max="11008" width="8.9375" style="121"/>
    <col min="11009" max="11009" width="28.17578125" style="121" customWidth="1"/>
    <col min="11010" max="11016" width="20.8203125" style="121" customWidth="1"/>
    <col min="11017" max="11017" width="1.8203125" style="121" customWidth="1"/>
    <col min="11018" max="11018" width="8.9375" style="121"/>
    <col min="11019" max="11019" width="12.17578125" style="121" customWidth="1"/>
    <col min="11020" max="11020" width="12.29296875" style="121" customWidth="1"/>
    <col min="11021" max="11025" width="8.9375" style="121"/>
    <col min="11026" max="11026" width="10.52734375" style="121" customWidth="1"/>
    <col min="11027" max="11264" width="8.9375" style="121"/>
    <col min="11265" max="11265" width="28.17578125" style="121" customWidth="1"/>
    <col min="11266" max="11272" width="20.8203125" style="121" customWidth="1"/>
    <col min="11273" max="11273" width="1.8203125" style="121" customWidth="1"/>
    <col min="11274" max="11274" width="8.9375" style="121"/>
    <col min="11275" max="11275" width="12.17578125" style="121" customWidth="1"/>
    <col min="11276" max="11276" width="12.29296875" style="121" customWidth="1"/>
    <col min="11277" max="11281" width="8.9375" style="121"/>
    <col min="11282" max="11282" width="10.52734375" style="121" customWidth="1"/>
    <col min="11283" max="11520" width="8.9375" style="121"/>
    <col min="11521" max="11521" width="28.17578125" style="121" customWidth="1"/>
    <col min="11522" max="11528" width="20.8203125" style="121" customWidth="1"/>
    <col min="11529" max="11529" width="1.8203125" style="121" customWidth="1"/>
    <col min="11530" max="11530" width="8.9375" style="121"/>
    <col min="11531" max="11531" width="12.17578125" style="121" customWidth="1"/>
    <col min="11532" max="11532" width="12.29296875" style="121" customWidth="1"/>
    <col min="11533" max="11537" width="8.9375" style="121"/>
    <col min="11538" max="11538" width="10.52734375" style="121" customWidth="1"/>
    <col min="11539" max="11776" width="8.9375" style="121"/>
    <col min="11777" max="11777" width="28.17578125" style="121" customWidth="1"/>
    <col min="11778" max="11784" width="20.8203125" style="121" customWidth="1"/>
    <col min="11785" max="11785" width="1.8203125" style="121" customWidth="1"/>
    <col min="11786" max="11786" width="8.9375" style="121"/>
    <col min="11787" max="11787" width="12.17578125" style="121" customWidth="1"/>
    <col min="11788" max="11788" width="12.29296875" style="121" customWidth="1"/>
    <col min="11789" max="11793" width="8.9375" style="121"/>
    <col min="11794" max="11794" width="10.52734375" style="121" customWidth="1"/>
    <col min="11795" max="12032" width="8.9375" style="121"/>
    <col min="12033" max="12033" width="28.17578125" style="121" customWidth="1"/>
    <col min="12034" max="12040" width="20.8203125" style="121" customWidth="1"/>
    <col min="12041" max="12041" width="1.8203125" style="121" customWidth="1"/>
    <col min="12042" max="12042" width="8.9375" style="121"/>
    <col min="12043" max="12043" width="12.17578125" style="121" customWidth="1"/>
    <col min="12044" max="12044" width="12.29296875" style="121" customWidth="1"/>
    <col min="12045" max="12049" width="8.9375" style="121"/>
    <col min="12050" max="12050" width="10.52734375" style="121" customWidth="1"/>
    <col min="12051" max="12288" width="8.9375" style="121"/>
    <col min="12289" max="12289" width="28.17578125" style="121" customWidth="1"/>
    <col min="12290" max="12296" width="20.8203125" style="121" customWidth="1"/>
    <col min="12297" max="12297" width="1.8203125" style="121" customWidth="1"/>
    <col min="12298" max="12298" width="8.9375" style="121"/>
    <col min="12299" max="12299" width="12.17578125" style="121" customWidth="1"/>
    <col min="12300" max="12300" width="12.29296875" style="121" customWidth="1"/>
    <col min="12301" max="12305" width="8.9375" style="121"/>
    <col min="12306" max="12306" width="10.52734375" style="121" customWidth="1"/>
    <col min="12307" max="12544" width="8.9375" style="121"/>
    <col min="12545" max="12545" width="28.17578125" style="121" customWidth="1"/>
    <col min="12546" max="12552" width="20.8203125" style="121" customWidth="1"/>
    <col min="12553" max="12553" width="1.8203125" style="121" customWidth="1"/>
    <col min="12554" max="12554" width="8.9375" style="121"/>
    <col min="12555" max="12555" width="12.17578125" style="121" customWidth="1"/>
    <col min="12556" max="12556" width="12.29296875" style="121" customWidth="1"/>
    <col min="12557" max="12561" width="8.9375" style="121"/>
    <col min="12562" max="12562" width="10.52734375" style="121" customWidth="1"/>
    <col min="12563" max="12800" width="8.9375" style="121"/>
    <col min="12801" max="12801" width="28.17578125" style="121" customWidth="1"/>
    <col min="12802" max="12808" width="20.8203125" style="121" customWidth="1"/>
    <col min="12809" max="12809" width="1.8203125" style="121" customWidth="1"/>
    <col min="12810" max="12810" width="8.9375" style="121"/>
    <col min="12811" max="12811" width="12.17578125" style="121" customWidth="1"/>
    <col min="12812" max="12812" width="12.29296875" style="121" customWidth="1"/>
    <col min="12813" max="12817" width="8.9375" style="121"/>
    <col min="12818" max="12818" width="10.52734375" style="121" customWidth="1"/>
    <col min="12819" max="13056" width="8.9375" style="121"/>
    <col min="13057" max="13057" width="28.17578125" style="121" customWidth="1"/>
    <col min="13058" max="13064" width="20.8203125" style="121" customWidth="1"/>
    <col min="13065" max="13065" width="1.8203125" style="121" customWidth="1"/>
    <col min="13066" max="13066" width="8.9375" style="121"/>
    <col min="13067" max="13067" width="12.17578125" style="121" customWidth="1"/>
    <col min="13068" max="13068" width="12.29296875" style="121" customWidth="1"/>
    <col min="13069" max="13073" width="8.9375" style="121"/>
    <col min="13074" max="13074" width="10.52734375" style="121" customWidth="1"/>
    <col min="13075" max="13312" width="8.9375" style="121"/>
    <col min="13313" max="13313" width="28.17578125" style="121" customWidth="1"/>
    <col min="13314" max="13320" width="20.8203125" style="121" customWidth="1"/>
    <col min="13321" max="13321" width="1.8203125" style="121" customWidth="1"/>
    <col min="13322" max="13322" width="8.9375" style="121"/>
    <col min="13323" max="13323" width="12.17578125" style="121" customWidth="1"/>
    <col min="13324" max="13324" width="12.29296875" style="121" customWidth="1"/>
    <col min="13325" max="13329" width="8.9375" style="121"/>
    <col min="13330" max="13330" width="10.52734375" style="121" customWidth="1"/>
    <col min="13331" max="13568" width="8.9375" style="121"/>
    <col min="13569" max="13569" width="28.17578125" style="121" customWidth="1"/>
    <col min="13570" max="13576" width="20.8203125" style="121" customWidth="1"/>
    <col min="13577" max="13577" width="1.8203125" style="121" customWidth="1"/>
    <col min="13578" max="13578" width="8.9375" style="121"/>
    <col min="13579" max="13579" width="12.17578125" style="121" customWidth="1"/>
    <col min="13580" max="13580" width="12.29296875" style="121" customWidth="1"/>
    <col min="13581" max="13585" width="8.9375" style="121"/>
    <col min="13586" max="13586" width="10.52734375" style="121" customWidth="1"/>
    <col min="13587" max="13824" width="8.9375" style="121"/>
    <col min="13825" max="13825" width="28.17578125" style="121" customWidth="1"/>
    <col min="13826" max="13832" width="20.8203125" style="121" customWidth="1"/>
    <col min="13833" max="13833" width="1.8203125" style="121" customWidth="1"/>
    <col min="13834" max="13834" width="8.9375" style="121"/>
    <col min="13835" max="13835" width="12.17578125" style="121" customWidth="1"/>
    <col min="13836" max="13836" width="12.29296875" style="121" customWidth="1"/>
    <col min="13837" max="13841" width="8.9375" style="121"/>
    <col min="13842" max="13842" width="10.52734375" style="121" customWidth="1"/>
    <col min="13843" max="14080" width="8.9375" style="121"/>
    <col min="14081" max="14081" width="28.17578125" style="121" customWidth="1"/>
    <col min="14082" max="14088" width="20.8203125" style="121" customWidth="1"/>
    <col min="14089" max="14089" width="1.8203125" style="121" customWidth="1"/>
    <col min="14090" max="14090" width="8.9375" style="121"/>
    <col min="14091" max="14091" width="12.17578125" style="121" customWidth="1"/>
    <col min="14092" max="14092" width="12.29296875" style="121" customWidth="1"/>
    <col min="14093" max="14097" width="8.9375" style="121"/>
    <col min="14098" max="14098" width="10.52734375" style="121" customWidth="1"/>
    <col min="14099" max="14336" width="8.9375" style="121"/>
    <col min="14337" max="14337" width="28.17578125" style="121" customWidth="1"/>
    <col min="14338" max="14344" width="20.8203125" style="121" customWidth="1"/>
    <col min="14345" max="14345" width="1.8203125" style="121" customWidth="1"/>
    <col min="14346" max="14346" width="8.9375" style="121"/>
    <col min="14347" max="14347" width="12.17578125" style="121" customWidth="1"/>
    <col min="14348" max="14348" width="12.29296875" style="121" customWidth="1"/>
    <col min="14349" max="14353" width="8.9375" style="121"/>
    <col min="14354" max="14354" width="10.52734375" style="121" customWidth="1"/>
    <col min="14355" max="14592" width="8.9375" style="121"/>
    <col min="14593" max="14593" width="28.17578125" style="121" customWidth="1"/>
    <col min="14594" max="14600" width="20.8203125" style="121" customWidth="1"/>
    <col min="14601" max="14601" width="1.8203125" style="121" customWidth="1"/>
    <col min="14602" max="14602" width="8.9375" style="121"/>
    <col min="14603" max="14603" width="12.17578125" style="121" customWidth="1"/>
    <col min="14604" max="14604" width="12.29296875" style="121" customWidth="1"/>
    <col min="14605" max="14609" width="8.9375" style="121"/>
    <col min="14610" max="14610" width="10.52734375" style="121" customWidth="1"/>
    <col min="14611" max="14848" width="8.9375" style="121"/>
    <col min="14849" max="14849" width="28.17578125" style="121" customWidth="1"/>
    <col min="14850" max="14856" width="20.8203125" style="121" customWidth="1"/>
    <col min="14857" max="14857" width="1.8203125" style="121" customWidth="1"/>
    <col min="14858" max="14858" width="8.9375" style="121"/>
    <col min="14859" max="14859" width="12.17578125" style="121" customWidth="1"/>
    <col min="14860" max="14860" width="12.29296875" style="121" customWidth="1"/>
    <col min="14861" max="14865" width="8.9375" style="121"/>
    <col min="14866" max="14866" width="10.52734375" style="121" customWidth="1"/>
    <col min="14867" max="15104" width="8.9375" style="121"/>
    <col min="15105" max="15105" width="28.17578125" style="121" customWidth="1"/>
    <col min="15106" max="15112" width="20.8203125" style="121" customWidth="1"/>
    <col min="15113" max="15113" width="1.8203125" style="121" customWidth="1"/>
    <col min="15114" max="15114" width="8.9375" style="121"/>
    <col min="15115" max="15115" width="12.17578125" style="121" customWidth="1"/>
    <col min="15116" max="15116" width="12.29296875" style="121" customWidth="1"/>
    <col min="15117" max="15121" width="8.9375" style="121"/>
    <col min="15122" max="15122" width="10.52734375" style="121" customWidth="1"/>
    <col min="15123" max="15360" width="8.9375" style="121"/>
    <col min="15361" max="15361" width="28.17578125" style="121" customWidth="1"/>
    <col min="15362" max="15368" width="20.8203125" style="121" customWidth="1"/>
    <col min="15369" max="15369" width="1.8203125" style="121" customWidth="1"/>
    <col min="15370" max="15370" width="8.9375" style="121"/>
    <col min="15371" max="15371" width="12.17578125" style="121" customWidth="1"/>
    <col min="15372" max="15372" width="12.29296875" style="121" customWidth="1"/>
    <col min="15373" max="15377" width="8.9375" style="121"/>
    <col min="15378" max="15378" width="10.52734375" style="121" customWidth="1"/>
    <col min="15379" max="15616" width="8.9375" style="121"/>
    <col min="15617" max="15617" width="28.17578125" style="121" customWidth="1"/>
    <col min="15618" max="15624" width="20.8203125" style="121" customWidth="1"/>
    <col min="15625" max="15625" width="1.8203125" style="121" customWidth="1"/>
    <col min="15626" max="15626" width="8.9375" style="121"/>
    <col min="15627" max="15627" width="12.17578125" style="121" customWidth="1"/>
    <col min="15628" max="15628" width="12.29296875" style="121" customWidth="1"/>
    <col min="15629" max="15633" width="8.9375" style="121"/>
    <col min="15634" max="15634" width="10.52734375" style="121" customWidth="1"/>
    <col min="15635" max="15872" width="8.9375" style="121"/>
    <col min="15873" max="15873" width="28.17578125" style="121" customWidth="1"/>
    <col min="15874" max="15880" width="20.8203125" style="121" customWidth="1"/>
    <col min="15881" max="15881" width="1.8203125" style="121" customWidth="1"/>
    <col min="15882" max="15882" width="8.9375" style="121"/>
    <col min="15883" max="15883" width="12.17578125" style="121" customWidth="1"/>
    <col min="15884" max="15884" width="12.29296875" style="121" customWidth="1"/>
    <col min="15885" max="15889" width="8.9375" style="121"/>
    <col min="15890" max="15890" width="10.52734375" style="121" customWidth="1"/>
    <col min="15891" max="16128" width="8.9375" style="121"/>
    <col min="16129" max="16129" width="28.17578125" style="121" customWidth="1"/>
    <col min="16130" max="16136" width="20.8203125" style="121" customWidth="1"/>
    <col min="16137" max="16137" width="1.8203125" style="121" customWidth="1"/>
    <col min="16138" max="16138" width="8.9375" style="121"/>
    <col min="16139" max="16139" width="12.17578125" style="121" customWidth="1"/>
    <col min="16140" max="16140" width="12.29296875" style="121" customWidth="1"/>
    <col min="16141" max="16145" width="8.9375" style="121"/>
    <col min="16146" max="16146" width="10.52734375" style="121" customWidth="1"/>
    <col min="16147" max="16384" width="8.9375" style="121"/>
  </cols>
  <sheetData>
    <row r="1" spans="1:9" ht="26.25" customHeight="1" thickBot="1" x14ac:dyDescent="0.95">
      <c r="A1" s="1" t="s">
        <v>0</v>
      </c>
      <c r="H1" s="2"/>
    </row>
    <row r="2" spans="1:9" ht="27" customHeight="1" thickBot="1" x14ac:dyDescent="0.65">
      <c r="A2" s="1" t="s">
        <v>1</v>
      </c>
      <c r="B2" s="3"/>
      <c r="C2" s="4"/>
      <c r="D2" s="4"/>
      <c r="E2" s="4"/>
      <c r="F2" s="4"/>
      <c r="G2" s="5"/>
    </row>
    <row r="3" spans="1:9" ht="12.75" customHeight="1" x14ac:dyDescent="0.5"/>
    <row r="4" spans="1:9" ht="20" x14ac:dyDescent="0.5">
      <c r="A4" s="198" t="s">
        <v>2</v>
      </c>
      <c r="B4" s="199"/>
      <c r="C4" s="199"/>
      <c r="D4" s="199"/>
      <c r="E4" s="199"/>
      <c r="F4" s="199"/>
      <c r="G4" s="199"/>
      <c r="H4" s="199"/>
      <c r="I4" s="199"/>
    </row>
    <row r="5" spans="1:9" ht="8.25" customHeight="1" x14ac:dyDescent="0.5"/>
    <row r="6" spans="1:9" ht="17.7" x14ac:dyDescent="0.55000000000000004">
      <c r="A6" s="105" t="s">
        <v>197</v>
      </c>
    </row>
    <row r="7" spans="1:9" ht="17.7" x14ac:dyDescent="0.55000000000000004">
      <c r="A7" s="6" t="s">
        <v>199</v>
      </c>
      <c r="B7" s="122"/>
      <c r="C7" s="122"/>
      <c r="D7" s="122"/>
      <c r="E7" s="122"/>
      <c r="F7" s="122"/>
      <c r="G7" s="122"/>
      <c r="H7" s="122"/>
    </row>
    <row r="8" spans="1:9" ht="9.75" customHeight="1" x14ac:dyDescent="0.55000000000000004">
      <c r="A8" s="7"/>
    </row>
    <row r="9" spans="1:9" ht="17.7" x14ac:dyDescent="0.55000000000000004">
      <c r="A9" s="7" t="s">
        <v>3</v>
      </c>
      <c r="B9" s="8">
        <v>1000</v>
      </c>
      <c r="C9" s="123"/>
      <c r="F9" s="121" t="s">
        <v>186</v>
      </c>
    </row>
    <row r="10" spans="1:9" ht="17.7" x14ac:dyDescent="0.55000000000000004">
      <c r="A10" s="7" t="s">
        <v>5</v>
      </c>
      <c r="B10" s="9">
        <v>101.5</v>
      </c>
      <c r="C10" s="123"/>
      <c r="E10" s="211">
        <v>43997</v>
      </c>
    </row>
    <row r="11" spans="1:9" ht="17.7" x14ac:dyDescent="0.55000000000000004">
      <c r="A11" s="7" t="s">
        <v>6</v>
      </c>
      <c r="B11" s="10">
        <v>7.0000000000000007E-2</v>
      </c>
      <c r="E11" s="211">
        <v>44012</v>
      </c>
      <c r="F11" s="203">
        <v>15</v>
      </c>
    </row>
    <row r="12" spans="1:9" ht="17.7" x14ac:dyDescent="0.55000000000000004">
      <c r="A12" s="7" t="s">
        <v>210</v>
      </c>
      <c r="B12" s="124"/>
      <c r="C12" s="123"/>
      <c r="E12" s="211">
        <v>44043</v>
      </c>
      <c r="F12" s="203">
        <v>30</v>
      </c>
    </row>
    <row r="13" spans="1:9" ht="17.7" x14ac:dyDescent="0.55000000000000004">
      <c r="A13" s="7" t="s">
        <v>7</v>
      </c>
      <c r="B13" s="125"/>
      <c r="C13" s="123"/>
      <c r="E13" s="211">
        <v>44074</v>
      </c>
      <c r="F13" s="203">
        <v>30</v>
      </c>
    </row>
    <row r="14" spans="1:9" ht="20.7" customHeight="1" x14ac:dyDescent="0.55000000000000004">
      <c r="A14" s="24"/>
      <c r="B14" s="212"/>
      <c r="C14" s="213"/>
      <c r="D14" s="214"/>
      <c r="E14" s="211">
        <v>44087</v>
      </c>
      <c r="F14" s="203">
        <v>13</v>
      </c>
    </row>
    <row r="15" spans="1:9" ht="20.7" customHeight="1" x14ac:dyDescent="0.5">
      <c r="A15" s="211"/>
      <c r="B15" s="211"/>
      <c r="C15" s="211"/>
      <c r="D15" s="211"/>
      <c r="E15" s="135" t="s">
        <v>220</v>
      </c>
      <c r="F15" s="203">
        <v>3</v>
      </c>
    </row>
    <row r="16" spans="1:9" ht="20.7" customHeight="1" x14ac:dyDescent="0.5">
      <c r="A16" s="211"/>
      <c r="B16" s="211"/>
      <c r="C16" s="211"/>
      <c r="D16" s="211"/>
      <c r="E16" s="135" t="s">
        <v>221</v>
      </c>
      <c r="F16" s="203">
        <v>2</v>
      </c>
    </row>
    <row r="17" spans="1:8" ht="20.7" customHeight="1" thickBot="1" x14ac:dyDescent="0.55000000000000004">
      <c r="A17" s="211"/>
      <c r="B17" s="211"/>
      <c r="C17" s="211"/>
      <c r="D17" s="211"/>
      <c r="F17" s="203">
        <f>SUM(F11:F16)</f>
        <v>93</v>
      </c>
    </row>
    <row r="18" spans="1:8" ht="25.7" customHeight="1" thickBot="1" x14ac:dyDescent="0.55000000000000004">
      <c r="A18" s="11" t="s">
        <v>200</v>
      </c>
      <c r="B18" s="12">
        <v>1015</v>
      </c>
      <c r="C18" s="123"/>
    </row>
    <row r="19" spans="1:8" ht="25.7" customHeight="1" thickBot="1" x14ac:dyDescent="0.55000000000000004">
      <c r="A19" s="135" t="s">
        <v>222</v>
      </c>
      <c r="B19" s="215">
        <f>+F17/180*(B11*B9/2)</f>
        <v>18.083333333333336</v>
      </c>
      <c r="C19" s="123"/>
    </row>
    <row r="20" spans="1:8" ht="25.7" customHeight="1" thickBot="1" x14ac:dyDescent="0.55000000000000004">
      <c r="A20" s="11" t="s">
        <v>8</v>
      </c>
      <c r="B20" s="12">
        <f>B19+B18</f>
        <v>1033.0833333333333</v>
      </c>
      <c r="C20" s="123"/>
    </row>
    <row r="21" spans="1:8" ht="25.7" customHeight="1" thickBot="1" x14ac:dyDescent="0.55000000000000004">
      <c r="C21" s="123"/>
    </row>
    <row r="22" spans="1:8" ht="25.7" customHeight="1" thickBot="1" x14ac:dyDescent="0.55000000000000004">
      <c r="A22" s="11" t="s">
        <v>193</v>
      </c>
      <c r="B22" s="216">
        <f>+(B11*B9)/B18</f>
        <v>6.8965517241379309E-2</v>
      </c>
    </row>
    <row r="23" spans="1:8" ht="30.7" customHeight="1" x14ac:dyDescent="0.55000000000000004">
      <c r="A23" s="7"/>
      <c r="C23" s="11"/>
      <c r="D23" s="11"/>
      <c r="E23" s="11"/>
    </row>
    <row r="24" spans="1:8" ht="17.7" x14ac:dyDescent="0.55000000000000004">
      <c r="A24" s="105" t="s">
        <v>11</v>
      </c>
    </row>
    <row r="25" spans="1:8" ht="17.7" x14ac:dyDescent="0.55000000000000004">
      <c r="A25" s="6" t="s">
        <v>12</v>
      </c>
      <c r="B25" s="122"/>
      <c r="C25" s="122"/>
      <c r="D25" s="122"/>
      <c r="E25" s="122"/>
      <c r="F25" s="122"/>
      <c r="G25" s="122"/>
      <c r="H25" s="122"/>
    </row>
    <row r="26" spans="1:8" ht="9" customHeight="1" x14ac:dyDescent="0.5">
      <c r="A26" s="126"/>
      <c r="B26" s="126"/>
      <c r="C26" s="126"/>
      <c r="D26" s="126"/>
      <c r="E26" s="126"/>
      <c r="F26" s="126"/>
    </row>
    <row r="27" spans="1:8" ht="17.25" customHeight="1" x14ac:dyDescent="0.5">
      <c r="A27" s="13" t="s">
        <v>3</v>
      </c>
      <c r="B27" s="14"/>
      <c r="C27" s="15">
        <v>1000</v>
      </c>
      <c r="D27" s="126"/>
      <c r="E27" s="126"/>
      <c r="F27" s="126"/>
    </row>
    <row r="28" spans="1:8" ht="17.25" customHeight="1" x14ac:dyDescent="0.5">
      <c r="A28" s="13" t="s">
        <v>9</v>
      </c>
      <c r="B28" s="14"/>
      <c r="C28" s="16">
        <v>7.4999999999999997E-2</v>
      </c>
      <c r="D28" s="126"/>
      <c r="E28" s="126"/>
      <c r="F28" s="126"/>
    </row>
    <row r="29" spans="1:8" ht="17.25" customHeight="1" x14ac:dyDescent="0.5">
      <c r="A29" s="17" t="s">
        <v>10</v>
      </c>
      <c r="B29" s="18"/>
      <c r="C29" s="16">
        <v>0.105</v>
      </c>
      <c r="D29" s="126"/>
      <c r="E29" s="126"/>
      <c r="F29" s="126"/>
      <c r="G29" s="126"/>
      <c r="H29" s="126"/>
    </row>
    <row r="30" spans="1:8" ht="17.25" customHeight="1" x14ac:dyDescent="0.5">
      <c r="A30" s="19" t="s">
        <v>13</v>
      </c>
      <c r="B30" s="20"/>
      <c r="C30" s="21">
        <v>3</v>
      </c>
      <c r="D30" s="126"/>
      <c r="E30" s="126"/>
      <c r="F30" s="126"/>
      <c r="G30" s="126"/>
      <c r="H30" s="126"/>
    </row>
    <row r="31" spans="1:8" ht="17.25" customHeight="1" x14ac:dyDescent="0.5">
      <c r="A31" s="19" t="s">
        <v>14</v>
      </c>
      <c r="B31" s="20"/>
      <c r="C31" s="22">
        <v>100</v>
      </c>
      <c r="D31" s="126"/>
      <c r="E31" s="126"/>
      <c r="F31" s="126"/>
      <c r="G31" s="126"/>
      <c r="H31" s="126"/>
    </row>
    <row r="32" spans="1:8" ht="17.25" customHeight="1" x14ac:dyDescent="0.5">
      <c r="A32" s="19" t="s">
        <v>15</v>
      </c>
      <c r="B32" s="20"/>
      <c r="C32" s="22">
        <v>2</v>
      </c>
      <c r="D32" s="126"/>
      <c r="E32" s="126"/>
      <c r="F32" s="126"/>
      <c r="G32" s="126"/>
      <c r="H32" s="126"/>
    </row>
    <row r="33" spans="1:8" ht="9" customHeight="1" x14ac:dyDescent="0.5">
      <c r="A33" s="126"/>
      <c r="B33" s="126"/>
      <c r="C33" s="126"/>
      <c r="D33" s="126"/>
      <c r="E33" s="126"/>
      <c r="F33" s="126"/>
      <c r="G33" s="126"/>
      <c r="H33" s="126"/>
    </row>
    <row r="34" spans="1:8" ht="21" customHeight="1" thickBot="1" x14ac:dyDescent="0.55000000000000004">
      <c r="A34" s="23" t="s">
        <v>4</v>
      </c>
      <c r="B34" s="127"/>
      <c r="C34" s="127"/>
      <c r="D34" s="127"/>
      <c r="E34" s="127"/>
      <c r="F34" s="127"/>
      <c r="G34" s="127"/>
      <c r="H34" s="127"/>
    </row>
    <row r="35" spans="1:8" ht="15.35" x14ac:dyDescent="0.5">
      <c r="A35" s="235" t="s">
        <v>16</v>
      </c>
      <c r="B35" s="236" t="s">
        <v>17</v>
      </c>
      <c r="C35" s="236" t="s">
        <v>18</v>
      </c>
      <c r="D35" s="237" t="s">
        <v>19</v>
      </c>
      <c r="E35" s="238" t="s">
        <v>20</v>
      </c>
      <c r="F35" s="239" t="s">
        <v>21</v>
      </c>
      <c r="G35" s="239" t="s">
        <v>22</v>
      </c>
    </row>
    <row r="36" spans="1:8" ht="15.35" x14ac:dyDescent="0.5">
      <c r="A36" s="235" t="s">
        <v>23</v>
      </c>
      <c r="B36" s="240"/>
      <c r="C36" s="241"/>
      <c r="D36" s="242" t="s">
        <v>24</v>
      </c>
      <c r="E36" s="241" t="s">
        <v>25</v>
      </c>
      <c r="F36" s="243"/>
      <c r="G36" s="243" t="s">
        <v>26</v>
      </c>
    </row>
    <row r="37" spans="1:8" ht="27.75" customHeight="1" x14ac:dyDescent="0.5">
      <c r="A37" s="201">
        <v>1</v>
      </c>
      <c r="B37" s="25">
        <f>+$C$28*$C$27/2</f>
        <v>37.5</v>
      </c>
      <c r="C37" s="202">
        <f>B37/((1+$C$29/2)^A37)</f>
        <v>35.629453681710217</v>
      </c>
      <c r="D37" s="26">
        <f>+C37/$C$51</f>
        <v>3.8540429370910373E-2</v>
      </c>
      <c r="E37" s="27">
        <f>+D37*A37</f>
        <v>3.8540429370910373E-2</v>
      </c>
      <c r="F37" s="217">
        <f>+A37+A37^2</f>
        <v>2</v>
      </c>
      <c r="G37" s="28">
        <f>+F37*C37</f>
        <v>71.258907363420434</v>
      </c>
    </row>
    <row r="38" spans="1:8" ht="27.75" customHeight="1" x14ac:dyDescent="0.5">
      <c r="A38" s="201">
        <v>2</v>
      </c>
      <c r="B38" s="25">
        <f t="shared" ref="B38:B41" si="0">+$C$28*$C$27/2</f>
        <v>37.5</v>
      </c>
      <c r="C38" s="202">
        <f t="shared" ref="C38:C42" si="1">B38/((1+$C$29/2)^A38)</f>
        <v>33.852212524190229</v>
      </c>
      <c r="D38" s="26">
        <f t="shared" ref="D38:D42" si="2">+C38/$C$51</f>
        <v>3.6617985150508667E-2</v>
      </c>
      <c r="E38" s="27">
        <f t="shared" ref="E38:E42" si="3">+D38*A38</f>
        <v>7.3235970301017334E-2</v>
      </c>
      <c r="F38" s="217">
        <f t="shared" ref="F38:F42" si="4">+A38+A38^2</f>
        <v>6</v>
      </c>
      <c r="G38" s="28">
        <f t="shared" ref="G38:G42" si="5">+F38*C38</f>
        <v>203.11327514514136</v>
      </c>
    </row>
    <row r="39" spans="1:8" ht="27.75" customHeight="1" x14ac:dyDescent="0.5">
      <c r="A39" s="201">
        <v>3</v>
      </c>
      <c r="B39" s="25">
        <f t="shared" si="0"/>
        <v>37.5</v>
      </c>
      <c r="C39" s="202">
        <f t="shared" si="1"/>
        <v>32.163622350774567</v>
      </c>
      <c r="D39" s="26">
        <f t="shared" si="2"/>
        <v>3.4791434822336029E-2</v>
      </c>
      <c r="E39" s="27">
        <f t="shared" si="3"/>
        <v>0.10437430446700809</v>
      </c>
      <c r="F39" s="217">
        <f t="shared" si="4"/>
        <v>12</v>
      </c>
      <c r="G39" s="28">
        <f t="shared" si="5"/>
        <v>385.96346820929477</v>
      </c>
    </row>
    <row r="40" spans="1:8" ht="27.75" customHeight="1" x14ac:dyDescent="0.5">
      <c r="A40" s="201">
        <v>4</v>
      </c>
      <c r="B40" s="25">
        <f t="shared" si="0"/>
        <v>37.5</v>
      </c>
      <c r="C40" s="202">
        <f t="shared" si="1"/>
        <v>30.559261140878444</v>
      </c>
      <c r="D40" s="26">
        <f t="shared" si="2"/>
        <v>3.3055995080604299E-2</v>
      </c>
      <c r="E40" s="27">
        <f t="shared" si="3"/>
        <v>0.1322239803224172</v>
      </c>
      <c r="F40" s="217">
        <f t="shared" si="4"/>
        <v>20</v>
      </c>
      <c r="G40" s="28">
        <f t="shared" si="5"/>
        <v>611.18522281756884</v>
      </c>
    </row>
    <row r="41" spans="1:8" ht="27.75" customHeight="1" x14ac:dyDescent="0.5">
      <c r="A41" s="201">
        <v>5</v>
      </c>
      <c r="B41" s="25">
        <f t="shared" si="0"/>
        <v>37.5</v>
      </c>
      <c r="C41" s="202">
        <f t="shared" si="1"/>
        <v>29.034927449765746</v>
      </c>
      <c r="D41" s="26">
        <f t="shared" si="2"/>
        <v>3.1407121216726175E-2</v>
      </c>
      <c r="E41" s="27">
        <f t="shared" si="3"/>
        <v>0.15703560608363087</v>
      </c>
      <c r="F41" s="217">
        <f t="shared" si="4"/>
        <v>30</v>
      </c>
      <c r="G41" s="28">
        <f t="shared" si="5"/>
        <v>871.04782349297238</v>
      </c>
    </row>
    <row r="42" spans="1:8" ht="27.75" customHeight="1" x14ac:dyDescent="0.5">
      <c r="A42" s="201">
        <v>6</v>
      </c>
      <c r="B42" s="25">
        <f>+($C$28*$C$27)/2+C27</f>
        <v>1037.5</v>
      </c>
      <c r="C42" s="202">
        <f t="shared" si="1"/>
        <v>763.23008023137186</v>
      </c>
      <c r="D42" s="26">
        <f t="shared" si="2"/>
        <v>0.82558703435891445</v>
      </c>
      <c r="E42" s="27">
        <f t="shared" si="3"/>
        <v>4.9535222061534867</v>
      </c>
      <c r="F42" s="217">
        <f t="shared" si="4"/>
        <v>42</v>
      </c>
      <c r="G42" s="28">
        <f t="shared" si="5"/>
        <v>32055.663369717618</v>
      </c>
    </row>
    <row r="43" spans="1:8" ht="27.75" customHeight="1" x14ac:dyDescent="0.5">
      <c r="A43" s="201">
        <v>7</v>
      </c>
      <c r="B43" s="25"/>
      <c r="C43" s="202"/>
      <c r="D43" s="26"/>
      <c r="E43" s="27"/>
      <c r="F43" s="217"/>
      <c r="G43" s="28">
        <f>SUM(G37:G42)</f>
        <v>34198.232066746015</v>
      </c>
    </row>
    <row r="44" spans="1:8" ht="27.75" customHeight="1" x14ac:dyDescent="0.5">
      <c r="A44" s="201">
        <v>8</v>
      </c>
      <c r="B44" s="25"/>
      <c r="C44" s="202"/>
      <c r="D44" s="26"/>
      <c r="E44" s="27"/>
      <c r="F44" s="217"/>
      <c r="G44" s="28">
        <f>+G43/((1+C29)^2)</f>
        <v>28007.806610631244</v>
      </c>
    </row>
    <row r="45" spans="1:8" ht="27.75" customHeight="1" x14ac:dyDescent="0.5">
      <c r="A45" s="201">
        <v>9</v>
      </c>
      <c r="B45" s="25"/>
      <c r="C45" s="202"/>
      <c r="D45" s="26"/>
      <c r="E45" s="27"/>
      <c r="F45" s="217"/>
      <c r="G45" s="217"/>
    </row>
    <row r="46" spans="1:8" ht="27.75" customHeight="1" x14ac:dyDescent="0.5">
      <c r="A46" s="201">
        <v>10</v>
      </c>
      <c r="B46" s="25"/>
      <c r="C46" s="202"/>
      <c r="D46" s="26"/>
      <c r="E46" s="27"/>
      <c r="F46" s="217"/>
      <c r="G46" s="28"/>
    </row>
    <row r="47" spans="1:8" ht="27.75" customHeight="1" x14ac:dyDescent="0.5">
      <c r="A47" s="201">
        <v>11</v>
      </c>
      <c r="B47" s="25"/>
      <c r="C47" s="202"/>
      <c r="D47" s="26"/>
      <c r="E47" s="27"/>
      <c r="F47" s="217"/>
      <c r="G47" s="28"/>
    </row>
    <row r="48" spans="1:8" ht="27.75" customHeight="1" x14ac:dyDescent="0.5">
      <c r="A48" s="201">
        <v>12</v>
      </c>
      <c r="B48" s="25"/>
      <c r="C48" s="202"/>
      <c r="D48" s="26"/>
      <c r="E48" s="27"/>
      <c r="F48" s="217"/>
      <c r="G48" s="28"/>
    </row>
    <row r="49" spans="1:9" ht="27.75" customHeight="1" x14ac:dyDescent="0.5">
      <c r="A49" s="201"/>
      <c r="B49" s="25"/>
      <c r="C49" s="202"/>
      <c r="D49" s="26"/>
      <c r="E49" s="27"/>
      <c r="F49" s="217"/>
      <c r="G49" s="28"/>
    </row>
    <row r="50" spans="1:9" ht="14.25" customHeight="1" thickBot="1" x14ac:dyDescent="0.55000000000000004">
      <c r="A50" s="29"/>
      <c r="B50" s="29"/>
      <c r="C50" s="29"/>
      <c r="D50" s="30"/>
      <c r="E50" s="31"/>
      <c r="F50" s="29"/>
      <c r="G50" s="29"/>
      <c r="H50" s="29"/>
    </row>
    <row r="51" spans="1:9" ht="27.75" customHeight="1" thickBot="1" x14ac:dyDescent="0.55000000000000004">
      <c r="B51" s="11" t="s">
        <v>27</v>
      </c>
      <c r="C51" s="32">
        <f>SUM(C37:C48)</f>
        <v>924.46955737869109</v>
      </c>
      <c r="D51" s="33" t="s">
        <v>28</v>
      </c>
      <c r="E51" s="34">
        <f>SUM(E37:E49)/2</f>
        <v>2.7294662483492353</v>
      </c>
      <c r="F51" s="11" t="s">
        <v>29</v>
      </c>
      <c r="G51" s="25">
        <f>+G44/((C51*(C32^2)))</f>
        <v>7.5740207957865691</v>
      </c>
    </row>
    <row r="52" spans="1:9" s="200" customFormat="1" ht="20" x14ac:dyDescent="0.5">
      <c r="A52" s="198" t="s">
        <v>30</v>
      </c>
      <c r="B52" s="199"/>
      <c r="C52" s="199"/>
      <c r="D52" s="199"/>
      <c r="E52" s="199"/>
      <c r="F52" s="199"/>
      <c r="G52" s="199"/>
      <c r="H52" s="199"/>
      <c r="I52" s="199"/>
    </row>
    <row r="54" spans="1:9" ht="13.7" customHeight="1" x14ac:dyDescent="0.55000000000000004">
      <c r="A54" s="105" t="s">
        <v>212</v>
      </c>
    </row>
    <row r="55" spans="1:9" ht="13.7" customHeight="1" x14ac:dyDescent="0.55000000000000004">
      <c r="A55" s="105"/>
    </row>
    <row r="56" spans="1:9" ht="13.7" customHeight="1" x14ac:dyDescent="0.55000000000000004">
      <c r="A56" s="105" t="s">
        <v>217</v>
      </c>
    </row>
    <row r="57" spans="1:9" ht="15.35" x14ac:dyDescent="0.5">
      <c r="A57" s="11" t="s">
        <v>218</v>
      </c>
      <c r="B57" s="41">
        <v>10</v>
      </c>
      <c r="C57" s="24"/>
      <c r="F57" s="129"/>
    </row>
    <row r="58" spans="1:9" ht="15.35" x14ac:dyDescent="0.5">
      <c r="A58" s="11" t="s">
        <v>32</v>
      </c>
      <c r="B58" s="42">
        <v>1.5</v>
      </c>
      <c r="C58" s="24" t="s">
        <v>33</v>
      </c>
      <c r="F58" s="130"/>
    </row>
    <row r="59" spans="1:9" ht="15.35" x14ac:dyDescent="0.5">
      <c r="A59" s="11" t="s">
        <v>34</v>
      </c>
      <c r="B59" s="24">
        <v>100</v>
      </c>
      <c r="C59" s="24" t="s">
        <v>31</v>
      </c>
      <c r="D59" s="121" t="s">
        <v>223</v>
      </c>
      <c r="E59" s="130"/>
      <c r="F59" s="130">
        <f>+B57*(B66+B67)*1000000</f>
        <v>5500000000</v>
      </c>
    </row>
    <row r="60" spans="1:9" ht="15.35" x14ac:dyDescent="0.5">
      <c r="A60" s="11" t="s">
        <v>35</v>
      </c>
      <c r="B60" s="42">
        <v>150</v>
      </c>
      <c r="C60" s="24" t="s">
        <v>31</v>
      </c>
      <c r="D60" s="121" t="s">
        <v>224</v>
      </c>
      <c r="E60" s="130"/>
      <c r="F60" s="130"/>
    </row>
    <row r="61" spans="1:9" ht="15.35" x14ac:dyDescent="0.5">
      <c r="A61" s="11" t="s">
        <v>36</v>
      </c>
      <c r="B61" s="42">
        <v>1.45</v>
      </c>
      <c r="C61" s="24" t="s">
        <v>33</v>
      </c>
      <c r="D61" s="121" t="s">
        <v>225</v>
      </c>
      <c r="E61" s="130">
        <f>+B60*1000000</f>
        <v>150000000</v>
      </c>
    </row>
    <row r="62" spans="1:9" ht="15.35" x14ac:dyDescent="0.5">
      <c r="A62" s="11" t="s">
        <v>37</v>
      </c>
      <c r="B62" s="42">
        <v>300</v>
      </c>
      <c r="C62" s="24" t="s">
        <v>31</v>
      </c>
      <c r="D62" s="121" t="s">
        <v>226</v>
      </c>
      <c r="E62" s="130">
        <f>+B61*1000000000</f>
        <v>1450000000</v>
      </c>
      <c r="F62" s="131"/>
    </row>
    <row r="63" spans="1:9" ht="15.35" x14ac:dyDescent="0.5">
      <c r="A63" s="11" t="s">
        <v>38</v>
      </c>
      <c r="B63" s="42">
        <v>2.5</v>
      </c>
      <c r="C63" s="24" t="s">
        <v>33</v>
      </c>
      <c r="D63" s="121" t="s">
        <v>227</v>
      </c>
      <c r="E63" s="130">
        <f>+B62*1000000</f>
        <v>300000000</v>
      </c>
    </row>
    <row r="64" spans="1:9" ht="15.35" x14ac:dyDescent="0.5">
      <c r="A64" s="11" t="s">
        <v>39</v>
      </c>
      <c r="B64" s="42">
        <v>4</v>
      </c>
      <c r="C64" s="24" t="s">
        <v>33</v>
      </c>
      <c r="D64" s="121" t="s">
        <v>228</v>
      </c>
      <c r="E64" s="130"/>
      <c r="F64" s="130">
        <f>-SUM(E61:E63)</f>
        <v>-1900000000</v>
      </c>
    </row>
    <row r="65" spans="1:8" ht="15.35" x14ac:dyDescent="0.5">
      <c r="A65" s="11" t="s">
        <v>40</v>
      </c>
      <c r="B65" s="42">
        <v>200</v>
      </c>
      <c r="C65" s="24" t="s">
        <v>31</v>
      </c>
      <c r="D65" s="121" t="s">
        <v>229</v>
      </c>
      <c r="E65" s="130"/>
      <c r="F65" s="130">
        <f>+B65*1000000</f>
        <v>200000000</v>
      </c>
    </row>
    <row r="66" spans="1:8" ht="15.35" x14ac:dyDescent="0.5">
      <c r="A66" s="11" t="s">
        <v>41</v>
      </c>
      <c r="B66" s="42">
        <v>450</v>
      </c>
      <c r="C66" s="24" t="s">
        <v>31</v>
      </c>
      <c r="D66" s="121" t="s">
        <v>230</v>
      </c>
      <c r="E66" s="130"/>
      <c r="F66" s="130">
        <f>SUM(F59:F65)</f>
        <v>3800000000</v>
      </c>
    </row>
    <row r="67" spans="1:8" ht="15.7" customHeight="1" x14ac:dyDescent="0.5">
      <c r="A67" s="11" t="s">
        <v>219</v>
      </c>
      <c r="B67" s="42">
        <v>100</v>
      </c>
      <c r="C67" s="24" t="s">
        <v>31</v>
      </c>
      <c r="D67" s="121" t="s">
        <v>236</v>
      </c>
      <c r="F67" s="129">
        <f>+B59*1000000</f>
        <v>100000000</v>
      </c>
    </row>
    <row r="68" spans="1:8" ht="15.7" customHeight="1" x14ac:dyDescent="0.5">
      <c r="A68" s="11" t="s">
        <v>215</v>
      </c>
      <c r="B68" s="42">
        <v>0</v>
      </c>
      <c r="C68" s="24"/>
      <c r="D68" s="121" t="s">
        <v>237</v>
      </c>
      <c r="F68" s="218">
        <f>+F66/F67</f>
        <v>38</v>
      </c>
    </row>
    <row r="69" spans="1:8" ht="18" x14ac:dyDescent="0.6">
      <c r="A69" s="11" t="s">
        <v>211</v>
      </c>
      <c r="B69" s="210">
        <v>0.02</v>
      </c>
    </row>
    <row r="70" spans="1:8" ht="18" x14ac:dyDescent="0.6">
      <c r="A70" s="11" t="s">
        <v>51</v>
      </c>
      <c r="B70" s="209">
        <v>1.5</v>
      </c>
      <c r="C70" s="204"/>
    </row>
    <row r="71" spans="1:8" ht="18" x14ac:dyDescent="0.6">
      <c r="A71" s="11" t="s">
        <v>49</v>
      </c>
      <c r="B71" s="210">
        <v>0.1</v>
      </c>
      <c r="C71" s="204"/>
    </row>
    <row r="74" spans="1:8" ht="17.7" x14ac:dyDescent="0.55000000000000004">
      <c r="A74" s="105" t="s">
        <v>201</v>
      </c>
      <c r="B74" s="36"/>
      <c r="C74" s="37"/>
      <c r="D74" s="38"/>
      <c r="E74" s="24"/>
      <c r="F74" s="11"/>
      <c r="G74" s="128"/>
    </row>
    <row r="75" spans="1:8" ht="15.75" customHeight="1" x14ac:dyDescent="0.55000000000000004">
      <c r="A75" s="39" t="s">
        <v>213</v>
      </c>
      <c r="B75" s="40"/>
      <c r="C75" s="40"/>
      <c r="D75" s="40"/>
      <c r="E75" s="40"/>
      <c r="F75" s="40"/>
      <c r="G75" s="40"/>
      <c r="H75" s="40"/>
    </row>
    <row r="76" spans="1:8" ht="14.7" thickBot="1" x14ac:dyDescent="0.55000000000000004"/>
    <row r="77" spans="1:8" ht="18" thickBot="1" x14ac:dyDescent="0.6">
      <c r="A77" s="43" t="s">
        <v>42</v>
      </c>
      <c r="B77" s="225">
        <f>+F68</f>
        <v>38</v>
      </c>
    </row>
    <row r="79" spans="1:8" ht="17.7" x14ac:dyDescent="0.55000000000000004">
      <c r="A79" s="105" t="s">
        <v>43</v>
      </c>
    </row>
    <row r="80" spans="1:8" ht="17.7" x14ac:dyDescent="0.55000000000000004">
      <c r="A80" s="7" t="s">
        <v>214</v>
      </c>
    </row>
    <row r="81" spans="1:7" ht="15.35" x14ac:dyDescent="0.5">
      <c r="B81" s="36"/>
      <c r="C81" s="37"/>
      <c r="G81" s="128"/>
    </row>
    <row r="82" spans="1:7" x14ac:dyDescent="0.5">
      <c r="B82" s="121" t="s">
        <v>231</v>
      </c>
      <c r="C82" s="121">
        <v>60</v>
      </c>
    </row>
    <row r="83" spans="1:7" x14ac:dyDescent="0.5">
      <c r="B83" s="121" t="s">
        <v>232</v>
      </c>
      <c r="C83" s="121">
        <v>1</v>
      </c>
    </row>
    <row r="84" spans="1:7" x14ac:dyDescent="0.5">
      <c r="B84" s="126" t="s">
        <v>233</v>
      </c>
      <c r="C84" s="219">
        <f>+B69+(B70*(B71-B69))</f>
        <v>0.13999999999999999</v>
      </c>
    </row>
    <row r="85" spans="1:7" x14ac:dyDescent="0.5">
      <c r="B85" s="126" t="s">
        <v>234</v>
      </c>
      <c r="C85" s="132" t="s">
        <v>235</v>
      </c>
    </row>
    <row r="86" spans="1:7" ht="14.7" thickBot="1" x14ac:dyDescent="0.55000000000000004">
      <c r="B86" s="126"/>
      <c r="C86" s="132"/>
    </row>
    <row r="87" spans="1:7" ht="18" thickBot="1" x14ac:dyDescent="0.6">
      <c r="A87" s="43" t="s">
        <v>42</v>
      </c>
      <c r="B87" s="225">
        <f>+C82/((1+C84)^C83)</f>
        <v>52.631578947368425</v>
      </c>
      <c r="C87" s="132"/>
    </row>
    <row r="88" spans="1:7" x14ac:dyDescent="0.5">
      <c r="B88" s="126"/>
      <c r="C88" s="132"/>
    </row>
    <row r="89" spans="1:7" ht="17.7" x14ac:dyDescent="0.55000000000000004">
      <c r="A89" s="105" t="s">
        <v>207</v>
      </c>
      <c r="B89" s="36"/>
      <c r="C89" s="37"/>
      <c r="G89" s="128"/>
    </row>
    <row r="90" spans="1:7" ht="17.7" x14ac:dyDescent="0.55000000000000004">
      <c r="A90" s="7" t="s">
        <v>216</v>
      </c>
    </row>
    <row r="91" spans="1:7" ht="17.7" x14ac:dyDescent="0.55000000000000004">
      <c r="A91" s="7"/>
    </row>
    <row r="92" spans="1:7" ht="18" x14ac:dyDescent="0.6">
      <c r="B92" s="204">
        <v>1</v>
      </c>
      <c r="C92" s="204">
        <v>2</v>
      </c>
      <c r="D92" s="204">
        <v>3</v>
      </c>
    </row>
    <row r="93" spans="1:7" ht="18" x14ac:dyDescent="0.6">
      <c r="A93" s="207" t="s">
        <v>206</v>
      </c>
      <c r="B93" s="205" t="s">
        <v>202</v>
      </c>
      <c r="C93" s="205" t="s">
        <v>203</v>
      </c>
      <c r="D93" s="205" t="s">
        <v>204</v>
      </c>
    </row>
    <row r="94" spans="1:7" ht="18" x14ac:dyDescent="0.6">
      <c r="A94" s="206" t="s">
        <v>98</v>
      </c>
      <c r="B94" s="221">
        <v>350000000</v>
      </c>
      <c r="C94" s="221">
        <v>400000000</v>
      </c>
      <c r="D94" s="221">
        <v>450000000</v>
      </c>
    </row>
    <row r="95" spans="1:7" ht="18" x14ac:dyDescent="0.6">
      <c r="A95" s="206" t="s">
        <v>205</v>
      </c>
      <c r="B95" s="222"/>
      <c r="C95" s="223"/>
      <c r="D95" s="223">
        <v>5500000000</v>
      </c>
    </row>
    <row r="96" spans="1:7" ht="18" x14ac:dyDescent="0.6">
      <c r="B96" s="221">
        <f>SUM(B94:B95)</f>
        <v>350000000</v>
      </c>
      <c r="C96" s="221">
        <f>SUM(C94:C95)</f>
        <v>400000000</v>
      </c>
      <c r="D96" s="221">
        <f>SUM(D94:D95)</f>
        <v>5950000000</v>
      </c>
    </row>
    <row r="97" spans="1:8" x14ac:dyDescent="0.5">
      <c r="B97" s="226">
        <f>+B96/((1+$C$84)^B92)</f>
        <v>307017543.85964912</v>
      </c>
      <c r="C97" s="226">
        <f>+C96/((1+$C$84)^C92)</f>
        <v>307787011.38811946</v>
      </c>
      <c r="D97" s="226">
        <f>+D96/((1+$C$84)^D92)</f>
        <v>4016080521.4019976</v>
      </c>
    </row>
    <row r="98" spans="1:8" x14ac:dyDescent="0.5">
      <c r="B98" s="224">
        <f>SUM(B97:D97)</f>
        <v>4630885076.649766</v>
      </c>
      <c r="C98" s="220"/>
      <c r="D98" s="220"/>
    </row>
    <row r="99" spans="1:8" ht="14.7" thickBot="1" x14ac:dyDescent="0.55000000000000004">
      <c r="B99" s="220"/>
      <c r="C99" s="220"/>
      <c r="D99" s="220"/>
    </row>
    <row r="100" spans="1:8" ht="23.7" customHeight="1" thickBot="1" x14ac:dyDescent="0.6">
      <c r="A100" s="43" t="s">
        <v>42</v>
      </c>
      <c r="B100" s="225">
        <f>+B98/F67</f>
        <v>46.308850766497663</v>
      </c>
      <c r="C100" s="132"/>
    </row>
    <row r="101" spans="1:8" x14ac:dyDescent="0.5">
      <c r="B101" s="126"/>
      <c r="C101" s="132"/>
    </row>
    <row r="102" spans="1:8" ht="17.7" x14ac:dyDescent="0.55000000000000004">
      <c r="A102" s="105" t="s">
        <v>103</v>
      </c>
      <c r="B102" s="36"/>
      <c r="C102" s="37"/>
      <c r="D102" s="38"/>
      <c r="E102" s="24"/>
      <c r="F102" s="11"/>
      <c r="G102" s="128"/>
    </row>
    <row r="103" spans="1:8" ht="17.7" x14ac:dyDescent="0.55000000000000004">
      <c r="A103" s="46" t="s">
        <v>44</v>
      </c>
      <c r="B103" s="47"/>
      <c r="C103" s="47"/>
      <c r="D103" s="47"/>
      <c r="E103" s="47"/>
      <c r="F103" s="47"/>
      <c r="G103" s="47"/>
      <c r="H103" s="47"/>
    </row>
    <row r="104" spans="1:8" ht="15" customHeight="1" x14ac:dyDescent="0.5">
      <c r="A104" s="48" t="s">
        <v>45</v>
      </c>
    </row>
    <row r="105" spans="1:8" ht="6" customHeight="1" x14ac:dyDescent="0.5"/>
    <row r="106" spans="1:8" ht="15" customHeight="1" x14ac:dyDescent="0.5">
      <c r="A106" s="133" t="s">
        <v>46</v>
      </c>
      <c r="B106" s="133"/>
      <c r="C106" s="134">
        <v>0.05</v>
      </c>
      <c r="E106" s="135" t="s">
        <v>47</v>
      </c>
      <c r="F106" s="136">
        <v>0.02</v>
      </c>
    </row>
    <row r="107" spans="1:8" ht="15" customHeight="1" x14ac:dyDescent="0.5">
      <c r="A107" s="133" t="s">
        <v>48</v>
      </c>
      <c r="B107" s="133"/>
      <c r="C107" s="134">
        <v>0.5</v>
      </c>
      <c r="E107" s="137" t="s">
        <v>49</v>
      </c>
      <c r="F107" s="136">
        <v>0.12</v>
      </c>
    </row>
    <row r="108" spans="1:8" ht="15" customHeight="1" x14ac:dyDescent="0.5">
      <c r="A108" s="133" t="s">
        <v>50</v>
      </c>
      <c r="B108" s="133"/>
      <c r="C108" s="134">
        <v>0.15</v>
      </c>
      <c r="E108" s="135" t="s">
        <v>51</v>
      </c>
      <c r="F108" s="138">
        <v>2.1</v>
      </c>
    </row>
    <row r="109" spans="1:8" ht="15" customHeight="1" x14ac:dyDescent="0.5">
      <c r="A109" s="133" t="s">
        <v>52</v>
      </c>
      <c r="B109" s="133"/>
      <c r="C109" s="134">
        <v>0.05</v>
      </c>
    </row>
    <row r="110" spans="1:8" ht="15" customHeight="1" x14ac:dyDescent="0.5">
      <c r="A110" s="133" t="s">
        <v>53</v>
      </c>
      <c r="B110" s="133"/>
      <c r="C110" s="134">
        <v>0.25</v>
      </c>
    </row>
    <row r="111" spans="1:8" ht="15" customHeight="1" x14ac:dyDescent="0.5">
      <c r="A111" s="139" t="s">
        <v>54</v>
      </c>
      <c r="B111" s="140"/>
      <c r="C111" s="134">
        <v>0.01</v>
      </c>
    </row>
    <row r="112" spans="1:8" ht="15" customHeight="1" x14ac:dyDescent="0.5">
      <c r="A112" s="133" t="s">
        <v>55</v>
      </c>
      <c r="B112" s="133"/>
      <c r="C112" s="134">
        <v>0.05</v>
      </c>
    </row>
    <row r="113" spans="1:9" ht="15" customHeight="1" x14ac:dyDescent="0.5">
      <c r="A113" s="133" t="s">
        <v>241</v>
      </c>
      <c r="B113" s="133"/>
      <c r="C113" s="227">
        <v>10000</v>
      </c>
      <c r="D113" s="126" t="s">
        <v>194</v>
      </c>
    </row>
    <row r="114" spans="1:9" ht="9" customHeight="1" x14ac:dyDescent="0.5"/>
    <row r="115" spans="1:9" ht="14.25" customHeight="1" x14ac:dyDescent="0.5">
      <c r="A115" s="121" t="s">
        <v>56</v>
      </c>
    </row>
    <row r="116" spans="1:9" ht="38.450000000000003" customHeight="1" x14ac:dyDescent="0.5">
      <c r="A116" s="231" t="s">
        <v>57</v>
      </c>
      <c r="B116" s="228" t="s">
        <v>58</v>
      </c>
      <c r="C116" s="232" t="s">
        <v>59</v>
      </c>
      <c r="D116" s="233" t="s">
        <v>60</v>
      </c>
      <c r="E116" s="233" t="s">
        <v>61</v>
      </c>
      <c r="F116" s="233" t="s">
        <v>62</v>
      </c>
      <c r="G116" s="234" t="s">
        <v>63</v>
      </c>
      <c r="I116" s="126"/>
    </row>
    <row r="117" spans="1:9" ht="27.75" customHeight="1" x14ac:dyDescent="0.5">
      <c r="A117" s="141" t="s">
        <v>64</v>
      </c>
      <c r="B117" s="142">
        <v>160000</v>
      </c>
      <c r="C117" s="49">
        <f>+B117/$B$120</f>
        <v>0.45714285714285713</v>
      </c>
      <c r="D117" s="143">
        <v>0.06</v>
      </c>
      <c r="E117" s="50">
        <f>+D117*(1-$C$110)</f>
        <v>4.4999999999999998E-2</v>
      </c>
      <c r="F117" s="51">
        <f>+E117*C117</f>
        <v>2.057142857142857E-2</v>
      </c>
      <c r="G117" s="52"/>
      <c r="I117" s="126"/>
    </row>
    <row r="118" spans="1:9" ht="27.75" customHeight="1" thickBot="1" x14ac:dyDescent="0.55000000000000004">
      <c r="A118" s="141" t="s">
        <v>65</v>
      </c>
      <c r="B118" s="142">
        <v>50000</v>
      </c>
      <c r="C118" s="49">
        <f t="shared" ref="C118:C120" si="6">+B118/$B$120</f>
        <v>0.14285714285714285</v>
      </c>
      <c r="D118" s="143">
        <v>0.09</v>
      </c>
      <c r="E118" s="50">
        <f>+D118*(1-$C$110)</f>
        <v>6.7500000000000004E-2</v>
      </c>
      <c r="F118" s="51">
        <f t="shared" ref="F118:F119" si="7">+E118*C118</f>
        <v>9.6428571428571423E-3</v>
      </c>
      <c r="G118" s="52"/>
      <c r="I118" s="126"/>
    </row>
    <row r="119" spans="1:9" ht="27.75" customHeight="1" thickBot="1" x14ac:dyDescent="0.55000000000000004">
      <c r="A119" s="141" t="s">
        <v>66</v>
      </c>
      <c r="B119" s="144">
        <v>140000</v>
      </c>
      <c r="C119" s="49">
        <f t="shared" si="6"/>
        <v>0.4</v>
      </c>
      <c r="D119" s="53">
        <f>+F106+(F108*(F107-F106))</f>
        <v>0.22999999999999998</v>
      </c>
      <c r="E119" s="51">
        <f>+D119</f>
        <v>0.22999999999999998</v>
      </c>
      <c r="F119" s="51">
        <f t="shared" si="7"/>
        <v>9.1999999999999998E-2</v>
      </c>
      <c r="G119" s="52"/>
      <c r="I119" s="126"/>
    </row>
    <row r="120" spans="1:9" ht="27.75" customHeight="1" thickBot="1" x14ac:dyDescent="0.55000000000000004">
      <c r="A120" s="141" t="s">
        <v>67</v>
      </c>
      <c r="B120" s="145">
        <f>SUM(B117:B119)</f>
        <v>350000</v>
      </c>
      <c r="C120" s="49">
        <f t="shared" si="6"/>
        <v>1</v>
      </c>
      <c r="F120" s="53">
        <f>SUM(F117:F119)</f>
        <v>0.12221428571428572</v>
      </c>
      <c r="G120" s="55">
        <f>+B120/C142</f>
        <v>5</v>
      </c>
      <c r="I120" s="126"/>
    </row>
    <row r="121" spans="1:9" ht="13.5" customHeight="1" thickTop="1" x14ac:dyDescent="0.5">
      <c r="A121" s="146"/>
      <c r="B121" s="146"/>
      <c r="C121" s="126"/>
      <c r="D121" s="146"/>
      <c r="E121" s="146"/>
      <c r="F121" s="146"/>
      <c r="G121" s="126"/>
      <c r="H121" s="126"/>
      <c r="I121" s="126"/>
    </row>
    <row r="122" spans="1:9" ht="19.5" customHeight="1" x14ac:dyDescent="0.5">
      <c r="A122" s="56"/>
      <c r="B122" s="133"/>
      <c r="C122" s="228" t="s">
        <v>238</v>
      </c>
      <c r="D122" s="228" t="s">
        <v>202</v>
      </c>
      <c r="E122" s="228" t="s">
        <v>203</v>
      </c>
      <c r="F122" s="228" t="s">
        <v>204</v>
      </c>
      <c r="G122" s="228" t="s">
        <v>239</v>
      </c>
      <c r="H122" s="228" t="s">
        <v>240</v>
      </c>
      <c r="I122" s="126"/>
    </row>
    <row r="123" spans="1:9" ht="12" customHeight="1" x14ac:dyDescent="0.5">
      <c r="A123" s="57" t="s">
        <v>68</v>
      </c>
      <c r="B123" s="122"/>
      <c r="C123" s="146"/>
      <c r="D123" s="146"/>
      <c r="E123" s="146"/>
      <c r="F123" s="146"/>
      <c r="G123" s="146"/>
      <c r="H123" s="146"/>
      <c r="I123" s="126"/>
    </row>
    <row r="124" spans="1:9" ht="28.45" customHeight="1" x14ac:dyDescent="0.5">
      <c r="A124" s="147" t="s">
        <v>69</v>
      </c>
      <c r="B124" s="147"/>
      <c r="C124" s="58">
        <f>+B117</f>
        <v>160000</v>
      </c>
      <c r="D124" s="58">
        <f>+C124-D125</f>
        <v>145000</v>
      </c>
      <c r="E124" s="58">
        <f t="shared" ref="E124:H124" si="8">+D124-E125</f>
        <v>125000</v>
      </c>
      <c r="F124" s="58">
        <f t="shared" si="8"/>
        <v>100000</v>
      </c>
      <c r="G124" s="58">
        <f t="shared" si="8"/>
        <v>80000</v>
      </c>
      <c r="H124" s="58">
        <f t="shared" si="8"/>
        <v>0</v>
      </c>
      <c r="I124" s="126"/>
    </row>
    <row r="125" spans="1:9" ht="28.45" customHeight="1" x14ac:dyDescent="0.5">
      <c r="A125" s="148" t="s">
        <v>70</v>
      </c>
      <c r="B125" s="149"/>
      <c r="C125" s="59"/>
      <c r="D125" s="58">
        <v>15000</v>
      </c>
      <c r="E125" s="58">
        <v>20000</v>
      </c>
      <c r="F125" s="58">
        <v>25000</v>
      </c>
      <c r="G125" s="58">
        <v>20000</v>
      </c>
      <c r="H125" s="58">
        <v>80000</v>
      </c>
      <c r="I125" s="126"/>
    </row>
    <row r="126" spans="1:9" ht="28.45" customHeight="1" x14ac:dyDescent="0.5">
      <c r="A126" s="150" t="s">
        <v>71</v>
      </c>
      <c r="B126" s="151"/>
      <c r="C126" s="59"/>
      <c r="D126" s="58">
        <f>+C124*$D$117</f>
        <v>9600</v>
      </c>
      <c r="E126" s="58">
        <f t="shared" ref="E126:H126" si="9">+D124*$D$117</f>
        <v>8700</v>
      </c>
      <c r="F126" s="58">
        <f t="shared" si="9"/>
        <v>7500</v>
      </c>
      <c r="G126" s="58">
        <f t="shared" si="9"/>
        <v>6000</v>
      </c>
      <c r="H126" s="58">
        <f t="shared" si="9"/>
        <v>4800</v>
      </c>
      <c r="I126" s="126"/>
    </row>
    <row r="127" spans="1:9" ht="28.45" customHeight="1" thickBot="1" x14ac:dyDescent="0.55000000000000004">
      <c r="A127" s="148" t="s">
        <v>72</v>
      </c>
      <c r="B127" s="152"/>
      <c r="C127" s="58"/>
      <c r="D127" s="60">
        <f>+D126+D125</f>
        <v>24600</v>
      </c>
      <c r="E127" s="60">
        <f t="shared" ref="E127:H127" si="10">+E126+E125</f>
        <v>28700</v>
      </c>
      <c r="F127" s="60">
        <f t="shared" si="10"/>
        <v>32500</v>
      </c>
      <c r="G127" s="60">
        <f t="shared" si="10"/>
        <v>26000</v>
      </c>
      <c r="H127" s="60">
        <f t="shared" si="10"/>
        <v>84800</v>
      </c>
      <c r="I127" s="126"/>
    </row>
    <row r="128" spans="1:9" ht="12.45" customHeight="1" thickTop="1" x14ac:dyDescent="0.5">
      <c r="A128" s="52"/>
      <c r="B128" s="52"/>
      <c r="C128" s="52"/>
      <c r="D128" s="52"/>
      <c r="E128" s="52"/>
      <c r="F128" s="52"/>
      <c r="G128" s="52"/>
      <c r="H128" s="52"/>
      <c r="I128" s="126"/>
    </row>
    <row r="129" spans="1:9" ht="13.5" customHeight="1" x14ac:dyDescent="0.5">
      <c r="A129" s="61" t="s">
        <v>73</v>
      </c>
      <c r="B129" s="153"/>
      <c r="C129" s="29"/>
      <c r="D129" s="29"/>
      <c r="E129" s="29"/>
      <c r="F129" s="29"/>
      <c r="G129" s="29"/>
      <c r="H129" s="29"/>
      <c r="I129" s="126"/>
    </row>
    <row r="130" spans="1:9" ht="23.7" customHeight="1" x14ac:dyDescent="0.5">
      <c r="A130" s="154" t="s">
        <v>69</v>
      </c>
      <c r="B130" s="155"/>
      <c r="C130" s="62">
        <f>+B118</f>
        <v>50000</v>
      </c>
      <c r="D130" s="58">
        <f>+C130-D131</f>
        <v>50000</v>
      </c>
      <c r="E130" s="58">
        <f t="shared" ref="E130:H130" si="11">+D130-E131</f>
        <v>50000</v>
      </c>
      <c r="F130" s="58">
        <f t="shared" si="11"/>
        <v>50000</v>
      </c>
      <c r="G130" s="58">
        <f t="shared" si="11"/>
        <v>50000</v>
      </c>
      <c r="H130" s="58">
        <f t="shared" si="11"/>
        <v>0</v>
      </c>
      <c r="I130" s="126"/>
    </row>
    <row r="131" spans="1:9" ht="23.7" customHeight="1" x14ac:dyDescent="0.5">
      <c r="A131" s="148" t="s">
        <v>70</v>
      </c>
      <c r="B131" s="152"/>
      <c r="C131" s="63"/>
      <c r="D131" s="64">
        <v>0</v>
      </c>
      <c r="E131" s="65">
        <v>0</v>
      </c>
      <c r="F131" s="65">
        <v>0</v>
      </c>
      <c r="G131" s="65">
        <v>0</v>
      </c>
      <c r="H131" s="58">
        <v>50000</v>
      </c>
      <c r="I131" s="126"/>
    </row>
    <row r="132" spans="1:9" ht="23.7" customHeight="1" x14ac:dyDescent="0.5">
      <c r="A132" s="150" t="s">
        <v>71</v>
      </c>
      <c r="B132" s="156"/>
      <c r="C132" s="66"/>
      <c r="D132" s="58">
        <f>+C130*$D$118</f>
        <v>4500</v>
      </c>
      <c r="E132" s="58">
        <f t="shared" ref="E132:H132" si="12">+D130*$D$118</f>
        <v>4500</v>
      </c>
      <c r="F132" s="58">
        <f t="shared" si="12"/>
        <v>4500</v>
      </c>
      <c r="G132" s="58">
        <f t="shared" si="12"/>
        <v>4500</v>
      </c>
      <c r="H132" s="58">
        <f t="shared" si="12"/>
        <v>4500</v>
      </c>
      <c r="I132" s="126"/>
    </row>
    <row r="133" spans="1:9" ht="23.7" customHeight="1" thickBot="1" x14ac:dyDescent="0.55000000000000004">
      <c r="A133" s="148" t="s">
        <v>72</v>
      </c>
      <c r="B133" s="152"/>
      <c r="C133" s="59"/>
      <c r="D133" s="60">
        <f>+D132+D131</f>
        <v>4500</v>
      </c>
      <c r="E133" s="60">
        <f t="shared" ref="E133:H133" si="13">+E132+E131</f>
        <v>4500</v>
      </c>
      <c r="F133" s="60">
        <f t="shared" si="13"/>
        <v>4500</v>
      </c>
      <c r="G133" s="60">
        <f t="shared" si="13"/>
        <v>4500</v>
      </c>
      <c r="H133" s="60">
        <f t="shared" si="13"/>
        <v>54500</v>
      </c>
      <c r="I133" s="126"/>
    </row>
    <row r="134" spans="1:9" ht="17.7" customHeight="1" thickTop="1" x14ac:dyDescent="0.5">
      <c r="A134" s="67" t="s">
        <v>74</v>
      </c>
      <c r="B134" s="156"/>
      <c r="C134" s="29"/>
      <c r="D134" s="29"/>
      <c r="E134" s="29"/>
      <c r="F134" s="29"/>
      <c r="G134" s="29"/>
      <c r="H134" s="29"/>
      <c r="I134" s="126"/>
    </row>
    <row r="135" spans="1:9" ht="23.7" customHeight="1" x14ac:dyDescent="0.5">
      <c r="A135" s="148" t="s">
        <v>75</v>
      </c>
      <c r="B135" s="149"/>
      <c r="C135" s="68"/>
      <c r="D135" s="59">
        <f>+D133+D127</f>
        <v>29100</v>
      </c>
      <c r="E135" s="59">
        <f>+E133+E127</f>
        <v>33200</v>
      </c>
      <c r="F135" s="59">
        <f>+F133+F127</f>
        <v>37000</v>
      </c>
      <c r="G135" s="59">
        <f>+G133+G127</f>
        <v>30500</v>
      </c>
      <c r="H135" s="59">
        <f>+H133+H127</f>
        <v>139300</v>
      </c>
      <c r="I135" s="126"/>
    </row>
    <row r="136" spans="1:9" ht="23.7" customHeight="1" thickBot="1" x14ac:dyDescent="0.55000000000000004">
      <c r="A136" s="148" t="s">
        <v>76</v>
      </c>
      <c r="B136" s="140"/>
      <c r="C136" s="69"/>
      <c r="D136" s="60">
        <f>+D130+D124</f>
        <v>195000</v>
      </c>
      <c r="E136" s="60">
        <f>+E130+E124</f>
        <v>175000</v>
      </c>
      <c r="F136" s="62">
        <f>+F130+F124</f>
        <v>150000</v>
      </c>
      <c r="G136" s="60">
        <f>+G130+G124</f>
        <v>130000</v>
      </c>
      <c r="H136" s="60">
        <f>+H130+H124</f>
        <v>0</v>
      </c>
      <c r="I136" s="126"/>
    </row>
    <row r="137" spans="1:9" ht="13.5" customHeight="1" thickTop="1" x14ac:dyDescent="0.5">
      <c r="A137" s="126"/>
      <c r="B137" s="126"/>
      <c r="C137" s="146"/>
      <c r="D137" s="126"/>
      <c r="E137" s="126"/>
      <c r="F137" s="70" t="s">
        <v>77</v>
      </c>
      <c r="G137" s="126"/>
      <c r="H137" s="126"/>
      <c r="I137" s="126"/>
    </row>
    <row r="138" spans="1:9" ht="24.75" customHeight="1" x14ac:dyDescent="0.5">
      <c r="A138" s="71"/>
      <c r="B138" s="157"/>
      <c r="C138" s="228" t="s">
        <v>238</v>
      </c>
      <c r="D138" s="228" t="s">
        <v>202</v>
      </c>
      <c r="E138" s="228" t="s">
        <v>203</v>
      </c>
      <c r="F138" s="228" t="s">
        <v>204</v>
      </c>
      <c r="G138" s="228" t="s">
        <v>239</v>
      </c>
      <c r="H138" s="126"/>
      <c r="I138" s="126"/>
    </row>
    <row r="139" spans="1:9" ht="27.75" customHeight="1" x14ac:dyDescent="0.5">
      <c r="A139" s="158" t="s">
        <v>78</v>
      </c>
      <c r="B139" s="159"/>
      <c r="C139" s="58">
        <v>240000</v>
      </c>
      <c r="D139" s="58">
        <f>+C139*(1+$C$106)</f>
        <v>252000</v>
      </c>
      <c r="E139" s="58">
        <f t="shared" ref="E139:G139" si="14">+D139*(1+$C$106)</f>
        <v>264600</v>
      </c>
      <c r="F139" s="58">
        <f t="shared" si="14"/>
        <v>277830</v>
      </c>
      <c r="G139" s="58">
        <f t="shared" si="14"/>
        <v>291721.5</v>
      </c>
      <c r="H139" s="126"/>
      <c r="I139" s="126"/>
    </row>
    <row r="140" spans="1:9" ht="27.75" customHeight="1" x14ac:dyDescent="0.5">
      <c r="A140" s="148" t="s">
        <v>79</v>
      </c>
      <c r="B140" s="149"/>
      <c r="C140" s="140"/>
      <c r="D140" s="58">
        <f>-D139*$C$107</f>
        <v>-126000</v>
      </c>
      <c r="E140" s="58">
        <f t="shared" ref="E140:G140" si="15">-E139*$C$107</f>
        <v>-132300</v>
      </c>
      <c r="F140" s="58">
        <f t="shared" si="15"/>
        <v>-138915</v>
      </c>
      <c r="G140" s="58">
        <f t="shared" si="15"/>
        <v>-145860.75</v>
      </c>
      <c r="H140" s="160"/>
      <c r="I140" s="126"/>
    </row>
    <row r="141" spans="1:9" ht="27.75" customHeight="1" x14ac:dyDescent="0.5">
      <c r="A141" s="148" t="s">
        <v>80</v>
      </c>
      <c r="B141" s="149"/>
      <c r="C141" s="140"/>
      <c r="D141" s="74">
        <f>-D139*$C$108</f>
        <v>-37800</v>
      </c>
      <c r="E141" s="74">
        <f t="shared" ref="E141:G141" si="16">-E139*$C$108</f>
        <v>-39690</v>
      </c>
      <c r="F141" s="74">
        <f t="shared" si="16"/>
        <v>-41674.5</v>
      </c>
      <c r="G141" s="74">
        <f t="shared" si="16"/>
        <v>-43758.224999999999</v>
      </c>
      <c r="H141" s="160"/>
      <c r="I141" s="126"/>
    </row>
    <row r="142" spans="1:9" ht="27.75" customHeight="1" thickBot="1" x14ac:dyDescent="0.55000000000000004">
      <c r="A142" s="77" t="s">
        <v>81</v>
      </c>
      <c r="B142" s="159"/>
      <c r="C142" s="60">
        <v>70000</v>
      </c>
      <c r="D142" s="62">
        <f>SUM(D139:D141)</f>
        <v>88200</v>
      </c>
      <c r="E142" s="62">
        <f t="shared" ref="E142:G142" si="17">SUM(E139:E141)</f>
        <v>92610</v>
      </c>
      <c r="F142" s="62">
        <f t="shared" si="17"/>
        <v>97240.5</v>
      </c>
      <c r="G142" s="62">
        <f t="shared" si="17"/>
        <v>102102.52499999999</v>
      </c>
      <c r="H142" s="160"/>
      <c r="I142" s="126"/>
    </row>
    <row r="143" spans="1:9" ht="27.75" customHeight="1" thickTop="1" x14ac:dyDescent="0.5">
      <c r="A143" s="81" t="s">
        <v>82</v>
      </c>
      <c r="B143" s="161"/>
      <c r="C143" s="162"/>
      <c r="D143" s="58">
        <f>-$C$109*D139</f>
        <v>-12600</v>
      </c>
      <c r="E143" s="58">
        <f t="shared" ref="E143:G143" si="18">-$C$109*E139</f>
        <v>-13230</v>
      </c>
      <c r="F143" s="58">
        <f t="shared" si="18"/>
        <v>-13891.5</v>
      </c>
      <c r="G143" s="58">
        <f t="shared" si="18"/>
        <v>-14586.075000000001</v>
      </c>
      <c r="H143" s="146"/>
      <c r="I143" s="126"/>
    </row>
    <row r="144" spans="1:9" ht="27.75" customHeight="1" thickBot="1" x14ac:dyDescent="0.55000000000000004">
      <c r="A144" s="75" t="s">
        <v>83</v>
      </c>
      <c r="B144" s="163"/>
      <c r="C144" s="164"/>
      <c r="D144" s="82">
        <f>-$C$113/7</f>
        <v>-1428.5714285714287</v>
      </c>
      <c r="E144" s="82">
        <f t="shared" ref="E144:G144" si="19">-$C$113/7</f>
        <v>-1428.5714285714287</v>
      </c>
      <c r="F144" s="82">
        <f t="shared" si="19"/>
        <v>-1428.5714285714287</v>
      </c>
      <c r="G144" s="82">
        <f t="shared" si="19"/>
        <v>-1428.5714285714287</v>
      </c>
      <c r="H144" s="146"/>
      <c r="I144" s="126"/>
    </row>
    <row r="145" spans="1:9" ht="27.75" customHeight="1" x14ac:dyDescent="0.5">
      <c r="A145" s="81" t="s">
        <v>84</v>
      </c>
      <c r="B145" s="161"/>
      <c r="C145" s="162"/>
      <c r="D145" s="74">
        <f>+D142+D143+D144</f>
        <v>74171.428571428565</v>
      </c>
      <c r="E145" s="74">
        <f t="shared" ref="E145:G145" si="20">+E142+E143+E144</f>
        <v>77951.428571428565</v>
      </c>
      <c r="F145" s="74">
        <f t="shared" si="20"/>
        <v>81920.428571428565</v>
      </c>
      <c r="G145" s="74">
        <f t="shared" si="20"/>
        <v>86087.878571428562</v>
      </c>
      <c r="H145" s="160"/>
      <c r="I145" s="126"/>
    </row>
    <row r="146" spans="1:9" ht="27.75" customHeight="1" x14ac:dyDescent="0.5">
      <c r="A146" s="158" t="s">
        <v>85</v>
      </c>
      <c r="B146" s="165"/>
      <c r="C146" s="166"/>
      <c r="D146" s="58">
        <f>-D145*$C$110</f>
        <v>-18542.857142857141</v>
      </c>
      <c r="E146" s="58">
        <f t="shared" ref="E146:G146" si="21">-E145*$C$110</f>
        <v>-19487.857142857141</v>
      </c>
      <c r="F146" s="58">
        <f t="shared" si="21"/>
        <v>-20480.107142857141</v>
      </c>
      <c r="G146" s="58">
        <f t="shared" si="21"/>
        <v>-21521.969642857141</v>
      </c>
      <c r="H146" s="160"/>
      <c r="I146" s="126"/>
    </row>
    <row r="147" spans="1:9" ht="27.75" customHeight="1" x14ac:dyDescent="0.5">
      <c r="A147" s="158" t="s">
        <v>86</v>
      </c>
      <c r="B147" s="167"/>
      <c r="C147" s="166"/>
      <c r="D147" s="58">
        <f>-D143-D144</f>
        <v>14028.571428571429</v>
      </c>
      <c r="E147" s="58">
        <f t="shared" ref="E147:G147" si="22">-E143-E144</f>
        <v>14658.571428571429</v>
      </c>
      <c r="F147" s="58">
        <f t="shared" si="22"/>
        <v>15320.071428571429</v>
      </c>
      <c r="G147" s="58">
        <f t="shared" si="22"/>
        <v>16014.64642857143</v>
      </c>
      <c r="H147" s="160"/>
      <c r="I147" s="126"/>
    </row>
    <row r="148" spans="1:9" ht="27.75" customHeight="1" x14ac:dyDescent="0.5">
      <c r="A148" s="144" t="s">
        <v>87</v>
      </c>
      <c r="B148" s="168"/>
      <c r="C148" s="169"/>
      <c r="D148" s="62">
        <f>-$C$111*D139</f>
        <v>-2520</v>
      </c>
      <c r="E148" s="62">
        <f t="shared" ref="E148:G148" si="23">-$C$111*E139</f>
        <v>-2646</v>
      </c>
      <c r="F148" s="62">
        <f t="shared" si="23"/>
        <v>-2778.3</v>
      </c>
      <c r="G148" s="62">
        <f t="shared" si="23"/>
        <v>-2917.2150000000001</v>
      </c>
      <c r="H148" s="160"/>
      <c r="I148" s="126"/>
    </row>
    <row r="149" spans="1:9" ht="27.75" customHeight="1" thickBot="1" x14ac:dyDescent="0.55000000000000004">
      <c r="A149" s="158" t="s">
        <v>88</v>
      </c>
      <c r="B149" s="167"/>
      <c r="C149" s="166"/>
      <c r="D149" s="82">
        <f>-D139*$C$112</f>
        <v>-12600</v>
      </c>
      <c r="E149" s="82">
        <f t="shared" ref="E149:G149" si="24">-E139*$C$112</f>
        <v>-13230</v>
      </c>
      <c r="F149" s="82">
        <f t="shared" si="24"/>
        <v>-13891.5</v>
      </c>
      <c r="G149" s="82">
        <f t="shared" si="24"/>
        <v>-14586.075000000001</v>
      </c>
      <c r="H149" s="160"/>
      <c r="I149" s="126"/>
    </row>
    <row r="150" spans="1:9" ht="27.75" customHeight="1" x14ac:dyDescent="0.5">
      <c r="A150" s="81" t="s">
        <v>89</v>
      </c>
      <c r="B150" s="86"/>
      <c r="C150" s="162"/>
      <c r="D150" s="74">
        <f>SUM(D145:D149)</f>
        <v>54537.142857142855</v>
      </c>
      <c r="E150" s="74">
        <f t="shared" ref="E150:G150" si="25">SUM(E145:E149)</f>
        <v>57246.142857142855</v>
      </c>
      <c r="F150" s="74">
        <f t="shared" si="25"/>
        <v>60090.592857142852</v>
      </c>
      <c r="G150" s="74">
        <f t="shared" si="25"/>
        <v>63077.265357142853</v>
      </c>
      <c r="H150" s="126"/>
      <c r="I150" s="126"/>
    </row>
    <row r="151" spans="1:9" ht="27.75" customHeight="1" x14ac:dyDescent="0.5">
      <c r="A151" s="170" t="s">
        <v>90</v>
      </c>
      <c r="B151" s="171"/>
      <c r="C151" s="172"/>
      <c r="D151" s="58">
        <f>-D135</f>
        <v>-29100</v>
      </c>
      <c r="E151" s="58">
        <f t="shared" ref="E151:G151" si="26">-E135</f>
        <v>-33200</v>
      </c>
      <c r="F151" s="58">
        <f t="shared" si="26"/>
        <v>-37000</v>
      </c>
      <c r="G151" s="58">
        <f t="shared" si="26"/>
        <v>-30500</v>
      </c>
      <c r="H151" s="126"/>
      <c r="I151" s="126"/>
    </row>
    <row r="152" spans="1:9" ht="27.75" customHeight="1" thickBot="1" x14ac:dyDescent="0.55000000000000004">
      <c r="A152" s="77" t="s">
        <v>91</v>
      </c>
      <c r="B152" s="87"/>
      <c r="C152" s="59"/>
      <c r="D152" s="60">
        <f>+D150+D151</f>
        <v>25437.142857142855</v>
      </c>
      <c r="E152" s="60">
        <f t="shared" ref="E152:G152" si="27">+E150+E151</f>
        <v>24046.142857142855</v>
      </c>
      <c r="F152" s="60">
        <f t="shared" si="27"/>
        <v>23090.592857142852</v>
      </c>
      <c r="G152" s="60">
        <f t="shared" si="27"/>
        <v>32577.265357142853</v>
      </c>
      <c r="H152" s="126"/>
      <c r="I152" s="126"/>
    </row>
    <row r="153" spans="1:9" ht="27.75" customHeight="1" thickTop="1" thickBot="1" x14ac:dyDescent="0.55000000000000004">
      <c r="A153" s="72"/>
      <c r="B153" s="89"/>
      <c r="C153" s="52"/>
      <c r="D153" s="52"/>
      <c r="E153" s="52"/>
      <c r="F153" s="52"/>
      <c r="G153" s="52"/>
      <c r="H153" s="126"/>
      <c r="I153" s="126"/>
    </row>
    <row r="154" spans="1:9" ht="26.7" customHeight="1" x14ac:dyDescent="0.5">
      <c r="A154" s="72"/>
      <c r="B154" s="89"/>
      <c r="C154" s="52"/>
      <c r="D154" s="52"/>
      <c r="E154" s="52"/>
      <c r="F154" s="70" t="s">
        <v>77</v>
      </c>
      <c r="G154" s="52"/>
      <c r="H154" s="126"/>
      <c r="I154" s="126"/>
    </row>
    <row r="155" spans="1:9" ht="27.75" customHeight="1" x14ac:dyDescent="0.5">
      <c r="A155" s="90" t="s">
        <v>92</v>
      </c>
      <c r="B155" s="173"/>
      <c r="C155" s="228" t="s">
        <v>238</v>
      </c>
      <c r="D155" s="228" t="s">
        <v>202</v>
      </c>
      <c r="E155" s="228" t="s">
        <v>203</v>
      </c>
      <c r="F155" s="228" t="s">
        <v>204</v>
      </c>
      <c r="G155" s="52"/>
      <c r="H155" s="126"/>
      <c r="I155" s="126"/>
    </row>
    <row r="156" spans="1:9" ht="27.75" customHeight="1" x14ac:dyDescent="0.5">
      <c r="A156" s="147" t="s">
        <v>93</v>
      </c>
      <c r="B156" s="147"/>
      <c r="C156" s="133"/>
      <c r="D156" s="133"/>
      <c r="E156" s="29"/>
      <c r="F156" s="73">
        <f>+F142*G120</f>
        <v>486202.5</v>
      </c>
      <c r="G156" s="52"/>
      <c r="H156" s="126"/>
      <c r="I156" s="126"/>
    </row>
    <row r="157" spans="1:9" ht="27.75" customHeight="1" thickBot="1" x14ac:dyDescent="0.55000000000000004">
      <c r="A157" s="147" t="s">
        <v>94</v>
      </c>
      <c r="B157" s="147"/>
      <c r="C157" s="133"/>
      <c r="D157" s="133"/>
      <c r="E157" s="29"/>
      <c r="F157" s="84">
        <f>+G150/$F$120</f>
        <v>516120.23085914663</v>
      </c>
      <c r="G157" s="126"/>
      <c r="H157" s="126"/>
      <c r="I157" s="126"/>
    </row>
    <row r="158" spans="1:9" ht="27.75" customHeight="1" x14ac:dyDescent="0.5">
      <c r="A158" s="147" t="s">
        <v>95</v>
      </c>
      <c r="B158" s="147"/>
      <c r="C158" s="133"/>
      <c r="D158" s="133"/>
      <c r="E158" s="29"/>
      <c r="F158" s="76">
        <f>AVERAGE(F156:F157)</f>
        <v>501161.36542957334</v>
      </c>
      <c r="G158" s="126"/>
      <c r="H158" s="126"/>
      <c r="I158" s="126"/>
    </row>
    <row r="159" spans="1:9" ht="27.75" customHeight="1" thickBot="1" x14ac:dyDescent="0.55000000000000004">
      <c r="A159" s="147" t="s">
        <v>96</v>
      </c>
      <c r="B159" s="147"/>
      <c r="C159" s="133"/>
      <c r="D159" s="133"/>
      <c r="E159" s="29"/>
      <c r="F159" s="84">
        <f>-F136</f>
        <v>-150000</v>
      </c>
      <c r="G159" s="126"/>
      <c r="H159" s="126"/>
      <c r="I159" s="126"/>
    </row>
    <row r="160" spans="1:9" ht="27.75" customHeight="1" x14ac:dyDescent="0.5">
      <c r="A160" s="147" t="s">
        <v>97</v>
      </c>
      <c r="B160" s="147"/>
      <c r="C160" s="133"/>
      <c r="D160" s="133"/>
      <c r="E160" s="29"/>
      <c r="F160" s="76">
        <f>+F158+F159</f>
        <v>351161.36542957334</v>
      </c>
      <c r="G160" s="126"/>
      <c r="H160" s="126"/>
      <c r="I160" s="126"/>
    </row>
    <row r="161" spans="1:9" ht="12" customHeight="1" x14ac:dyDescent="0.5">
      <c r="A161" s="126"/>
      <c r="B161" s="126"/>
      <c r="C161" s="126"/>
      <c r="D161" s="91"/>
      <c r="E161" s="91"/>
      <c r="F161" s="92"/>
      <c r="G161" s="126"/>
      <c r="H161" s="126"/>
      <c r="I161" s="126"/>
    </row>
    <row r="162" spans="1:9" ht="27.75" customHeight="1" x14ac:dyDescent="0.5">
      <c r="A162" s="93" t="s">
        <v>98</v>
      </c>
      <c r="B162" s="140"/>
      <c r="C162" s="62">
        <f>-B119</f>
        <v>-140000</v>
      </c>
      <c r="D162" s="62">
        <f>+D152</f>
        <v>25437.142857142855</v>
      </c>
      <c r="E162" s="78">
        <f>+E152</f>
        <v>24046.142857142855</v>
      </c>
      <c r="F162" s="79">
        <f>+F160+F152</f>
        <v>374251.9582867162</v>
      </c>
      <c r="G162" s="126"/>
      <c r="H162" s="126"/>
      <c r="I162" s="126"/>
    </row>
    <row r="163" spans="1:9" ht="27.75" customHeight="1" x14ac:dyDescent="0.5">
      <c r="A163" s="94" t="s">
        <v>99</v>
      </c>
      <c r="B163" s="58"/>
      <c r="C163" s="229"/>
      <c r="D163" s="230">
        <f>+D162/((1+$D$119)^1)</f>
        <v>20680.603948896631</v>
      </c>
      <c r="E163" s="230">
        <f>+E162/((1+$D$119)^2)</f>
        <v>15894.072878011009</v>
      </c>
      <c r="F163" s="230">
        <f>+F162/((1+$D$119)^3)</f>
        <v>201116.9837966476</v>
      </c>
      <c r="G163" s="126"/>
      <c r="H163" s="126"/>
      <c r="I163" s="126"/>
    </row>
    <row r="164" spans="1:9" ht="27.75" customHeight="1" thickBot="1" x14ac:dyDescent="0.55000000000000004">
      <c r="A164" s="94" t="s">
        <v>195</v>
      </c>
      <c r="B164" s="95">
        <f>SUM(D163:F163)</f>
        <v>237691.66062355525</v>
      </c>
      <c r="C164" s="94"/>
      <c r="D164" s="153"/>
      <c r="E164" s="153"/>
      <c r="F164" s="153"/>
      <c r="G164" s="126"/>
      <c r="H164" s="126"/>
      <c r="I164" s="126"/>
    </row>
    <row r="165" spans="1:9" ht="27.75" customHeight="1" thickTop="1" x14ac:dyDescent="0.5">
      <c r="A165" s="94" t="s">
        <v>196</v>
      </c>
      <c r="B165" s="74">
        <f>+C162</f>
        <v>-140000</v>
      </c>
      <c r="C165" s="174"/>
      <c r="D165" s="153"/>
      <c r="E165" s="153"/>
      <c r="F165" s="153"/>
      <c r="G165" s="126"/>
      <c r="H165" s="126"/>
      <c r="I165" s="126"/>
    </row>
    <row r="166" spans="1:9" ht="9.75" customHeight="1" thickBot="1" x14ac:dyDescent="0.55000000000000004">
      <c r="A166" s="94"/>
      <c r="B166" s="29"/>
      <c r="C166" s="174"/>
      <c r="D166" s="153"/>
      <c r="E166" s="153"/>
      <c r="F166" s="153"/>
      <c r="G166" s="126"/>
      <c r="H166" s="126"/>
      <c r="I166" s="126"/>
    </row>
    <row r="167" spans="1:9" ht="27.75" customHeight="1" thickBot="1" x14ac:dyDescent="0.55000000000000004">
      <c r="A167" s="96" t="s">
        <v>100</v>
      </c>
      <c r="B167" s="97">
        <f>+B164+B165</f>
        <v>97691.660623555246</v>
      </c>
      <c r="C167" s="153"/>
      <c r="D167" s="153"/>
      <c r="E167" s="153"/>
      <c r="F167" s="153"/>
      <c r="G167" s="126"/>
      <c r="H167" s="126"/>
      <c r="I167" s="126"/>
    </row>
    <row r="168" spans="1:9" ht="27.75" customHeight="1" thickBot="1" x14ac:dyDescent="0.55000000000000004">
      <c r="A168" s="96"/>
      <c r="B168" s="96"/>
      <c r="C168" s="96"/>
      <c r="D168" s="153"/>
      <c r="E168" s="153"/>
      <c r="F168" s="153"/>
      <c r="G168" s="126"/>
      <c r="H168" s="126"/>
      <c r="I168" s="126"/>
    </row>
    <row r="169" spans="1:9" ht="27.75" customHeight="1" thickBot="1" x14ac:dyDescent="0.55000000000000004">
      <c r="A169" s="96" t="s">
        <v>101</v>
      </c>
      <c r="B169" s="98">
        <f>IRR(C162:F162)</f>
        <v>0.49412043883430612</v>
      </c>
      <c r="C169" s="153"/>
      <c r="D169" s="153"/>
      <c r="E169" s="153"/>
      <c r="F169" s="153"/>
      <c r="G169" s="126"/>
      <c r="H169" s="126"/>
      <c r="I169" s="126"/>
    </row>
    <row r="170" spans="1:9" ht="15.35" x14ac:dyDescent="0.5">
      <c r="A170" s="99"/>
      <c r="B170" s="99"/>
      <c r="C170" s="126"/>
      <c r="D170" s="126"/>
      <c r="E170" s="126"/>
      <c r="F170" s="126"/>
      <c r="G170" s="126"/>
      <c r="H170" s="126"/>
      <c r="I170" s="126"/>
    </row>
    <row r="171" spans="1:9" ht="20.25" customHeight="1" x14ac:dyDescent="0.5">
      <c r="A171" s="198" t="s">
        <v>102</v>
      </c>
      <c r="B171" s="199"/>
      <c r="C171" s="199"/>
      <c r="D171" s="199"/>
      <c r="E171" s="199"/>
      <c r="F171" s="199"/>
      <c r="G171" s="199"/>
      <c r="H171" s="199"/>
      <c r="I171" s="199"/>
    </row>
    <row r="172" spans="1:9" x14ac:dyDescent="0.5">
      <c r="A172" s="126"/>
      <c r="B172" s="126"/>
      <c r="C172" s="126"/>
      <c r="D172" s="126"/>
      <c r="E172" s="126"/>
      <c r="F172" s="126"/>
      <c r="G172" s="126"/>
      <c r="H172" s="126"/>
      <c r="I172" s="126"/>
    </row>
    <row r="173" spans="1:9" ht="21.75" customHeight="1" x14ac:dyDescent="0.7">
      <c r="A173" s="105" t="s">
        <v>208</v>
      </c>
      <c r="B173" s="36"/>
      <c r="C173" s="37"/>
      <c r="D173" s="38"/>
      <c r="E173" s="24"/>
      <c r="F173" s="11"/>
      <c r="G173" s="128"/>
      <c r="H173" s="100"/>
      <c r="I173" s="126"/>
    </row>
    <row r="174" spans="1:9" ht="17.7" x14ac:dyDescent="0.55000000000000004">
      <c r="A174" s="46" t="s">
        <v>104</v>
      </c>
      <c r="B174" s="47"/>
      <c r="C174" s="47"/>
      <c r="D174" s="47"/>
      <c r="E174" s="47"/>
      <c r="F174" s="47"/>
      <c r="G174" s="47"/>
      <c r="H174" s="47"/>
      <c r="I174" s="126"/>
    </row>
    <row r="175" spans="1:9" ht="7.5" customHeight="1" thickBot="1" x14ac:dyDescent="0.55000000000000004">
      <c r="A175" s="126"/>
      <c r="B175" s="126"/>
      <c r="C175" s="126"/>
      <c r="D175" s="126"/>
      <c r="E175" s="126"/>
      <c r="F175" s="126"/>
      <c r="G175" s="126"/>
      <c r="H175" s="126"/>
      <c r="I175" s="126"/>
    </row>
    <row r="176" spans="1:9" ht="15.35" x14ac:dyDescent="0.5">
      <c r="A176" s="101" t="s">
        <v>105</v>
      </c>
      <c r="B176" s="175"/>
      <c r="C176" s="175"/>
      <c r="D176" s="176"/>
      <c r="E176" s="101" t="s">
        <v>106</v>
      </c>
      <c r="F176" s="175"/>
      <c r="G176" s="175"/>
      <c r="H176" s="176"/>
    </row>
    <row r="177" spans="1:8" x14ac:dyDescent="0.5">
      <c r="A177" s="177"/>
      <c r="B177" s="91"/>
      <c r="C177" s="102">
        <v>2018</v>
      </c>
      <c r="D177" s="103">
        <v>2019</v>
      </c>
      <c r="E177" s="177"/>
      <c r="F177" s="91"/>
      <c r="G177" s="102">
        <f>+C177</f>
        <v>2018</v>
      </c>
      <c r="H177" s="103">
        <f>+D177</f>
        <v>2019</v>
      </c>
    </row>
    <row r="178" spans="1:8" x14ac:dyDescent="0.5">
      <c r="A178" s="104" t="s">
        <v>107</v>
      </c>
      <c r="D178" s="178"/>
      <c r="E178" s="104" t="s">
        <v>108</v>
      </c>
      <c r="H178" s="178"/>
    </row>
    <row r="179" spans="1:8" x14ac:dyDescent="0.5">
      <c r="A179" s="177" t="s">
        <v>109</v>
      </c>
      <c r="B179" s="179"/>
      <c r="C179" s="179">
        <v>67500</v>
      </c>
      <c r="D179" s="180">
        <v>96100</v>
      </c>
      <c r="E179" s="177" t="s">
        <v>110</v>
      </c>
      <c r="F179" s="179"/>
      <c r="G179" s="179">
        <v>1200000</v>
      </c>
      <c r="H179" s="180">
        <v>1400000</v>
      </c>
    </row>
    <row r="180" spans="1:8" x14ac:dyDescent="0.5">
      <c r="A180" s="177" t="s">
        <v>111</v>
      </c>
      <c r="B180" s="179"/>
      <c r="C180" s="179">
        <v>67500</v>
      </c>
      <c r="D180" s="180">
        <v>87000</v>
      </c>
      <c r="E180" s="177" t="s">
        <v>112</v>
      </c>
      <c r="F180" s="179"/>
      <c r="G180" s="179">
        <v>180000</v>
      </c>
      <c r="H180" s="180">
        <v>210000</v>
      </c>
    </row>
    <row r="181" spans="1:8" x14ac:dyDescent="0.5">
      <c r="A181" s="177" t="s">
        <v>113</v>
      </c>
      <c r="B181" s="179"/>
      <c r="C181" s="179">
        <v>52500</v>
      </c>
      <c r="D181" s="180">
        <v>55000</v>
      </c>
      <c r="E181" s="177" t="s">
        <v>114</v>
      </c>
      <c r="F181" s="179"/>
      <c r="G181" s="181">
        <v>60000</v>
      </c>
      <c r="H181" s="182">
        <v>75000</v>
      </c>
    </row>
    <row r="182" spans="1:8" x14ac:dyDescent="0.5">
      <c r="A182" s="177" t="s">
        <v>115</v>
      </c>
      <c r="B182" s="179"/>
      <c r="C182" s="181">
        <v>15000</v>
      </c>
      <c r="D182" s="182">
        <v>13000</v>
      </c>
      <c r="E182" s="177" t="s">
        <v>116</v>
      </c>
      <c r="F182" s="183"/>
      <c r="G182" s="183">
        <f>SUM(G179:G181)</f>
        <v>1440000</v>
      </c>
      <c r="H182" s="184">
        <f>SUM(H179:H181)</f>
        <v>1685000</v>
      </c>
    </row>
    <row r="183" spans="1:8" x14ac:dyDescent="0.5">
      <c r="A183" s="177" t="s">
        <v>117</v>
      </c>
      <c r="B183" s="183"/>
      <c r="C183" s="183">
        <f>SUM(C179:C182)</f>
        <v>202500</v>
      </c>
      <c r="D183" s="184">
        <f>SUM(D179:D182)</f>
        <v>251100</v>
      </c>
      <c r="E183" s="177"/>
      <c r="F183" s="183"/>
      <c r="G183" s="183"/>
      <c r="H183" s="184"/>
    </row>
    <row r="184" spans="1:8" x14ac:dyDescent="0.5">
      <c r="A184" s="177"/>
      <c r="B184" s="183"/>
      <c r="C184" s="183"/>
      <c r="D184" s="184"/>
      <c r="E184" s="104" t="s">
        <v>118</v>
      </c>
      <c r="F184" s="183"/>
      <c r="G184" s="183"/>
      <c r="H184" s="184"/>
    </row>
    <row r="185" spans="1:8" x14ac:dyDescent="0.5">
      <c r="A185" s="104" t="s">
        <v>119</v>
      </c>
      <c r="B185" s="183"/>
      <c r="C185" s="183"/>
      <c r="D185" s="184"/>
      <c r="E185" s="177" t="s">
        <v>110</v>
      </c>
      <c r="F185" s="179"/>
      <c r="G185" s="179">
        <v>330000</v>
      </c>
      <c r="H185" s="180">
        <v>405000</v>
      </c>
    </row>
    <row r="186" spans="1:8" x14ac:dyDescent="0.5">
      <c r="A186" s="177" t="s">
        <v>120</v>
      </c>
      <c r="B186" s="179"/>
      <c r="C186" s="179">
        <v>3750000</v>
      </c>
      <c r="D186" s="184">
        <v>3750000</v>
      </c>
      <c r="E186" s="177" t="s">
        <v>112</v>
      </c>
      <c r="F186" s="179"/>
      <c r="G186" s="179">
        <v>150000</v>
      </c>
      <c r="H186" s="180">
        <v>172500</v>
      </c>
    </row>
    <row r="187" spans="1:8" x14ac:dyDescent="0.5">
      <c r="A187" s="177" t="s">
        <v>121</v>
      </c>
      <c r="B187" s="179"/>
      <c r="C187" s="179">
        <v>675000</v>
      </c>
      <c r="D187" s="180">
        <v>750000</v>
      </c>
      <c r="E187" s="177" t="s">
        <v>114</v>
      </c>
      <c r="F187" s="179"/>
      <c r="G187" s="181">
        <v>37500</v>
      </c>
      <c r="H187" s="182">
        <v>52500</v>
      </c>
    </row>
    <row r="188" spans="1:8" x14ac:dyDescent="0.5">
      <c r="A188" s="177" t="s">
        <v>122</v>
      </c>
      <c r="B188" s="179"/>
      <c r="C188" s="181">
        <v>75000</v>
      </c>
      <c r="D188" s="182">
        <v>100000</v>
      </c>
      <c r="E188" s="177" t="s">
        <v>123</v>
      </c>
      <c r="F188" s="183"/>
      <c r="G188" s="183">
        <f>SUM(G185:G187)</f>
        <v>517500</v>
      </c>
      <c r="H188" s="184">
        <f>SUM(H185:H187)</f>
        <v>630000</v>
      </c>
    </row>
    <row r="189" spans="1:8" x14ac:dyDescent="0.5">
      <c r="A189" s="177" t="s">
        <v>124</v>
      </c>
      <c r="B189" s="183"/>
      <c r="C189" s="183">
        <f>SUM(C186:C188)</f>
        <v>4500000</v>
      </c>
      <c r="D189" s="184">
        <f>SUM(D186:D188)</f>
        <v>4600000</v>
      </c>
      <c r="E189" s="177"/>
      <c r="F189" s="183"/>
      <c r="G189" s="183"/>
      <c r="H189" s="184"/>
    </row>
    <row r="190" spans="1:8" x14ac:dyDescent="0.5">
      <c r="A190" s="177" t="s">
        <v>125</v>
      </c>
      <c r="B190" s="179"/>
      <c r="C190" s="181">
        <v>-450000</v>
      </c>
      <c r="D190" s="185">
        <f>+C190-H200</f>
        <v>-550000</v>
      </c>
      <c r="E190" s="177" t="s">
        <v>126</v>
      </c>
      <c r="F190" s="183"/>
      <c r="G190" s="183">
        <f>+G182-G188</f>
        <v>922500</v>
      </c>
      <c r="H190" s="184">
        <f>+H182-H188</f>
        <v>1055000</v>
      </c>
    </row>
    <row r="191" spans="1:8" x14ac:dyDescent="0.5">
      <c r="A191" s="177" t="s">
        <v>127</v>
      </c>
      <c r="B191" s="183"/>
      <c r="C191" s="183">
        <f>+C189+C190</f>
        <v>4050000</v>
      </c>
      <c r="D191" s="184">
        <f>+D190+D189</f>
        <v>4050000</v>
      </c>
      <c r="E191" s="177"/>
      <c r="F191" s="183"/>
      <c r="G191" s="183"/>
      <c r="H191" s="184"/>
    </row>
    <row r="192" spans="1:8" x14ac:dyDescent="0.5">
      <c r="A192" s="177"/>
      <c r="B192" s="183"/>
      <c r="C192" s="183"/>
      <c r="D192" s="184"/>
      <c r="E192" s="104" t="s">
        <v>128</v>
      </c>
      <c r="F192" s="183"/>
      <c r="G192" s="183"/>
      <c r="H192" s="184"/>
    </row>
    <row r="193" spans="1:8" x14ac:dyDescent="0.5">
      <c r="A193" s="177" t="s">
        <v>129</v>
      </c>
      <c r="B193" s="179"/>
      <c r="C193" s="179">
        <v>300000</v>
      </c>
      <c r="D193" s="180">
        <v>450000</v>
      </c>
      <c r="E193" s="177" t="s">
        <v>130</v>
      </c>
      <c r="F193" s="179"/>
      <c r="G193" s="179">
        <v>217500</v>
      </c>
      <c r="H193" s="180">
        <v>247500</v>
      </c>
    </row>
    <row r="194" spans="1:8" x14ac:dyDescent="0.5">
      <c r="A194" s="177"/>
      <c r="B194" s="183"/>
      <c r="C194" s="183"/>
      <c r="D194" s="184"/>
      <c r="E194" s="177" t="s">
        <v>131</v>
      </c>
      <c r="F194" s="179"/>
      <c r="G194" s="179">
        <v>112500</v>
      </c>
      <c r="H194" s="180">
        <v>120000</v>
      </c>
    </row>
    <row r="195" spans="1:8" ht="14.7" thickBot="1" x14ac:dyDescent="0.55000000000000004">
      <c r="A195" s="177" t="s">
        <v>132</v>
      </c>
      <c r="B195" s="183"/>
      <c r="C195" s="186">
        <f>+C193+C191+C183</f>
        <v>4552500</v>
      </c>
      <c r="D195" s="187">
        <f>+D193+D191+D183</f>
        <v>4751100</v>
      </c>
      <c r="E195" s="177" t="s">
        <v>133</v>
      </c>
      <c r="F195" s="179"/>
      <c r="G195" s="181">
        <v>15000</v>
      </c>
      <c r="H195" s="182">
        <v>18000</v>
      </c>
    </row>
    <row r="196" spans="1:8" ht="14.7" thickTop="1" x14ac:dyDescent="0.5">
      <c r="A196" s="177"/>
      <c r="B196" s="183"/>
      <c r="C196" s="183"/>
      <c r="D196" s="184"/>
      <c r="E196" s="177" t="s">
        <v>134</v>
      </c>
      <c r="F196" s="183"/>
      <c r="G196" s="183">
        <f>SUM(G193:G195)</f>
        <v>345000</v>
      </c>
      <c r="H196" s="184">
        <f>SUM(H193:H195)</f>
        <v>385500</v>
      </c>
    </row>
    <row r="197" spans="1:8" x14ac:dyDescent="0.5">
      <c r="A197" s="104" t="s">
        <v>135</v>
      </c>
      <c r="B197" s="183"/>
      <c r="C197" s="183"/>
      <c r="D197" s="184"/>
      <c r="E197" s="177"/>
      <c r="F197" s="183"/>
      <c r="G197" s="188"/>
      <c r="H197" s="185"/>
    </row>
    <row r="198" spans="1:8" x14ac:dyDescent="0.5">
      <c r="A198" s="177"/>
      <c r="B198" s="183"/>
      <c r="C198" s="183"/>
      <c r="D198" s="184"/>
      <c r="E198" s="104" t="s">
        <v>81</v>
      </c>
      <c r="F198" s="183"/>
      <c r="G198" s="188">
        <f>+G190-G196</f>
        <v>577500</v>
      </c>
      <c r="H198" s="185">
        <f>+H190-H196</f>
        <v>669500</v>
      </c>
    </row>
    <row r="199" spans="1:8" x14ac:dyDescent="0.5">
      <c r="A199" s="104" t="s">
        <v>136</v>
      </c>
      <c r="B199" s="183"/>
      <c r="C199" s="183"/>
      <c r="D199" s="184"/>
      <c r="E199" s="177"/>
      <c r="F199" s="183"/>
      <c r="G199" s="183"/>
      <c r="H199" s="184"/>
    </row>
    <row r="200" spans="1:8" x14ac:dyDescent="0.5">
      <c r="A200" s="177" t="s">
        <v>137</v>
      </c>
      <c r="B200" s="179"/>
      <c r="C200" s="179">
        <v>52500</v>
      </c>
      <c r="D200" s="180">
        <v>65000</v>
      </c>
      <c r="E200" s="104" t="s">
        <v>82</v>
      </c>
      <c r="F200" s="179"/>
      <c r="G200" s="179">
        <v>90000</v>
      </c>
      <c r="H200" s="180">
        <v>100000</v>
      </c>
    </row>
    <row r="201" spans="1:8" x14ac:dyDescent="0.5">
      <c r="A201" s="177" t="s">
        <v>138</v>
      </c>
      <c r="B201" s="179"/>
      <c r="C201" s="179">
        <v>18000</v>
      </c>
      <c r="D201" s="180">
        <v>15000</v>
      </c>
      <c r="E201" s="177"/>
      <c r="F201" s="183"/>
      <c r="G201" s="183"/>
      <c r="H201" s="184"/>
    </row>
    <row r="202" spans="1:8" x14ac:dyDescent="0.5">
      <c r="A202" s="177" t="s">
        <v>139</v>
      </c>
      <c r="B202" s="179"/>
      <c r="C202" s="179">
        <v>15000</v>
      </c>
      <c r="D202" s="180">
        <v>10000</v>
      </c>
      <c r="E202" s="104" t="s">
        <v>84</v>
      </c>
      <c r="F202" s="183"/>
      <c r="G202" s="183">
        <f>+G198-G200</f>
        <v>487500</v>
      </c>
      <c r="H202" s="184">
        <f>+H198-H200</f>
        <v>569500</v>
      </c>
    </row>
    <row r="203" spans="1:8" x14ac:dyDescent="0.5">
      <c r="A203" s="177" t="s">
        <v>140</v>
      </c>
      <c r="B203" s="179"/>
      <c r="C203" s="181">
        <v>30000</v>
      </c>
      <c r="D203" s="182">
        <f>+C203</f>
        <v>30000</v>
      </c>
      <c r="E203" s="177"/>
      <c r="F203" s="183"/>
      <c r="G203" s="183"/>
      <c r="H203" s="184"/>
    </row>
    <row r="204" spans="1:8" x14ac:dyDescent="0.5">
      <c r="A204" s="177" t="s">
        <v>141</v>
      </c>
      <c r="B204" s="183"/>
      <c r="C204" s="183">
        <f>SUM(C200:C203)</f>
        <v>115500</v>
      </c>
      <c r="D204" s="184">
        <f>SUM(D200:D203)</f>
        <v>120000</v>
      </c>
      <c r="E204" s="104" t="s">
        <v>142</v>
      </c>
      <c r="F204" s="183"/>
      <c r="G204" s="183">
        <f>+C206*0.08</f>
        <v>144000</v>
      </c>
      <c r="H204" s="184">
        <f>+D206*0.08</f>
        <v>136000</v>
      </c>
    </row>
    <row r="205" spans="1:8" x14ac:dyDescent="0.5">
      <c r="A205" s="177"/>
      <c r="B205" s="183"/>
      <c r="C205" s="183"/>
      <c r="D205" s="184"/>
      <c r="E205" s="177"/>
      <c r="F205" s="183"/>
      <c r="G205" s="188"/>
      <c r="H205" s="185"/>
    </row>
    <row r="206" spans="1:8" x14ac:dyDescent="0.5">
      <c r="A206" s="177" t="s">
        <v>143</v>
      </c>
      <c r="B206" s="179"/>
      <c r="C206" s="179">
        <v>1800000</v>
      </c>
      <c r="D206" s="180">
        <v>1700000</v>
      </c>
      <c r="E206" s="177" t="s">
        <v>144</v>
      </c>
      <c r="F206" s="183"/>
      <c r="G206" s="183">
        <f>+G202-G204</f>
        <v>343500</v>
      </c>
      <c r="H206" s="184">
        <f>+H202-H204</f>
        <v>433500</v>
      </c>
    </row>
    <row r="207" spans="1:8" x14ac:dyDescent="0.5">
      <c r="A207" s="177"/>
      <c r="B207" s="183"/>
      <c r="C207" s="183"/>
      <c r="D207" s="184"/>
      <c r="E207" s="177"/>
      <c r="F207" s="183"/>
      <c r="G207" s="183"/>
      <c r="H207" s="184"/>
    </row>
    <row r="208" spans="1:8" x14ac:dyDescent="0.5">
      <c r="A208" s="177" t="s">
        <v>145</v>
      </c>
      <c r="B208" s="179"/>
      <c r="C208" s="179">
        <v>18000</v>
      </c>
      <c r="D208" s="180">
        <v>22000</v>
      </c>
      <c r="E208" s="104" t="s">
        <v>85</v>
      </c>
      <c r="F208" s="189"/>
      <c r="G208" s="183">
        <f>+G206*0.4</f>
        <v>137400</v>
      </c>
      <c r="H208" s="184">
        <f>+H206*0.4</f>
        <v>173400</v>
      </c>
    </row>
    <row r="209" spans="1:8" x14ac:dyDescent="0.5">
      <c r="A209" s="177"/>
      <c r="B209" s="183"/>
      <c r="C209" s="188"/>
      <c r="D209" s="185"/>
      <c r="E209" s="177"/>
      <c r="F209" s="183"/>
      <c r="G209" s="183"/>
      <c r="H209" s="184"/>
    </row>
    <row r="210" spans="1:8" ht="14.7" thickBot="1" x14ac:dyDescent="0.55000000000000004">
      <c r="A210" s="177" t="s">
        <v>146</v>
      </c>
      <c r="B210" s="183"/>
      <c r="C210" s="183">
        <f>+C208+C206+C204</f>
        <v>1933500</v>
      </c>
      <c r="D210" s="184">
        <f>+D208+D206+D204</f>
        <v>1842000</v>
      </c>
      <c r="E210" s="177" t="s">
        <v>147</v>
      </c>
      <c r="F210" s="183"/>
      <c r="G210" s="186">
        <f>+G206-G208</f>
        <v>206100</v>
      </c>
      <c r="H210" s="187">
        <f>+H206-H208</f>
        <v>260100</v>
      </c>
    </row>
    <row r="211" spans="1:8" ht="14.7" thickTop="1" x14ac:dyDescent="0.5">
      <c r="A211" s="177"/>
      <c r="B211" s="183"/>
      <c r="C211" s="183"/>
      <c r="D211" s="184"/>
      <c r="E211" s="177"/>
      <c r="H211" s="178"/>
    </row>
    <row r="212" spans="1:8" x14ac:dyDescent="0.5">
      <c r="A212" s="104" t="s">
        <v>148</v>
      </c>
      <c r="B212" s="183"/>
      <c r="C212" s="183"/>
      <c r="D212" s="184"/>
      <c r="E212" s="177"/>
      <c r="H212" s="178"/>
    </row>
    <row r="213" spans="1:8" x14ac:dyDescent="0.5">
      <c r="A213" s="177" t="s">
        <v>149</v>
      </c>
      <c r="B213" s="179"/>
      <c r="C213" s="179">
        <v>1500000</v>
      </c>
      <c r="D213" s="180">
        <f>+C213</f>
        <v>1500000</v>
      </c>
      <c r="E213" s="177"/>
      <c r="H213" s="178"/>
    </row>
    <row r="214" spans="1:8" x14ac:dyDescent="0.5">
      <c r="A214" s="177" t="s">
        <v>150</v>
      </c>
      <c r="B214" s="179"/>
      <c r="C214" s="179">
        <v>0</v>
      </c>
      <c r="D214" s="180">
        <v>30000</v>
      </c>
      <c r="E214" s="177"/>
      <c r="H214" s="178"/>
    </row>
    <row r="215" spans="1:8" x14ac:dyDescent="0.5">
      <c r="A215" s="177" t="s">
        <v>151</v>
      </c>
      <c r="B215" s="183"/>
      <c r="C215" s="188">
        <v>1119000</v>
      </c>
      <c r="D215" s="185">
        <f>+C215+H210</f>
        <v>1379100</v>
      </c>
      <c r="E215" s="177"/>
      <c r="H215" s="178"/>
    </row>
    <row r="216" spans="1:8" x14ac:dyDescent="0.5">
      <c r="A216" s="177" t="s">
        <v>152</v>
      </c>
      <c r="B216" s="183"/>
      <c r="C216" s="183">
        <f>SUM(C213:C215)</f>
        <v>2619000</v>
      </c>
      <c r="D216" s="184">
        <f>SUM(D212:D215)</f>
        <v>2909100</v>
      </c>
      <c r="E216" s="177"/>
      <c r="H216" s="178"/>
    </row>
    <row r="217" spans="1:8" x14ac:dyDescent="0.5">
      <c r="A217" s="177"/>
      <c r="B217" s="183"/>
      <c r="C217" s="183"/>
      <c r="D217" s="184"/>
      <c r="E217" s="177"/>
      <c r="H217" s="178"/>
    </row>
    <row r="218" spans="1:8" ht="14.7" thickBot="1" x14ac:dyDescent="0.55000000000000004">
      <c r="A218" s="177" t="s">
        <v>153</v>
      </c>
      <c r="B218" s="183"/>
      <c r="C218" s="186">
        <f>+C216+C210</f>
        <v>4552500</v>
      </c>
      <c r="D218" s="187">
        <f>+D216+D210</f>
        <v>4751100</v>
      </c>
      <c r="E218" s="177"/>
      <c r="H218" s="178"/>
    </row>
    <row r="219" spans="1:8" ht="15" thickTop="1" thickBot="1" x14ac:dyDescent="0.55000000000000004">
      <c r="A219" s="190"/>
      <c r="B219" s="191"/>
      <c r="C219" s="191"/>
      <c r="D219" s="192"/>
      <c r="E219" s="190"/>
      <c r="F219" s="193"/>
      <c r="G219" s="193"/>
      <c r="H219" s="194"/>
    </row>
    <row r="220" spans="1:8" x14ac:dyDescent="0.5">
      <c r="B220" s="183"/>
      <c r="C220" s="183"/>
      <c r="D220" s="183"/>
      <c r="E220" s="183"/>
    </row>
    <row r="221" spans="1:8" ht="17.7" x14ac:dyDescent="0.55000000000000004">
      <c r="A221" s="105" t="s">
        <v>154</v>
      </c>
      <c r="B221" s="106"/>
      <c r="C221" s="106"/>
      <c r="D221" s="106"/>
      <c r="E221" s="106"/>
      <c r="F221" s="106"/>
      <c r="G221" s="107">
        <f>+D177</f>
        <v>2019</v>
      </c>
    </row>
    <row r="222" spans="1:8" x14ac:dyDescent="0.5">
      <c r="F222" s="183"/>
      <c r="G222" s="183"/>
    </row>
    <row r="223" spans="1:8" ht="28.5" customHeight="1" x14ac:dyDescent="0.55000000000000004">
      <c r="A223" s="108" t="s">
        <v>147</v>
      </c>
      <c r="F223" s="183"/>
      <c r="G223" s="109">
        <f>+H210</f>
        <v>260100</v>
      </c>
    </row>
    <row r="224" spans="1:8" ht="28.5" customHeight="1" x14ac:dyDescent="0.55000000000000004">
      <c r="A224" s="108" t="s">
        <v>155</v>
      </c>
      <c r="F224" s="183"/>
      <c r="G224" s="109">
        <f>+H200</f>
        <v>100000</v>
      </c>
    </row>
    <row r="225" spans="1:7" ht="28.5" customHeight="1" x14ac:dyDescent="0.55000000000000004">
      <c r="A225" s="7" t="s">
        <v>156</v>
      </c>
      <c r="F225" s="183"/>
      <c r="G225" s="109">
        <f>+(D208-C208)</f>
        <v>4000</v>
      </c>
    </row>
    <row r="226" spans="1:7" ht="28.5" customHeight="1" thickBot="1" x14ac:dyDescent="0.6">
      <c r="A226" s="108" t="s">
        <v>157</v>
      </c>
      <c r="F226" s="183"/>
      <c r="G226" s="110">
        <f>SUM(G223:G225)</f>
        <v>364100</v>
      </c>
    </row>
    <row r="227" spans="1:7" ht="14.25" customHeight="1" thickTop="1" x14ac:dyDescent="0.5">
      <c r="E227" s="183"/>
      <c r="F227" s="183"/>
      <c r="G227" s="111"/>
    </row>
    <row r="228" spans="1:7" ht="28.5" customHeight="1" x14ac:dyDescent="0.55000000000000004">
      <c r="A228" s="105" t="s">
        <v>158</v>
      </c>
      <c r="E228" s="183"/>
      <c r="F228" s="183"/>
      <c r="G228" s="111"/>
    </row>
    <row r="229" spans="1:7" ht="28.5" customHeight="1" x14ac:dyDescent="0.55000000000000004">
      <c r="A229" s="7" t="s">
        <v>159</v>
      </c>
      <c r="F229" s="183"/>
      <c r="G229" s="109">
        <f>+C180-D180</f>
        <v>-19500</v>
      </c>
    </row>
    <row r="230" spans="1:7" ht="28.5" customHeight="1" x14ac:dyDescent="0.55000000000000004">
      <c r="A230" s="7" t="s">
        <v>160</v>
      </c>
      <c r="F230" s="183"/>
      <c r="G230" s="109">
        <f t="shared" ref="G230:G231" si="28">+C181-D181</f>
        <v>-2500</v>
      </c>
    </row>
    <row r="231" spans="1:7" ht="28.5" customHeight="1" x14ac:dyDescent="0.55000000000000004">
      <c r="A231" s="7" t="s">
        <v>161</v>
      </c>
      <c r="F231" s="183"/>
      <c r="G231" s="109">
        <f t="shared" si="28"/>
        <v>2000</v>
      </c>
    </row>
    <row r="232" spans="1:7" ht="28.5" customHeight="1" x14ac:dyDescent="0.55000000000000004">
      <c r="A232" s="7" t="s">
        <v>162</v>
      </c>
      <c r="F232" s="183"/>
      <c r="G232" s="109">
        <f>+D200-C200</f>
        <v>12500</v>
      </c>
    </row>
    <row r="233" spans="1:7" ht="28.5" customHeight="1" x14ac:dyDescent="0.55000000000000004">
      <c r="A233" s="7" t="s">
        <v>163</v>
      </c>
      <c r="F233" s="183"/>
      <c r="G233" s="109">
        <f t="shared" ref="G233:G234" si="29">+D201-C201</f>
        <v>-3000</v>
      </c>
    </row>
    <row r="234" spans="1:7" ht="28.5" customHeight="1" x14ac:dyDescent="0.55000000000000004">
      <c r="A234" s="7" t="s">
        <v>164</v>
      </c>
      <c r="F234" s="183"/>
      <c r="G234" s="109">
        <f t="shared" si="29"/>
        <v>-5000</v>
      </c>
    </row>
    <row r="235" spans="1:7" ht="28.5" customHeight="1" x14ac:dyDescent="0.55000000000000004">
      <c r="A235" s="7" t="s">
        <v>165</v>
      </c>
      <c r="F235" s="183"/>
      <c r="G235" s="109">
        <f>SUM(G229:G234)</f>
        <v>-15500</v>
      </c>
    </row>
    <row r="236" spans="1:7" ht="28.5" customHeight="1" x14ac:dyDescent="0.55000000000000004">
      <c r="A236" s="7"/>
      <c r="E236" s="183"/>
      <c r="F236" s="183"/>
      <c r="G236" s="111"/>
    </row>
    <row r="237" spans="1:7" ht="28.5" customHeight="1" thickBot="1" x14ac:dyDescent="0.6">
      <c r="A237" s="7" t="s">
        <v>166</v>
      </c>
      <c r="F237" s="183"/>
      <c r="G237" s="110">
        <f>+G226+G235</f>
        <v>348600</v>
      </c>
    </row>
    <row r="238" spans="1:7" ht="28.5" customHeight="1" thickTop="1" x14ac:dyDescent="0.55000000000000004">
      <c r="A238" s="7"/>
      <c r="E238" s="183"/>
      <c r="F238" s="183"/>
      <c r="G238" s="112"/>
    </row>
    <row r="239" spans="1:7" ht="28.5" customHeight="1" x14ac:dyDescent="0.55000000000000004">
      <c r="A239" s="105" t="s">
        <v>167</v>
      </c>
      <c r="E239" s="183"/>
      <c r="F239" s="183"/>
      <c r="G239" s="112"/>
    </row>
    <row r="240" spans="1:7" ht="28.5" customHeight="1" x14ac:dyDescent="0.55000000000000004">
      <c r="A240" s="7" t="s">
        <v>168</v>
      </c>
      <c r="F240" s="183"/>
      <c r="G240" s="109">
        <f>+C189-D189</f>
        <v>-100000</v>
      </c>
    </row>
    <row r="241" spans="1:7" ht="28.5" customHeight="1" x14ac:dyDescent="0.55000000000000004">
      <c r="A241" s="7" t="s">
        <v>169</v>
      </c>
      <c r="F241" s="183"/>
      <c r="G241" s="109">
        <f>+C193-D193</f>
        <v>-150000</v>
      </c>
    </row>
    <row r="242" spans="1:7" ht="28.5" customHeight="1" x14ac:dyDescent="0.55000000000000004">
      <c r="A242" s="7" t="s">
        <v>170</v>
      </c>
      <c r="F242" s="183"/>
      <c r="G242" s="109">
        <f>+G240+G241</f>
        <v>-250000</v>
      </c>
    </row>
    <row r="243" spans="1:7" ht="28.5" customHeight="1" x14ac:dyDescent="0.55000000000000004">
      <c r="A243" s="7"/>
      <c r="E243" s="183"/>
      <c r="F243" s="183"/>
      <c r="G243" s="111"/>
    </row>
    <row r="244" spans="1:7" ht="28.5" customHeight="1" thickBot="1" x14ac:dyDescent="0.6">
      <c r="A244" s="7" t="s">
        <v>171</v>
      </c>
      <c r="F244" s="183"/>
      <c r="G244" s="110">
        <f>+G237+G242</f>
        <v>98600</v>
      </c>
    </row>
    <row r="245" spans="1:7" ht="12.75" customHeight="1" thickTop="1" x14ac:dyDescent="0.55000000000000004">
      <c r="A245" s="7"/>
      <c r="E245" s="183"/>
      <c r="F245" s="183"/>
      <c r="G245" s="111"/>
    </row>
    <row r="246" spans="1:7" ht="28.5" customHeight="1" thickBot="1" x14ac:dyDescent="0.6">
      <c r="A246" s="7" t="s">
        <v>198</v>
      </c>
      <c r="F246" s="183"/>
      <c r="G246" s="110">
        <f>+G244</f>
        <v>98600</v>
      </c>
    </row>
    <row r="247" spans="1:7" ht="12.75" customHeight="1" thickTop="1" x14ac:dyDescent="0.55000000000000004">
      <c r="A247" s="7"/>
      <c r="E247" s="183"/>
      <c r="F247" s="183"/>
      <c r="G247" s="111"/>
    </row>
    <row r="248" spans="1:7" ht="28.5" customHeight="1" x14ac:dyDescent="0.55000000000000004">
      <c r="A248" s="105" t="s">
        <v>172</v>
      </c>
      <c r="E248" s="183"/>
      <c r="F248" s="183"/>
      <c r="G248" s="111"/>
    </row>
    <row r="249" spans="1:7" ht="28.5" customHeight="1" x14ac:dyDescent="0.55000000000000004">
      <c r="A249" s="7" t="s">
        <v>173</v>
      </c>
      <c r="F249" s="183"/>
      <c r="G249" s="109">
        <f>+D203-C203</f>
        <v>0</v>
      </c>
    </row>
    <row r="250" spans="1:7" ht="28.5" customHeight="1" x14ac:dyDescent="0.55000000000000004">
      <c r="A250" s="7" t="s">
        <v>174</v>
      </c>
      <c r="F250" s="183"/>
      <c r="G250" s="109">
        <f>+D206-C206</f>
        <v>-100000</v>
      </c>
    </row>
    <row r="251" spans="1:7" ht="28.5" customHeight="1" x14ac:dyDescent="0.55000000000000004">
      <c r="A251" s="7" t="s">
        <v>175</v>
      </c>
      <c r="F251" s="183"/>
      <c r="G251" s="109">
        <f>+D214-C214</f>
        <v>30000</v>
      </c>
    </row>
    <row r="252" spans="1:7" ht="28.5" customHeight="1" x14ac:dyDescent="0.55000000000000004">
      <c r="A252" s="7" t="s">
        <v>176</v>
      </c>
      <c r="F252" s="183"/>
      <c r="G252" s="109">
        <f>+G249+G250+G251</f>
        <v>-70000</v>
      </c>
    </row>
    <row r="253" spans="1:7" ht="15" customHeight="1" x14ac:dyDescent="0.55000000000000004">
      <c r="A253" s="7"/>
      <c r="E253" s="183"/>
      <c r="F253" s="183"/>
      <c r="G253" s="111"/>
    </row>
    <row r="254" spans="1:7" ht="28.5" customHeight="1" thickBot="1" x14ac:dyDescent="0.6">
      <c r="A254" s="7" t="s">
        <v>177</v>
      </c>
      <c r="F254" s="183"/>
      <c r="G254" s="110">
        <f>+G246+G252</f>
        <v>28600</v>
      </c>
    </row>
    <row r="255" spans="1:7" ht="10.5" customHeight="1" thickTop="1" x14ac:dyDescent="0.55000000000000004">
      <c r="A255" s="7"/>
      <c r="E255" s="183"/>
      <c r="F255" s="183"/>
      <c r="G255" s="111"/>
    </row>
    <row r="256" spans="1:7" ht="28.5" customHeight="1" x14ac:dyDescent="0.55000000000000004">
      <c r="A256" s="7" t="s">
        <v>178</v>
      </c>
      <c r="F256" s="183"/>
      <c r="G256" s="109">
        <f>+C179</f>
        <v>67500</v>
      </c>
    </row>
    <row r="257" spans="1:9" ht="10.5" customHeight="1" x14ac:dyDescent="0.55000000000000004">
      <c r="A257" s="7"/>
      <c r="E257" s="183"/>
      <c r="F257" s="183"/>
      <c r="G257" s="111"/>
    </row>
    <row r="258" spans="1:9" ht="28.5" customHeight="1" thickBot="1" x14ac:dyDescent="0.6">
      <c r="A258" s="7" t="s">
        <v>179</v>
      </c>
      <c r="F258" s="183"/>
      <c r="G258" s="110">
        <f>+G254+G256</f>
        <v>96100</v>
      </c>
    </row>
    <row r="259" spans="1:9" ht="18.75" customHeight="1" thickTop="1" x14ac:dyDescent="0.55000000000000004">
      <c r="A259" s="113"/>
      <c r="B259" s="188"/>
      <c r="C259" s="195"/>
      <c r="D259" s="195"/>
      <c r="E259" s="195"/>
      <c r="F259" s="188"/>
      <c r="G259" s="188"/>
      <c r="H259" s="195"/>
      <c r="I259" s="195"/>
    </row>
    <row r="260" spans="1:9" ht="25.5" customHeight="1" x14ac:dyDescent="0.55000000000000004">
      <c r="A260" s="105" t="s">
        <v>180</v>
      </c>
      <c r="F260" s="114">
        <f>+G177</f>
        <v>2018</v>
      </c>
      <c r="G260" s="114">
        <f>+D177</f>
        <v>2019</v>
      </c>
    </row>
    <row r="261" spans="1:9" ht="18.75" customHeight="1" x14ac:dyDescent="0.55000000000000004">
      <c r="A261" s="7"/>
    </row>
    <row r="262" spans="1:9" ht="24.75" customHeight="1" x14ac:dyDescent="0.55000000000000004">
      <c r="A262" s="7" t="s">
        <v>181</v>
      </c>
      <c r="B262" s="196"/>
      <c r="F262" s="115"/>
      <c r="G262" s="116">
        <f>+H182/G182-1</f>
        <v>0.17013888888888884</v>
      </c>
    </row>
    <row r="263" spans="1:9" ht="24.75" customHeight="1" x14ac:dyDescent="0.55000000000000004">
      <c r="A263" s="7"/>
      <c r="F263" s="91"/>
      <c r="G263" s="117"/>
    </row>
    <row r="264" spans="1:9" ht="24.75" customHeight="1" x14ac:dyDescent="0.55000000000000004">
      <c r="A264" s="7" t="s">
        <v>182</v>
      </c>
      <c r="B264" s="197"/>
      <c r="F264" s="118">
        <f>+C206/(C206+C216)</f>
        <v>0.40733197556008149</v>
      </c>
      <c r="G264" s="118">
        <f>+D206/(D206+D216)</f>
        <v>0.36883556442689464</v>
      </c>
    </row>
    <row r="265" spans="1:9" ht="24.75" customHeight="1" x14ac:dyDescent="0.55000000000000004">
      <c r="A265" s="7" t="s">
        <v>183</v>
      </c>
      <c r="B265" s="196"/>
      <c r="F265" s="119">
        <f>+G198/G204</f>
        <v>4.010416666666667</v>
      </c>
      <c r="G265" s="119">
        <f>+H198/H204</f>
        <v>4.9227941176470589</v>
      </c>
    </row>
    <row r="266" spans="1:9" ht="24.75" customHeight="1" x14ac:dyDescent="0.55000000000000004">
      <c r="A266" s="7" t="s">
        <v>184</v>
      </c>
      <c r="B266" s="196"/>
      <c r="F266" s="119">
        <f>+(C206+C203)/G198</f>
        <v>3.168831168831169</v>
      </c>
      <c r="G266" s="119">
        <f>+(D206+D203)/H198</f>
        <v>2.5840179238237493</v>
      </c>
    </row>
    <row r="267" spans="1:9" ht="24.75" customHeight="1" x14ac:dyDescent="0.55000000000000004">
      <c r="A267" s="7" t="s">
        <v>185</v>
      </c>
      <c r="B267" s="196"/>
      <c r="F267" s="99"/>
      <c r="G267" s="120">
        <f>365/(H188/((C181+D181)/2))</f>
        <v>31.140873015873016</v>
      </c>
      <c r="H267" s="99" t="s">
        <v>186</v>
      </c>
    </row>
    <row r="268" spans="1:9" ht="24.75" customHeight="1" x14ac:dyDescent="0.55000000000000004">
      <c r="A268" s="7" t="s">
        <v>187</v>
      </c>
      <c r="B268" s="196"/>
      <c r="F268" s="99"/>
      <c r="G268" s="120">
        <f>+H182/((C180+D180)/2)</f>
        <v>21.812297734627833</v>
      </c>
      <c r="H268" s="99" t="s">
        <v>186</v>
      </c>
    </row>
    <row r="269" spans="1:9" ht="24.75" customHeight="1" x14ac:dyDescent="0.55000000000000004">
      <c r="A269" s="7" t="s">
        <v>188</v>
      </c>
      <c r="B269" s="197"/>
      <c r="F269" s="118">
        <f>+G190/$G$182</f>
        <v>0.640625</v>
      </c>
      <c r="G269" s="118">
        <f>+H190/$G$182</f>
        <v>0.73263888888888884</v>
      </c>
    </row>
    <row r="270" spans="1:9" ht="24.75" customHeight="1" x14ac:dyDescent="0.55000000000000004">
      <c r="A270" s="7" t="s">
        <v>189</v>
      </c>
      <c r="B270" s="197"/>
      <c r="F270" s="118">
        <f>+(G179-G185)/G179</f>
        <v>0.72499999999999998</v>
      </c>
      <c r="G270" s="118">
        <f>+(H179-H185)/H179</f>
        <v>0.71071428571428574</v>
      </c>
    </row>
    <row r="271" spans="1:9" ht="24.75" customHeight="1" x14ac:dyDescent="0.55000000000000004">
      <c r="A271" s="7" t="s">
        <v>190</v>
      </c>
      <c r="B271" s="197"/>
      <c r="F271" s="118">
        <f>+G198/G179</f>
        <v>0.48125000000000001</v>
      </c>
      <c r="G271" s="118">
        <f>+H198/H179</f>
        <v>0.4782142857142857</v>
      </c>
    </row>
    <row r="272" spans="1:9" ht="24.75" customHeight="1" x14ac:dyDescent="0.55000000000000004">
      <c r="A272" s="7" t="s">
        <v>191</v>
      </c>
      <c r="B272" s="197"/>
      <c r="F272" s="115"/>
      <c r="G272" s="118">
        <f>+H210/((C195+D195)/2)</f>
        <v>5.591383980394686E-2</v>
      </c>
    </row>
    <row r="273" spans="1:7" ht="24.75" customHeight="1" x14ac:dyDescent="0.55000000000000004">
      <c r="A273" s="7" t="s">
        <v>192</v>
      </c>
      <c r="B273" s="197"/>
      <c r="F273" s="115"/>
      <c r="G273" s="118">
        <f>+H210/((C216+D216)/2)</f>
        <v>9.4101047376132854E-2</v>
      </c>
    </row>
    <row r="274" spans="1:7" x14ac:dyDescent="0.5">
      <c r="D274" s="196"/>
    </row>
  </sheetData>
  <mergeCells count="53">
    <mergeCell ref="A159:D159"/>
    <mergeCell ref="A160:D160"/>
    <mergeCell ref="A162:B162"/>
    <mergeCell ref="A171:I171"/>
    <mergeCell ref="A174:H174"/>
    <mergeCell ref="A151:B151"/>
    <mergeCell ref="A152:B152"/>
    <mergeCell ref="A155:B155"/>
    <mergeCell ref="A156:D156"/>
    <mergeCell ref="A157:D157"/>
    <mergeCell ref="A158:D158"/>
    <mergeCell ref="A143:C143"/>
    <mergeCell ref="A145:C145"/>
    <mergeCell ref="A146:C146"/>
    <mergeCell ref="A147:C147"/>
    <mergeCell ref="A149:C149"/>
    <mergeCell ref="A150:C150"/>
    <mergeCell ref="A136:B136"/>
    <mergeCell ref="A138:B138"/>
    <mergeCell ref="A139:B139"/>
    <mergeCell ref="A140:C140"/>
    <mergeCell ref="A141:C141"/>
    <mergeCell ref="A142:B142"/>
    <mergeCell ref="A130:B130"/>
    <mergeCell ref="A131:B131"/>
    <mergeCell ref="A132:B132"/>
    <mergeCell ref="A133:B133"/>
    <mergeCell ref="A134:B134"/>
    <mergeCell ref="A135:B135"/>
    <mergeCell ref="A122:B122"/>
    <mergeCell ref="A123:B123"/>
    <mergeCell ref="A124:B124"/>
    <mergeCell ref="A125:B125"/>
    <mergeCell ref="A126:B126"/>
    <mergeCell ref="A127:B127"/>
    <mergeCell ref="A108:B108"/>
    <mergeCell ref="A109:B109"/>
    <mergeCell ref="A110:B110"/>
    <mergeCell ref="A111:B111"/>
    <mergeCell ref="A112:B112"/>
    <mergeCell ref="A113:B113"/>
    <mergeCell ref="A34:H34"/>
    <mergeCell ref="A52:I52"/>
    <mergeCell ref="A75:H75"/>
    <mergeCell ref="A103:H103"/>
    <mergeCell ref="A106:B106"/>
    <mergeCell ref="A107:B107"/>
    <mergeCell ref="B2:G2"/>
    <mergeCell ref="A4:I4"/>
    <mergeCell ref="A7:H7"/>
    <mergeCell ref="A25:H25"/>
    <mergeCell ref="A27:B27"/>
    <mergeCell ref="A28:B28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</vt:lpstr>
      <vt:lpstr>Answers</vt:lpstr>
      <vt:lpstr>Exam!Print_Area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2020-01-19T03:17:26Z</cp:lastPrinted>
  <dcterms:created xsi:type="dcterms:W3CDTF">2019-02-10T00:15:04Z</dcterms:created>
  <dcterms:modified xsi:type="dcterms:W3CDTF">2020-01-19T16:42:02Z</dcterms:modified>
</cp:coreProperties>
</file>