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35" windowHeight="9120" activeTab="0"/>
  </bookViews>
  <sheets>
    <sheet name="Equity Analysis" sheetId="1" r:id="rId1"/>
    <sheet name="Proforma" sheetId="2" r:id="rId2"/>
    <sheet name="Sheet3" sheetId="3" r:id="rId3"/>
  </sheets>
  <definedNames>
    <definedName name="bs?s_HOT" localSheetId="1">'Proforma'!$B$3:$D$51</definedName>
    <definedName name="_xlnm.Print_Area" localSheetId="0">'Equity Analysis'!$A$1:$U$130</definedName>
  </definedNames>
  <calcPr fullCalcOnLoad="1"/>
</workbook>
</file>

<file path=xl/sharedStrings.xml><?xml version="1.0" encoding="utf-8"?>
<sst xmlns="http://schemas.openxmlformats.org/spreadsheetml/2006/main" count="200" uniqueCount="180">
  <si>
    <t>Sources:</t>
  </si>
  <si>
    <t>% Capital</t>
  </si>
  <si>
    <t>Expected Return</t>
  </si>
  <si>
    <t>EBITDA Multiple</t>
  </si>
  <si>
    <t>Bank Loan</t>
  </si>
  <si>
    <t>Equity</t>
  </si>
  <si>
    <t xml:space="preserve">  Total Sources</t>
  </si>
  <si>
    <t>Uses:</t>
  </si>
  <si>
    <t>Decile</t>
  </si>
  <si>
    <t>Mkt Cap $MM</t>
  </si>
  <si>
    <t>Risk Prem.</t>
  </si>
  <si>
    <t>Cost of Equity</t>
  </si>
  <si>
    <t>Exit Year</t>
  </si>
  <si>
    <t>Bank Loan Information</t>
  </si>
  <si>
    <t>Amount Outstanding</t>
  </si>
  <si>
    <t xml:space="preserve">  Total Financing Payment</t>
  </si>
  <si>
    <t>Corporate Bond Information</t>
  </si>
  <si>
    <t>Total Financing</t>
  </si>
  <si>
    <t>Total Debt Outstanding</t>
  </si>
  <si>
    <t>Year 1</t>
  </si>
  <si>
    <t>Year 2</t>
  </si>
  <si>
    <t>Year 3</t>
  </si>
  <si>
    <t>Year 4</t>
  </si>
  <si>
    <t>Year 5</t>
  </si>
  <si>
    <t>EBIT</t>
  </si>
  <si>
    <t>Entry Year</t>
  </si>
  <si>
    <t>Equity Cash Flows</t>
  </si>
  <si>
    <t>Terminal Value</t>
  </si>
  <si>
    <t>Debt Outstanding</t>
  </si>
  <si>
    <t>Equity Value (TV - Debt)</t>
  </si>
  <si>
    <t>x</t>
  </si>
  <si>
    <t>Initial Investment</t>
  </si>
  <si>
    <t>NPV=</t>
  </si>
  <si>
    <t>IRR=</t>
  </si>
  <si>
    <t>Transaction Fees &amp; Expenses</t>
  </si>
  <si>
    <t>7 years</t>
  </si>
  <si>
    <t>10 Years</t>
  </si>
  <si>
    <t>Company Projections</t>
  </si>
  <si>
    <t>1st Year's
EBITDA
Multiple</t>
  </si>
  <si>
    <t>Debt
 Capacity (EBITDA x)</t>
  </si>
  <si>
    <t xml:space="preserve">  Total Debt</t>
  </si>
  <si>
    <t>Terms</t>
  </si>
  <si>
    <t>TRANSACTION SOURCES &amp; USES</t>
  </si>
  <si>
    <t xml:space="preserve">  Less Taxes (adj out Interest Exp)</t>
  </si>
  <si>
    <t xml:space="preserve">  Less Working Capital</t>
  </si>
  <si>
    <t xml:space="preserve">  Less Capex</t>
  </si>
  <si>
    <t xml:space="preserve">  Perpetuity Method  (using WACC + growth)</t>
  </si>
  <si>
    <t>Average Terminal Value</t>
  </si>
  <si>
    <t>Growth</t>
  </si>
  <si>
    <t>3M-LIBOR
 Assumptions</t>
  </si>
  <si>
    <t>Debt IRR</t>
  </si>
  <si>
    <t>Initial All -In</t>
  </si>
  <si>
    <t>Loan
 Spread</t>
  </si>
  <si>
    <t xml:space="preserve"> % of 
Total
 Uses</t>
  </si>
  <si>
    <t>$ 1 PV Table (Expected Equity Rate)</t>
  </si>
  <si>
    <t>PV Table (Expected Equity Rate)</t>
  </si>
  <si>
    <t>DEBT ASSUMPTIONS &amp; RETURN ANALYSIS</t>
  </si>
  <si>
    <t xml:space="preserve">  LIBOR RATE </t>
  </si>
  <si>
    <t>COST OF BANK DEBT CALCULATION
(Floaring Rate)</t>
  </si>
  <si>
    <t>Amount Outstanding (End of Year)</t>
  </si>
  <si>
    <t>Interest Payment (Calc based on last Year's Outs)</t>
  </si>
  <si>
    <t>Schedule Principal Payments</t>
  </si>
  <si>
    <t>COST OF DEBT AND EQUITY CALCULATIONS</t>
  </si>
  <si>
    <t>CASH FLOW  &amp; EQUITY RETURN ANALYSIS</t>
  </si>
  <si>
    <t>Less Amortization of Fees</t>
  </si>
  <si>
    <t>WACD =</t>
  </si>
  <si>
    <t>Equity Premium [ Pe ]</t>
  </si>
  <si>
    <t>Firm Specific Risk Premium [e]</t>
  </si>
  <si>
    <t>Equity Risk Premiums (1926-2006)
(CAPM Model)</t>
  </si>
  <si>
    <t>Mezzanine Note</t>
  </si>
  <si>
    <t>COST OF MEZZANINE NOTE CALCULATION</t>
  </si>
  <si>
    <t xml:space="preserve">  EBITDA Multiple Method (initial purchase multiple)</t>
  </si>
  <si>
    <t xml:space="preserve">   LIBOR Rate Increase Assumptions</t>
  </si>
  <si>
    <t>EBT</t>
  </si>
  <si>
    <t>Cash Flow Before Financing (CFBF)</t>
  </si>
  <si>
    <t>Expected Return 
(After Tax)</t>
  </si>
  <si>
    <t>WACC
 (After Tax)</t>
  </si>
  <si>
    <t>Tax Rate=</t>
  </si>
  <si>
    <r>
      <t xml:space="preserve">COST OF EQUITY CALCULATION
</t>
    </r>
    <r>
      <rPr>
        <b/>
        <sz val="12"/>
        <rFont val="Arial"/>
        <family val="2"/>
      </rPr>
      <t>E</t>
    </r>
    <r>
      <rPr>
        <b/>
        <sz val="11"/>
        <rFont val="Arial"/>
        <family val="2"/>
      </rPr>
      <t xml:space="preserve"> (re) = rf + β</t>
    </r>
    <r>
      <rPr>
        <b/>
        <sz val="10"/>
        <rFont val="Arial"/>
        <family val="2"/>
      </rPr>
      <t xml:space="preserve"> . Pe + e</t>
    </r>
  </si>
  <si>
    <t xml:space="preserve">  Interest Rate</t>
  </si>
  <si>
    <t xml:space="preserve"> Sock Purchase</t>
  </si>
  <si>
    <t>Amount
($ 000's)</t>
  </si>
  <si>
    <t xml:space="preserve">  Plus Depreciation</t>
  </si>
  <si>
    <t xml:space="preserve">  Plus Amortization</t>
  </si>
  <si>
    <t>EBITDA</t>
  </si>
  <si>
    <t xml:space="preserve">  Plus Interest</t>
  </si>
  <si>
    <t xml:space="preserve"> Enteprise Value</t>
  </si>
  <si>
    <t xml:space="preserve">      Total Uses</t>
  </si>
  <si>
    <t>Current 
Stock
Price</t>
  </si>
  <si>
    <t>Stock 
Price 
Bid</t>
  </si>
  <si>
    <t>Shares
Outstanding
(mm)</t>
  </si>
  <si>
    <t>Premium=</t>
  </si>
  <si>
    <t xml:space="preserve">Company Beta </t>
  </si>
  <si>
    <t xml:space="preserve"> Refinance Net Debt (Debt net of Cash)</t>
  </si>
  <si>
    <t>6-year Treasury Note [ rf ] (Intepol.)</t>
  </si>
  <si>
    <t xml:space="preserve">http://www.treasury.gov/resource-center/data-chart-center/interest-rates/Pages/TextView.aspx?data=yield </t>
  </si>
  <si>
    <t>Risk Free Rate</t>
  </si>
  <si>
    <t>LINKS</t>
  </si>
  <si>
    <t xml:space="preserve">http://www.bankrate.com/rates/interest-rates/libor.aspx?ec_id=m1118120&amp;s_kwcid=AL!1325!3!41196777488!e!!g!!libor%20rate&amp;ef_id=Ux9NKQAAAcXzBiC8:20150227133807:s </t>
  </si>
  <si>
    <t>LIBOR Info</t>
  </si>
  <si>
    <t>Company Info</t>
  </si>
  <si>
    <t>http://finance.yahoo.com/</t>
  </si>
  <si>
    <t>CREDIT ANALYSIS</t>
  </si>
  <si>
    <t>Bank Debt Outstanding</t>
  </si>
  <si>
    <t>Total Interest Expense</t>
  </si>
  <si>
    <t>Bank Debt / EBITDA (Senior Leverage)</t>
  </si>
  <si>
    <t>Total Debt / EBITDA (Total Leverage)</t>
  </si>
  <si>
    <t>EBITDA / Interest (Coverage)</t>
  </si>
  <si>
    <t>Fixed Charge Ratio (CFBF / Financing Obligations)</t>
  </si>
  <si>
    <t>Less Financing obligations ( P + I )</t>
  </si>
  <si>
    <t xml:space="preserve">  Less Interest</t>
  </si>
  <si>
    <t>Historical</t>
  </si>
  <si>
    <t>Projected</t>
  </si>
  <si>
    <t>Assumpt.</t>
  </si>
  <si>
    <t>Public to Private LBO Equity &amp; Debt Analysis using CAPM</t>
  </si>
  <si>
    <t>Period Ending</t>
  </si>
  <si>
    <t>Assets</t>
  </si>
  <si>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</si>
  <si>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</si>
  <si>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</si>
  <si>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</si>
  <si>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</si>
  <si>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</si>
  <si>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 xml:space="preserve">Total Current Assets </t>
  </si>
  <si>
    <t>Long Term Investments</t>
  </si>
  <si>
    <t>Property Plant and Equipment</t>
  </si>
  <si>
    <t>Goodwill</t>
  </si>
  <si>
    <t>Intangible Assets</t>
  </si>
  <si>
    <t>Accumulated Amortization</t>
  </si>
  <si>
    <t>Other Assets</t>
  </si>
  <si>
    <t>Deferred Long Term Asset Charges</t>
  </si>
  <si>
    <t xml:space="preserve">Total Assets </t>
  </si>
  <si>
    <t>Liabilities</t>
  </si>
  <si>
    <t>Current Liabilities</t>
  </si>
  <si>
    <t>Accounts Payable</t>
  </si>
  <si>
    <t>Short/Current Long Term Debt</t>
  </si>
  <si>
    <t>Other Current Liabilities</t>
  </si>
  <si>
    <t xml:space="preserve">Total Current Liabilities </t>
  </si>
  <si>
    <t>Long Term Debt</t>
  </si>
  <si>
    <t>Other Liabilities</t>
  </si>
  <si>
    <t>Deferred Long Term Liability Charges</t>
  </si>
  <si>
    <t>Minority Interest</t>
  </si>
  <si>
    <t>Negative Goodwill</t>
  </si>
  <si>
    <t xml:space="preserve">Total Liabilities </t>
  </si>
  <si>
    <t>Stockholders' Equity</t>
  </si>
  <si>
    <t>Misc Stocks Options Warrants</t>
  </si>
  <si>
    <t>Redeemable Preferred Stock</t>
  </si>
  <si>
    <t>Preferred Stock</t>
  </si>
  <si>
    <t>Common Stock</t>
  </si>
  <si>
    <t>Retained Earnings</t>
  </si>
  <si>
    <t>Treasury Stock</t>
  </si>
  <si>
    <t>Capital Surplus</t>
  </si>
  <si>
    <t>Other Stockholder Equity</t>
  </si>
  <si>
    <t xml:space="preserve">Total Stockholder Equity </t>
  </si>
  <si>
    <t xml:space="preserve"> DR</t>
  </si>
  <si>
    <t>CR</t>
  </si>
  <si>
    <t>Proforma</t>
  </si>
  <si>
    <t xml:space="preserve">MGM Mirage </t>
  </si>
  <si>
    <t>Comb. Co.</t>
  </si>
  <si>
    <t>Mirage Resorts</t>
  </si>
  <si>
    <t xml:space="preserve">  Bellagio</t>
  </si>
  <si>
    <t>MGM Grand</t>
  </si>
  <si>
    <t xml:space="preserve">  The Mirage</t>
  </si>
  <si>
    <t xml:space="preserve">  Treasure Island</t>
  </si>
  <si>
    <t xml:space="preserve">  Golden Nugget - Las Vegas</t>
  </si>
  <si>
    <t xml:space="preserve">  Golden Nugget - Laughlin</t>
  </si>
  <si>
    <t xml:space="preserve">  Beau Rivage</t>
  </si>
  <si>
    <t xml:space="preserve">  MGM Grand - Las Vegas</t>
  </si>
  <si>
    <t xml:space="preserve">  New York-New York</t>
  </si>
  <si>
    <t xml:space="preserve">  Primm Nevada Properties</t>
  </si>
  <si>
    <t xml:space="preserve">  MGM Grand Detroit</t>
  </si>
  <si>
    <t xml:space="preserve">  MGM Grand Australia</t>
  </si>
  <si>
    <t xml:space="preserve">  MGM Grand South Africa</t>
  </si>
  <si>
    <t>Other</t>
  </si>
  <si>
    <t>Total Revenues</t>
  </si>
  <si>
    <t>EBITA</t>
  </si>
  <si>
    <t>REVENUES</t>
  </si>
  <si>
    <t>Total EBITA</t>
  </si>
  <si>
    <t>Plus Synergies</t>
  </si>
  <si>
    <t xml:space="preserve">  Plus Asset Sales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</si>
</sst>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00%"/>
    <numFmt numFmtId="175" formatCode="0.0\x"/>
    <numFmt numFmtId="176" formatCode="General_)"/>
    <numFmt numFmtId="177" formatCode="0.00\x"/>
    <numFmt numFmtId="178" formatCode="_(* #,##0.0000000_);_(* \(#,##0.0000000\);_(* &quot;-&quot;??_);_(@_)"/>
    <numFmt numFmtId="179" formatCode="_(* #,##0.000000_);_(* \(#,##0.000000\);_(* &quot;-&quot;??_);_(@_)"/>
    <numFmt numFmtId="180" formatCode="_(* #,##0.00000_);_(* \(#,##0.00000\);_(* &quot;-&quot;??_);_(@_)"/>
    <numFmt numFmtId="181" formatCode="_(* #,##0.0000_);_(* \(#,##0.0000\);_(* &quot;-&quot;??_);_(@_)"/>
    <numFmt numFmtId="182" formatCode="_(* #,##0.000_);_(* \(#,##0.000\);_(* &quot;-&quot;??_);_(@_)"/>
    <numFmt numFmtId="183" formatCode="_(* #,##0.0_);_(* \(#,##0.0\);_(* &quot;-&quot;??_);_(@_)"/>
    <numFmt numFmtId="184" formatCode="0.0000%"/>
    <numFmt numFmtId="185" formatCode="0.00000%"/>
    <numFmt numFmtId="186" formatCode="0.000000%"/>
    <numFmt numFmtId="187" formatCode="0.0"/>
    <numFmt numFmtId="188" formatCode="0.00000000000000"/>
    <numFmt numFmtId="189" formatCode="0.000\x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76" fontId="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2" fontId="0" fillId="0" borderId="0" xfId="42" applyNumberFormat="1" applyFont="1" applyBorder="1" applyAlignment="1">
      <alignment/>
    </xf>
    <xf numFmtId="173" fontId="0" fillId="0" borderId="0" xfId="60" applyNumberFormat="1" applyFont="1" applyBorder="1" applyAlignment="1">
      <alignment/>
    </xf>
    <xf numFmtId="10" fontId="0" fillId="0" borderId="0" xfId="0" applyNumberFormat="1" applyBorder="1" applyAlignment="1">
      <alignment/>
    </xf>
    <xf numFmtId="173" fontId="0" fillId="0" borderId="10" xfId="60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3" fontId="0" fillId="0" borderId="11" xfId="6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8" fontId="1" fillId="0" borderId="17" xfId="42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8" fontId="1" fillId="0" borderId="10" xfId="42" applyNumberFormat="1" applyFont="1" applyBorder="1" applyAlignment="1">
      <alignment horizontal="center"/>
    </xf>
    <xf numFmtId="0" fontId="0" fillId="0" borderId="0" xfId="0" applyAlignment="1" quotePrefix="1">
      <alignment/>
    </xf>
    <xf numFmtId="172" fontId="1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2" fontId="0" fillId="0" borderId="18" xfId="42" applyNumberFormat="1" applyFont="1" applyBorder="1" applyAlignment="1">
      <alignment/>
    </xf>
    <xf numFmtId="172" fontId="1" fillId="33" borderId="19" xfId="0" applyNumberFormat="1" applyFont="1" applyFill="1" applyBorder="1" applyAlignment="1">
      <alignment/>
    </xf>
    <xf numFmtId="172" fontId="0" fillId="0" borderId="0" xfId="42" applyNumberFormat="1" applyFont="1" applyBorder="1" applyAlignment="1">
      <alignment horizontal="center"/>
    </xf>
    <xf numFmtId="173" fontId="10" fillId="0" borderId="0" xfId="0" applyNumberFormat="1" applyFont="1" applyAlignment="1">
      <alignment/>
    </xf>
    <xf numFmtId="172" fontId="0" fillId="0" borderId="10" xfId="42" applyNumberFormat="1" applyFont="1" applyBorder="1" applyAlignment="1">
      <alignment/>
    </xf>
    <xf numFmtId="172" fontId="10" fillId="0" borderId="0" xfId="42" applyNumberFormat="1" applyFont="1" applyAlignment="1">
      <alignment/>
    </xf>
    <xf numFmtId="172" fontId="10" fillId="0" borderId="14" xfId="42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0" fontId="1" fillId="0" borderId="14" xfId="60" applyNumberFormat="1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10" fontId="1" fillId="0" borderId="14" xfId="0" applyNumberFormat="1" applyFont="1" applyBorder="1" applyAlignment="1">
      <alignment horizontal="center"/>
    </xf>
    <xf numFmtId="0" fontId="11" fillId="34" borderId="20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172" fontId="13" fillId="34" borderId="20" xfId="42" applyNumberFormat="1" applyFont="1" applyFill="1" applyBorder="1" applyAlignment="1">
      <alignment/>
    </xf>
    <xf numFmtId="172" fontId="12" fillId="34" borderId="20" xfId="42" applyNumberFormat="1" applyFont="1" applyFill="1" applyBorder="1" applyAlignment="1">
      <alignment/>
    </xf>
    <xf numFmtId="173" fontId="1" fillId="33" borderId="19" xfId="60" applyNumberFormat="1" applyFont="1" applyFill="1" applyBorder="1" applyAlignment="1">
      <alignment horizontal="center"/>
    </xf>
    <xf numFmtId="172" fontId="1" fillId="33" borderId="15" xfId="42" applyNumberFormat="1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172" fontId="1" fillId="33" borderId="15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0" xfId="0" applyFont="1" applyBorder="1" applyAlignment="1">
      <alignment vertical="center"/>
    </xf>
    <xf numFmtId="172" fontId="0" fillId="0" borderId="17" xfId="42" applyNumberFormat="1" applyFont="1" applyBorder="1" applyAlignment="1">
      <alignment/>
    </xf>
    <xf numFmtId="10" fontId="1" fillId="33" borderId="19" xfId="0" applyNumberFormat="1" applyFont="1" applyFill="1" applyBorder="1" applyAlignment="1">
      <alignment/>
    </xf>
    <xf numFmtId="10" fontId="1" fillId="33" borderId="20" xfId="6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175" fontId="1" fillId="33" borderId="24" xfId="0" applyNumberFormat="1" applyFont="1" applyFill="1" applyBorder="1" applyAlignment="1">
      <alignment horizontal="center"/>
    </xf>
    <xf numFmtId="10" fontId="14" fillId="0" borderId="19" xfId="0" applyNumberFormat="1" applyFont="1" applyBorder="1" applyAlignment="1">
      <alignment horizontal="center"/>
    </xf>
    <xf numFmtId="10" fontId="14" fillId="0" borderId="18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76" fontId="6" fillId="35" borderId="25" xfId="57" applyFont="1" applyFill="1" applyBorder="1" applyAlignment="1">
      <alignment horizontal="center"/>
      <protection/>
    </xf>
    <xf numFmtId="176" fontId="6" fillId="35" borderId="10" xfId="57" applyFont="1" applyFill="1" applyBorder="1" applyAlignment="1">
      <alignment horizontal="center"/>
      <protection/>
    </xf>
    <xf numFmtId="173" fontId="6" fillId="35" borderId="26" xfId="57" applyNumberFormat="1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>
      <alignment horizontal="center" wrapText="1"/>
    </xf>
    <xf numFmtId="0" fontId="1" fillId="35" borderId="21" xfId="0" applyFont="1" applyFill="1" applyBorder="1" applyAlignment="1">
      <alignment horizontal="center"/>
    </xf>
    <xf numFmtId="0" fontId="1" fillId="35" borderId="13" xfId="0" applyFont="1" applyFill="1" applyBorder="1" applyAlignment="1" quotePrefix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10" fontId="15" fillId="0" borderId="14" xfId="60" applyNumberFormat="1" applyFont="1" applyBorder="1" applyAlignment="1">
      <alignment/>
    </xf>
    <xf numFmtId="10" fontId="15" fillId="0" borderId="0" xfId="60" applyNumberFormat="1" applyFont="1" applyBorder="1" applyAlignment="1">
      <alignment/>
    </xf>
    <xf numFmtId="0" fontId="4" fillId="35" borderId="19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/>
    </xf>
    <xf numFmtId="172" fontId="0" fillId="0" borderId="25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7" xfId="0" applyNumberFormat="1" applyBorder="1" applyAlignment="1">
      <alignment/>
    </xf>
    <xf numFmtId="10" fontId="1" fillId="33" borderId="18" xfId="0" applyNumberFormat="1" applyFont="1" applyFill="1" applyBorder="1" applyAlignment="1">
      <alignment horizontal="center"/>
    </xf>
    <xf numFmtId="10" fontId="1" fillId="0" borderId="0" xfId="60" applyNumberFormat="1" applyFont="1" applyBorder="1" applyAlignment="1">
      <alignment/>
    </xf>
    <xf numFmtId="172" fontId="10" fillId="0" borderId="0" xfId="42" applyNumberFormat="1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174" fontId="1" fillId="35" borderId="31" xfId="60" applyNumberFormat="1" applyFont="1" applyFill="1" applyBorder="1" applyAlignment="1">
      <alignment horizontal="left" vertical="center"/>
    </xf>
    <xf numFmtId="0" fontId="1" fillId="35" borderId="21" xfId="0" applyFont="1" applyFill="1" applyBorder="1" applyAlignment="1">
      <alignment horizontal="right" vertical="center"/>
    </xf>
    <xf numFmtId="178" fontId="15" fillId="0" borderId="32" xfId="42" applyNumberFormat="1" applyFon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5" fontId="1" fillId="0" borderId="11" xfId="0" applyNumberFormat="1" applyFont="1" applyBorder="1" applyAlignment="1">
      <alignment horizontal="right"/>
    </xf>
    <xf numFmtId="176" fontId="0" fillId="0" borderId="33" xfId="57" applyFont="1" applyBorder="1" applyAlignment="1">
      <alignment horizontal="center"/>
      <protection/>
    </xf>
    <xf numFmtId="172" fontId="0" fillId="0" borderId="32" xfId="42" applyNumberFormat="1" applyFont="1" applyBorder="1" applyAlignment="1">
      <alignment/>
    </xf>
    <xf numFmtId="10" fontId="0" fillId="0" borderId="34" xfId="60" applyNumberFormat="1" applyFont="1" applyBorder="1" applyAlignment="1">
      <alignment/>
    </xf>
    <xf numFmtId="176" fontId="0" fillId="0" borderId="12" xfId="57" applyFont="1" applyBorder="1" applyAlignment="1">
      <alignment horizontal="center"/>
      <protection/>
    </xf>
    <xf numFmtId="172" fontId="0" fillId="0" borderId="0" xfId="42" applyNumberFormat="1" applyFont="1" applyBorder="1" applyAlignment="1">
      <alignment/>
    </xf>
    <xf numFmtId="10" fontId="0" fillId="0" borderId="35" xfId="60" applyNumberFormat="1" applyFont="1" applyBorder="1" applyAlignment="1">
      <alignment/>
    </xf>
    <xf numFmtId="176" fontId="1" fillId="33" borderId="22" xfId="57" applyFont="1" applyFill="1" applyBorder="1" applyAlignment="1">
      <alignment horizontal="center"/>
      <protection/>
    </xf>
    <xf numFmtId="172" fontId="1" fillId="33" borderId="13" xfId="42" applyNumberFormat="1" applyFont="1" applyFill="1" applyBorder="1" applyAlignment="1">
      <alignment/>
    </xf>
    <xf numFmtId="10" fontId="1" fillId="33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 horizontal="right"/>
    </xf>
    <xf numFmtId="10" fontId="0" fillId="0" borderId="10" xfId="60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15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0" fillId="0" borderId="0" xfId="60" applyNumberFormat="1" applyFont="1" applyBorder="1" applyAlignment="1">
      <alignment horizontal="right"/>
    </xf>
    <xf numFmtId="172" fontId="1" fillId="33" borderId="14" xfId="42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0" fontId="1" fillId="35" borderId="15" xfId="60" applyNumberFormat="1" applyFont="1" applyFill="1" applyBorder="1" applyAlignment="1">
      <alignment horizontal="right"/>
    </xf>
    <xf numFmtId="174" fontId="0" fillId="0" borderId="10" xfId="0" applyNumberFormat="1" applyFont="1" applyBorder="1" applyAlignment="1">
      <alignment/>
    </xf>
    <xf numFmtId="10" fontId="1" fillId="0" borderId="19" xfId="0" applyNumberFormat="1" applyFont="1" applyFill="1" applyBorder="1" applyAlignment="1">
      <alignment/>
    </xf>
    <xf numFmtId="173" fontId="1" fillId="35" borderId="31" xfId="0" applyNumberFormat="1" applyFont="1" applyFill="1" applyBorder="1" applyAlignment="1">
      <alignment/>
    </xf>
    <xf numFmtId="0" fontId="1" fillId="35" borderId="21" xfId="0" applyFont="1" applyFill="1" applyBorder="1" applyAlignment="1">
      <alignment horizontal="right"/>
    </xf>
    <xf numFmtId="172" fontId="0" fillId="0" borderId="14" xfId="42" applyNumberFormat="1" applyFont="1" applyBorder="1" applyAlignment="1" quotePrefix="1">
      <alignment/>
    </xf>
    <xf numFmtId="172" fontId="0" fillId="0" borderId="36" xfId="42" applyNumberFormat="1" applyFont="1" applyBorder="1" applyAlignment="1">
      <alignment/>
    </xf>
    <xf numFmtId="0" fontId="0" fillId="0" borderId="37" xfId="0" applyBorder="1" applyAlignment="1">
      <alignment/>
    </xf>
    <xf numFmtId="173" fontId="14" fillId="0" borderId="0" xfId="60" applyNumberFormat="1" applyFont="1" applyBorder="1" applyAlignment="1">
      <alignment horizontal="center"/>
    </xf>
    <xf numFmtId="172" fontId="0" fillId="0" borderId="0" xfId="42" applyNumberFormat="1" applyFont="1" applyFill="1" applyBorder="1" applyAlignment="1">
      <alignment/>
    </xf>
    <xf numFmtId="175" fontId="14" fillId="0" borderId="0" xfId="42" applyNumberFormat="1" applyFont="1" applyBorder="1" applyAlignment="1">
      <alignment horizontal="center" vertical="center"/>
    </xf>
    <xf numFmtId="44" fontId="14" fillId="0" borderId="19" xfId="44" applyFont="1" applyBorder="1" applyAlignment="1">
      <alignment horizontal="center" vertical="center"/>
    </xf>
    <xf numFmtId="172" fontId="0" fillId="0" borderId="10" xfId="42" applyNumberFormat="1" applyFont="1" applyBorder="1" applyAlignment="1">
      <alignment/>
    </xf>
    <xf numFmtId="173" fontId="1" fillId="33" borderId="31" xfId="60" applyNumberFormat="1" applyFont="1" applyFill="1" applyBorder="1" applyAlignment="1">
      <alignment horizontal="left"/>
    </xf>
    <xf numFmtId="173" fontId="1" fillId="33" borderId="21" xfId="60" applyNumberFormat="1" applyFont="1" applyFill="1" applyBorder="1" applyAlignment="1">
      <alignment horizontal="right"/>
    </xf>
    <xf numFmtId="175" fontId="14" fillId="33" borderId="19" xfId="42" applyNumberFormat="1" applyFont="1" applyFill="1" applyBorder="1" applyAlignment="1">
      <alignment horizontal="center" vertical="center"/>
    </xf>
    <xf numFmtId="173" fontId="0" fillId="0" borderId="11" xfId="0" applyNumberFormat="1" applyBorder="1" applyAlignment="1">
      <alignment/>
    </xf>
    <xf numFmtId="173" fontId="0" fillId="0" borderId="10" xfId="60" applyNumberFormat="1" applyFont="1" applyBorder="1" applyAlignment="1">
      <alignment horizontal="right"/>
    </xf>
    <xf numFmtId="43" fontId="1" fillId="33" borderId="19" xfId="42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 shrinkToFit="1"/>
    </xf>
    <xf numFmtId="173" fontId="1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10" fontId="1" fillId="0" borderId="0" xfId="6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172" fontId="0" fillId="0" borderId="0" xfId="42" applyNumberFormat="1" applyFont="1" applyBorder="1" applyAlignment="1">
      <alignment/>
    </xf>
    <xf numFmtId="44" fontId="1" fillId="0" borderId="19" xfId="44" applyNumberFormat="1" applyFont="1" applyBorder="1" applyAlignment="1">
      <alignment horizontal="center" vertical="center"/>
    </xf>
    <xf numFmtId="172" fontId="14" fillId="0" borderId="14" xfId="42" applyNumberFormat="1" applyFont="1" applyBorder="1" applyAlignment="1">
      <alignment/>
    </xf>
    <xf numFmtId="172" fontId="14" fillId="0" borderId="14" xfId="42" applyNumberFormat="1" applyFont="1" applyBorder="1" applyAlignment="1" quotePrefix="1">
      <alignment/>
    </xf>
    <xf numFmtId="10" fontId="18" fillId="0" borderId="0" xfId="60" applyNumberFormat="1" applyFont="1" applyBorder="1" applyAlignment="1">
      <alignment/>
    </xf>
    <xf numFmtId="172" fontId="1" fillId="0" borderId="14" xfId="42" applyNumberFormat="1" applyFont="1" applyBorder="1" applyAlignment="1">
      <alignment/>
    </xf>
    <xf numFmtId="172" fontId="1" fillId="0" borderId="14" xfId="42" applyNumberFormat="1" applyFont="1" applyBorder="1" applyAlignment="1" quotePrefix="1">
      <alignment/>
    </xf>
    <xf numFmtId="10" fontId="14" fillId="0" borderId="0" xfId="0" applyNumberFormat="1" applyFont="1" applyAlignment="1">
      <alignment/>
    </xf>
    <xf numFmtId="10" fontId="14" fillId="0" borderId="10" xfId="0" applyNumberFormat="1" applyFont="1" applyBorder="1" applyAlignment="1">
      <alignment/>
    </xf>
    <xf numFmtId="189" fontId="14" fillId="0" borderId="0" xfId="0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14" fillId="0" borderId="10" xfId="42" applyNumberFormat="1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53" applyAlignment="1" applyProtection="1">
      <alignment/>
      <protection/>
    </xf>
    <xf numFmtId="172" fontId="0" fillId="0" borderId="18" xfId="0" applyNumberFormat="1" applyBorder="1" applyAlignment="1">
      <alignment/>
    </xf>
    <xf numFmtId="177" fontId="0" fillId="0" borderId="0" xfId="0" applyNumberFormat="1" applyAlignment="1">
      <alignment/>
    </xf>
    <xf numFmtId="0" fontId="13" fillId="34" borderId="21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2" fillId="34" borderId="31" xfId="0" applyFont="1" applyFill="1" applyBorder="1" applyAlignment="1">
      <alignment/>
    </xf>
    <xf numFmtId="173" fontId="14" fillId="0" borderId="0" xfId="0" applyNumberFormat="1" applyFont="1" applyAlignment="1">
      <alignment/>
    </xf>
    <xf numFmtId="0" fontId="1" fillId="35" borderId="38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173" fontId="0" fillId="0" borderId="32" xfId="60" applyNumberFormat="1" applyFont="1" applyBorder="1" applyAlignment="1">
      <alignment/>
    </xf>
    <xf numFmtId="0" fontId="1" fillId="35" borderId="39" xfId="0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0" fillId="0" borderId="41" xfId="0" applyBorder="1" applyAlignment="1">
      <alignment/>
    </xf>
    <xf numFmtId="173" fontId="0" fillId="0" borderId="41" xfId="60" applyNumberFormat="1" applyFont="1" applyBorder="1" applyAlignment="1">
      <alignment/>
    </xf>
    <xf numFmtId="173" fontId="0" fillId="0" borderId="42" xfId="6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0" fontId="0" fillId="0" borderId="41" xfId="60" applyNumberFormat="1" applyFont="1" applyBorder="1" applyAlignment="1">
      <alignment/>
    </xf>
    <xf numFmtId="172" fontId="14" fillId="0" borderId="0" xfId="42" applyNumberFormat="1" applyFont="1" applyAlignment="1">
      <alignment/>
    </xf>
    <xf numFmtId="176" fontId="1" fillId="0" borderId="25" xfId="57" applyFont="1" applyBorder="1" applyAlignment="1">
      <alignment horizontal="center"/>
      <protection/>
    </xf>
    <xf numFmtId="172" fontId="1" fillId="0" borderId="10" xfId="42" applyNumberFormat="1" applyFont="1" applyBorder="1" applyAlignment="1">
      <alignment/>
    </xf>
    <xf numFmtId="10" fontId="1" fillId="0" borderId="26" xfId="60" applyNumberFormat="1" applyFont="1" applyBorder="1" applyAlignment="1">
      <alignment/>
    </xf>
    <xf numFmtId="3" fontId="0" fillId="0" borderId="0" xfId="0" applyNumberFormat="1" applyAlignment="1">
      <alignment/>
    </xf>
    <xf numFmtId="172" fontId="1" fillId="0" borderId="0" xfId="42" applyNumberFormat="1" applyFont="1" applyAlignment="1">
      <alignment/>
    </xf>
    <xf numFmtId="15" fontId="1" fillId="0" borderId="0" xfId="0" applyNumberFormat="1" applyFont="1" applyAlignment="1">
      <alignment/>
    </xf>
    <xf numFmtId="172" fontId="1" fillId="0" borderId="0" xfId="42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76" fontId="1" fillId="33" borderId="21" xfId="57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2" fontId="1" fillId="33" borderId="21" xfId="42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172" fontId="1" fillId="33" borderId="21" xfId="42" applyNumberFormat="1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6" fillId="0" borderId="0" xfId="0" applyFont="1" applyAlignment="1">
      <alignment/>
    </xf>
    <xf numFmtId="172" fontId="14" fillId="0" borderId="14" xfId="42" applyNumberFormat="1" applyFont="1" applyFill="1" applyBorder="1" applyAlignment="1">
      <alignment horizontal="center"/>
    </xf>
    <xf numFmtId="172" fontId="1" fillId="0" borderId="0" xfId="42" applyNumberFormat="1" applyFont="1" applyFill="1" applyBorder="1" applyAlignment="1">
      <alignment horizontal="center"/>
    </xf>
    <xf numFmtId="172" fontId="1" fillId="0" borderId="14" xfId="42" applyNumberFormat="1" applyFont="1" applyFill="1" applyBorder="1" applyAlignment="1">
      <alignment horizontal="center"/>
    </xf>
    <xf numFmtId="172" fontId="0" fillId="0" borderId="0" xfId="42" applyNumberFormat="1" applyFont="1" applyAlignment="1">
      <alignment/>
    </xf>
    <xf numFmtId="172" fontId="1" fillId="0" borderId="15" xfId="42" applyNumberFormat="1" applyFont="1" applyFill="1" applyBorder="1" applyAlignment="1">
      <alignment horizontal="center"/>
    </xf>
    <xf numFmtId="172" fontId="1" fillId="0" borderId="15" xfId="42" applyNumberFormat="1" applyFont="1" applyBorder="1" applyAlignment="1" quotePrefix="1">
      <alignment/>
    </xf>
    <xf numFmtId="173" fontId="1" fillId="0" borderId="0" xfId="0" applyNumberFormat="1" applyFont="1" applyAlignment="1">
      <alignment/>
    </xf>
    <xf numFmtId="173" fontId="14" fillId="0" borderId="14" xfId="60" applyNumberFormat="1" applyFont="1" applyFill="1" applyBorder="1" applyAlignment="1">
      <alignment horizontal="center"/>
    </xf>
    <xf numFmtId="172" fontId="0" fillId="0" borderId="36" xfId="42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0" borderId="36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3" fontId="0" fillId="0" borderId="0" xfId="60" applyNumberFormat="1" applyFont="1" applyAlignment="1">
      <alignment/>
    </xf>
    <xf numFmtId="173" fontId="0" fillId="0" borderId="0" xfId="60" applyNumberFormat="1" applyFont="1" applyAlignment="1">
      <alignment/>
    </xf>
    <xf numFmtId="172" fontId="14" fillId="0" borderId="0" xfId="42" applyNumberFormat="1" applyFont="1" applyBorder="1" applyAlignment="1">
      <alignment/>
    </xf>
    <xf numFmtId="177" fontId="14" fillId="0" borderId="43" xfId="42" applyNumberFormat="1" applyFont="1" applyBorder="1" applyAlignment="1">
      <alignment horizontal="center"/>
    </xf>
    <xf numFmtId="177" fontId="14" fillId="0" borderId="27" xfId="42" applyNumberFormat="1" applyFont="1" applyBorder="1" applyAlignment="1">
      <alignment horizontal="center" vertical="center"/>
    </xf>
    <xf numFmtId="177" fontId="14" fillId="0" borderId="18" xfId="42" applyNumberFormat="1" applyFont="1" applyBorder="1" applyAlignment="1">
      <alignment horizontal="center" vertical="center"/>
    </xf>
    <xf numFmtId="177" fontId="1" fillId="0" borderId="0" xfId="42" applyNumberFormat="1" applyFont="1" applyBorder="1" applyAlignment="1">
      <alignment horizontal="center" vertical="center"/>
    </xf>
    <xf numFmtId="177" fontId="1" fillId="0" borderId="11" xfId="42" applyNumberFormat="1" applyFont="1" applyBorder="1" applyAlignment="1">
      <alignment horizontal="center" vertical="center"/>
    </xf>
    <xf numFmtId="10" fontId="0" fillId="0" borderId="0" xfId="60" applyNumberFormat="1" applyFont="1" applyBorder="1" applyAlignment="1">
      <alignment/>
    </xf>
    <xf numFmtId="173" fontId="0" fillId="0" borderId="14" xfId="60" applyNumberFormat="1" applyFont="1" applyBorder="1" applyAlignment="1">
      <alignment/>
    </xf>
    <xf numFmtId="173" fontId="14" fillId="0" borderId="22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stens Mgt Ca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87</xdr:row>
      <xdr:rowOff>0</xdr:rowOff>
    </xdr:from>
    <xdr:to>
      <xdr:col>14</xdr:col>
      <xdr:colOff>466725</xdr:colOff>
      <xdr:row>94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12020550" y="15487650"/>
          <a:ext cx="190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94</xdr:row>
      <xdr:rowOff>66675</xdr:rowOff>
    </xdr:from>
    <xdr:to>
      <xdr:col>14</xdr:col>
      <xdr:colOff>447675</xdr:colOff>
      <xdr:row>94</xdr:row>
      <xdr:rowOff>66675</xdr:rowOff>
    </xdr:to>
    <xdr:sp>
      <xdr:nvSpPr>
        <xdr:cNvPr id="2" name="Line 2"/>
        <xdr:cNvSpPr>
          <a:spLocks/>
        </xdr:cNvSpPr>
      </xdr:nvSpPr>
      <xdr:spPr>
        <a:xfrm>
          <a:off x="11572875" y="166306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76200</xdr:rowOff>
    </xdr:from>
    <xdr:to>
      <xdr:col>10</xdr:col>
      <xdr:colOff>266700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8667750" y="1724025"/>
          <a:ext cx="2571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asury.gov/resource-center/data-chart-center/interest-rates/Pages/TextView.aspx?data=yield" TargetMode="External" /><Relationship Id="rId2" Type="http://schemas.openxmlformats.org/officeDocument/2006/relationships/hyperlink" Target="http://finance.yahoo.com/" TargetMode="External" /><Relationship Id="rId3" Type="http://schemas.openxmlformats.org/officeDocument/2006/relationships/hyperlink" Target="http://www.bankrate.com/rates/interest-rates/libor.aspx?ec_id=m1118120&amp;s_kwcid=AL!1325!3!41196777488!e!!g!!libor%20rate&amp;ef_id=Ux9NKQAAAcXzBiC8:20150227133807: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8"/>
  <sheetViews>
    <sheetView tabSelected="1" zoomScalePageLayoutView="0" workbookViewId="0" topLeftCell="A1">
      <selection activeCell="P98" sqref="P98"/>
    </sheetView>
  </sheetViews>
  <sheetFormatPr defaultColWidth="9.140625" defaultRowHeight="12.75"/>
  <cols>
    <col min="1" max="1" width="4.00390625" style="0" customWidth="1"/>
    <col min="2" max="2" width="3.28125" style="0" customWidth="1"/>
    <col min="3" max="3" width="33.7109375" style="0" customWidth="1"/>
    <col min="4" max="4" width="12.57421875" style="0" customWidth="1"/>
    <col min="5" max="5" width="11.57421875" style="0" customWidth="1"/>
    <col min="6" max="6" width="10.421875" style="0" customWidth="1"/>
    <col min="7" max="7" width="13.7109375" style="0" customWidth="1"/>
    <col min="8" max="8" width="13.57421875" style="0" customWidth="1"/>
    <col min="9" max="9" width="13.421875" style="0" customWidth="1"/>
    <col min="10" max="11" width="13.57421875" style="0" customWidth="1"/>
    <col min="12" max="12" width="13.7109375" style="0" customWidth="1"/>
    <col min="13" max="13" width="3.00390625" style="0" customWidth="1"/>
    <col min="14" max="14" width="13.421875" style="0" customWidth="1"/>
    <col min="15" max="15" width="16.421875" style="0" customWidth="1"/>
    <col min="16" max="16" width="12.28125" style="0" customWidth="1"/>
    <col min="17" max="17" width="13.421875" style="0" customWidth="1"/>
    <col min="18" max="19" width="12.28125" style="0" customWidth="1"/>
    <col min="20" max="20" width="12.7109375" style="0" customWidth="1"/>
    <col min="21" max="21" width="14.28125" style="0" customWidth="1"/>
    <col min="22" max="26" width="12.421875" style="0" customWidth="1"/>
  </cols>
  <sheetData>
    <row r="1" spans="3:6" ht="23.25">
      <c r="C1" s="2" t="s">
        <v>157</v>
      </c>
      <c r="D1" s="2"/>
      <c r="E1" s="2"/>
      <c r="F1" s="2"/>
    </row>
    <row r="2" spans="3:11" ht="12.75" customHeight="1" thickBot="1">
      <c r="C2" s="1" t="s">
        <v>114</v>
      </c>
      <c r="D2" s="1"/>
      <c r="E2" s="1"/>
      <c r="F2" s="3"/>
      <c r="G2" s="4"/>
      <c r="H2" s="4"/>
      <c r="I2" s="5"/>
      <c r="J2" s="4"/>
      <c r="K2" s="6"/>
    </row>
    <row r="3" spans="1:19" ht="18" customHeight="1" thickBot="1">
      <c r="A3" s="91">
        <f>ROW()</f>
        <v>3</v>
      </c>
      <c r="B3" s="7"/>
      <c r="C3" s="65" t="s">
        <v>42</v>
      </c>
      <c r="D3" s="65"/>
      <c r="E3" s="65"/>
      <c r="F3" s="65"/>
      <c r="G3" s="66"/>
      <c r="H3" s="66"/>
      <c r="I3" s="66"/>
      <c r="J3" s="66"/>
      <c r="K3" s="66"/>
      <c r="L3" s="66"/>
      <c r="N3" s="171" t="s">
        <v>62</v>
      </c>
      <c r="O3" s="50"/>
      <c r="P3" s="172"/>
      <c r="Q3" s="52"/>
      <c r="R3" s="173"/>
      <c r="S3" s="173"/>
    </row>
    <row r="4" spans="1:19" ht="43.5" customHeight="1" thickBot="1">
      <c r="A4" s="91">
        <f>ROW()</f>
        <v>4</v>
      </c>
      <c r="B4" s="7"/>
      <c r="C4" s="8" t="s">
        <v>0</v>
      </c>
      <c r="D4" s="8"/>
      <c r="E4" s="8"/>
      <c r="F4" s="76" t="s">
        <v>39</v>
      </c>
      <c r="G4" s="79" t="s">
        <v>81</v>
      </c>
      <c r="H4" s="78" t="s">
        <v>1</v>
      </c>
      <c r="I4" s="79" t="s">
        <v>2</v>
      </c>
      <c r="J4" s="79" t="s">
        <v>75</v>
      </c>
      <c r="K4" s="79" t="s">
        <v>76</v>
      </c>
      <c r="L4" s="79" t="s">
        <v>3</v>
      </c>
      <c r="N4" s="200" t="s">
        <v>58</v>
      </c>
      <c r="O4" s="201"/>
      <c r="P4" s="202"/>
      <c r="Q4" s="197" t="s">
        <v>68</v>
      </c>
      <c r="R4" s="198"/>
      <c r="S4" s="199"/>
    </row>
    <row r="5" spans="1:19" ht="32.25" customHeight="1" thickBot="1">
      <c r="A5" s="91">
        <f>ROW()</f>
        <v>5</v>
      </c>
      <c r="B5" s="7"/>
      <c r="C5" s="7" t="s">
        <v>4</v>
      </c>
      <c r="D5" s="7"/>
      <c r="E5" s="7"/>
      <c r="F5" s="228">
        <v>2.75</v>
      </c>
      <c r="G5" s="154">
        <f>+G92*F5</f>
        <v>2752750</v>
      </c>
      <c r="H5" s="10">
        <f>+G5/$G$9</f>
        <v>0.41693803674477076</v>
      </c>
      <c r="I5" s="118">
        <f>+F23</f>
        <v>0.09535681456064404</v>
      </c>
      <c r="J5" s="118">
        <f>+I5*(1-$L$14)</f>
        <v>0.05721408873638642</v>
      </c>
      <c r="K5" s="116">
        <f>+H5*J5</f>
        <v>0.023854729831890055</v>
      </c>
      <c r="L5" s="103">
        <f>+G5/$G$92</f>
        <v>2.75</v>
      </c>
      <c r="N5" s="76" t="s">
        <v>49</v>
      </c>
      <c r="O5" s="76" t="s">
        <v>52</v>
      </c>
      <c r="P5" s="77" t="s">
        <v>51</v>
      </c>
      <c r="Q5" s="73" t="s">
        <v>8</v>
      </c>
      <c r="R5" s="74" t="s">
        <v>9</v>
      </c>
      <c r="S5" s="75" t="s">
        <v>10</v>
      </c>
    </row>
    <row r="6" spans="1:19" ht="13.5" thickBot="1">
      <c r="A6" s="91">
        <f>ROW()</f>
        <v>6</v>
      </c>
      <c r="B6" s="7"/>
      <c r="C6" s="7" t="s">
        <v>69</v>
      </c>
      <c r="D6" s="7"/>
      <c r="E6" s="7"/>
      <c r="F6" s="229"/>
      <c r="G6" s="42">
        <f>+G7-G5</f>
        <v>1251250</v>
      </c>
      <c r="H6" s="12">
        <f>+G6/$G$9</f>
        <v>0.18951728942944127</v>
      </c>
      <c r="I6" s="127">
        <f>+F32</f>
        <v>0.11999999999999988</v>
      </c>
      <c r="J6" s="127">
        <f>+I6*(1-$L$14)</f>
        <v>0.07199999999999993</v>
      </c>
      <c r="K6" s="117">
        <f>+H6*J6</f>
        <v>0.013645244838919757</v>
      </c>
      <c r="L6" s="104">
        <f>+G6/$G$92</f>
        <v>1.25</v>
      </c>
      <c r="N6" s="68">
        <v>0.045</v>
      </c>
      <c r="O6" s="69">
        <v>0.035</v>
      </c>
      <c r="P6" s="70">
        <f>+O6+N6</f>
        <v>0.08</v>
      </c>
      <c r="Q6" s="107">
        <v>1</v>
      </c>
      <c r="R6" s="108">
        <v>52435</v>
      </c>
      <c r="S6" s="109">
        <v>0.0703</v>
      </c>
    </row>
    <row r="7" spans="1:19" ht="13.5" thickBot="1">
      <c r="A7" s="91">
        <f>ROW()</f>
        <v>7</v>
      </c>
      <c r="B7" s="7"/>
      <c r="C7" s="7" t="s">
        <v>40</v>
      </c>
      <c r="D7" s="7"/>
      <c r="E7" s="7"/>
      <c r="F7" s="230">
        <v>4</v>
      </c>
      <c r="G7" s="154">
        <f>+(F7*G92)</f>
        <v>4004000</v>
      </c>
      <c r="H7" s="10">
        <f>SUM(H5:H6)</f>
        <v>0.606455326174212</v>
      </c>
      <c r="I7" s="72"/>
      <c r="J7" s="72"/>
      <c r="K7" s="116">
        <f>+K6+K5</f>
        <v>0.037499974670809816</v>
      </c>
      <c r="L7" s="105">
        <f>+G7/$G$92</f>
        <v>4</v>
      </c>
      <c r="N7" s="15"/>
      <c r="O7" s="7"/>
      <c r="P7" s="7"/>
      <c r="Q7" s="110"/>
      <c r="R7" s="111"/>
      <c r="S7" s="112"/>
    </row>
    <row r="8" spans="1:19" ht="15" customHeight="1" thickBot="1">
      <c r="A8" s="91">
        <f>ROW()</f>
        <v>8</v>
      </c>
      <c r="B8" s="7"/>
      <c r="C8" s="7" t="s">
        <v>5</v>
      </c>
      <c r="D8" s="7"/>
      <c r="E8" s="7"/>
      <c r="F8" s="231">
        <f>+G8/$G$92</f>
        <v>2.5957042957042957</v>
      </c>
      <c r="G8" s="42">
        <f>+G16-G7</f>
        <v>2598300</v>
      </c>
      <c r="H8" s="12">
        <f>+G8/$G$9</f>
        <v>0.393544673825788</v>
      </c>
      <c r="I8" s="61">
        <f>+P16</f>
        <v>0.18245</v>
      </c>
      <c r="J8" s="128">
        <f>+I8</f>
        <v>0.18245</v>
      </c>
      <c r="K8" s="116">
        <f>+H8*J8</f>
        <v>0.07180222573951502</v>
      </c>
      <c r="L8" s="104">
        <f>+G8/$G$92</f>
        <v>2.5957042957042957</v>
      </c>
      <c r="N8" s="203" t="s">
        <v>70</v>
      </c>
      <c r="O8" s="204"/>
      <c r="P8" s="205"/>
      <c r="Q8" s="186">
        <v>2</v>
      </c>
      <c r="R8" s="187">
        <v>10343.765</v>
      </c>
      <c r="S8" s="188">
        <v>0.0805</v>
      </c>
    </row>
    <row r="9" spans="1:19" ht="13.5" thickBot="1">
      <c r="A9" s="91">
        <f>ROW()</f>
        <v>9</v>
      </c>
      <c r="B9" s="7"/>
      <c r="C9" s="7" t="s">
        <v>6</v>
      </c>
      <c r="D9" s="7"/>
      <c r="E9" s="7"/>
      <c r="F9" s="232">
        <f>+G9/$G$92</f>
        <v>6.595704295704295</v>
      </c>
      <c r="G9" s="13">
        <f>+G8+G7</f>
        <v>6602300</v>
      </c>
      <c r="H9" s="14">
        <f>+G9/$G$9</f>
        <v>1</v>
      </c>
      <c r="I9" s="7"/>
      <c r="K9" s="126">
        <f>+K8+K7</f>
        <v>0.10930220041032483</v>
      </c>
      <c r="L9" s="106">
        <f>+G9/$G$92</f>
        <v>6.595704295704295</v>
      </c>
      <c r="N9" s="63"/>
      <c r="O9" s="71">
        <v>0.12</v>
      </c>
      <c r="P9" s="64"/>
      <c r="Q9" s="107">
        <v>3</v>
      </c>
      <c r="R9" s="108">
        <v>4143.902</v>
      </c>
      <c r="S9" s="109">
        <v>0.0847</v>
      </c>
    </row>
    <row r="10" spans="1:19" ht="14.25" customHeight="1" thickBot="1" thickTop="1">
      <c r="A10" s="91">
        <f>ROW()</f>
        <v>10</v>
      </c>
      <c r="B10" s="7"/>
      <c r="C10" s="7"/>
      <c r="D10" s="7"/>
      <c r="E10" s="7"/>
      <c r="F10" s="7"/>
      <c r="G10" s="60"/>
      <c r="H10" s="60"/>
      <c r="I10" s="138"/>
      <c r="K10" s="9"/>
      <c r="L10" s="9"/>
      <c r="N10" s="15"/>
      <c r="O10" s="7"/>
      <c r="P10" s="7"/>
      <c r="Q10" s="107">
        <v>4</v>
      </c>
      <c r="R10" s="108">
        <v>2177.448</v>
      </c>
      <c r="S10" s="109">
        <v>0.0875</v>
      </c>
    </row>
    <row r="11" spans="1:19" ht="41.25" customHeight="1" thickBot="1">
      <c r="A11" s="91">
        <f>ROW()</f>
        <v>11</v>
      </c>
      <c r="B11" s="7"/>
      <c r="C11" s="59" t="s">
        <v>7</v>
      </c>
      <c r="D11" s="76" t="s">
        <v>88</v>
      </c>
      <c r="E11" s="76" t="s">
        <v>89</v>
      </c>
      <c r="F11" s="76" t="s">
        <v>38</v>
      </c>
      <c r="G11" s="79" t="s">
        <v>81</v>
      </c>
      <c r="H11" s="80" t="s">
        <v>53</v>
      </c>
      <c r="I11" s="80" t="s">
        <v>90</v>
      </c>
      <c r="K11" s="101" t="s">
        <v>65</v>
      </c>
      <c r="L11" s="100">
        <f>+(G5/G7*J5)+(G6/G7*J6)</f>
        <v>0.06183468600626564</v>
      </c>
      <c r="N11" s="200" t="s">
        <v>78</v>
      </c>
      <c r="O11" s="201"/>
      <c r="P11" s="202"/>
      <c r="Q11" s="107">
        <v>5</v>
      </c>
      <c r="R11" s="108">
        <v>1327.582</v>
      </c>
      <c r="S11" s="109">
        <v>0.0903</v>
      </c>
    </row>
    <row r="12" spans="1:19" ht="13.5" thickBot="1">
      <c r="A12" s="91">
        <f>ROW()</f>
        <v>12</v>
      </c>
      <c r="B12" s="7"/>
      <c r="C12" s="9" t="s">
        <v>80</v>
      </c>
      <c r="D12" s="137"/>
      <c r="E12" s="155">
        <v>21</v>
      </c>
      <c r="F12" s="136"/>
      <c r="G12" s="36">
        <f>+E12*I12*1000</f>
        <v>4410000</v>
      </c>
      <c r="H12" s="122">
        <f>+G12/$G$16</f>
        <v>0.6679490480590098</v>
      </c>
      <c r="I12" s="144">
        <v>210</v>
      </c>
      <c r="N12" s="166" t="s">
        <v>94</v>
      </c>
      <c r="O12" s="7"/>
      <c r="P12" s="162">
        <f>+(1.49%+1.19%)/2</f>
        <v>0.013399999999999999</v>
      </c>
      <c r="Q12" s="107">
        <v>6</v>
      </c>
      <c r="R12" s="108">
        <v>840</v>
      </c>
      <c r="S12" s="109">
        <v>0.0918</v>
      </c>
    </row>
    <row r="13" spans="1:19" ht="13.5" thickBot="1">
      <c r="A13" s="91">
        <f>ROW()</f>
        <v>13</v>
      </c>
      <c r="B13" s="7"/>
      <c r="C13" s="164" t="s">
        <v>93</v>
      </c>
      <c r="D13" s="9"/>
      <c r="E13" s="9"/>
      <c r="F13" s="9"/>
      <c r="G13" s="165">
        <v>2000000</v>
      </c>
      <c r="H13" s="143">
        <f>+G13/$G$16</f>
        <v>0.30292473834875727</v>
      </c>
      <c r="N13" s="15" t="s">
        <v>92</v>
      </c>
      <c r="O13" s="7"/>
      <c r="P13" s="163">
        <v>2.1</v>
      </c>
      <c r="Q13" s="107">
        <v>7</v>
      </c>
      <c r="R13" s="108">
        <v>537.693</v>
      </c>
      <c r="S13" s="109">
        <v>0.0958</v>
      </c>
    </row>
    <row r="14" spans="1:19" ht="13.5" thickBot="1">
      <c r="A14" s="91">
        <f>ROW()</f>
        <v>14</v>
      </c>
      <c r="B14" s="7"/>
      <c r="C14" s="9" t="s">
        <v>86</v>
      </c>
      <c r="D14" s="9"/>
      <c r="E14" s="9"/>
      <c r="F14" s="141">
        <f>+G14/G74</f>
        <v>6.403596403596404</v>
      </c>
      <c r="G14" s="9">
        <f>+G12+G13</f>
        <v>6410000</v>
      </c>
      <c r="H14" s="122">
        <f>+G14/$G$16</f>
        <v>0.970873786407767</v>
      </c>
      <c r="K14" s="130" t="s">
        <v>77</v>
      </c>
      <c r="L14" s="129">
        <f>+F80</f>
        <v>0.4</v>
      </c>
      <c r="N14" s="15" t="s">
        <v>66</v>
      </c>
      <c r="O14" s="7"/>
      <c r="P14" s="11">
        <f>+S8</f>
        <v>0.0805</v>
      </c>
      <c r="Q14" s="107">
        <v>8</v>
      </c>
      <c r="R14" s="108">
        <v>333.442</v>
      </c>
      <c r="S14" s="109">
        <v>0.0991</v>
      </c>
    </row>
    <row r="15" spans="1:19" ht="12.75" customHeight="1" thickBot="1">
      <c r="A15" s="91">
        <f>ROW()</f>
        <v>15</v>
      </c>
      <c r="B15" s="7"/>
      <c r="C15" s="9" t="s">
        <v>34</v>
      </c>
      <c r="D15" s="140" t="s">
        <v>91</v>
      </c>
      <c r="E15" s="139"/>
      <c r="F15" s="134">
        <v>0.03</v>
      </c>
      <c r="G15" s="9">
        <f>+F15*G14</f>
        <v>192300</v>
      </c>
      <c r="H15" s="122">
        <f>+G15/$G$16</f>
        <v>0.02912621359223301</v>
      </c>
      <c r="N15" s="15" t="s">
        <v>67</v>
      </c>
      <c r="O15" s="7"/>
      <c r="P15" s="162">
        <v>0</v>
      </c>
      <c r="Q15" s="107">
        <v>9</v>
      </c>
      <c r="R15" s="108">
        <v>192.598</v>
      </c>
      <c r="S15" s="109">
        <v>0.1043</v>
      </c>
    </row>
    <row r="16" spans="1:19" ht="12.75" customHeight="1" thickBot="1">
      <c r="A16" s="91">
        <f>ROW()</f>
        <v>16</v>
      </c>
      <c r="B16" s="7"/>
      <c r="C16" s="135" t="s">
        <v>87</v>
      </c>
      <c r="G16" s="25">
        <f>+G15+G14</f>
        <v>6602300</v>
      </c>
      <c r="H16" s="142">
        <f>+H15+H14</f>
        <v>1</v>
      </c>
      <c r="N16" s="57" t="s">
        <v>11</v>
      </c>
      <c r="O16" s="58"/>
      <c r="P16" s="62">
        <f>+P12+(P13*P14)+P15</f>
        <v>0.18245</v>
      </c>
      <c r="Q16" s="113">
        <v>10</v>
      </c>
      <c r="R16" s="114">
        <v>84.521</v>
      </c>
      <c r="S16" s="115">
        <v>0.1105</v>
      </c>
    </row>
    <row r="17" spans="1:18" ht="12" customHeight="1" thickBot="1" thickTop="1">
      <c r="A17" s="91">
        <f>ROW()</f>
        <v>17</v>
      </c>
      <c r="B17" s="7"/>
      <c r="C17" s="37"/>
      <c r="D17" s="37"/>
      <c r="E17" s="37"/>
      <c r="F17" s="37"/>
      <c r="G17" s="37"/>
      <c r="H17" s="16"/>
      <c r="I17" s="37"/>
      <c r="J17" s="37"/>
      <c r="K17" s="37"/>
      <c r="L17" s="16"/>
      <c r="M17" s="16"/>
      <c r="N17" s="16"/>
      <c r="O17" s="16"/>
      <c r="P17" s="16"/>
      <c r="R17" s="9"/>
    </row>
    <row r="18" spans="1:20" ht="12.75" customHeight="1" thickBot="1">
      <c r="A18" s="91">
        <f>ROW()</f>
        <v>18</v>
      </c>
      <c r="C18" s="49" t="s">
        <v>56</v>
      </c>
      <c r="D18" s="49"/>
      <c r="E18" s="49"/>
      <c r="F18" s="49"/>
      <c r="G18" s="50"/>
      <c r="H18" s="50"/>
      <c r="I18" s="50"/>
      <c r="J18" s="50"/>
      <c r="K18" s="50"/>
      <c r="L18" s="50"/>
      <c r="M18" s="50"/>
      <c r="N18" s="51"/>
      <c r="O18" s="52"/>
      <c r="P18" s="50"/>
      <c r="Q18" s="50"/>
      <c r="R18" s="50"/>
      <c r="S18" s="50"/>
      <c r="T18" s="50"/>
    </row>
    <row r="19" spans="1:20" ht="15.75" customHeight="1" thickBot="1">
      <c r="A19" s="91">
        <f>ROW()</f>
        <v>19</v>
      </c>
      <c r="C19" s="17" t="s">
        <v>13</v>
      </c>
      <c r="D19" s="17"/>
      <c r="E19" s="17"/>
      <c r="F19" s="84" t="s">
        <v>50</v>
      </c>
      <c r="G19" s="85" t="s">
        <v>41</v>
      </c>
      <c r="H19" s="86">
        <f aca="true" t="shared" si="0" ref="H19:N19">+H39</f>
        <v>2001</v>
      </c>
      <c r="I19" s="86">
        <f t="shared" si="0"/>
        <v>2002</v>
      </c>
      <c r="J19" s="86">
        <f t="shared" si="0"/>
        <v>2003</v>
      </c>
      <c r="K19" s="86">
        <f t="shared" si="0"/>
        <v>2004</v>
      </c>
      <c r="L19" s="86">
        <f t="shared" si="0"/>
        <v>2005</v>
      </c>
      <c r="M19" s="86"/>
      <c r="N19" s="85">
        <f t="shared" si="0"/>
        <v>2006</v>
      </c>
      <c r="O19" s="86">
        <f aca="true" t="shared" si="1" ref="O19:T19">+N19+1</f>
        <v>2007</v>
      </c>
      <c r="P19" s="86">
        <f t="shared" si="1"/>
        <v>2008</v>
      </c>
      <c r="Q19" s="86">
        <f t="shared" si="1"/>
        <v>2009</v>
      </c>
      <c r="R19" s="86">
        <f t="shared" si="1"/>
        <v>2010</v>
      </c>
      <c r="S19" s="86">
        <f t="shared" si="1"/>
        <v>2011</v>
      </c>
      <c r="T19" s="86">
        <f t="shared" si="1"/>
        <v>2012</v>
      </c>
    </row>
    <row r="20" spans="1:20" ht="12.75" customHeight="1">
      <c r="A20" s="91">
        <f>ROW()</f>
        <v>20</v>
      </c>
      <c r="C20" t="s">
        <v>59</v>
      </c>
      <c r="G20" s="45">
        <f>+G5</f>
        <v>2752750</v>
      </c>
      <c r="H20" s="19">
        <f aca="true" t="shared" si="2" ref="H20:T20">+G20-H21</f>
        <v>2752750</v>
      </c>
      <c r="I20" s="19">
        <f t="shared" si="2"/>
        <v>2725222.5</v>
      </c>
      <c r="J20" s="19">
        <f t="shared" si="2"/>
        <v>2697695</v>
      </c>
      <c r="K20" s="19">
        <f t="shared" si="2"/>
        <v>2642640</v>
      </c>
      <c r="L20" s="19">
        <f t="shared" si="2"/>
        <v>2505002.5</v>
      </c>
      <c r="M20" s="19"/>
      <c r="N20" s="20">
        <f>+L20-N21</f>
        <v>2229727.5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</row>
    <row r="21" spans="1:20" ht="12.75">
      <c r="A21" s="91">
        <f>ROW()</f>
        <v>21</v>
      </c>
      <c r="C21" t="s">
        <v>61</v>
      </c>
      <c r="G21" s="47" t="s">
        <v>35</v>
      </c>
      <c r="H21" s="43">
        <v>0</v>
      </c>
      <c r="I21" s="185">
        <f>+G20*0.01</f>
        <v>27527.5</v>
      </c>
      <c r="J21" s="185">
        <f>+G20*0.01</f>
        <v>27527.5</v>
      </c>
      <c r="K21" s="185">
        <f>+G20*0.02</f>
        <v>55055</v>
      </c>
      <c r="L21" s="185">
        <f>+G20*0.05</f>
        <v>137637.5</v>
      </c>
      <c r="M21" s="185"/>
      <c r="N21" s="156">
        <f>+G20*0.1</f>
        <v>275275</v>
      </c>
      <c r="O21" s="185">
        <f aca="true" t="shared" si="3" ref="O21:T21">+N20</f>
        <v>2229727.5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19">
        <f t="shared" si="3"/>
        <v>0</v>
      </c>
      <c r="T21" s="19">
        <f t="shared" si="3"/>
        <v>0</v>
      </c>
    </row>
    <row r="22" spans="1:20" ht="12.75">
      <c r="A22" s="91">
        <f>ROW()</f>
        <v>22</v>
      </c>
      <c r="C22" t="s">
        <v>60</v>
      </c>
      <c r="G22" s="46">
        <f>+I5</f>
        <v>0.09535681456064404</v>
      </c>
      <c r="H22" s="19">
        <f>+G20*(H25+$O$6)</f>
        <v>233983.74999999997</v>
      </c>
      <c r="I22" s="19">
        <f>+H20*(I25+$O$6)</f>
        <v>247747.5</v>
      </c>
      <c r="J22" s="19">
        <f>+I20*(J25+$O$6)</f>
        <v>272522.25</v>
      </c>
      <c r="K22" s="19">
        <f>+J20*(K25+$O$6)</f>
        <v>269769.5</v>
      </c>
      <c r="L22" s="19">
        <f>+K20*(L25+$O$6)</f>
        <v>264264</v>
      </c>
      <c r="M22" s="19"/>
      <c r="N22" s="20">
        <f>+L20*(N25+$O$6)</f>
        <v>250500.24999999997</v>
      </c>
      <c r="O22" s="19">
        <f aca="true" t="shared" si="4" ref="O22:T22">+N20*(O25+$O$6)</f>
        <v>222972.74999999997</v>
      </c>
      <c r="P22" s="19">
        <f t="shared" si="4"/>
        <v>0</v>
      </c>
      <c r="Q22" s="19">
        <f t="shared" si="4"/>
        <v>0</v>
      </c>
      <c r="R22" s="19">
        <f t="shared" si="4"/>
        <v>0</v>
      </c>
      <c r="S22" s="19">
        <f t="shared" si="4"/>
        <v>0</v>
      </c>
      <c r="T22" s="19">
        <f t="shared" si="4"/>
        <v>0</v>
      </c>
    </row>
    <row r="23" spans="1:20" ht="13.5" thickBot="1">
      <c r="A23" s="91">
        <f>ROW()</f>
        <v>23</v>
      </c>
      <c r="C23" t="s">
        <v>15</v>
      </c>
      <c r="F23" s="119">
        <f>IRR(G23:Q23)</f>
        <v>0.09535681456064404</v>
      </c>
      <c r="G23" s="24">
        <f>-G20</f>
        <v>-2752750</v>
      </c>
      <c r="H23" s="13">
        <f aca="true" t="shared" si="5" ref="H23:T23">+H21+H22</f>
        <v>233983.74999999997</v>
      </c>
      <c r="I23" s="13">
        <f t="shared" si="5"/>
        <v>275275</v>
      </c>
      <c r="J23" s="13">
        <f t="shared" si="5"/>
        <v>300049.75</v>
      </c>
      <c r="K23" s="13">
        <f t="shared" si="5"/>
        <v>324824.5</v>
      </c>
      <c r="L23" s="13">
        <f t="shared" si="5"/>
        <v>401901.5</v>
      </c>
      <c r="M23" s="13"/>
      <c r="N23" s="21">
        <f t="shared" si="5"/>
        <v>525775.25</v>
      </c>
      <c r="O23" s="13">
        <f t="shared" si="5"/>
        <v>2452700.25</v>
      </c>
      <c r="P23" s="13">
        <f t="shared" si="5"/>
        <v>0</v>
      </c>
      <c r="Q23" s="13">
        <f t="shared" si="5"/>
        <v>0</v>
      </c>
      <c r="R23" s="13">
        <f t="shared" si="5"/>
        <v>0</v>
      </c>
      <c r="S23" s="13">
        <f t="shared" si="5"/>
        <v>0</v>
      </c>
      <c r="T23" s="13">
        <f t="shared" si="5"/>
        <v>0</v>
      </c>
    </row>
    <row r="24" spans="1:20" ht="13.5" thickTop="1">
      <c r="A24" s="91">
        <f>ROW()</f>
        <v>24</v>
      </c>
      <c r="C24" t="s">
        <v>79</v>
      </c>
      <c r="F24" s="119"/>
      <c r="G24" s="23"/>
      <c r="H24" s="83">
        <f>+$O$6+H25</f>
        <v>0.08499999999999999</v>
      </c>
      <c r="I24" s="83">
        <f>+$O$6+I25</f>
        <v>0.09</v>
      </c>
      <c r="J24" s="83">
        <f>+$O$6+J25</f>
        <v>0.09999999999999999</v>
      </c>
      <c r="K24" s="83">
        <f>+$O$6+K25</f>
        <v>0.09999999999999999</v>
      </c>
      <c r="L24" s="83">
        <f>+$O$6+L25</f>
        <v>0.09999999999999999</v>
      </c>
      <c r="M24" s="9"/>
      <c r="N24" s="82">
        <f aca="true" t="shared" si="6" ref="N24:T24">+$O$6+N25</f>
        <v>0.09999999999999999</v>
      </c>
      <c r="O24" s="83">
        <f t="shared" si="6"/>
        <v>0.09999999999999999</v>
      </c>
      <c r="P24" s="83">
        <f t="shared" si="6"/>
        <v>0.09999999999999999</v>
      </c>
      <c r="Q24" s="83">
        <f t="shared" si="6"/>
        <v>0.09999999999999999</v>
      </c>
      <c r="R24" s="83">
        <f t="shared" si="6"/>
        <v>0.09999999999999999</v>
      </c>
      <c r="S24" s="83">
        <f t="shared" si="6"/>
        <v>0.09999999999999999</v>
      </c>
      <c r="T24" s="83">
        <f t="shared" si="6"/>
        <v>0.09999999999999999</v>
      </c>
    </row>
    <row r="25" spans="1:20" ht="12.75">
      <c r="A25" s="91">
        <f>ROW()</f>
        <v>25</v>
      </c>
      <c r="C25" s="17" t="s">
        <v>57</v>
      </c>
      <c r="D25" s="17"/>
      <c r="E25" s="17"/>
      <c r="F25" s="120"/>
      <c r="G25" s="82">
        <f>+N6</f>
        <v>0.045</v>
      </c>
      <c r="H25" s="83">
        <f aca="true" t="shared" si="7" ref="H25:S25">+G25+H26</f>
        <v>0.049999999999999996</v>
      </c>
      <c r="I25" s="83">
        <f t="shared" si="7"/>
        <v>0.05499999999999999</v>
      </c>
      <c r="J25" s="83">
        <f t="shared" si="7"/>
        <v>0.06499999999999999</v>
      </c>
      <c r="K25" s="83">
        <f t="shared" si="7"/>
        <v>0.06499999999999999</v>
      </c>
      <c r="L25" s="83">
        <f t="shared" si="7"/>
        <v>0.06499999999999999</v>
      </c>
      <c r="M25" s="83"/>
      <c r="N25" s="82">
        <f>+L25+N26</f>
        <v>0.06499999999999999</v>
      </c>
      <c r="O25" s="83">
        <f t="shared" si="7"/>
        <v>0.06499999999999999</v>
      </c>
      <c r="P25" s="83">
        <f t="shared" si="7"/>
        <v>0.06499999999999999</v>
      </c>
      <c r="Q25" s="83">
        <f t="shared" si="7"/>
        <v>0.06499999999999999</v>
      </c>
      <c r="R25" s="83">
        <f t="shared" si="7"/>
        <v>0.06499999999999999</v>
      </c>
      <c r="S25" s="83">
        <f t="shared" si="7"/>
        <v>0.06499999999999999</v>
      </c>
      <c r="T25" s="83">
        <f>+S25+T26</f>
        <v>0.06499999999999999</v>
      </c>
    </row>
    <row r="26" spans="1:20" ht="12.75">
      <c r="A26" s="91">
        <f>ROW()</f>
        <v>26</v>
      </c>
      <c r="C26" s="81" t="s">
        <v>72</v>
      </c>
      <c r="D26" s="81"/>
      <c r="E26" s="81"/>
      <c r="F26" s="120"/>
      <c r="G26" s="82"/>
      <c r="H26" s="158">
        <v>0.005</v>
      </c>
      <c r="I26" s="158">
        <v>0.005</v>
      </c>
      <c r="J26" s="158">
        <v>0.01</v>
      </c>
      <c r="K26" s="158">
        <v>0</v>
      </c>
      <c r="L26" s="83">
        <v>0</v>
      </c>
      <c r="M26" s="83"/>
      <c r="N26" s="82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</row>
    <row r="27" spans="1:14" ht="8.25" customHeight="1">
      <c r="A27" s="91">
        <f>ROW()</f>
        <v>27</v>
      </c>
      <c r="F27" s="119"/>
      <c r="G27" s="22"/>
      <c r="N27" s="22"/>
    </row>
    <row r="28" spans="1:14" ht="12.75">
      <c r="A28" s="91">
        <f>ROW()</f>
        <v>28</v>
      </c>
      <c r="C28" s="17" t="s">
        <v>16</v>
      </c>
      <c r="D28" s="17"/>
      <c r="E28" s="17"/>
      <c r="F28" s="121"/>
      <c r="G28" s="22"/>
      <c r="N28" s="22"/>
    </row>
    <row r="29" spans="1:20" ht="12.75">
      <c r="A29" s="91">
        <f>ROW()</f>
        <v>29</v>
      </c>
      <c r="C29" t="s">
        <v>14</v>
      </c>
      <c r="F29" s="119"/>
      <c r="G29" s="45">
        <f>+G6</f>
        <v>1251250</v>
      </c>
      <c r="H29" s="19">
        <f aca="true" t="shared" si="8" ref="H29:R29">+G29-H30</f>
        <v>1251250</v>
      </c>
      <c r="I29" s="19">
        <f t="shared" si="8"/>
        <v>1251250</v>
      </c>
      <c r="J29" s="19">
        <f t="shared" si="8"/>
        <v>1251250</v>
      </c>
      <c r="K29" s="19">
        <f t="shared" si="8"/>
        <v>1251250</v>
      </c>
      <c r="L29" s="19">
        <f t="shared" si="8"/>
        <v>1251250</v>
      </c>
      <c r="M29" s="19"/>
      <c r="N29" s="20">
        <f>+L29-N30</f>
        <v>1251250</v>
      </c>
      <c r="O29" s="19">
        <f t="shared" si="8"/>
        <v>1251250</v>
      </c>
      <c r="P29" s="19">
        <f t="shared" si="8"/>
        <v>1251250</v>
      </c>
      <c r="Q29" s="19">
        <f t="shared" si="8"/>
        <v>1251250</v>
      </c>
      <c r="R29" s="19">
        <f t="shared" si="8"/>
        <v>0</v>
      </c>
      <c r="S29" s="19"/>
      <c r="T29" s="19"/>
    </row>
    <row r="30" spans="1:20" ht="12.75">
      <c r="A30" s="91">
        <f>ROW()</f>
        <v>30</v>
      </c>
      <c r="C30" t="s">
        <v>61</v>
      </c>
      <c r="F30" s="119"/>
      <c r="G30" s="47" t="s">
        <v>36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/>
      <c r="N30" s="44">
        <v>0</v>
      </c>
      <c r="O30" s="43">
        <v>0</v>
      </c>
      <c r="P30" s="43">
        <v>0</v>
      </c>
      <c r="Q30" s="43">
        <v>0</v>
      </c>
      <c r="R30" s="43">
        <f>+Q29</f>
        <v>1251250</v>
      </c>
      <c r="S30" s="43"/>
      <c r="T30" s="43"/>
    </row>
    <row r="31" spans="1:20" ht="12.75">
      <c r="A31" s="91">
        <f>ROW()</f>
        <v>31</v>
      </c>
      <c r="C31" t="s">
        <v>60</v>
      </c>
      <c r="F31" s="119"/>
      <c r="G31" s="48">
        <f>+O9</f>
        <v>0.12</v>
      </c>
      <c r="H31" s="19">
        <f aca="true" t="shared" si="9" ref="H31:T31">+G29*$G$31</f>
        <v>150150</v>
      </c>
      <c r="I31" s="19">
        <f t="shared" si="9"/>
        <v>150150</v>
      </c>
      <c r="J31" s="19">
        <f t="shared" si="9"/>
        <v>150150</v>
      </c>
      <c r="K31" s="19">
        <f t="shared" si="9"/>
        <v>150150</v>
      </c>
      <c r="L31" s="19">
        <f>+K29*$G$31</f>
        <v>150150</v>
      </c>
      <c r="M31" s="19"/>
      <c r="N31" s="20">
        <f>+L29*$G$31</f>
        <v>150150</v>
      </c>
      <c r="O31" s="19">
        <f t="shared" si="9"/>
        <v>150150</v>
      </c>
      <c r="P31" s="19">
        <f t="shared" si="9"/>
        <v>150150</v>
      </c>
      <c r="Q31" s="19">
        <f t="shared" si="9"/>
        <v>150150</v>
      </c>
      <c r="R31" s="19">
        <f t="shared" si="9"/>
        <v>150150</v>
      </c>
      <c r="S31" s="19">
        <f t="shared" si="9"/>
        <v>0</v>
      </c>
      <c r="T31" s="19">
        <f t="shared" si="9"/>
        <v>0</v>
      </c>
    </row>
    <row r="32" spans="1:20" ht="13.5" thickBot="1">
      <c r="A32" s="91">
        <f>ROW()</f>
        <v>32</v>
      </c>
      <c r="C32" t="s">
        <v>15</v>
      </c>
      <c r="F32" s="119">
        <f>IRR(G32:T32)</f>
        <v>0.11999999999999988</v>
      </c>
      <c r="G32" s="24">
        <f>-G29</f>
        <v>-1251250</v>
      </c>
      <c r="H32" s="13">
        <f aca="true" t="shared" si="10" ref="H32:T32">+H30+H31</f>
        <v>150150</v>
      </c>
      <c r="I32" s="13">
        <f t="shared" si="10"/>
        <v>150150</v>
      </c>
      <c r="J32" s="13">
        <f t="shared" si="10"/>
        <v>150150</v>
      </c>
      <c r="K32" s="13">
        <f t="shared" si="10"/>
        <v>150150</v>
      </c>
      <c r="L32" s="13">
        <f t="shared" si="10"/>
        <v>150150</v>
      </c>
      <c r="M32" s="13"/>
      <c r="N32" s="21">
        <f t="shared" si="10"/>
        <v>150150</v>
      </c>
      <c r="O32" s="13">
        <f t="shared" si="10"/>
        <v>150150</v>
      </c>
      <c r="P32" s="13">
        <f t="shared" si="10"/>
        <v>150150</v>
      </c>
      <c r="Q32" s="13">
        <f t="shared" si="10"/>
        <v>150150</v>
      </c>
      <c r="R32" s="13">
        <f t="shared" si="10"/>
        <v>1401400</v>
      </c>
      <c r="S32" s="13">
        <f t="shared" si="10"/>
        <v>0</v>
      </c>
      <c r="T32" s="13">
        <f t="shared" si="10"/>
        <v>0</v>
      </c>
    </row>
    <row r="33" spans="1:17" ht="9.75" customHeight="1" thickTop="1">
      <c r="A33" s="91">
        <f>ROW()</f>
        <v>33</v>
      </c>
      <c r="G33" s="22"/>
      <c r="H33" s="9"/>
      <c r="I33" s="9"/>
      <c r="J33" s="9"/>
      <c r="K33" s="9"/>
      <c r="L33" s="9"/>
      <c r="M33" s="9"/>
      <c r="N33" s="20"/>
      <c r="O33" s="9"/>
      <c r="P33" s="9"/>
      <c r="Q33" s="9"/>
    </row>
    <row r="34" spans="1:20" ht="12.75">
      <c r="A34" s="91">
        <f>ROW()</f>
        <v>34</v>
      </c>
      <c r="C34" t="s">
        <v>17</v>
      </c>
      <c r="G34" s="22"/>
      <c r="H34" s="9">
        <f aca="true" t="shared" si="11" ref="H34:T34">+H30+H31+H21+H22</f>
        <v>384133.75</v>
      </c>
      <c r="I34" s="9">
        <f t="shared" si="11"/>
        <v>425425</v>
      </c>
      <c r="J34" s="9">
        <f t="shared" si="11"/>
        <v>450199.75</v>
      </c>
      <c r="K34" s="9">
        <f t="shared" si="11"/>
        <v>474974.5</v>
      </c>
      <c r="L34" s="9">
        <f t="shared" si="11"/>
        <v>552051.5</v>
      </c>
      <c r="M34" s="9"/>
      <c r="N34" s="20">
        <f t="shared" si="11"/>
        <v>675925.25</v>
      </c>
      <c r="O34" s="9">
        <f t="shared" si="11"/>
        <v>2602850.25</v>
      </c>
      <c r="P34" s="9">
        <f t="shared" si="11"/>
        <v>150150</v>
      </c>
      <c r="Q34" s="9">
        <f t="shared" si="11"/>
        <v>150150</v>
      </c>
      <c r="R34" s="9">
        <f t="shared" si="11"/>
        <v>1401400</v>
      </c>
      <c r="S34" s="9">
        <f t="shared" si="11"/>
        <v>0</v>
      </c>
      <c r="T34" s="9">
        <f t="shared" si="11"/>
        <v>0</v>
      </c>
    </row>
    <row r="35" spans="1:20" ht="13.5" thickBot="1">
      <c r="A35" s="91">
        <f>ROW()</f>
        <v>35</v>
      </c>
      <c r="C35" t="s">
        <v>18</v>
      </c>
      <c r="G35" s="169">
        <f>+G29+G20</f>
        <v>4004000</v>
      </c>
      <c r="H35" s="9">
        <f aca="true" t="shared" si="12" ref="H35:T35">+H29+H20</f>
        <v>4004000</v>
      </c>
      <c r="I35" s="9">
        <f t="shared" si="12"/>
        <v>3976472.5</v>
      </c>
      <c r="J35" s="9">
        <f t="shared" si="12"/>
        <v>3948945</v>
      </c>
      <c r="K35" s="9">
        <f t="shared" si="12"/>
        <v>3893890</v>
      </c>
      <c r="L35" s="9">
        <f t="shared" si="12"/>
        <v>3756252.5</v>
      </c>
      <c r="M35" s="9"/>
      <c r="N35" s="123">
        <f t="shared" si="12"/>
        <v>3480977.5</v>
      </c>
      <c r="O35" s="9">
        <f t="shared" si="12"/>
        <v>1251250</v>
      </c>
      <c r="P35" s="9">
        <f t="shared" si="12"/>
        <v>1251250</v>
      </c>
      <c r="Q35" s="9">
        <f t="shared" si="12"/>
        <v>1251250</v>
      </c>
      <c r="R35" s="9">
        <f t="shared" si="12"/>
        <v>0</v>
      </c>
      <c r="S35" s="9">
        <f t="shared" si="12"/>
        <v>0</v>
      </c>
      <c r="T35" s="9">
        <f t="shared" si="12"/>
        <v>0</v>
      </c>
    </row>
    <row r="36" spans="1:17" ht="12" customHeight="1" thickBot="1">
      <c r="A36" s="91">
        <f>ROW()</f>
        <v>36</v>
      </c>
      <c r="C36" s="16"/>
      <c r="D36" s="16"/>
      <c r="E36" s="16"/>
      <c r="F36" s="16"/>
      <c r="G36" s="16"/>
      <c r="H36" s="37"/>
      <c r="I36" s="37"/>
      <c r="J36" s="37"/>
      <c r="K36" s="37"/>
      <c r="L36" s="37"/>
      <c r="M36" s="37"/>
      <c r="N36" s="38"/>
      <c r="O36" s="37"/>
      <c r="P36" s="16"/>
      <c r="Q36" s="16"/>
    </row>
    <row r="37" spans="1:20" ht="15" customHeight="1" thickBot="1">
      <c r="A37" s="91">
        <f>ROW()</f>
        <v>37</v>
      </c>
      <c r="C37" s="49" t="s">
        <v>63</v>
      </c>
      <c r="D37" s="49"/>
      <c r="E37" s="49"/>
      <c r="F37" s="49"/>
      <c r="G37" s="50"/>
      <c r="H37" s="50"/>
      <c r="I37" s="50"/>
      <c r="J37" s="50"/>
      <c r="K37" s="50"/>
      <c r="L37" s="50"/>
      <c r="M37" s="50"/>
      <c r="N37" s="51"/>
      <c r="O37" s="52"/>
      <c r="P37" s="50"/>
      <c r="Q37" s="50"/>
      <c r="R37" s="50"/>
      <c r="S37" s="50"/>
      <c r="T37" s="50"/>
    </row>
    <row r="38" spans="1:14" ht="16.5" customHeight="1">
      <c r="A38" s="91">
        <f>ROW()</f>
        <v>38</v>
      </c>
      <c r="C38" s="1" t="s">
        <v>37</v>
      </c>
      <c r="D38" s="1"/>
      <c r="E38" s="178" t="s">
        <v>111</v>
      </c>
      <c r="F38" s="175" t="s">
        <v>112</v>
      </c>
      <c r="G38" s="87" t="s">
        <v>158</v>
      </c>
      <c r="H38" s="88" t="s">
        <v>19</v>
      </c>
      <c r="I38" s="88" t="s">
        <v>20</v>
      </c>
      <c r="J38" s="88" t="s">
        <v>21</v>
      </c>
      <c r="K38" s="88" t="s">
        <v>22</v>
      </c>
      <c r="L38" s="88" t="s">
        <v>23</v>
      </c>
      <c r="M38" s="88"/>
      <c r="N38" s="87" t="s">
        <v>12</v>
      </c>
    </row>
    <row r="39" spans="1:20" ht="13.5" thickBot="1">
      <c r="A39" s="91">
        <f>ROW()</f>
        <v>39</v>
      </c>
      <c r="E39" s="179" t="s">
        <v>113</v>
      </c>
      <c r="F39" s="176" t="s">
        <v>113</v>
      </c>
      <c r="G39" s="92">
        <v>2000</v>
      </c>
      <c r="H39" s="90">
        <f>+G39+1</f>
        <v>2001</v>
      </c>
      <c r="I39" s="90">
        <f aca="true" t="shared" si="13" ref="I39:P39">+H39+1</f>
        <v>2002</v>
      </c>
      <c r="J39" s="90">
        <f t="shared" si="13"/>
        <v>2003</v>
      </c>
      <c r="K39" s="90">
        <f t="shared" si="13"/>
        <v>2004</v>
      </c>
      <c r="L39" s="90">
        <f>+K39+1</f>
        <v>2005</v>
      </c>
      <c r="M39" s="90"/>
      <c r="N39" s="89">
        <f>+L39+1</f>
        <v>2006</v>
      </c>
      <c r="O39" s="90">
        <f t="shared" si="13"/>
        <v>2007</v>
      </c>
      <c r="P39" s="90">
        <f t="shared" si="13"/>
        <v>2008</v>
      </c>
      <c r="Q39" s="90">
        <f>+P39+1</f>
        <v>2009</v>
      </c>
      <c r="R39" s="90">
        <f>+Q39+1</f>
        <v>2010</v>
      </c>
      <c r="S39" s="90">
        <f>+R39+1</f>
        <v>2011</v>
      </c>
      <c r="T39" s="90">
        <f>+S39+1</f>
        <v>2012</v>
      </c>
    </row>
    <row r="40" spans="1:20" ht="12.75">
      <c r="A40" s="91"/>
      <c r="B40" s="209" t="s">
        <v>176</v>
      </c>
      <c r="E40" s="207"/>
      <c r="F40" s="208"/>
      <c r="G40" s="210"/>
      <c r="H40" s="211"/>
      <c r="I40" s="211"/>
      <c r="J40" s="211"/>
      <c r="K40" s="211"/>
      <c r="L40" s="211"/>
      <c r="M40" s="211"/>
      <c r="N40" s="212"/>
      <c r="O40" s="211"/>
      <c r="P40" s="211"/>
      <c r="Q40" s="211"/>
      <c r="R40" s="211"/>
      <c r="S40" s="211"/>
      <c r="T40" s="211"/>
    </row>
    <row r="41" spans="1:20" ht="12.75">
      <c r="A41" s="91">
        <f>ROW()</f>
        <v>41</v>
      </c>
      <c r="C41" t="s">
        <v>159</v>
      </c>
      <c r="E41" s="207"/>
      <c r="F41" s="208"/>
      <c r="G41" s="210"/>
      <c r="H41" s="211"/>
      <c r="I41" s="211"/>
      <c r="J41" s="211"/>
      <c r="K41" s="211"/>
      <c r="L41" s="211"/>
      <c r="M41" s="211"/>
      <c r="N41" s="212"/>
      <c r="O41" s="211"/>
      <c r="P41" s="211"/>
      <c r="Q41" s="211"/>
      <c r="R41" s="211"/>
      <c r="S41" s="211"/>
      <c r="T41" s="211"/>
    </row>
    <row r="42" spans="1:20" ht="12.75">
      <c r="A42" s="91">
        <f>ROW()</f>
        <v>42</v>
      </c>
      <c r="C42" t="s">
        <v>160</v>
      </c>
      <c r="E42" s="207"/>
      <c r="F42" s="217">
        <v>0.06</v>
      </c>
      <c r="G42" s="210">
        <v>997000</v>
      </c>
      <c r="H42" s="211">
        <f>+G42*(1+$F42)</f>
        <v>1056820</v>
      </c>
      <c r="I42" s="211">
        <f>+H42*(1+$F42)</f>
        <v>1120229.2</v>
      </c>
      <c r="J42" s="211">
        <f>+I42*(1+$F42)</f>
        <v>1187442.952</v>
      </c>
      <c r="K42" s="211">
        <f>+J42*(1+$F42)</f>
        <v>1258689.52912</v>
      </c>
      <c r="L42" s="211">
        <f>+K42*(1+$F42)</f>
        <v>1334210.9008672002</v>
      </c>
      <c r="M42" s="211"/>
      <c r="N42" s="212">
        <f>+L42*(1+$F42)</f>
        <v>1414263.5549192324</v>
      </c>
      <c r="O42" s="211">
        <f aca="true" t="shared" si="14" ref="O42:T42">+N42*(1+$F42)</f>
        <v>1499119.3682143865</v>
      </c>
      <c r="P42" s="211">
        <f t="shared" si="14"/>
        <v>1589066.5303072499</v>
      </c>
      <c r="Q42" s="211">
        <f t="shared" si="14"/>
        <v>1684410.522125685</v>
      </c>
      <c r="R42" s="211">
        <f t="shared" si="14"/>
        <v>1785475.153453226</v>
      </c>
      <c r="S42" s="211">
        <f t="shared" si="14"/>
        <v>1892603.6626604197</v>
      </c>
      <c r="T42" s="211">
        <f t="shared" si="14"/>
        <v>2006159.882420045</v>
      </c>
    </row>
    <row r="43" spans="1:20" ht="12.75">
      <c r="A43" s="91">
        <f>ROW()</f>
        <v>43</v>
      </c>
      <c r="C43" t="s">
        <v>162</v>
      </c>
      <c r="E43" s="207"/>
      <c r="F43" s="217">
        <v>0.06</v>
      </c>
      <c r="G43" s="210">
        <v>571000</v>
      </c>
      <c r="H43" s="211">
        <f aca="true" t="shared" si="15" ref="H43:L47">+G43*(1+$F43)</f>
        <v>605260</v>
      </c>
      <c r="I43" s="211">
        <f t="shared" si="15"/>
        <v>641575.6</v>
      </c>
      <c r="J43" s="211">
        <f t="shared" si="15"/>
        <v>680070.136</v>
      </c>
      <c r="K43" s="211">
        <f t="shared" si="15"/>
        <v>720874.3441600001</v>
      </c>
      <c r="L43" s="211">
        <f t="shared" si="15"/>
        <v>764126.8048096001</v>
      </c>
      <c r="M43" s="211"/>
      <c r="N43" s="212">
        <f aca="true" t="shared" si="16" ref="N43:N55">+L43*(1+$F43)</f>
        <v>809974.4130981761</v>
      </c>
      <c r="O43" s="211">
        <f aca="true" t="shared" si="17" ref="O43:T43">+N43*(1+$F43)</f>
        <v>858572.8778840668</v>
      </c>
      <c r="P43" s="211">
        <f t="shared" si="17"/>
        <v>910087.2505571109</v>
      </c>
      <c r="Q43" s="211">
        <f t="shared" si="17"/>
        <v>964692.4855905375</v>
      </c>
      <c r="R43" s="211">
        <f t="shared" si="17"/>
        <v>1022574.0347259699</v>
      </c>
      <c r="S43" s="211">
        <f t="shared" si="17"/>
        <v>1083928.4768095282</v>
      </c>
      <c r="T43" s="211">
        <f t="shared" si="17"/>
        <v>1148964.1854180999</v>
      </c>
    </row>
    <row r="44" spans="1:20" ht="12.75">
      <c r="A44" s="91">
        <f>ROW()</f>
        <v>44</v>
      </c>
      <c r="C44" t="s">
        <v>163</v>
      </c>
      <c r="E44" s="207"/>
      <c r="F44" s="217">
        <v>0.04</v>
      </c>
      <c r="G44" s="210">
        <v>351000</v>
      </c>
      <c r="H44" s="211">
        <f t="shared" si="15"/>
        <v>365040</v>
      </c>
      <c r="I44" s="211">
        <f t="shared" si="15"/>
        <v>379641.60000000003</v>
      </c>
      <c r="J44" s="211">
        <f t="shared" si="15"/>
        <v>394827.264</v>
      </c>
      <c r="K44" s="211">
        <f t="shared" si="15"/>
        <v>410620.35456000007</v>
      </c>
      <c r="L44" s="211">
        <f t="shared" si="15"/>
        <v>427045.16874240007</v>
      </c>
      <c r="M44" s="211"/>
      <c r="N44" s="212">
        <f t="shared" si="16"/>
        <v>444126.9754920961</v>
      </c>
      <c r="O44" s="211">
        <f aca="true" t="shared" si="18" ref="O44:T44">+N44*(1+$F44)</f>
        <v>461892.05451178</v>
      </c>
      <c r="P44" s="211">
        <f t="shared" si="18"/>
        <v>480367.7366922512</v>
      </c>
      <c r="Q44" s="211">
        <f t="shared" si="18"/>
        <v>499582.44615994126</v>
      </c>
      <c r="R44" s="211">
        <f t="shared" si="18"/>
        <v>519565.74400633894</v>
      </c>
      <c r="S44" s="211">
        <f t="shared" si="18"/>
        <v>540348.3737665925</v>
      </c>
      <c r="T44" s="211">
        <f t="shared" si="18"/>
        <v>561962.3087172562</v>
      </c>
    </row>
    <row r="45" spans="1:20" ht="12.75">
      <c r="A45" s="91">
        <f>ROW()</f>
        <v>45</v>
      </c>
      <c r="C45" t="s">
        <v>164</v>
      </c>
      <c r="E45" s="207"/>
      <c r="F45" s="217">
        <v>0.05</v>
      </c>
      <c r="G45" s="210">
        <v>183000</v>
      </c>
      <c r="H45" s="211">
        <f t="shared" si="15"/>
        <v>192150</v>
      </c>
      <c r="I45" s="211">
        <f t="shared" si="15"/>
        <v>201757.5</v>
      </c>
      <c r="J45" s="211">
        <f t="shared" si="15"/>
        <v>211845.375</v>
      </c>
      <c r="K45" s="211">
        <f t="shared" si="15"/>
        <v>222437.64375000002</v>
      </c>
      <c r="L45" s="211">
        <f t="shared" si="15"/>
        <v>233559.52593750003</v>
      </c>
      <c r="M45" s="211"/>
      <c r="N45" s="212">
        <f t="shared" si="16"/>
        <v>245237.50223437505</v>
      </c>
      <c r="O45" s="211">
        <f aca="true" t="shared" si="19" ref="O45:T45">+N45*(1+$F45)</f>
        <v>257499.3773460938</v>
      </c>
      <c r="P45" s="211">
        <f t="shared" si="19"/>
        <v>270374.3462133985</v>
      </c>
      <c r="Q45" s="211">
        <f t="shared" si="19"/>
        <v>283893.06352406845</v>
      </c>
      <c r="R45" s="211">
        <f t="shared" si="19"/>
        <v>298087.7167002719</v>
      </c>
      <c r="S45" s="211">
        <f t="shared" si="19"/>
        <v>312992.10253528546</v>
      </c>
      <c r="T45" s="211">
        <f t="shared" si="19"/>
        <v>328641.70766204974</v>
      </c>
    </row>
    <row r="46" spans="1:20" ht="12.75">
      <c r="A46" s="91">
        <f>ROW()</f>
        <v>46</v>
      </c>
      <c r="C46" t="s">
        <v>165</v>
      </c>
      <c r="E46" s="207"/>
      <c r="F46" s="217">
        <v>0.02</v>
      </c>
      <c r="G46" s="210">
        <v>50000</v>
      </c>
      <c r="H46" s="211">
        <f t="shared" si="15"/>
        <v>51000</v>
      </c>
      <c r="I46" s="211">
        <f t="shared" si="15"/>
        <v>52020</v>
      </c>
      <c r="J46" s="211">
        <f t="shared" si="15"/>
        <v>53060.4</v>
      </c>
      <c r="K46" s="211">
        <f t="shared" si="15"/>
        <v>54121.608</v>
      </c>
      <c r="L46" s="211">
        <f t="shared" si="15"/>
        <v>55204.040160000004</v>
      </c>
      <c r="M46" s="211"/>
      <c r="N46" s="212">
        <f t="shared" si="16"/>
        <v>56308.1209632</v>
      </c>
      <c r="O46" s="211">
        <f aca="true" t="shared" si="20" ref="O46:T46">+N46*(1+$F46)</f>
        <v>57434.283382464004</v>
      </c>
      <c r="P46" s="211">
        <f t="shared" si="20"/>
        <v>58582.969050113286</v>
      </c>
      <c r="Q46" s="211">
        <f t="shared" si="20"/>
        <v>59754.628431115554</v>
      </c>
      <c r="R46" s="211">
        <f t="shared" si="20"/>
        <v>60949.72099973787</v>
      </c>
      <c r="S46" s="211">
        <f t="shared" si="20"/>
        <v>62168.71541973262</v>
      </c>
      <c r="T46" s="211">
        <f t="shared" si="20"/>
        <v>63412.08972812728</v>
      </c>
    </row>
    <row r="47" spans="1:20" ht="12.75">
      <c r="A47" s="91">
        <f>ROW()</f>
        <v>47</v>
      </c>
      <c r="C47" t="s">
        <v>166</v>
      </c>
      <c r="E47" s="207"/>
      <c r="F47" s="217">
        <v>0.01</v>
      </c>
      <c r="G47" s="210">
        <v>239000</v>
      </c>
      <c r="H47" s="211">
        <f t="shared" si="15"/>
        <v>241390</v>
      </c>
      <c r="I47" s="211">
        <f t="shared" si="15"/>
        <v>243803.9</v>
      </c>
      <c r="J47" s="211">
        <f t="shared" si="15"/>
        <v>246241.93899999998</v>
      </c>
      <c r="K47" s="211">
        <f t="shared" si="15"/>
        <v>248704.35838999998</v>
      </c>
      <c r="L47" s="211">
        <f t="shared" si="15"/>
        <v>251191.40197389998</v>
      </c>
      <c r="M47" s="211"/>
      <c r="N47" s="212">
        <f t="shared" si="16"/>
        <v>253703.31599363897</v>
      </c>
      <c r="O47" s="211">
        <f aca="true" t="shared" si="21" ref="O47:T47">+N47*(1+$F47)</f>
        <v>256240.34915357537</v>
      </c>
      <c r="P47" s="211">
        <f t="shared" si="21"/>
        <v>258802.75264511112</v>
      </c>
      <c r="Q47" s="211">
        <f t="shared" si="21"/>
        <v>261390.78017156222</v>
      </c>
      <c r="R47" s="211">
        <f t="shared" si="21"/>
        <v>264004.6879732778</v>
      </c>
      <c r="S47" s="211">
        <f t="shared" si="21"/>
        <v>266644.7348530106</v>
      </c>
      <c r="T47" s="211">
        <f t="shared" si="21"/>
        <v>269311.18220154074</v>
      </c>
    </row>
    <row r="48" spans="1:20" ht="12.75">
      <c r="A48" s="91">
        <f>ROW()</f>
        <v>48</v>
      </c>
      <c r="C48" t="s">
        <v>161</v>
      </c>
      <c r="E48" s="207"/>
      <c r="F48" s="208"/>
      <c r="G48" s="210"/>
      <c r="H48" s="211"/>
      <c r="I48" s="211"/>
      <c r="J48" s="211"/>
      <c r="K48" s="211"/>
      <c r="L48" s="211"/>
      <c r="M48" s="211"/>
      <c r="N48" s="212"/>
      <c r="O48" s="211"/>
      <c r="P48" s="211"/>
      <c r="Q48" s="211"/>
      <c r="R48" s="211"/>
      <c r="S48" s="211"/>
      <c r="T48" s="211"/>
    </row>
    <row r="49" spans="1:20" ht="12.75">
      <c r="A49" s="91">
        <f>ROW()</f>
        <v>49</v>
      </c>
      <c r="C49" t="s">
        <v>167</v>
      </c>
      <c r="E49" s="207"/>
      <c r="F49" s="217">
        <v>0.06</v>
      </c>
      <c r="G49" s="210">
        <v>790000</v>
      </c>
      <c r="H49" s="211">
        <f>+G49*(1+$F49)</f>
        <v>837400</v>
      </c>
      <c r="I49" s="211">
        <f>+H49*(1+$F49)</f>
        <v>887644</v>
      </c>
      <c r="J49" s="211">
        <f>+I49*(1+$F49)</f>
        <v>940902.64</v>
      </c>
      <c r="K49" s="211">
        <f>+J49*(1+$F49)</f>
        <v>997356.7984000001</v>
      </c>
      <c r="L49" s="211">
        <f>+K49*(1+$F49)</f>
        <v>1057198.2063040002</v>
      </c>
      <c r="M49" s="211"/>
      <c r="N49" s="212">
        <f t="shared" si="16"/>
        <v>1120630.0986822404</v>
      </c>
      <c r="O49" s="211">
        <f aca="true" t="shared" si="22" ref="O49:T49">+N49*(1+$F49)</f>
        <v>1187867.904603175</v>
      </c>
      <c r="P49" s="211">
        <f t="shared" si="22"/>
        <v>1259139.9788793654</v>
      </c>
      <c r="Q49" s="211">
        <f t="shared" si="22"/>
        <v>1334688.3776121275</v>
      </c>
      <c r="R49" s="211">
        <f t="shared" si="22"/>
        <v>1414769.680268855</v>
      </c>
      <c r="S49" s="211">
        <f t="shared" si="22"/>
        <v>1499655.8610849865</v>
      </c>
      <c r="T49" s="211">
        <f t="shared" si="22"/>
        <v>1589635.2127500859</v>
      </c>
    </row>
    <row r="50" spans="1:20" ht="12.75">
      <c r="A50" s="91">
        <f>ROW()</f>
        <v>50</v>
      </c>
      <c r="C50" t="s">
        <v>168</v>
      </c>
      <c r="E50" s="207"/>
      <c r="F50" s="217">
        <v>0.04</v>
      </c>
      <c r="G50" s="210">
        <v>213000</v>
      </c>
      <c r="H50" s="211">
        <f>+G50*(1+$F50)</f>
        <v>221520</v>
      </c>
      <c r="I50" s="211">
        <f>+H50*(1+$F50)</f>
        <v>230380.80000000002</v>
      </c>
      <c r="J50" s="211">
        <f>+I50*(1+$F50)</f>
        <v>239596.03200000004</v>
      </c>
      <c r="K50" s="211">
        <f>+J50*(1+$F50)</f>
        <v>249179.87328000006</v>
      </c>
      <c r="L50" s="211">
        <f>+K50*(1+$F50)</f>
        <v>259147.06821120006</v>
      </c>
      <c r="M50" s="211"/>
      <c r="N50" s="212">
        <f t="shared" si="16"/>
        <v>269512.9509396481</v>
      </c>
      <c r="O50" s="211">
        <f aca="true" t="shared" si="23" ref="O50:T50">+N50*(1+$F50)</f>
        <v>280293.46897723404</v>
      </c>
      <c r="P50" s="211">
        <f t="shared" si="23"/>
        <v>291505.2077363234</v>
      </c>
      <c r="Q50" s="211">
        <f t="shared" si="23"/>
        <v>303165.41604577634</v>
      </c>
      <c r="R50" s="211">
        <f t="shared" si="23"/>
        <v>315292.0326876074</v>
      </c>
      <c r="S50" s="211">
        <f t="shared" si="23"/>
        <v>327903.7139951117</v>
      </c>
      <c r="T50" s="211">
        <f t="shared" si="23"/>
        <v>341019.8625549162</v>
      </c>
    </row>
    <row r="51" spans="1:20" ht="12.75">
      <c r="A51" s="91">
        <f>ROW()</f>
        <v>51</v>
      </c>
      <c r="C51" t="s">
        <v>169</v>
      </c>
      <c r="E51" s="207"/>
      <c r="F51" s="217">
        <v>0.04</v>
      </c>
      <c r="G51" s="210">
        <v>237000</v>
      </c>
      <c r="H51" s="211">
        <f>+G51*(1+$F51)</f>
        <v>246480</v>
      </c>
      <c r="I51" s="211">
        <f>+H51*(1+$F51)</f>
        <v>256339.2</v>
      </c>
      <c r="J51" s="211">
        <f>+I51*(1+$F51)</f>
        <v>266592.76800000004</v>
      </c>
      <c r="K51" s="211">
        <f>+J51*(1+$F51)</f>
        <v>277256.4787200001</v>
      </c>
      <c r="L51" s="211">
        <f>+K51*(1+$F51)</f>
        <v>288346.73786880006</v>
      </c>
      <c r="M51" s="211"/>
      <c r="N51" s="212">
        <f t="shared" si="16"/>
        <v>299880.60738355207</v>
      </c>
      <c r="O51" s="211">
        <f aca="true" t="shared" si="24" ref="O51:T51">+N51*(1+$F51)</f>
        <v>311875.8316788942</v>
      </c>
      <c r="P51" s="211">
        <f t="shared" si="24"/>
        <v>324350.86494604993</v>
      </c>
      <c r="Q51" s="211">
        <f t="shared" si="24"/>
        <v>337324.89954389195</v>
      </c>
      <c r="R51" s="211">
        <f t="shared" si="24"/>
        <v>350817.8955256476</v>
      </c>
      <c r="S51" s="211">
        <f t="shared" si="24"/>
        <v>364850.6113466735</v>
      </c>
      <c r="T51" s="211">
        <f t="shared" si="24"/>
        <v>379444.63580054045</v>
      </c>
    </row>
    <row r="52" spans="1:20" ht="12.75">
      <c r="A52" s="91">
        <f>ROW()</f>
        <v>52</v>
      </c>
      <c r="C52" t="s">
        <v>170</v>
      </c>
      <c r="E52" s="207"/>
      <c r="F52" s="217">
        <v>0.02</v>
      </c>
      <c r="G52" s="210">
        <v>173000</v>
      </c>
      <c r="H52" s="211">
        <f>+G52*(1+$F52)</f>
        <v>176460</v>
      </c>
      <c r="I52" s="211">
        <f>+H52*(1+$F52)</f>
        <v>179989.2</v>
      </c>
      <c r="J52" s="211">
        <f>+I52*(1+$F52)</f>
        <v>183588.98400000003</v>
      </c>
      <c r="K52" s="211">
        <f>+J52*(1+$F52)</f>
        <v>187260.76368000003</v>
      </c>
      <c r="L52" s="211">
        <f>+K52*(1+$F52)</f>
        <v>191005.97895360005</v>
      </c>
      <c r="M52" s="211"/>
      <c r="N52" s="212">
        <f t="shared" si="16"/>
        <v>194826.09853267204</v>
      </c>
      <c r="O52" s="211">
        <f aca="true" t="shared" si="25" ref="O52:T52">+N52*(1+$F52)</f>
        <v>198722.62050332548</v>
      </c>
      <c r="P52" s="211">
        <f t="shared" si="25"/>
        <v>202697.07291339198</v>
      </c>
      <c r="Q52" s="211">
        <f t="shared" si="25"/>
        <v>206751.0143716598</v>
      </c>
      <c r="R52" s="211">
        <f t="shared" si="25"/>
        <v>210886.034659093</v>
      </c>
      <c r="S52" s="211">
        <f t="shared" si="25"/>
        <v>215103.75535227486</v>
      </c>
      <c r="T52" s="211">
        <f t="shared" si="25"/>
        <v>219405.83045932036</v>
      </c>
    </row>
    <row r="53" spans="1:20" ht="12.75">
      <c r="A53" s="91">
        <f>ROW()</f>
        <v>53</v>
      </c>
      <c r="C53" t="s">
        <v>171</v>
      </c>
      <c r="E53" s="207"/>
      <c r="F53" s="217">
        <v>0.03</v>
      </c>
      <c r="G53" s="210">
        <v>38000</v>
      </c>
      <c r="H53" s="211">
        <f>+G53*(1+$F53)</f>
        <v>39140</v>
      </c>
      <c r="I53" s="211">
        <f>+H53*(1+$F53)</f>
        <v>40314.200000000004</v>
      </c>
      <c r="J53" s="211">
        <f>+I53*(1+$F53)</f>
        <v>41523.626000000004</v>
      </c>
      <c r="K53" s="211">
        <f>+J53*(1+$F53)</f>
        <v>42769.334780000005</v>
      </c>
      <c r="L53" s="211">
        <f>+K53*(1+$F53)</f>
        <v>44052.41482340001</v>
      </c>
      <c r="M53" s="211"/>
      <c r="N53" s="212">
        <f t="shared" si="16"/>
        <v>45373.98726810201</v>
      </c>
      <c r="O53" s="211">
        <f aca="true" t="shared" si="26" ref="O53:T53">+N53*(1+$F53)</f>
        <v>46735.206886145075</v>
      </c>
      <c r="P53" s="211">
        <f t="shared" si="26"/>
        <v>48137.26309272943</v>
      </c>
      <c r="Q53" s="211">
        <f t="shared" si="26"/>
        <v>49581.380985511314</v>
      </c>
      <c r="R53" s="211">
        <f t="shared" si="26"/>
        <v>51068.822415076655</v>
      </c>
      <c r="S53" s="211">
        <f t="shared" si="26"/>
        <v>52600.88708752896</v>
      </c>
      <c r="T53" s="211">
        <f t="shared" si="26"/>
        <v>54178.91370015483</v>
      </c>
    </row>
    <row r="54" spans="1:20" ht="12.75">
      <c r="A54" s="91">
        <f>ROW()</f>
        <v>54</v>
      </c>
      <c r="C54" t="s">
        <v>172</v>
      </c>
      <c r="E54" s="207"/>
      <c r="F54" s="217">
        <v>0.03</v>
      </c>
      <c r="G54" s="210">
        <v>9000</v>
      </c>
      <c r="H54" s="211">
        <f aca="true" t="shared" si="27" ref="H54:L55">+G54*(1+$F54)</f>
        <v>9270</v>
      </c>
      <c r="I54" s="211">
        <f t="shared" si="27"/>
        <v>9548.1</v>
      </c>
      <c r="J54" s="211">
        <f t="shared" si="27"/>
        <v>9834.543000000001</v>
      </c>
      <c r="K54" s="211">
        <f t="shared" si="27"/>
        <v>10129.579290000001</v>
      </c>
      <c r="L54" s="211">
        <f t="shared" si="27"/>
        <v>10433.466668700003</v>
      </c>
      <c r="M54" s="211"/>
      <c r="N54" s="212">
        <f t="shared" si="16"/>
        <v>10746.470668761003</v>
      </c>
      <c r="O54" s="211">
        <f aca="true" t="shared" si="28" ref="O54:T54">+N54*(1+$F54)</f>
        <v>11068.864788823834</v>
      </c>
      <c r="P54" s="211">
        <f t="shared" si="28"/>
        <v>11400.930732488549</v>
      </c>
      <c r="Q54" s="211">
        <f t="shared" si="28"/>
        <v>11742.958654463206</v>
      </c>
      <c r="R54" s="211">
        <f t="shared" si="28"/>
        <v>12095.247414097103</v>
      </c>
      <c r="S54" s="211">
        <f t="shared" si="28"/>
        <v>12458.104836520017</v>
      </c>
      <c r="T54" s="211">
        <f t="shared" si="28"/>
        <v>12831.847981615618</v>
      </c>
    </row>
    <row r="55" spans="1:20" ht="12.75">
      <c r="A55" s="91">
        <f>ROW()</f>
        <v>55</v>
      </c>
      <c r="C55" t="s">
        <v>173</v>
      </c>
      <c r="E55" s="207"/>
      <c r="F55" s="208"/>
      <c r="G55" s="210">
        <v>0</v>
      </c>
      <c r="H55" s="211">
        <f>+G55*(1+$F55)</f>
        <v>0</v>
      </c>
      <c r="I55" s="211">
        <f>+H55*(1+$F55)</f>
        <v>0</v>
      </c>
      <c r="J55" s="211">
        <f>+I55*(1+$F55)</f>
        <v>0</v>
      </c>
      <c r="K55" s="211">
        <f>+J55*(1+$F55)</f>
        <v>0</v>
      </c>
      <c r="L55" s="211">
        <f>+K55*(1+$F55)</f>
        <v>0</v>
      </c>
      <c r="M55" s="211"/>
      <c r="N55" s="212">
        <f t="shared" si="16"/>
        <v>0</v>
      </c>
      <c r="O55" s="211">
        <f aca="true" t="shared" si="29" ref="O55:T55">+N55*(1+$F55)</f>
        <v>0</v>
      </c>
      <c r="P55" s="211">
        <f t="shared" si="29"/>
        <v>0</v>
      </c>
      <c r="Q55" s="211">
        <f t="shared" si="29"/>
        <v>0</v>
      </c>
      <c r="R55" s="211">
        <f t="shared" si="29"/>
        <v>0</v>
      </c>
      <c r="S55" s="211">
        <f t="shared" si="29"/>
        <v>0</v>
      </c>
      <c r="T55" s="211">
        <f t="shared" si="29"/>
        <v>0</v>
      </c>
    </row>
    <row r="56" spans="1:20" ht="13.5" thickBot="1">
      <c r="A56" s="91">
        <f>ROW()</f>
        <v>56</v>
      </c>
      <c r="B56" s="167" t="s">
        <v>174</v>
      </c>
      <c r="E56" s="180"/>
      <c r="F56" s="174"/>
      <c r="G56" s="214">
        <f>SUM(G40:G55)</f>
        <v>3851000</v>
      </c>
      <c r="H56" s="218">
        <f>SUM(H40:H55)</f>
        <v>4041930</v>
      </c>
      <c r="I56" s="219">
        <f>SUM(I40:I55)</f>
        <v>4243243.3</v>
      </c>
      <c r="J56" s="219">
        <f>SUM(J40:J55)</f>
        <v>4455526.659</v>
      </c>
      <c r="K56" s="219">
        <f>SUM(K40:K55)</f>
        <v>4679400.666130001</v>
      </c>
      <c r="L56" s="219">
        <f>SUM(L40:L55)</f>
        <v>4915521.7153203</v>
      </c>
      <c r="M56" s="13"/>
      <c r="N56" s="21">
        <f>SUM(N40:N55)</f>
        <v>5164584.096175695</v>
      </c>
      <c r="O56" s="13">
        <f>SUM(O40:O55)</f>
        <v>5427322.207929965</v>
      </c>
      <c r="P56" s="13">
        <f>SUM(P40:P55)</f>
        <v>5704512.9037655825</v>
      </c>
      <c r="Q56" s="13">
        <f>SUM(Q40:Q55)</f>
        <v>5996977.97321634</v>
      </c>
      <c r="R56" s="13">
        <f>SUM(R40:R55)</f>
        <v>6305586.770829198</v>
      </c>
      <c r="S56" s="13">
        <f>SUM(S40:S55)</f>
        <v>6631258.999747664</v>
      </c>
      <c r="T56" s="13">
        <f>SUM(T40:T55)</f>
        <v>6974967.659393752</v>
      </c>
    </row>
    <row r="57" spans="1:20" ht="13.5" thickTop="1">
      <c r="A57" s="91">
        <f>ROW()</f>
        <v>57</v>
      </c>
      <c r="E57" s="180"/>
      <c r="F57" s="174"/>
      <c r="G57" s="156"/>
      <c r="H57" s="226">
        <f>+H56/G56-1</f>
        <v>0.049579330044144276</v>
      </c>
      <c r="I57" s="225">
        <f>+I56/H56-1</f>
        <v>0.049806231181638516</v>
      </c>
      <c r="J57" s="225">
        <f>+J56/I56-1</f>
        <v>0.050028561642930125</v>
      </c>
      <c r="K57" s="225">
        <f>+K56/J56-1</f>
        <v>0.05024636238631497</v>
      </c>
      <c r="L57" s="225">
        <f>+L56/K56-1</f>
        <v>0.05045967764619275</v>
      </c>
      <c r="M57" s="19"/>
      <c r="N57" s="234">
        <f>+N56/L56-1</f>
        <v>0.05066855468853637</v>
      </c>
      <c r="O57" s="225">
        <f>+O56/N56-1</f>
        <v>0.05087304357166422</v>
      </c>
      <c r="P57" s="225">
        <f>+P56/O56-1</f>
        <v>0.05107319691294698</v>
      </c>
      <c r="Q57" s="225">
        <f>+Q56/P56-1</f>
        <v>0.05126906966196887</v>
      </c>
      <c r="R57" s="225">
        <f>+R56/Q56-1</f>
        <v>0.05146071888060355</v>
      </c>
      <c r="S57" s="225">
        <f>+S56/R56-1</f>
        <v>0.051648203530412884</v>
      </c>
      <c r="T57" s="225">
        <f>+T56/S56-1</f>
        <v>0.051831584267658215</v>
      </c>
    </row>
    <row r="58" spans="1:20" ht="12.75">
      <c r="A58" s="91">
        <f>ROW()</f>
        <v>58</v>
      </c>
      <c r="B58" s="209" t="s">
        <v>175</v>
      </c>
      <c r="E58" s="180"/>
      <c r="F58" s="174"/>
      <c r="G58" s="156"/>
      <c r="H58" s="213"/>
      <c r="I58" s="19"/>
      <c r="J58" s="19"/>
      <c r="K58" s="19"/>
      <c r="L58" s="19"/>
      <c r="M58" s="19"/>
      <c r="N58" s="20"/>
      <c r="O58" s="19"/>
      <c r="P58" s="19"/>
      <c r="Q58" s="19"/>
      <c r="R58" s="19"/>
      <c r="S58" s="19"/>
      <c r="T58" s="19"/>
    </row>
    <row r="59" spans="1:20" ht="12.75">
      <c r="A59" s="91">
        <f>ROW()</f>
        <v>59</v>
      </c>
      <c r="C59" t="str">
        <f>+C41</f>
        <v>Mirage Resorts</v>
      </c>
      <c r="E59" s="180"/>
      <c r="F59" s="174"/>
      <c r="G59" s="156"/>
      <c r="H59" s="213"/>
      <c r="I59" s="19"/>
      <c r="J59" s="19"/>
      <c r="K59" s="19"/>
      <c r="L59" s="19"/>
      <c r="M59" s="19"/>
      <c r="N59" s="20"/>
      <c r="O59" s="19"/>
      <c r="P59" s="19"/>
      <c r="Q59" s="19"/>
      <c r="R59" s="19"/>
      <c r="S59" s="19"/>
      <c r="T59" s="19"/>
    </row>
    <row r="60" spans="1:20" ht="12.75">
      <c r="A60" s="91">
        <f>ROW()</f>
        <v>60</v>
      </c>
      <c r="C60" t="str">
        <f aca="true" t="shared" si="30" ref="C60:C73">+C42</f>
        <v>  Bellagio</v>
      </c>
      <c r="E60" s="180"/>
      <c r="F60" s="216">
        <f>+G60/G42</f>
        <v>0.26078234704112335</v>
      </c>
      <c r="G60" s="156">
        <v>260000</v>
      </c>
      <c r="H60" s="213">
        <f>+$F60*H42</f>
        <v>275600</v>
      </c>
      <c r="I60" s="213">
        <f>+$F60*I42</f>
        <v>292135.99999999994</v>
      </c>
      <c r="J60" s="213">
        <f>+$F60*J42</f>
        <v>309664.16</v>
      </c>
      <c r="K60" s="213">
        <f>+$F60*K42</f>
        <v>328244.0096</v>
      </c>
      <c r="L60" s="213">
        <f>+$F60*L42</f>
        <v>347938.650176</v>
      </c>
      <c r="M60" s="19"/>
      <c r="N60" s="20">
        <f aca="true" t="shared" si="31" ref="N60:T60">+$F60*N42</f>
        <v>368814.9691865601</v>
      </c>
      <c r="O60" s="19">
        <f t="shared" si="31"/>
        <v>390943.8673377537</v>
      </c>
      <c r="P60" s="19">
        <f t="shared" si="31"/>
        <v>414400.499378019</v>
      </c>
      <c r="Q60" s="19">
        <f t="shared" si="31"/>
        <v>439264.52934070013</v>
      </c>
      <c r="R60" s="19">
        <f t="shared" si="31"/>
        <v>465620.40110114217</v>
      </c>
      <c r="S60" s="19">
        <f t="shared" si="31"/>
        <v>493557.6251672107</v>
      </c>
      <c r="T60" s="19">
        <f t="shared" si="31"/>
        <v>523171.0826772434</v>
      </c>
    </row>
    <row r="61" spans="1:20" ht="12.75">
      <c r="A61" s="91">
        <f>ROW()</f>
        <v>61</v>
      </c>
      <c r="C61" t="str">
        <f t="shared" si="30"/>
        <v>  The Mirage</v>
      </c>
      <c r="E61" s="180"/>
      <c r="F61" s="216">
        <f aca="true" t="shared" si="32" ref="F61:F72">+G61/G43</f>
        <v>0.2381786339754816</v>
      </c>
      <c r="G61" s="156">
        <v>136000</v>
      </c>
      <c r="H61" s="213">
        <f aca="true" t="shared" si="33" ref="H61:L73">+$F61*H43</f>
        <v>144160</v>
      </c>
      <c r="I61" s="213">
        <f t="shared" si="33"/>
        <v>152809.6</v>
      </c>
      <c r="J61" s="213">
        <f t="shared" si="33"/>
        <v>161978.176</v>
      </c>
      <c r="K61" s="213">
        <f t="shared" si="33"/>
        <v>171696.86656000002</v>
      </c>
      <c r="L61" s="213">
        <f t="shared" si="33"/>
        <v>181998.67855360004</v>
      </c>
      <c r="M61" s="19"/>
      <c r="N61" s="20">
        <f aca="true" t="shared" si="34" ref="N61:T61">+$F61*N43</f>
        <v>192918.59926681602</v>
      </c>
      <c r="O61" s="19">
        <f t="shared" si="34"/>
        <v>204493.715222825</v>
      </c>
      <c r="P61" s="19">
        <f t="shared" si="34"/>
        <v>216763.33813619454</v>
      </c>
      <c r="Q61" s="19">
        <f t="shared" si="34"/>
        <v>229769.13842436622</v>
      </c>
      <c r="R61" s="19">
        <f t="shared" si="34"/>
        <v>243555.2867298282</v>
      </c>
      <c r="S61" s="19">
        <f t="shared" si="34"/>
        <v>258168.60393361794</v>
      </c>
      <c r="T61" s="19">
        <f t="shared" si="34"/>
        <v>273658.720169635</v>
      </c>
    </row>
    <row r="62" spans="1:20" ht="12.75">
      <c r="A62" s="91">
        <f>ROW()</f>
        <v>62</v>
      </c>
      <c r="C62" t="str">
        <f t="shared" si="30"/>
        <v>  Treasure Island</v>
      </c>
      <c r="E62" s="180"/>
      <c r="F62" s="216">
        <f t="shared" si="32"/>
        <v>0.25925925925925924</v>
      </c>
      <c r="G62" s="156">
        <v>91000</v>
      </c>
      <c r="H62" s="213">
        <f t="shared" si="33"/>
        <v>94640</v>
      </c>
      <c r="I62" s="213">
        <f t="shared" si="33"/>
        <v>98425.6</v>
      </c>
      <c r="J62" s="213">
        <f t="shared" si="33"/>
        <v>102362.624</v>
      </c>
      <c r="K62" s="213">
        <f t="shared" si="33"/>
        <v>106457.12896000002</v>
      </c>
      <c r="L62" s="213">
        <f t="shared" si="33"/>
        <v>110715.41411840002</v>
      </c>
      <c r="M62" s="19"/>
      <c r="N62" s="20">
        <f aca="true" t="shared" si="35" ref="N62:T62">+$F62*N44</f>
        <v>115144.03068313602</v>
      </c>
      <c r="O62" s="19">
        <f t="shared" si="35"/>
        <v>119749.79191046147</v>
      </c>
      <c r="P62" s="19">
        <f t="shared" si="35"/>
        <v>124539.78358687993</v>
      </c>
      <c r="Q62" s="19">
        <f t="shared" si="35"/>
        <v>129521.37493035513</v>
      </c>
      <c r="R62" s="19">
        <f t="shared" si="35"/>
        <v>134702.22992756934</v>
      </c>
      <c r="S62" s="19">
        <f t="shared" si="35"/>
        <v>140090.31912467213</v>
      </c>
      <c r="T62" s="19">
        <f t="shared" si="35"/>
        <v>145693.931889659</v>
      </c>
    </row>
    <row r="63" spans="1:20" ht="12.75">
      <c r="A63" s="91">
        <f>ROW()</f>
        <v>63</v>
      </c>
      <c r="C63" t="str">
        <f t="shared" si="30"/>
        <v>  Golden Nugget - Las Vegas</v>
      </c>
      <c r="E63" s="180"/>
      <c r="F63" s="216">
        <f t="shared" si="32"/>
        <v>0.1912568306010929</v>
      </c>
      <c r="G63" s="156">
        <v>35000</v>
      </c>
      <c r="H63" s="213">
        <f t="shared" si="33"/>
        <v>36750</v>
      </c>
      <c r="I63" s="213">
        <f t="shared" si="33"/>
        <v>38587.5</v>
      </c>
      <c r="J63" s="213">
        <f t="shared" si="33"/>
        <v>40516.875</v>
      </c>
      <c r="K63" s="213">
        <f t="shared" si="33"/>
        <v>42542.71875</v>
      </c>
      <c r="L63" s="213">
        <f t="shared" si="33"/>
        <v>44669.8546875</v>
      </c>
      <c r="M63" s="19"/>
      <c r="N63" s="20">
        <f aca="true" t="shared" si="36" ref="N63:T63">+$F63*N45</f>
        <v>46903.347421875005</v>
      </c>
      <c r="O63" s="19">
        <f t="shared" si="36"/>
        <v>49248.51479296876</v>
      </c>
      <c r="P63" s="19">
        <f t="shared" si="36"/>
        <v>51710.9405326172</v>
      </c>
      <c r="Q63" s="19">
        <f t="shared" si="36"/>
        <v>54296.48755924806</v>
      </c>
      <c r="R63" s="19">
        <f t="shared" si="36"/>
        <v>57011.31193721046</v>
      </c>
      <c r="S63" s="19">
        <f t="shared" si="36"/>
        <v>59861.87753407099</v>
      </c>
      <c r="T63" s="19">
        <f t="shared" si="36"/>
        <v>62854.97141077454</v>
      </c>
    </row>
    <row r="64" spans="1:20" ht="12.75">
      <c r="A64" s="91">
        <f>ROW()</f>
        <v>64</v>
      </c>
      <c r="C64" t="str">
        <f t="shared" si="30"/>
        <v>  Golden Nugget - Laughlin</v>
      </c>
      <c r="E64" s="180"/>
      <c r="F64" s="216">
        <f t="shared" si="32"/>
        <v>0.12</v>
      </c>
      <c r="G64" s="156">
        <v>6000</v>
      </c>
      <c r="H64" s="213">
        <f t="shared" si="33"/>
        <v>6120</v>
      </c>
      <c r="I64" s="213">
        <f t="shared" si="33"/>
        <v>6242.4</v>
      </c>
      <c r="J64" s="213">
        <f t="shared" si="33"/>
        <v>6367.248</v>
      </c>
      <c r="K64" s="213">
        <f t="shared" si="33"/>
        <v>6494.59296</v>
      </c>
      <c r="L64" s="213">
        <f t="shared" si="33"/>
        <v>6624.4848192</v>
      </c>
      <c r="M64" s="19"/>
      <c r="N64" s="20">
        <f aca="true" t="shared" si="37" ref="N64:T64">+$F64*N46</f>
        <v>6756.974515584</v>
      </c>
      <c r="O64" s="19">
        <f t="shared" si="37"/>
        <v>6892.11400589568</v>
      </c>
      <c r="P64" s="19">
        <f t="shared" si="37"/>
        <v>7029.956286013594</v>
      </c>
      <c r="Q64" s="19">
        <f t="shared" si="37"/>
        <v>7170.555411733866</v>
      </c>
      <c r="R64" s="19">
        <f t="shared" si="37"/>
        <v>7313.966519968544</v>
      </c>
      <c r="S64" s="19">
        <f t="shared" si="37"/>
        <v>7460.2458503679145</v>
      </c>
      <c r="T64" s="19">
        <f t="shared" si="37"/>
        <v>7609.450767375273</v>
      </c>
    </row>
    <row r="65" spans="1:20" ht="12.75">
      <c r="A65" s="91">
        <f>ROW()</f>
        <v>65</v>
      </c>
      <c r="C65" t="str">
        <f t="shared" si="30"/>
        <v>  Beau Rivage</v>
      </c>
      <c r="E65" s="180"/>
      <c r="F65" s="216">
        <f t="shared" si="32"/>
        <v>0.13807531380753138</v>
      </c>
      <c r="G65" s="156">
        <v>33000</v>
      </c>
      <c r="H65" s="213">
        <f t="shared" si="33"/>
        <v>33330</v>
      </c>
      <c r="I65" s="213">
        <f t="shared" si="33"/>
        <v>33663.299999999996</v>
      </c>
      <c r="J65" s="213">
        <f t="shared" si="33"/>
        <v>33999.933</v>
      </c>
      <c r="K65" s="213">
        <f t="shared" si="33"/>
        <v>34339.932329999996</v>
      </c>
      <c r="L65" s="213">
        <f t="shared" si="33"/>
        <v>34683.331653299996</v>
      </c>
      <c r="M65" s="19"/>
      <c r="N65" s="20">
        <f aca="true" t="shared" si="38" ref="N65:T65">+$F65*N47</f>
        <v>35030.16496983299</v>
      </c>
      <c r="O65" s="19">
        <f t="shared" si="38"/>
        <v>35380.466619531326</v>
      </c>
      <c r="P65" s="19">
        <f t="shared" si="38"/>
        <v>35734.27128572664</v>
      </c>
      <c r="Q65" s="19">
        <f t="shared" si="38"/>
        <v>36091.6139985839</v>
      </c>
      <c r="R65" s="19">
        <f t="shared" si="38"/>
        <v>36452.53013856974</v>
      </c>
      <c r="S65" s="19">
        <f t="shared" si="38"/>
        <v>36817.05543995544</v>
      </c>
      <c r="T65" s="19">
        <f t="shared" si="38"/>
        <v>37185.225994354994</v>
      </c>
    </row>
    <row r="66" spans="1:20" ht="12.75">
      <c r="A66" s="91">
        <f>ROW()</f>
        <v>66</v>
      </c>
      <c r="C66" t="str">
        <f t="shared" si="30"/>
        <v>MGM Grand</v>
      </c>
      <c r="E66" s="180"/>
      <c r="F66" s="174"/>
      <c r="G66" s="156"/>
      <c r="H66" s="213"/>
      <c r="I66" s="213"/>
      <c r="J66" s="213"/>
      <c r="K66" s="213"/>
      <c r="L66" s="213"/>
      <c r="M66" s="19"/>
      <c r="N66" s="20"/>
      <c r="O66" s="19"/>
      <c r="P66" s="19"/>
      <c r="Q66" s="19"/>
      <c r="R66" s="19"/>
      <c r="S66" s="19"/>
      <c r="T66" s="19"/>
    </row>
    <row r="67" spans="1:20" ht="12.75">
      <c r="A67" s="91">
        <f>ROW()</f>
        <v>67</v>
      </c>
      <c r="C67" t="str">
        <f t="shared" si="30"/>
        <v>  MGM Grand - Las Vegas</v>
      </c>
      <c r="E67" s="180"/>
      <c r="F67" s="216">
        <f t="shared" si="32"/>
        <v>0.24556962025316456</v>
      </c>
      <c r="G67" s="156">
        <v>194000</v>
      </c>
      <c r="H67" s="213">
        <f t="shared" si="33"/>
        <v>205640</v>
      </c>
      <c r="I67" s="213">
        <f t="shared" si="33"/>
        <v>217978.4</v>
      </c>
      <c r="J67" s="213">
        <f t="shared" si="33"/>
        <v>231057.10400000002</v>
      </c>
      <c r="K67" s="213">
        <f t="shared" si="33"/>
        <v>244920.53024000002</v>
      </c>
      <c r="L67" s="213">
        <f t="shared" si="33"/>
        <v>259615.76205440005</v>
      </c>
      <c r="M67" s="19"/>
      <c r="N67" s="20">
        <f aca="true" t="shared" si="39" ref="N67:T67">+$F67*N49</f>
        <v>275192.70777766407</v>
      </c>
      <c r="O67" s="19">
        <f t="shared" si="39"/>
        <v>291704.27024432394</v>
      </c>
      <c r="P67" s="19">
        <f t="shared" si="39"/>
        <v>309206.5264589834</v>
      </c>
      <c r="Q67" s="19">
        <f t="shared" si="39"/>
        <v>327758.9180465224</v>
      </c>
      <c r="R67" s="19">
        <f t="shared" si="39"/>
        <v>347424.45312931377</v>
      </c>
      <c r="S67" s="19">
        <f t="shared" si="39"/>
        <v>368269.92031707265</v>
      </c>
      <c r="T67" s="19">
        <f t="shared" si="39"/>
        <v>390366.11553609703</v>
      </c>
    </row>
    <row r="68" spans="1:20" ht="12.75">
      <c r="A68" s="91">
        <f>ROW()</f>
        <v>68</v>
      </c>
      <c r="C68" t="str">
        <f t="shared" si="30"/>
        <v>  New York-New York</v>
      </c>
      <c r="E68" s="180"/>
      <c r="F68" s="216">
        <f t="shared" si="32"/>
        <v>0.4507042253521127</v>
      </c>
      <c r="G68" s="156">
        <v>96000</v>
      </c>
      <c r="H68" s="213">
        <f t="shared" si="33"/>
        <v>99840</v>
      </c>
      <c r="I68" s="213">
        <f t="shared" si="33"/>
        <v>103833.6</v>
      </c>
      <c r="J68" s="213">
        <f t="shared" si="33"/>
        <v>107986.94400000002</v>
      </c>
      <c r="K68" s="213">
        <f t="shared" si="33"/>
        <v>112306.42176000003</v>
      </c>
      <c r="L68" s="213">
        <f t="shared" si="33"/>
        <v>116798.67863040003</v>
      </c>
      <c r="M68" s="19"/>
      <c r="N68" s="20">
        <f aca="true" t="shared" si="40" ref="N68:T68">+$F68*N50</f>
        <v>121470.62577561605</v>
      </c>
      <c r="O68" s="19">
        <f t="shared" si="40"/>
        <v>126329.4508066407</v>
      </c>
      <c r="P68" s="19">
        <f t="shared" si="40"/>
        <v>131382.62883890633</v>
      </c>
      <c r="Q68" s="19">
        <f t="shared" si="40"/>
        <v>136637.93399246258</v>
      </c>
      <c r="R68" s="19">
        <f t="shared" si="40"/>
        <v>142103.4513521611</v>
      </c>
      <c r="S68" s="19">
        <f t="shared" si="40"/>
        <v>147787.58940624754</v>
      </c>
      <c r="T68" s="19">
        <f t="shared" si="40"/>
        <v>153699.09298249744</v>
      </c>
    </row>
    <row r="69" spans="1:20" ht="12.75">
      <c r="A69" s="91">
        <f>ROW()</f>
        <v>69</v>
      </c>
      <c r="C69" t="str">
        <f t="shared" si="30"/>
        <v>  Primm Nevada Properties</v>
      </c>
      <c r="E69" s="180"/>
      <c r="F69" s="216">
        <f t="shared" si="32"/>
        <v>0.29535864978902954</v>
      </c>
      <c r="G69" s="156">
        <v>70000</v>
      </c>
      <c r="H69" s="213">
        <f t="shared" si="33"/>
        <v>72800</v>
      </c>
      <c r="I69" s="213">
        <f t="shared" si="33"/>
        <v>75712</v>
      </c>
      <c r="J69" s="213">
        <f t="shared" si="33"/>
        <v>78740.48000000001</v>
      </c>
      <c r="K69" s="213">
        <f t="shared" si="33"/>
        <v>81890.09920000003</v>
      </c>
      <c r="L69" s="213">
        <f t="shared" si="33"/>
        <v>85165.70316800002</v>
      </c>
      <c r="M69" s="19"/>
      <c r="N69" s="20">
        <f aca="true" t="shared" si="41" ref="N69:T69">+$F69*N51</f>
        <v>88572.33129472002</v>
      </c>
      <c r="O69" s="19">
        <f t="shared" si="41"/>
        <v>92115.22454650883</v>
      </c>
      <c r="P69" s="19">
        <f t="shared" si="41"/>
        <v>95799.83352836918</v>
      </c>
      <c r="Q69" s="19">
        <f t="shared" si="41"/>
        <v>99631.82686950396</v>
      </c>
      <c r="R69" s="19">
        <f t="shared" si="41"/>
        <v>103617.09994428411</v>
      </c>
      <c r="S69" s="19">
        <f t="shared" si="41"/>
        <v>107761.78394205547</v>
      </c>
      <c r="T69" s="19">
        <f t="shared" si="41"/>
        <v>112072.25529973769</v>
      </c>
    </row>
    <row r="70" spans="1:20" ht="12.75">
      <c r="A70" s="91">
        <f>ROW()</f>
        <v>70</v>
      </c>
      <c r="C70" t="str">
        <f t="shared" si="30"/>
        <v>  MGM Grand Detroit</v>
      </c>
      <c r="E70" s="180"/>
      <c r="F70" s="216">
        <f t="shared" si="32"/>
        <v>0.3352601156069364</v>
      </c>
      <c r="G70" s="156">
        <v>58000</v>
      </c>
      <c r="H70" s="213">
        <f t="shared" si="33"/>
        <v>59160</v>
      </c>
      <c r="I70" s="213">
        <f t="shared" si="33"/>
        <v>60343.200000000004</v>
      </c>
      <c r="J70" s="213">
        <f t="shared" si="33"/>
        <v>61550.064000000006</v>
      </c>
      <c r="K70" s="213">
        <f t="shared" si="33"/>
        <v>62781.06528000001</v>
      </c>
      <c r="L70" s="213">
        <f t="shared" si="33"/>
        <v>64036.686585600015</v>
      </c>
      <c r="M70" s="19"/>
      <c r="N70" s="20">
        <f aca="true" t="shared" si="42" ref="N70:T70">+$F70*N52</f>
        <v>65317.42031731201</v>
      </c>
      <c r="O70" s="19">
        <f t="shared" si="42"/>
        <v>66623.76872365826</v>
      </c>
      <c r="P70" s="19">
        <f t="shared" si="42"/>
        <v>67956.24409813141</v>
      </c>
      <c r="Q70" s="19">
        <f t="shared" si="42"/>
        <v>69315.36898009403</v>
      </c>
      <c r="R70" s="19">
        <f t="shared" si="42"/>
        <v>70701.67635969592</v>
      </c>
      <c r="S70" s="19">
        <f t="shared" si="42"/>
        <v>72115.70988688983</v>
      </c>
      <c r="T70" s="19">
        <f t="shared" si="42"/>
        <v>73558.02408462764</v>
      </c>
    </row>
    <row r="71" spans="1:20" ht="12.75">
      <c r="A71" s="91">
        <f>ROW()</f>
        <v>71</v>
      </c>
      <c r="C71" t="str">
        <f t="shared" si="30"/>
        <v>  MGM Grand Australia</v>
      </c>
      <c r="E71" s="180"/>
      <c r="F71" s="216">
        <f t="shared" si="32"/>
        <v>0.3684210526315789</v>
      </c>
      <c r="G71" s="156">
        <v>14000</v>
      </c>
      <c r="H71" s="213">
        <f t="shared" si="33"/>
        <v>14420</v>
      </c>
      <c r="I71" s="213">
        <f t="shared" si="33"/>
        <v>14852.6</v>
      </c>
      <c r="J71" s="213">
        <f t="shared" si="33"/>
        <v>15298.178</v>
      </c>
      <c r="K71" s="213">
        <f t="shared" si="33"/>
        <v>15757.12334</v>
      </c>
      <c r="L71" s="213">
        <f t="shared" si="33"/>
        <v>16229.837040200002</v>
      </c>
      <c r="M71" s="19"/>
      <c r="N71" s="20">
        <f aca="true" t="shared" si="43" ref="N71:T71">+$F71*N53</f>
        <v>16716.732151406002</v>
      </c>
      <c r="O71" s="19">
        <f t="shared" si="43"/>
        <v>17218.234115948184</v>
      </c>
      <c r="P71" s="19">
        <f t="shared" si="43"/>
        <v>17734.781139426632</v>
      </c>
      <c r="Q71" s="19">
        <f t="shared" si="43"/>
        <v>18266.824573609432</v>
      </c>
      <c r="R71" s="19">
        <f t="shared" si="43"/>
        <v>18814.829310817713</v>
      </c>
      <c r="S71" s="19">
        <f t="shared" si="43"/>
        <v>19379.274190142245</v>
      </c>
      <c r="T71" s="19">
        <f t="shared" si="43"/>
        <v>19960.652415846514</v>
      </c>
    </row>
    <row r="72" spans="1:20" ht="12.75">
      <c r="A72" s="91">
        <f>ROW()</f>
        <v>72</v>
      </c>
      <c r="C72" t="str">
        <f t="shared" si="30"/>
        <v>  MGM Grand South Africa</v>
      </c>
      <c r="E72" s="180"/>
      <c r="F72" s="216">
        <f t="shared" si="32"/>
        <v>0.8888888888888888</v>
      </c>
      <c r="G72" s="156">
        <v>8000</v>
      </c>
      <c r="H72" s="213">
        <f t="shared" si="33"/>
        <v>8240</v>
      </c>
      <c r="I72" s="213">
        <f t="shared" si="33"/>
        <v>8487.2</v>
      </c>
      <c r="J72" s="213">
        <f t="shared" si="33"/>
        <v>8741.816</v>
      </c>
      <c r="K72" s="213">
        <f t="shared" si="33"/>
        <v>9004.07048</v>
      </c>
      <c r="L72" s="213">
        <f t="shared" si="33"/>
        <v>9274.192594400001</v>
      </c>
      <c r="M72" s="19"/>
      <c r="N72" s="20">
        <f aca="true" t="shared" si="44" ref="N72:T72">+$F72*N54</f>
        <v>9552.418372232003</v>
      </c>
      <c r="O72" s="19">
        <f t="shared" si="44"/>
        <v>9838.990923398962</v>
      </c>
      <c r="P72" s="19">
        <f t="shared" si="44"/>
        <v>10134.160651100932</v>
      </c>
      <c r="Q72" s="19">
        <f t="shared" si="44"/>
        <v>10438.18547063396</v>
      </c>
      <c r="R72" s="19">
        <f t="shared" si="44"/>
        <v>10751.331034752979</v>
      </c>
      <c r="S72" s="19">
        <f t="shared" si="44"/>
        <v>11073.87096579557</v>
      </c>
      <c r="T72" s="19">
        <f t="shared" si="44"/>
        <v>11406.087094769437</v>
      </c>
    </row>
    <row r="73" spans="1:20" ht="12.75">
      <c r="A73" s="91">
        <f>ROW()</f>
        <v>73</v>
      </c>
      <c r="C73" t="str">
        <f t="shared" si="30"/>
        <v>Other</v>
      </c>
      <c r="E73" s="180"/>
      <c r="F73" s="174"/>
      <c r="G73" s="156"/>
      <c r="H73" s="213">
        <f t="shared" si="33"/>
        <v>0</v>
      </c>
      <c r="I73" s="213">
        <f t="shared" si="33"/>
        <v>0</v>
      </c>
      <c r="J73" s="213">
        <f t="shared" si="33"/>
        <v>0</v>
      </c>
      <c r="K73" s="213">
        <f t="shared" si="33"/>
        <v>0</v>
      </c>
      <c r="L73" s="213">
        <f t="shared" si="33"/>
        <v>0</v>
      </c>
      <c r="M73" s="19"/>
      <c r="N73" s="20">
        <f aca="true" t="shared" si="45" ref="N73:T73">+$F73*N55</f>
        <v>0</v>
      </c>
      <c r="O73" s="19">
        <f t="shared" si="45"/>
        <v>0</v>
      </c>
      <c r="P73" s="19">
        <f t="shared" si="45"/>
        <v>0</v>
      </c>
      <c r="Q73" s="19">
        <f t="shared" si="45"/>
        <v>0</v>
      </c>
      <c r="R73" s="19">
        <f t="shared" si="45"/>
        <v>0</v>
      </c>
      <c r="S73" s="19">
        <f t="shared" si="45"/>
        <v>0</v>
      </c>
      <c r="T73" s="19">
        <f t="shared" si="45"/>
        <v>0</v>
      </c>
    </row>
    <row r="74" spans="1:20" ht="13.5" thickBot="1">
      <c r="A74" s="91">
        <f>ROW()</f>
        <v>74</v>
      </c>
      <c r="B74" s="1" t="s">
        <v>177</v>
      </c>
      <c r="E74" s="182">
        <f>+G74/G56</f>
        <v>0.2599324850688133</v>
      </c>
      <c r="F74" s="177">
        <f>+H74/H56</f>
        <v>0.25995007335604525</v>
      </c>
      <c r="G74" s="215">
        <f>SUM(G57:G73)</f>
        <v>1001000</v>
      </c>
      <c r="H74" s="222">
        <f>SUM(H58:H73)</f>
        <v>1050700</v>
      </c>
      <c r="I74" s="223">
        <f aca="true" t="shared" si="46" ref="I74:N74">SUM(I58:I73)</f>
        <v>1103071.4000000001</v>
      </c>
      <c r="J74" s="223">
        <f t="shared" si="46"/>
        <v>1158263.6020000002</v>
      </c>
      <c r="K74" s="223">
        <f t="shared" si="46"/>
        <v>1216434.55946</v>
      </c>
      <c r="L74" s="223">
        <f t="shared" si="46"/>
        <v>1277751.2740810001</v>
      </c>
      <c r="M74" s="223"/>
      <c r="N74" s="224">
        <f t="shared" si="46"/>
        <v>1342390.3217327544</v>
      </c>
      <c r="O74" s="223">
        <f>SUM(O58:O73)</f>
        <v>1410538.4092499148</v>
      </c>
      <c r="P74" s="223">
        <f>SUM(P58:P73)</f>
        <v>1482392.9639203688</v>
      </c>
      <c r="Q74" s="223">
        <f>SUM(Q58:Q73)</f>
        <v>1558162.7575978138</v>
      </c>
      <c r="R74" s="223">
        <f>SUM(R58:R73)</f>
        <v>1638068.567485314</v>
      </c>
      <c r="S74" s="223">
        <f>SUM(S58:S73)</f>
        <v>1722343.8757580984</v>
      </c>
      <c r="T74" s="223">
        <f>SUM(T58:T73)</f>
        <v>1811235.610322618</v>
      </c>
    </row>
    <row r="75" spans="1:20" ht="13.5" thickTop="1">
      <c r="A75" s="91">
        <f>ROW()</f>
        <v>75</v>
      </c>
      <c r="B75" s="1"/>
      <c r="C75" s="167" t="s">
        <v>178</v>
      </c>
      <c r="E75" s="181"/>
      <c r="F75" s="10"/>
      <c r="G75" s="20"/>
      <c r="H75" s="227">
        <v>80000</v>
      </c>
      <c r="I75" s="220">
        <f>+H75</f>
        <v>80000</v>
      </c>
      <c r="J75" s="220">
        <f>+I75</f>
        <v>80000</v>
      </c>
      <c r="K75" s="220">
        <f>+J75</f>
        <v>80000</v>
      </c>
      <c r="L75" s="220">
        <f>+K75</f>
        <v>80000</v>
      </c>
      <c r="M75" s="220"/>
      <c r="N75" s="221"/>
      <c r="O75" s="220"/>
      <c r="P75" s="220"/>
      <c r="Q75" s="220"/>
      <c r="R75" s="220"/>
      <c r="S75" s="220"/>
      <c r="T75" s="220"/>
    </row>
    <row r="76" spans="1:20" ht="12.75">
      <c r="A76" s="91">
        <f>ROW()</f>
        <v>76</v>
      </c>
      <c r="C76" t="s">
        <v>64</v>
      </c>
      <c r="E76" s="180"/>
      <c r="F76" s="98">
        <v>7</v>
      </c>
      <c r="G76" s="20"/>
      <c r="H76" s="93">
        <f>-$G$15/$F$76</f>
        <v>-27471.428571428572</v>
      </c>
      <c r="I76" s="94">
        <f>-$G$15/$F$76</f>
        <v>-27471.428571428572</v>
      </c>
      <c r="J76" s="94">
        <f>-$G$15/$F$76</f>
        <v>-27471.428571428572</v>
      </c>
      <c r="K76" s="94">
        <f>-$G$15/$F$76</f>
        <v>-27471.428571428572</v>
      </c>
      <c r="L76" s="94">
        <f>-$G$15/$F$76</f>
        <v>-27471.428571428572</v>
      </c>
      <c r="M76" s="94"/>
      <c r="N76" s="95">
        <f>+L76</f>
        <v>-27471.428571428572</v>
      </c>
      <c r="O76" s="94"/>
      <c r="P76" s="94"/>
      <c r="Q76" s="94"/>
      <c r="R76" s="94"/>
      <c r="S76" s="94"/>
      <c r="T76" s="94"/>
    </row>
    <row r="77" spans="1:20" ht="12.75">
      <c r="A77" s="91">
        <f>ROW()</f>
        <v>77</v>
      </c>
      <c r="B77" t="s">
        <v>24</v>
      </c>
      <c r="E77" s="180"/>
      <c r="F77" s="161"/>
      <c r="G77" s="20"/>
      <c r="H77" s="26">
        <f>SUM(H74:H76)</f>
        <v>1103228.5714285714</v>
      </c>
      <c r="I77" s="26">
        <f>SUM(I74:I76)</f>
        <v>1155599.9714285715</v>
      </c>
      <c r="J77" s="26">
        <f>SUM(J74:J76)</f>
        <v>1210792.1734285716</v>
      </c>
      <c r="K77" s="26">
        <f>SUM(K74:K76)</f>
        <v>1268963.1308885713</v>
      </c>
      <c r="L77" s="26">
        <f>SUM(L74:L76)</f>
        <v>1330279.8455095715</v>
      </c>
      <c r="M77" s="26"/>
      <c r="N77" s="23">
        <f aca="true" t="shared" si="47" ref="N77:T77">SUM(N74:N76)</f>
        <v>1314918.8931613257</v>
      </c>
      <c r="O77" s="26">
        <f t="shared" si="47"/>
        <v>1410538.4092499148</v>
      </c>
      <c r="P77" s="26">
        <f t="shared" si="47"/>
        <v>1482392.9639203688</v>
      </c>
      <c r="Q77" s="26">
        <f t="shared" si="47"/>
        <v>1558162.7575978138</v>
      </c>
      <c r="R77" s="26">
        <f t="shared" si="47"/>
        <v>1638068.567485314</v>
      </c>
      <c r="S77" s="26">
        <f t="shared" si="47"/>
        <v>1722343.8757580984</v>
      </c>
      <c r="T77" s="26">
        <f t="shared" si="47"/>
        <v>1811235.610322618</v>
      </c>
    </row>
    <row r="78" spans="1:21" ht="12.75">
      <c r="A78" s="91">
        <f>ROW()</f>
        <v>78</v>
      </c>
      <c r="C78" s="167" t="s">
        <v>110</v>
      </c>
      <c r="E78" s="180"/>
      <c r="F78" s="161"/>
      <c r="G78" s="20"/>
      <c r="H78" s="93">
        <f>-H22-H31</f>
        <v>-384133.75</v>
      </c>
      <c r="I78" s="94">
        <f>-I22-I31</f>
        <v>-397897.5</v>
      </c>
      <c r="J78" s="94">
        <f>-J22-J31</f>
        <v>-422672.25</v>
      </c>
      <c r="K78" s="94">
        <f>-K22-K31</f>
        <v>-419919.5</v>
      </c>
      <c r="L78" s="94">
        <f>-L22-L31</f>
        <v>-414414</v>
      </c>
      <c r="M78" s="94"/>
      <c r="N78" s="95">
        <f>-N22-N31</f>
        <v>-400650.25</v>
      </c>
      <c r="O78" s="94">
        <f>-O22-O31</f>
        <v>-373122.75</v>
      </c>
      <c r="P78" s="94">
        <f>-P22-P31</f>
        <v>-150150</v>
      </c>
      <c r="Q78" s="94">
        <f>-Q22-Q31</f>
        <v>-150150</v>
      </c>
      <c r="R78" s="94">
        <f>-R22-R31</f>
        <v>-150150</v>
      </c>
      <c r="S78" s="94">
        <f>-S22-S31</f>
        <v>0</v>
      </c>
      <c r="T78" s="94">
        <f>-T22-T31</f>
        <v>0</v>
      </c>
      <c r="U78" s="124"/>
    </row>
    <row r="79" spans="1:21" ht="12.75">
      <c r="A79" s="91">
        <f>ROW()</f>
        <v>79</v>
      </c>
      <c r="B79" t="s">
        <v>73</v>
      </c>
      <c r="E79" s="180"/>
      <c r="F79" s="161"/>
      <c r="G79" s="20"/>
      <c r="H79" s="26">
        <f>+H77+H78</f>
        <v>719094.8214285714</v>
      </c>
      <c r="I79" s="26">
        <f>+I77+I78</f>
        <v>757702.4714285715</v>
      </c>
      <c r="J79" s="26">
        <f aca="true" t="shared" si="48" ref="J79:T79">+J77+J78</f>
        <v>788119.9234285716</v>
      </c>
      <c r="K79" s="26">
        <f t="shared" si="48"/>
        <v>849043.6308885713</v>
      </c>
      <c r="L79" s="26">
        <f t="shared" si="48"/>
        <v>915865.8455095715</v>
      </c>
      <c r="M79" s="26"/>
      <c r="N79" s="23">
        <f t="shared" si="48"/>
        <v>914268.6431613257</v>
      </c>
      <c r="O79" s="26">
        <f t="shared" si="48"/>
        <v>1037415.6592499148</v>
      </c>
      <c r="P79" s="26">
        <f t="shared" si="48"/>
        <v>1332242.9639203688</v>
      </c>
      <c r="Q79" s="26">
        <f t="shared" si="48"/>
        <v>1408012.7575978138</v>
      </c>
      <c r="R79" s="26">
        <f t="shared" si="48"/>
        <v>1487918.567485314</v>
      </c>
      <c r="S79" s="26">
        <f t="shared" si="48"/>
        <v>1722343.8757580984</v>
      </c>
      <c r="T79" s="26">
        <f t="shared" si="48"/>
        <v>1811235.610322618</v>
      </c>
      <c r="U79" s="124"/>
    </row>
    <row r="80" spans="1:20" ht="12.75">
      <c r="A80" s="91">
        <f>ROW()</f>
        <v>80</v>
      </c>
      <c r="C80" t="s">
        <v>43</v>
      </c>
      <c r="E80" s="180"/>
      <c r="F80" s="161">
        <v>0.4</v>
      </c>
      <c r="G80" s="131"/>
      <c r="H80" s="18">
        <f>-$F$80*H79</f>
        <v>-287637.9285714286</v>
      </c>
      <c r="I80" s="18">
        <f>-$F$80*I79</f>
        <v>-303080.98857142864</v>
      </c>
      <c r="J80" s="18">
        <f>-$F$80*J79</f>
        <v>-315247.96937142865</v>
      </c>
      <c r="K80" s="18">
        <f>-$F$80*K79</f>
        <v>-339617.45235542854</v>
      </c>
      <c r="L80" s="18">
        <f>-$F$80*L79</f>
        <v>-366346.3382038286</v>
      </c>
      <c r="M80" s="18"/>
      <c r="N80" s="23">
        <f aca="true" t="shared" si="49" ref="N80:T80">-$F$80*N79</f>
        <v>-365707.4572645303</v>
      </c>
      <c r="O80" s="18">
        <f t="shared" si="49"/>
        <v>-414966.26369996596</v>
      </c>
      <c r="P80" s="18">
        <f t="shared" si="49"/>
        <v>-532897.1855681476</v>
      </c>
      <c r="Q80" s="18">
        <f t="shared" si="49"/>
        <v>-563205.1030391256</v>
      </c>
      <c r="R80" s="18">
        <f t="shared" si="49"/>
        <v>-595167.4269941257</v>
      </c>
      <c r="S80" s="18">
        <f t="shared" si="49"/>
        <v>-688937.5503032394</v>
      </c>
      <c r="T80" s="18">
        <f t="shared" si="49"/>
        <v>-724494.2441290473</v>
      </c>
    </row>
    <row r="81" spans="1:20" ht="12.75">
      <c r="A81" s="91">
        <f>ROW()</f>
        <v>81</v>
      </c>
      <c r="C81" t="s">
        <v>85</v>
      </c>
      <c r="E81" s="183"/>
      <c r="F81" s="161"/>
      <c r="G81" s="131"/>
      <c r="H81" s="18">
        <f>-H78</f>
        <v>384133.75</v>
      </c>
      <c r="I81" s="18">
        <f aca="true" t="shared" si="50" ref="I81:T81">-I78</f>
        <v>397897.5</v>
      </c>
      <c r="J81" s="18">
        <f t="shared" si="50"/>
        <v>422672.25</v>
      </c>
      <c r="K81" s="18">
        <f t="shared" si="50"/>
        <v>419919.5</v>
      </c>
      <c r="L81" s="18">
        <f t="shared" si="50"/>
        <v>414414</v>
      </c>
      <c r="M81" s="18"/>
      <c r="N81" s="23">
        <f t="shared" si="50"/>
        <v>400650.25</v>
      </c>
      <c r="O81" s="18">
        <f t="shared" si="50"/>
        <v>373122.75</v>
      </c>
      <c r="P81" s="18">
        <f t="shared" si="50"/>
        <v>150150</v>
      </c>
      <c r="Q81" s="18">
        <f t="shared" si="50"/>
        <v>150150</v>
      </c>
      <c r="R81" s="18">
        <f t="shared" si="50"/>
        <v>150150</v>
      </c>
      <c r="S81" s="18">
        <f t="shared" si="50"/>
        <v>0</v>
      </c>
      <c r="T81" s="18">
        <f t="shared" si="50"/>
        <v>0</v>
      </c>
    </row>
    <row r="82" spans="1:20" ht="12.75">
      <c r="A82" s="91">
        <f>ROW()</f>
        <v>82</v>
      </c>
      <c r="C82" t="s">
        <v>82</v>
      </c>
      <c r="E82" s="181">
        <f>+G82/G56</f>
        <v>0</v>
      </c>
      <c r="F82" s="161">
        <v>0.04</v>
      </c>
      <c r="G82" s="157"/>
      <c r="H82" s="18">
        <f>+$F$82*H56</f>
        <v>161677.2</v>
      </c>
      <c r="I82" s="18">
        <f>+$F$82*I56</f>
        <v>169729.732</v>
      </c>
      <c r="J82" s="18">
        <f>+$F$82*J56</f>
        <v>178221.06636</v>
      </c>
      <c r="K82" s="18">
        <f>+$F$82*K56</f>
        <v>187176.02664520004</v>
      </c>
      <c r="L82" s="18">
        <f>+$F$82*L56</f>
        <v>196620.86861281202</v>
      </c>
      <c r="M82" s="18"/>
      <c r="N82" s="23">
        <f>+$F$82*N56</f>
        <v>206583.3638470278</v>
      </c>
      <c r="O82" s="18">
        <f>+$F$82*O56</f>
        <v>217092.8883171986</v>
      </c>
      <c r="P82" s="18">
        <f>+$F$82*P56</f>
        <v>228180.5161506233</v>
      </c>
      <c r="Q82" s="18">
        <f>+$F$82*Q56</f>
        <v>239879.1189286536</v>
      </c>
      <c r="R82" s="18">
        <f>+$F$82*R56</f>
        <v>252223.47083316793</v>
      </c>
      <c r="S82" s="18">
        <f>+$F$82*S56</f>
        <v>265250.35998990654</v>
      </c>
      <c r="T82" s="18">
        <f>+$F$82*T56</f>
        <v>278998.7063757501</v>
      </c>
    </row>
    <row r="83" spans="1:20" ht="12.75">
      <c r="A83" s="91">
        <f>ROW()</f>
        <v>83</v>
      </c>
      <c r="C83" t="s">
        <v>83</v>
      </c>
      <c r="D83" s="41"/>
      <c r="E83" s="183"/>
      <c r="F83" s="161"/>
      <c r="G83" s="159"/>
      <c r="H83" s="18">
        <f>-H76</f>
        <v>27471.428571428572</v>
      </c>
      <c r="I83" s="18">
        <f aca="true" t="shared" si="51" ref="I83:T83">-I76</f>
        <v>27471.428571428572</v>
      </c>
      <c r="J83" s="18">
        <f t="shared" si="51"/>
        <v>27471.428571428572</v>
      </c>
      <c r="K83" s="18">
        <f t="shared" si="51"/>
        <v>27471.428571428572</v>
      </c>
      <c r="L83" s="18">
        <f t="shared" si="51"/>
        <v>27471.428571428572</v>
      </c>
      <c r="M83" s="18"/>
      <c r="N83" s="23">
        <f t="shared" si="51"/>
        <v>27471.428571428572</v>
      </c>
      <c r="O83" s="18">
        <f t="shared" si="51"/>
        <v>0</v>
      </c>
      <c r="P83" s="18">
        <f t="shared" si="51"/>
        <v>0</v>
      </c>
      <c r="Q83" s="18">
        <f t="shared" si="51"/>
        <v>0</v>
      </c>
      <c r="R83" s="18">
        <f t="shared" si="51"/>
        <v>0</v>
      </c>
      <c r="S83" s="18">
        <f t="shared" si="51"/>
        <v>0</v>
      </c>
      <c r="T83" s="18">
        <f t="shared" si="51"/>
        <v>0</v>
      </c>
    </row>
    <row r="84" spans="1:20" ht="12.75">
      <c r="A84" s="91">
        <f>ROW()</f>
        <v>84</v>
      </c>
      <c r="C84" t="s">
        <v>44</v>
      </c>
      <c r="E84" s="180"/>
      <c r="F84" s="161">
        <v>0.02</v>
      </c>
      <c r="G84" s="160"/>
      <c r="H84" s="18">
        <f>-$F$84*H56</f>
        <v>-80838.6</v>
      </c>
      <c r="I84" s="18">
        <f>-$F$84*I56</f>
        <v>-84864.866</v>
      </c>
      <c r="J84" s="18">
        <f>-$F$84*J56</f>
        <v>-89110.53318</v>
      </c>
      <c r="K84" s="18">
        <f>-$F$84*K56</f>
        <v>-93588.01332260002</v>
      </c>
      <c r="L84" s="18">
        <f>-$F$84*L56</f>
        <v>-98310.43430640601</v>
      </c>
      <c r="M84" s="18"/>
      <c r="N84" s="23">
        <f>-$F$84*N56</f>
        <v>-103291.6819235139</v>
      </c>
      <c r="O84" s="18">
        <f>-$F$84*O56</f>
        <v>-108546.4441585993</v>
      </c>
      <c r="P84" s="18">
        <f>-$F$84*P56</f>
        <v>-114090.25807531165</v>
      </c>
      <c r="Q84" s="18">
        <f>-$F$84*Q56</f>
        <v>-119939.5594643268</v>
      </c>
      <c r="R84" s="18">
        <f>-$F$84*R56</f>
        <v>-126111.73541658396</v>
      </c>
      <c r="S84" s="18">
        <f>-$F$84*S56</f>
        <v>-132625.17999495327</v>
      </c>
      <c r="T84" s="18">
        <f>-$F$84*T56</f>
        <v>-139499.35318787504</v>
      </c>
    </row>
    <row r="85" spans="1:20" ht="12.75">
      <c r="A85" s="91">
        <f>ROW()</f>
        <v>85</v>
      </c>
      <c r="C85" t="s">
        <v>45</v>
      </c>
      <c r="E85" s="184">
        <f>-G85/G56</f>
        <v>0</v>
      </c>
      <c r="F85" s="161">
        <v>0.1</v>
      </c>
      <c r="G85" s="157"/>
      <c r="H85" s="18">
        <f>-$F$85*H56</f>
        <v>-404193</v>
      </c>
      <c r="I85" s="18">
        <f>-$F$85*I56</f>
        <v>-424324.33</v>
      </c>
      <c r="J85" s="18">
        <f>-$F$85*J56</f>
        <v>-445552.6659</v>
      </c>
      <c r="K85" s="18">
        <f>-$F$85*K56</f>
        <v>-467940.0666130001</v>
      </c>
      <c r="L85" s="18">
        <f>-$F$85*L56</f>
        <v>-491552.17153203004</v>
      </c>
      <c r="M85" s="18"/>
      <c r="N85" s="23">
        <f>-$F$85*N56</f>
        <v>-516458.40961756953</v>
      </c>
      <c r="O85" s="18">
        <f>-$F$85*O56</f>
        <v>-542732.2207929966</v>
      </c>
      <c r="P85" s="18">
        <f>-$F$85*P56</f>
        <v>-570451.2903765583</v>
      </c>
      <c r="Q85" s="18">
        <f>-$F$85*Q56</f>
        <v>-599697.797321634</v>
      </c>
      <c r="R85" s="18">
        <f>-$F$85*R56</f>
        <v>-630558.6770829199</v>
      </c>
      <c r="S85" s="18">
        <f>-$F$85*S56</f>
        <v>-663125.8999747664</v>
      </c>
      <c r="T85" s="18">
        <f>-$F$85*T56</f>
        <v>-697496.7659393753</v>
      </c>
    </row>
    <row r="86" spans="1:20" ht="12.75">
      <c r="A86" s="91"/>
      <c r="C86" s="167" t="s">
        <v>179</v>
      </c>
      <c r="E86" s="233"/>
      <c r="F86" s="161"/>
      <c r="G86" s="157"/>
      <c r="H86" s="18"/>
      <c r="I86" s="227">
        <v>500000</v>
      </c>
      <c r="J86" s="18"/>
      <c r="K86" s="18"/>
      <c r="L86" s="18"/>
      <c r="M86" s="18"/>
      <c r="N86" s="23"/>
      <c r="O86" s="18"/>
      <c r="P86" s="18"/>
      <c r="Q86" s="18"/>
      <c r="R86" s="18"/>
      <c r="S86" s="18"/>
      <c r="T86" s="18"/>
    </row>
    <row r="87" spans="1:20" ht="13.5" thickBot="1">
      <c r="A87" s="91">
        <f>ROW()</f>
        <v>87</v>
      </c>
      <c r="B87" t="s">
        <v>74</v>
      </c>
      <c r="F87" s="161"/>
      <c r="G87" s="159"/>
      <c r="H87" s="29">
        <f>SUM(H79:H85)</f>
        <v>519707.6714285712</v>
      </c>
      <c r="I87" s="29">
        <f>SUM(I79:I86)</f>
        <v>1040530.9474285713</v>
      </c>
      <c r="J87" s="29">
        <f>SUM(J79:J86)</f>
        <v>566573.4999085715</v>
      </c>
      <c r="K87" s="29">
        <f>SUM(K79:K86)</f>
        <v>582465.0538141713</v>
      </c>
      <c r="L87" s="29">
        <f>SUM(L79:L86)</f>
        <v>598163.1986515478</v>
      </c>
      <c r="M87" s="29"/>
      <c r="N87" s="28">
        <f aca="true" t="shared" si="52" ref="I87:T87">SUM(N79:N85)</f>
        <v>563516.1367741683</v>
      </c>
      <c r="O87" s="29">
        <f t="shared" si="52"/>
        <v>561386.3689155515</v>
      </c>
      <c r="P87" s="29">
        <f t="shared" si="52"/>
        <v>493134.7460509747</v>
      </c>
      <c r="Q87" s="29">
        <f t="shared" si="52"/>
        <v>515199.416701381</v>
      </c>
      <c r="R87" s="29">
        <f t="shared" si="52"/>
        <v>538454.1988248526</v>
      </c>
      <c r="S87" s="29">
        <f t="shared" si="52"/>
        <v>502905.605475046</v>
      </c>
      <c r="T87" s="29">
        <f t="shared" si="52"/>
        <v>528743.9534420703</v>
      </c>
    </row>
    <row r="88" spans="1:20" ht="7.5" customHeight="1" thickTop="1">
      <c r="A88" s="91">
        <f>ROW()</f>
        <v>88</v>
      </c>
      <c r="F88" s="161"/>
      <c r="G88" s="159"/>
      <c r="H88" s="26"/>
      <c r="I88" s="26"/>
      <c r="J88" s="26"/>
      <c r="K88" s="26"/>
      <c r="L88" s="26"/>
      <c r="M88" s="26"/>
      <c r="N88" s="23"/>
      <c r="O88" s="26"/>
      <c r="P88" s="26"/>
      <c r="Q88" s="26"/>
      <c r="R88" s="26"/>
      <c r="S88" s="26"/>
      <c r="T88" s="26"/>
    </row>
    <row r="89" spans="1:20" ht="12.75">
      <c r="A89" s="91">
        <f>ROW()</f>
        <v>89</v>
      </c>
      <c r="C89" s="167" t="s">
        <v>109</v>
      </c>
      <c r="F89" s="161"/>
      <c r="G89" s="159"/>
      <c r="H89" s="26">
        <f>-H34</f>
        <v>-384133.75</v>
      </c>
      <c r="I89" s="26">
        <f>-I34</f>
        <v>-425425</v>
      </c>
      <c r="J89" s="26">
        <f>-J34</f>
        <v>-450199.75</v>
      </c>
      <c r="K89" s="26">
        <f>-K34</f>
        <v>-474974.5</v>
      </c>
      <c r="L89" s="26">
        <f>-L34</f>
        <v>-552051.5</v>
      </c>
      <c r="M89" s="26"/>
      <c r="N89" s="23">
        <f>-N34</f>
        <v>-675925.25</v>
      </c>
      <c r="O89" s="26">
        <f>-O34</f>
        <v>-2602850.25</v>
      </c>
      <c r="P89" s="26">
        <f>-P34</f>
        <v>-150150</v>
      </c>
      <c r="Q89" s="26">
        <f>-Q34</f>
        <v>-150150</v>
      </c>
      <c r="R89" s="26">
        <f>-R34</f>
        <v>-1401400</v>
      </c>
      <c r="S89" s="26">
        <f>-S34</f>
        <v>0</v>
      </c>
      <c r="T89" s="26">
        <f>-T34</f>
        <v>0</v>
      </c>
    </row>
    <row r="90" spans="1:20" ht="13.5" thickBot="1">
      <c r="A90" s="91">
        <f>ROW()</f>
        <v>90</v>
      </c>
      <c r="B90" t="s">
        <v>26</v>
      </c>
      <c r="F90" s="161"/>
      <c r="G90" s="20"/>
      <c r="H90" s="25">
        <f>+H87+H89</f>
        <v>135573.92142857122</v>
      </c>
      <c r="I90" s="25">
        <f aca="true" t="shared" si="53" ref="I90:T90">+I87+I89</f>
        <v>615105.9474285713</v>
      </c>
      <c r="J90" s="25">
        <f t="shared" si="53"/>
        <v>116373.74990857148</v>
      </c>
      <c r="K90" s="25">
        <f t="shared" si="53"/>
        <v>107490.55381417135</v>
      </c>
      <c r="L90" s="25">
        <f t="shared" si="53"/>
        <v>46111.69865154778</v>
      </c>
      <c r="M90" s="25"/>
      <c r="N90" s="24">
        <f t="shared" si="53"/>
        <v>-112409.11322583165</v>
      </c>
      <c r="O90" s="25">
        <f t="shared" si="53"/>
        <v>-2041463.8810844487</v>
      </c>
      <c r="P90" s="25">
        <f t="shared" si="53"/>
        <v>342984.7460509747</v>
      </c>
      <c r="Q90" s="25">
        <f t="shared" si="53"/>
        <v>365049.416701381</v>
      </c>
      <c r="R90" s="25">
        <f t="shared" si="53"/>
        <v>-862945.8011751474</v>
      </c>
      <c r="S90" s="25">
        <f t="shared" si="53"/>
        <v>502905.605475046</v>
      </c>
      <c r="T90" s="25">
        <f t="shared" si="53"/>
        <v>528743.9534420703</v>
      </c>
    </row>
    <row r="91" spans="1:14" ht="9" customHeight="1" thickTop="1">
      <c r="A91" s="91">
        <f>ROW()</f>
        <v>91</v>
      </c>
      <c r="F91" s="161"/>
      <c r="G91" s="22"/>
      <c r="N91" s="22"/>
    </row>
    <row r="92" spans="1:14" ht="15" customHeight="1" thickBot="1">
      <c r="A92" s="91">
        <f>ROW()</f>
        <v>92</v>
      </c>
      <c r="C92" t="s">
        <v>84</v>
      </c>
      <c r="G92" s="24">
        <f aca="true" t="shared" si="54" ref="G92:L92">+G82+G74</f>
        <v>1001000</v>
      </c>
      <c r="H92" s="132">
        <f t="shared" si="54"/>
        <v>1212377.2</v>
      </c>
      <c r="I92" s="13">
        <f t="shared" si="54"/>
        <v>1272801.1320000002</v>
      </c>
      <c r="J92" s="13">
        <f t="shared" si="54"/>
        <v>1336484.6683600002</v>
      </c>
      <c r="K92" s="13">
        <f t="shared" si="54"/>
        <v>1403610.5861052</v>
      </c>
      <c r="L92" s="13">
        <f t="shared" si="54"/>
        <v>1474372.142693812</v>
      </c>
      <c r="M92" s="133"/>
      <c r="N92" s="24">
        <f>+N82+N74</f>
        <v>1548973.6855797821</v>
      </c>
    </row>
    <row r="93" spans="1:14" ht="14.25" thickBot="1" thickTop="1">
      <c r="A93" s="91">
        <f>ROW()</f>
        <v>93</v>
      </c>
      <c r="C93" s="125" t="s">
        <v>27</v>
      </c>
      <c r="D93" s="125"/>
      <c r="E93" s="125"/>
      <c r="F93" s="17"/>
      <c r="G93" s="22"/>
      <c r="N93" s="22"/>
    </row>
    <row r="94" spans="1:21" ht="12.75">
      <c r="A94" s="91">
        <f>ROW()</f>
        <v>94</v>
      </c>
      <c r="C94" t="s">
        <v>71</v>
      </c>
      <c r="F94" s="99" t="s">
        <v>48</v>
      </c>
      <c r="G94" s="67">
        <f>+F14</f>
        <v>6.403596403596404</v>
      </c>
      <c r="N94" s="23">
        <f>+G94*N92</f>
        <v>9919002.32224416</v>
      </c>
      <c r="P94" s="145"/>
      <c r="Q94" s="145"/>
      <c r="R94" s="145"/>
      <c r="S94" s="145"/>
      <c r="T94" s="145"/>
      <c r="U94" s="145"/>
    </row>
    <row r="95" spans="1:21" ht="17.25" customHeight="1" thickBot="1">
      <c r="A95" s="91">
        <f>ROW()</f>
        <v>95</v>
      </c>
      <c r="C95" t="s">
        <v>46</v>
      </c>
      <c r="F95" s="235">
        <f>+O57</f>
        <v>0.05087304357166422</v>
      </c>
      <c r="G95" s="96">
        <f>+K9</f>
        <v>0.10930220041032483</v>
      </c>
      <c r="N95" s="20">
        <f>+O87/($G$95-$F$95)</f>
        <v>9607983.398865359</v>
      </c>
      <c r="P95" s="145"/>
      <c r="Q95" s="145"/>
      <c r="R95" s="145"/>
      <c r="S95" s="145"/>
      <c r="T95" s="145"/>
      <c r="U95" s="145"/>
    </row>
    <row r="96" spans="1:21" ht="16.5" customHeight="1" thickBot="1">
      <c r="A96" s="91">
        <f>ROW()</f>
        <v>96</v>
      </c>
      <c r="C96" s="17" t="s">
        <v>47</v>
      </c>
      <c r="D96" s="17"/>
      <c r="E96" s="17"/>
      <c r="G96" s="22"/>
      <c r="N96" s="54">
        <f>+(N94+N95)/2</f>
        <v>9763492.860554758</v>
      </c>
      <c r="P96" s="206"/>
      <c r="Q96" s="206"/>
      <c r="R96" s="206"/>
      <c r="S96" s="206"/>
      <c r="T96" s="206"/>
      <c r="U96" s="206"/>
    </row>
    <row r="97" spans="1:21" ht="14.25" thickBot="1" thickTop="1">
      <c r="A97" s="91">
        <f>ROW()</f>
        <v>97</v>
      </c>
      <c r="C97" t="s">
        <v>28</v>
      </c>
      <c r="G97" s="22"/>
      <c r="N97" s="27">
        <f>+N20+N29</f>
        <v>3480977.5</v>
      </c>
      <c r="P97" s="195"/>
      <c r="Q97" s="196"/>
      <c r="R97" s="146"/>
      <c r="S97" s="146"/>
      <c r="T97" s="146"/>
      <c r="U97" s="146"/>
    </row>
    <row r="98" spans="1:21" ht="12.75">
      <c r="A98" s="91">
        <f>ROW()</f>
        <v>98</v>
      </c>
      <c r="C98" t="s">
        <v>29</v>
      </c>
      <c r="G98" s="23"/>
      <c r="N98" s="23">
        <f>+N96-N97</f>
        <v>6282515.360554758</v>
      </c>
      <c r="P98" s="147"/>
      <c r="Q98" s="148"/>
      <c r="R98" s="149"/>
      <c r="S98" s="149"/>
      <c r="T98" s="149"/>
      <c r="U98" s="149"/>
    </row>
    <row r="99" spans="1:21" ht="13.5" customHeight="1">
      <c r="A99" s="91">
        <f>ROW()</f>
        <v>99</v>
      </c>
      <c r="G99" s="22"/>
      <c r="N99" s="22"/>
      <c r="P99" s="193"/>
      <c r="Q99" s="150"/>
      <c r="R99" s="151"/>
      <c r="S99" s="152"/>
      <c r="T99" s="153"/>
      <c r="U99" s="151"/>
    </row>
    <row r="100" spans="1:21" ht="13.5" thickBot="1">
      <c r="A100" s="91">
        <f>ROW()</f>
        <v>100</v>
      </c>
      <c r="C100" t="s">
        <v>26</v>
      </c>
      <c r="G100" s="56">
        <f>-G8</f>
        <v>-2598300</v>
      </c>
      <c r="H100" s="55">
        <f>+H90+H96-H97</f>
        <v>135573.92142857122</v>
      </c>
      <c r="I100" s="55">
        <f>+I90+I96-I97</f>
        <v>615105.9474285713</v>
      </c>
      <c r="J100" s="55">
        <f>+J90+J96-J97</f>
        <v>116373.74990857148</v>
      </c>
      <c r="K100" s="55">
        <f>+K90+K96-K97</f>
        <v>107490.55381417135</v>
      </c>
      <c r="L100" s="55">
        <f>+L90+L96-L97</f>
        <v>46111.69865154778</v>
      </c>
      <c r="M100" s="55"/>
      <c r="N100" s="56">
        <f>+N98+N90</f>
        <v>6170106.247328927</v>
      </c>
      <c r="P100" s="193"/>
      <c r="Q100" s="150"/>
      <c r="R100" s="151"/>
      <c r="S100" s="151"/>
      <c r="T100" s="151"/>
      <c r="U100" s="151"/>
    </row>
    <row r="101" spans="1:21" ht="13.5" thickTop="1">
      <c r="A101" s="91">
        <f>ROW()</f>
        <v>101</v>
      </c>
      <c r="G101" s="26"/>
      <c r="H101" s="30" t="s">
        <v>30</v>
      </c>
      <c r="I101" s="30" t="s">
        <v>30</v>
      </c>
      <c r="J101" s="30" t="s">
        <v>30</v>
      </c>
      <c r="K101" s="30" t="s">
        <v>30</v>
      </c>
      <c r="L101" s="30" t="s">
        <v>30</v>
      </c>
      <c r="M101" s="32"/>
      <c r="N101" s="32" t="s">
        <v>30</v>
      </c>
      <c r="P101" s="193"/>
      <c r="Q101" s="150"/>
      <c r="R101" s="151"/>
      <c r="S101" s="151"/>
      <c r="T101" s="151"/>
      <c r="U101" s="151"/>
    </row>
    <row r="102" spans="1:21" ht="13.5" thickBot="1">
      <c r="A102" s="91">
        <f>ROW()</f>
        <v>102</v>
      </c>
      <c r="C102" s="31" t="s">
        <v>54</v>
      </c>
      <c r="D102" s="31"/>
      <c r="E102" s="31"/>
      <c r="F102" s="31"/>
      <c r="G102" s="97">
        <f>+I8</f>
        <v>0.18245</v>
      </c>
      <c r="H102" s="102">
        <f>(1/(1+$G102))^1</f>
        <v>0.8457017210030022</v>
      </c>
      <c r="I102" s="102">
        <f>(1/(1+$G102))^2</f>
        <v>0.7152114009074398</v>
      </c>
      <c r="J102" s="102">
        <f>(1/(1+$G102))^3</f>
        <v>0.6048555126283901</v>
      </c>
      <c r="K102" s="102">
        <f>(1/(1+$G102))^4</f>
        <v>0.5115273479879826</v>
      </c>
      <c r="L102" s="102">
        <f>(1/(1+$G102))^5</f>
        <v>0.4325995585335385</v>
      </c>
      <c r="M102" s="102"/>
      <c r="N102" s="102">
        <f>(1/(1+$G102))^6</f>
        <v>0.3658501911569525</v>
      </c>
      <c r="P102" s="193"/>
      <c r="Q102" s="150"/>
      <c r="R102" s="151"/>
      <c r="S102" s="151"/>
      <c r="T102" s="151"/>
      <c r="U102" s="151"/>
    </row>
    <row r="103" spans="1:21" ht="13.5" thickBot="1">
      <c r="A103" s="91">
        <f>ROW()</f>
        <v>103</v>
      </c>
      <c r="C103" s="31" t="s">
        <v>55</v>
      </c>
      <c r="D103" s="31"/>
      <c r="E103" s="31"/>
      <c r="F103" s="31"/>
      <c r="G103" s="39">
        <f>SUM(H103:N103)</f>
        <v>2957241.9976498005</v>
      </c>
      <c r="H103" s="40">
        <f aca="true" t="shared" si="55" ref="H103:N103">+H102*H100</f>
        <v>114655.09867526848</v>
      </c>
      <c r="I103" s="40">
        <f t="shared" si="55"/>
        <v>439930.7863668865</v>
      </c>
      <c r="J103" s="40">
        <f t="shared" si="55"/>
        <v>70389.30415743707</v>
      </c>
      <c r="K103" s="40">
        <f t="shared" si="55"/>
        <v>54984.3579263226</v>
      </c>
      <c r="L103" s="40">
        <f t="shared" si="55"/>
        <v>19947.90047989113</v>
      </c>
      <c r="M103" s="40"/>
      <c r="N103" s="40">
        <f t="shared" si="55"/>
        <v>2257334.5500439946</v>
      </c>
      <c r="P103" s="193"/>
      <c r="Q103" s="150"/>
      <c r="R103" s="151"/>
      <c r="S103" s="151"/>
      <c r="T103" s="151"/>
      <c r="U103" s="151"/>
    </row>
    <row r="104" spans="1:21" ht="12.75" customHeight="1">
      <c r="A104" s="91">
        <f>ROW()</f>
        <v>104</v>
      </c>
      <c r="C104" s="31"/>
      <c r="D104" s="31"/>
      <c r="E104" s="31"/>
      <c r="F104" s="31"/>
      <c r="G104" s="31"/>
      <c r="H104" s="40"/>
      <c r="I104" s="40"/>
      <c r="J104" s="40"/>
      <c r="K104" s="40"/>
      <c r="L104" s="40"/>
      <c r="M104" s="40"/>
      <c r="N104" s="40"/>
      <c r="P104" s="193"/>
      <c r="Q104" s="150"/>
      <c r="R104" s="151"/>
      <c r="S104" s="151"/>
      <c r="T104" s="151"/>
      <c r="U104" s="151"/>
    </row>
    <row r="105" spans="1:21" ht="12.75">
      <c r="A105" s="91">
        <f>ROW()</f>
        <v>105</v>
      </c>
      <c r="C105" s="31" t="s">
        <v>31</v>
      </c>
      <c r="D105" s="31"/>
      <c r="E105" s="31"/>
      <c r="F105" s="31"/>
      <c r="G105" s="34">
        <f>+G100</f>
        <v>-2598300</v>
      </c>
      <c r="H105" s="33"/>
      <c r="P105" s="193"/>
      <c r="Q105" s="150"/>
      <c r="R105" s="151"/>
      <c r="S105" s="151"/>
      <c r="T105" s="151"/>
      <c r="U105" s="151"/>
    </row>
    <row r="106" spans="1:21" ht="13.5" thickBot="1">
      <c r="A106" s="91">
        <f>ROW()</f>
        <v>106</v>
      </c>
      <c r="C106" s="31" t="s">
        <v>32</v>
      </c>
      <c r="D106" s="31"/>
      <c r="E106" s="31"/>
      <c r="F106" s="31"/>
      <c r="G106" s="29">
        <f>+G103+G105</f>
        <v>358941.9976498005</v>
      </c>
      <c r="P106" s="193"/>
      <c r="Q106" s="150"/>
      <c r="R106" s="151"/>
      <c r="S106" s="151"/>
      <c r="T106" s="151"/>
      <c r="U106" s="151"/>
    </row>
    <row r="107" spans="1:21" ht="14.25" customHeight="1" thickBot="1" thickTop="1">
      <c r="A107" s="91">
        <f>ROW()</f>
        <v>107</v>
      </c>
      <c r="C107" s="31"/>
      <c r="D107" s="31"/>
      <c r="E107" s="31"/>
      <c r="F107" s="31"/>
      <c r="G107" s="35"/>
      <c r="H107" s="33"/>
      <c r="P107" s="193"/>
      <c r="Q107" s="150"/>
      <c r="R107" s="151"/>
      <c r="S107" s="151"/>
      <c r="T107" s="151"/>
      <c r="U107" s="151"/>
    </row>
    <row r="108" spans="1:21" ht="12.75" customHeight="1" thickBot="1">
      <c r="A108" s="91">
        <f>ROW()</f>
        <v>108</v>
      </c>
      <c r="C108" s="31" t="s">
        <v>33</v>
      </c>
      <c r="D108" s="31"/>
      <c r="E108" s="31"/>
      <c r="F108" s="31"/>
      <c r="G108" s="53">
        <f>IRR(G100:N100)</f>
        <v>0.2130858516588512</v>
      </c>
      <c r="P108" s="194"/>
      <c r="Q108" s="150"/>
      <c r="R108" s="151"/>
      <c r="S108" s="151"/>
      <c r="T108" s="151"/>
      <c r="U108" s="151"/>
    </row>
    <row r="109" spans="1:21" ht="13.5" thickBot="1">
      <c r="A109" s="91">
        <f>ROW()</f>
        <v>109</v>
      </c>
      <c r="P109" s="145"/>
      <c r="Q109" s="145"/>
      <c r="R109" s="145"/>
      <c r="S109" s="145"/>
      <c r="T109" s="145"/>
      <c r="U109" s="145"/>
    </row>
    <row r="110" spans="1:20" ht="15" customHeight="1" thickBot="1">
      <c r="A110" s="91">
        <f>ROW()</f>
        <v>110</v>
      </c>
      <c r="C110" s="49" t="s">
        <v>102</v>
      </c>
      <c r="D110" s="49"/>
      <c r="E110" s="49"/>
      <c r="F110" s="49"/>
      <c r="G110" s="50"/>
      <c r="H110" s="50"/>
      <c r="I110" s="50"/>
      <c r="J110" s="50"/>
      <c r="K110" s="50"/>
      <c r="L110" s="50"/>
      <c r="M110" s="50"/>
      <c r="N110" s="51"/>
      <c r="O110" s="52"/>
      <c r="P110" s="50"/>
      <c r="Q110" s="50"/>
      <c r="R110" s="50"/>
      <c r="S110" s="50"/>
      <c r="T110" s="50"/>
    </row>
    <row r="111" spans="1:14" ht="16.5" customHeight="1">
      <c r="A111" s="91">
        <f>ROW()</f>
        <v>111</v>
      </c>
      <c r="C111" s="1" t="s">
        <v>37</v>
      </c>
      <c r="D111" s="1"/>
      <c r="E111" s="1"/>
      <c r="F111" s="1"/>
      <c r="G111" s="87" t="s">
        <v>25</v>
      </c>
      <c r="H111" s="88" t="s">
        <v>19</v>
      </c>
      <c r="I111" s="88" t="s">
        <v>20</v>
      </c>
      <c r="J111" s="88" t="s">
        <v>21</v>
      </c>
      <c r="K111" s="88" t="s">
        <v>22</v>
      </c>
      <c r="L111" s="88" t="s">
        <v>23</v>
      </c>
      <c r="M111" s="88"/>
      <c r="N111" s="87" t="s">
        <v>12</v>
      </c>
    </row>
    <row r="112" spans="1:14" ht="13.5" thickBot="1">
      <c r="A112" s="91">
        <f>ROW()</f>
        <v>112</v>
      </c>
      <c r="G112" s="92">
        <v>2014</v>
      </c>
      <c r="H112" s="90">
        <f>+G112+1</f>
        <v>2015</v>
      </c>
      <c r="I112" s="90">
        <f>+H112+1</f>
        <v>2016</v>
      </c>
      <c r="J112" s="90">
        <f>+I112+1</f>
        <v>2017</v>
      </c>
      <c r="K112" s="90">
        <f>+J112+1</f>
        <v>2018</v>
      </c>
      <c r="L112" s="90">
        <f>+K112+1</f>
        <v>2019</v>
      </c>
      <c r="M112" s="90"/>
      <c r="N112" s="89">
        <f>+L112+1</f>
        <v>2020</v>
      </c>
    </row>
    <row r="113" spans="1:21" ht="12.75">
      <c r="A113" s="91">
        <f>ROW()</f>
        <v>113</v>
      </c>
      <c r="P113" s="145"/>
      <c r="Q113" s="145"/>
      <c r="R113" s="145"/>
      <c r="S113" s="145"/>
      <c r="T113" s="145"/>
      <c r="U113" s="145"/>
    </row>
    <row r="114" spans="1:14" ht="12.75">
      <c r="A114" s="91">
        <f>ROW()</f>
        <v>114</v>
      </c>
      <c r="C114" s="167" t="s">
        <v>103</v>
      </c>
      <c r="G114" s="18">
        <f>+G20</f>
        <v>2752750</v>
      </c>
      <c r="H114" s="18">
        <f>+H20</f>
        <v>2752750</v>
      </c>
      <c r="I114" s="18">
        <f>+I20</f>
        <v>2725222.5</v>
      </c>
      <c r="J114" s="18">
        <f>+J20</f>
        <v>2697695</v>
      </c>
      <c r="K114" s="18">
        <f>+K20</f>
        <v>2642640</v>
      </c>
      <c r="L114" s="18">
        <f>+L20</f>
        <v>2505002.5</v>
      </c>
      <c r="N114" s="18">
        <f>+N20</f>
        <v>2229727.5</v>
      </c>
    </row>
    <row r="115" spans="1:14" ht="12.75">
      <c r="A115" s="91">
        <f>ROW()</f>
        <v>115</v>
      </c>
      <c r="C115" s="167" t="s">
        <v>18</v>
      </c>
      <c r="G115" s="18">
        <f>+G35</f>
        <v>4004000</v>
      </c>
      <c r="H115" s="18">
        <f>+H35</f>
        <v>4004000</v>
      </c>
      <c r="I115" s="18">
        <f>+I35</f>
        <v>3976472.5</v>
      </c>
      <c r="J115" s="18">
        <f>+J35</f>
        <v>3948945</v>
      </c>
      <c r="K115" s="18">
        <f>+K35</f>
        <v>3893890</v>
      </c>
      <c r="L115" s="18">
        <f>+L35</f>
        <v>3756252.5</v>
      </c>
      <c r="N115" s="18">
        <f>+N35</f>
        <v>3480977.5</v>
      </c>
    </row>
    <row r="116" spans="1:14" ht="12.75">
      <c r="A116" s="91">
        <f>ROW()</f>
        <v>116</v>
      </c>
      <c r="C116" s="167" t="s">
        <v>104</v>
      </c>
      <c r="H116" s="18">
        <f>-H78</f>
        <v>384133.75</v>
      </c>
      <c r="I116" s="18">
        <f>-I78</f>
        <v>397897.5</v>
      </c>
      <c r="J116" s="18">
        <f>-J78</f>
        <v>422672.25</v>
      </c>
      <c r="K116" s="18">
        <f>-K78</f>
        <v>419919.5</v>
      </c>
      <c r="L116" s="18">
        <f>-L78</f>
        <v>414414</v>
      </c>
      <c r="N116" s="18">
        <f>-N78</f>
        <v>400650.25</v>
      </c>
    </row>
    <row r="117" ht="12.75">
      <c r="A117" s="91">
        <f>ROW()</f>
        <v>117</v>
      </c>
    </row>
    <row r="118" spans="1:14" ht="12.75">
      <c r="A118" s="91">
        <f>ROW()</f>
        <v>118</v>
      </c>
      <c r="C118" s="167" t="s">
        <v>84</v>
      </c>
      <c r="G118" s="18">
        <f aca="true" t="shared" si="56" ref="G118:L118">+G92</f>
        <v>1001000</v>
      </c>
      <c r="H118" s="18">
        <f t="shared" si="56"/>
        <v>1212377.2</v>
      </c>
      <c r="I118" s="18">
        <f t="shared" si="56"/>
        <v>1272801.1320000002</v>
      </c>
      <c r="J118" s="18">
        <f t="shared" si="56"/>
        <v>1336484.6683600002</v>
      </c>
      <c r="K118" s="18">
        <f t="shared" si="56"/>
        <v>1403610.5861052</v>
      </c>
      <c r="L118" s="18">
        <f t="shared" si="56"/>
        <v>1474372.142693812</v>
      </c>
      <c r="N118" s="18">
        <f>+N92</f>
        <v>1548973.6855797821</v>
      </c>
    </row>
    <row r="119" ht="12.75">
      <c r="A119" s="91">
        <f>ROW()</f>
        <v>119</v>
      </c>
    </row>
    <row r="120" spans="1:14" ht="12.75">
      <c r="A120" s="91">
        <f>ROW()</f>
        <v>120</v>
      </c>
      <c r="C120" s="167" t="s">
        <v>105</v>
      </c>
      <c r="G120" s="170">
        <f>+G114/G118</f>
        <v>2.75</v>
      </c>
      <c r="H120" s="170">
        <f aca="true" t="shared" si="57" ref="H120:N120">+H114/H118</f>
        <v>2.2705392348189988</v>
      </c>
      <c r="I120" s="170">
        <f t="shared" si="57"/>
        <v>2.1411219957965906</v>
      </c>
      <c r="J120" s="170">
        <f t="shared" si="57"/>
        <v>2.0185005214540475</v>
      </c>
      <c r="K120" s="170">
        <f t="shared" si="57"/>
        <v>1.8827444208246626</v>
      </c>
      <c r="L120" s="170">
        <f t="shared" si="57"/>
        <v>1.6990299989140683</v>
      </c>
      <c r="N120" s="170">
        <f t="shared" si="57"/>
        <v>1.439487010501028</v>
      </c>
    </row>
    <row r="121" spans="1:14" ht="12.75">
      <c r="A121" s="91">
        <f>ROW()</f>
        <v>121</v>
      </c>
      <c r="C121" s="167" t="s">
        <v>106</v>
      </c>
      <c r="G121" s="170">
        <f aca="true" t="shared" si="58" ref="G121:L121">+G115/G92</f>
        <v>4</v>
      </c>
      <c r="H121" s="170">
        <f t="shared" si="58"/>
        <v>3.302602523373089</v>
      </c>
      <c r="I121" s="170">
        <f t="shared" si="58"/>
        <v>3.1241899461164206</v>
      </c>
      <c r="J121" s="170">
        <f t="shared" si="58"/>
        <v>2.9547252531117687</v>
      </c>
      <c r="K121" s="170">
        <f t="shared" si="58"/>
        <v>2.7741953776545216</v>
      </c>
      <c r="L121" s="170">
        <f t="shared" si="58"/>
        <v>2.5476963320379786</v>
      </c>
      <c r="N121" s="170">
        <f>+N115/N92</f>
        <v>2.24727994568679</v>
      </c>
    </row>
    <row r="122" spans="1:14" ht="12.75">
      <c r="A122" s="91">
        <f>ROW()</f>
        <v>122</v>
      </c>
      <c r="C122" s="167" t="s">
        <v>107</v>
      </c>
      <c r="G122" s="170"/>
      <c r="H122" s="170">
        <f>+H92/-H78</f>
        <v>3.156132987533639</v>
      </c>
      <c r="I122" s="170">
        <f>+I92/-I78</f>
        <v>3.1988166098052897</v>
      </c>
      <c r="J122" s="170">
        <f>+J92/-J78</f>
        <v>3.1619882032946336</v>
      </c>
      <c r="K122" s="170">
        <f>+K92/-K78</f>
        <v>3.342570626287181</v>
      </c>
      <c r="L122" s="170">
        <f>+L92/-L78</f>
        <v>3.5577276411844485</v>
      </c>
      <c r="N122" s="170">
        <f>+N92/-N78</f>
        <v>3.866149304985538</v>
      </c>
    </row>
    <row r="123" spans="1:14" ht="12.75">
      <c r="A123" s="91">
        <f>ROW()</f>
        <v>123</v>
      </c>
      <c r="C123" s="167" t="s">
        <v>108</v>
      </c>
      <c r="G123" s="170"/>
      <c r="H123" s="170">
        <f>+H87/-H89</f>
        <v>1.352934157513031</v>
      </c>
      <c r="I123" s="170">
        <f>+I87/-I89</f>
        <v>2.4458622493472912</v>
      </c>
      <c r="J123" s="170">
        <f>+J87/-J89</f>
        <v>1.2584935906973993</v>
      </c>
      <c r="K123" s="170">
        <f>+K87/-K89</f>
        <v>1.2263080519357805</v>
      </c>
      <c r="L123" s="170">
        <f>+L87/-L89</f>
        <v>1.0835278930526369</v>
      </c>
      <c r="N123" s="170">
        <f>+N87/-N89</f>
        <v>0.8336959401563536</v>
      </c>
    </row>
    <row r="124" spans="1:15" ht="13.5" thickBot="1">
      <c r="A124" s="91">
        <f>ROW()</f>
        <v>124</v>
      </c>
      <c r="H124" s="19"/>
      <c r="J124" s="19"/>
      <c r="K124" s="19"/>
      <c r="L124" s="19"/>
      <c r="N124" s="19"/>
      <c r="O124" s="19"/>
    </row>
    <row r="125" spans="1:20" ht="15" customHeight="1" thickBot="1">
      <c r="A125" s="91">
        <f>ROW()</f>
        <v>125</v>
      </c>
      <c r="C125" s="49" t="s">
        <v>97</v>
      </c>
      <c r="D125" s="49"/>
      <c r="E125" s="49"/>
      <c r="F125" s="49"/>
      <c r="G125" s="50"/>
      <c r="H125" s="50"/>
      <c r="I125" s="50"/>
      <c r="J125" s="50"/>
      <c r="K125" s="50"/>
      <c r="L125" s="50"/>
      <c r="M125" s="50"/>
      <c r="N125" s="51"/>
      <c r="O125" s="52"/>
      <c r="P125" s="50"/>
      <c r="Q125" s="50"/>
      <c r="R125" s="50"/>
      <c r="S125" s="50"/>
      <c r="T125" s="50"/>
    </row>
    <row r="126" spans="1:15" ht="12.75">
      <c r="A126" s="91">
        <f>ROW()</f>
        <v>126</v>
      </c>
      <c r="C126" s="167" t="s">
        <v>100</v>
      </c>
      <c r="D126" s="168" t="s">
        <v>101</v>
      </c>
      <c r="H126" s="19"/>
      <c r="J126" s="19"/>
      <c r="K126" s="19"/>
      <c r="L126" s="19"/>
      <c r="N126" s="19"/>
      <c r="O126" s="19"/>
    </row>
    <row r="127" spans="1:15" ht="12.75">
      <c r="A127" s="91">
        <f>ROW()</f>
        <v>127</v>
      </c>
      <c r="C127" s="167" t="s">
        <v>96</v>
      </c>
      <c r="D127" s="168" t="s">
        <v>95</v>
      </c>
      <c r="H127" s="19"/>
      <c r="J127" s="19"/>
      <c r="K127" s="19"/>
      <c r="L127" s="19"/>
      <c r="N127" s="19"/>
      <c r="O127" s="19"/>
    </row>
    <row r="128" spans="1:10" ht="12.75">
      <c r="A128" s="91">
        <f>ROW()</f>
        <v>128</v>
      </c>
      <c r="C128" s="167" t="s">
        <v>99</v>
      </c>
      <c r="D128" s="168" t="s">
        <v>98</v>
      </c>
      <c r="H128" s="19"/>
      <c r="J128" s="19"/>
    </row>
    <row r="129" spans="1:8" ht="12.75">
      <c r="A129" s="91">
        <f>ROW()</f>
        <v>129</v>
      </c>
      <c r="H129" s="19"/>
    </row>
    <row r="130" spans="1:8" ht="12.75">
      <c r="A130" s="91">
        <f>ROW()</f>
        <v>130</v>
      </c>
      <c r="H130" s="19"/>
    </row>
    <row r="131" spans="1:8" ht="12.75">
      <c r="A131" s="91">
        <f>ROW()</f>
        <v>131</v>
      </c>
      <c r="H131" s="19"/>
    </row>
    <row r="132" spans="1:8" ht="12.75">
      <c r="A132" s="91">
        <f>ROW()</f>
        <v>132</v>
      </c>
      <c r="H132" s="19"/>
    </row>
    <row r="133" spans="1:8" ht="12.75">
      <c r="A133" s="91">
        <f>ROW()</f>
        <v>133</v>
      </c>
      <c r="H133" s="19"/>
    </row>
    <row r="134" spans="1:8" ht="12.75">
      <c r="A134" s="91">
        <f>ROW()</f>
        <v>134</v>
      </c>
      <c r="H134" s="19"/>
    </row>
    <row r="135" spans="1:8" ht="12.75">
      <c r="A135" s="91">
        <f>ROW()</f>
        <v>135</v>
      </c>
      <c r="H135" s="19"/>
    </row>
    <row r="136" spans="1:8" ht="12.75">
      <c r="A136" s="91">
        <f>ROW()</f>
        <v>136</v>
      </c>
      <c r="H136" s="19"/>
    </row>
    <row r="137" spans="1:8" ht="12.75">
      <c r="A137" s="91">
        <f>ROW()</f>
        <v>137</v>
      </c>
      <c r="H137" s="19"/>
    </row>
    <row r="138" spans="1:8" ht="12.75">
      <c r="A138" s="91">
        <f>ROW()</f>
        <v>138</v>
      </c>
      <c r="H138" s="19"/>
    </row>
    <row r="139" spans="1:8" ht="12.75">
      <c r="A139" s="91">
        <f>ROW()</f>
        <v>139</v>
      </c>
      <c r="H139" s="19"/>
    </row>
    <row r="140" spans="1:8" ht="12.75">
      <c r="A140" s="91">
        <f>ROW()</f>
        <v>140</v>
      </c>
      <c r="H140" s="19"/>
    </row>
    <row r="141" spans="1:8" ht="12.75">
      <c r="A141" s="91">
        <f>ROW()</f>
        <v>141</v>
      </c>
      <c r="H141" s="19"/>
    </row>
    <row r="142" spans="1:8" ht="12.75">
      <c r="A142" s="91">
        <f>ROW()</f>
        <v>142</v>
      </c>
      <c r="H142" s="19"/>
    </row>
    <row r="143" spans="1:8" ht="12.75">
      <c r="A143" s="91">
        <f>ROW()</f>
        <v>143</v>
      </c>
      <c r="H143" s="19"/>
    </row>
    <row r="144" spans="1:8" ht="12.75">
      <c r="A144" s="91">
        <f>ROW()</f>
        <v>144</v>
      </c>
      <c r="H144" s="19"/>
    </row>
    <row r="145" spans="1:8" ht="12.75">
      <c r="A145" s="91">
        <f>ROW()</f>
        <v>145</v>
      </c>
      <c r="H145" s="19"/>
    </row>
    <row r="146" spans="1:8" ht="12.75">
      <c r="A146" s="91">
        <f>ROW()</f>
        <v>146</v>
      </c>
      <c r="H146" s="19"/>
    </row>
    <row r="147" spans="1:8" ht="12.75">
      <c r="A147" s="91">
        <f>ROW()</f>
        <v>147</v>
      </c>
      <c r="H147" s="19"/>
    </row>
    <row r="148" spans="1:8" ht="12.75">
      <c r="A148" s="91">
        <f>ROW()</f>
        <v>148</v>
      </c>
      <c r="H148" s="19"/>
    </row>
    <row r="149" spans="1:8" ht="12.75">
      <c r="A149" s="91">
        <f>ROW()</f>
        <v>149</v>
      </c>
      <c r="H149" s="19"/>
    </row>
    <row r="150" spans="1:8" ht="12.75">
      <c r="A150" s="91">
        <f>ROW()</f>
        <v>150</v>
      </c>
      <c r="H150" s="19"/>
    </row>
    <row r="151" spans="1:8" ht="12.75">
      <c r="A151" s="91">
        <f>ROW()</f>
        <v>151</v>
      </c>
      <c r="H151" s="19"/>
    </row>
    <row r="152" spans="1:8" ht="12.75">
      <c r="A152" s="91">
        <f>ROW()</f>
        <v>152</v>
      </c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</sheetData>
  <sheetProtection/>
  <mergeCells count="7">
    <mergeCell ref="P99:P108"/>
    <mergeCell ref="P97:Q97"/>
    <mergeCell ref="Q4:S4"/>
    <mergeCell ref="N11:P11"/>
    <mergeCell ref="N8:P8"/>
    <mergeCell ref="N4:P4"/>
    <mergeCell ref="P96:U96"/>
  </mergeCells>
  <hyperlinks>
    <hyperlink ref="D127" r:id="rId1" display="http://www.treasury.gov/resource-center/data-chart-center/interest-rates/Pages/TextView.aspx?data=yield "/>
    <hyperlink ref="D126" r:id="rId2" display="http://finance.yahoo.com/"/>
    <hyperlink ref="D128" r:id="rId3" display="http://www.bankrate.com/rates/interest-rates/libor.aspx?ec_id=m1118120&amp;s_kwcid=AL!1325!3!41196777488!e!!g!!libor%20rate&amp;ef_id=Ux9NKQAAAcXzBiC8:20150227133807:s "/>
  </hyperlinks>
  <printOptions/>
  <pageMargins left="0.2" right="0.2" top="0.34" bottom="0.17" header="0.53" footer="0.17"/>
  <pageSetup fitToHeight="0" fitToWidth="1" horizontalDpi="1200" verticalDpi="1200" orientation="landscape" scale="51" r:id="rId5"/>
  <rowBreaks count="1" manualBreakCount="1">
    <brk id="109" max="20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5.7109375" style="0" customWidth="1"/>
    <col min="3" max="3" width="29.28125" style="0" customWidth="1"/>
    <col min="4" max="4" width="11.8515625" style="0" customWidth="1"/>
    <col min="5" max="5" width="12.8515625" style="19" bestFit="1" customWidth="1"/>
    <col min="6" max="6" width="12.57421875" style="19" customWidth="1"/>
    <col min="7" max="7" width="12.00390625" style="0" customWidth="1"/>
  </cols>
  <sheetData>
    <row r="2" spans="4:7" ht="12.75">
      <c r="D2" s="1"/>
      <c r="E2" s="192" t="s">
        <v>154</v>
      </c>
      <c r="F2" s="192" t="s">
        <v>155</v>
      </c>
      <c r="G2" s="1" t="s">
        <v>156</v>
      </c>
    </row>
    <row r="3" spans="2:7" ht="12.75">
      <c r="B3" t="s">
        <v>115</v>
      </c>
      <c r="D3" s="191">
        <v>41912</v>
      </c>
      <c r="E3" s="190"/>
      <c r="F3" s="190"/>
      <c r="G3" s="191">
        <f>+D3</f>
        <v>41912</v>
      </c>
    </row>
    <row r="5" ht="12.75">
      <c r="B5" t="s">
        <v>116</v>
      </c>
    </row>
    <row r="6" ht="12.75">
      <c r="B6" t="s">
        <v>117</v>
      </c>
    </row>
    <row r="7" spans="3:7" ht="12.75">
      <c r="C7" t="s">
        <v>118</v>
      </c>
      <c r="D7" s="189">
        <v>514000</v>
      </c>
      <c r="E7" s="19">
        <v>-414000</v>
      </c>
      <c r="G7" s="189">
        <f>+D7+E7-F7</f>
        <v>100000</v>
      </c>
    </row>
    <row r="8" spans="3:7" ht="12.75">
      <c r="C8" t="s">
        <v>119</v>
      </c>
      <c r="G8" s="189">
        <f aca="true" t="shared" si="0" ref="G8:G20">+D8+E8-F8</f>
        <v>0</v>
      </c>
    </row>
    <row r="9" spans="3:7" ht="12.75">
      <c r="C9" t="s">
        <v>120</v>
      </c>
      <c r="D9" s="189">
        <v>874000</v>
      </c>
      <c r="G9" s="189">
        <f t="shared" si="0"/>
        <v>874000</v>
      </c>
    </row>
    <row r="10" spans="3:7" ht="12.75">
      <c r="C10" t="s">
        <v>121</v>
      </c>
      <c r="D10" s="189">
        <v>198000</v>
      </c>
      <c r="G10" s="189">
        <f t="shared" si="0"/>
        <v>198000</v>
      </c>
    </row>
    <row r="11" spans="3:7" ht="12.75">
      <c r="C11" t="s">
        <v>122</v>
      </c>
      <c r="D11" s="189">
        <v>166000</v>
      </c>
      <c r="G11" s="189">
        <f t="shared" si="0"/>
        <v>166000</v>
      </c>
    </row>
    <row r="12" ht="12.75">
      <c r="G12" s="189"/>
    </row>
    <row r="13" spans="2:7" ht="12.75">
      <c r="B13" t="s">
        <v>123</v>
      </c>
      <c r="D13" s="189">
        <v>1752000</v>
      </c>
      <c r="G13" s="189">
        <f t="shared" si="0"/>
        <v>1752000</v>
      </c>
    </row>
    <row r="14" spans="2:7" ht="12.75">
      <c r="B14" t="s">
        <v>124</v>
      </c>
      <c r="D14" s="189">
        <v>479000</v>
      </c>
      <c r="G14" s="189">
        <f t="shared" si="0"/>
        <v>479000</v>
      </c>
    </row>
    <row r="15" spans="2:7" ht="12.75">
      <c r="B15" t="s">
        <v>125</v>
      </c>
      <c r="D15" s="189">
        <v>2942000</v>
      </c>
      <c r="G15" s="189">
        <f t="shared" si="0"/>
        <v>2942000</v>
      </c>
    </row>
    <row r="16" spans="2:7" ht="12.75">
      <c r="B16" t="s">
        <v>126</v>
      </c>
      <c r="E16" s="19">
        <f>+F49-SUM(E17:E47)-SUM(E3:E15)</f>
        <v>2609300</v>
      </c>
      <c r="G16" s="189">
        <f t="shared" si="0"/>
        <v>2609300</v>
      </c>
    </row>
    <row r="17" spans="2:7" ht="12.75">
      <c r="B17" t="s">
        <v>127</v>
      </c>
      <c r="D17" s="189">
        <v>1998000</v>
      </c>
      <c r="G17" s="189">
        <f t="shared" si="0"/>
        <v>1998000</v>
      </c>
    </row>
    <row r="18" spans="2:7" ht="12.75">
      <c r="B18" t="s">
        <v>128</v>
      </c>
      <c r="G18" s="189"/>
    </row>
    <row r="19" spans="2:7" ht="12.75">
      <c r="B19" t="s">
        <v>129</v>
      </c>
      <c r="D19" s="189">
        <v>680000</v>
      </c>
      <c r="G19" s="189">
        <f t="shared" si="0"/>
        <v>680000</v>
      </c>
    </row>
    <row r="20" spans="2:7" ht="12.75">
      <c r="B20" t="s">
        <v>130</v>
      </c>
      <c r="D20" s="189">
        <v>575000</v>
      </c>
      <c r="G20" s="189">
        <f t="shared" si="0"/>
        <v>575000</v>
      </c>
    </row>
    <row r="22" spans="2:7" ht="12.75">
      <c r="B22" t="s">
        <v>131</v>
      </c>
      <c r="D22" s="189">
        <f>SUM(D7:D21)</f>
        <v>10178000</v>
      </c>
      <c r="G22" s="189">
        <f>SUM(G7:G21)</f>
        <v>12373300</v>
      </c>
    </row>
    <row r="24" ht="12.75">
      <c r="B24" t="s">
        <v>132</v>
      </c>
    </row>
    <row r="25" ht="12.75">
      <c r="B25" t="s">
        <v>133</v>
      </c>
    </row>
    <row r="26" spans="3:7" ht="12.75">
      <c r="C26" t="s">
        <v>134</v>
      </c>
      <c r="D26" s="189">
        <v>1847000</v>
      </c>
      <c r="G26" s="189">
        <f>+D26+F26-E26</f>
        <v>1847000</v>
      </c>
    </row>
    <row r="27" spans="3:7" ht="12.75">
      <c r="C27" t="s">
        <v>135</v>
      </c>
      <c r="D27" s="189">
        <v>84000</v>
      </c>
      <c r="E27" s="19">
        <f>+D27</f>
        <v>84000</v>
      </c>
      <c r="G27" s="189">
        <f aca="true" t="shared" si="1" ref="G27:G47">+D27+F27-E27</f>
        <v>0</v>
      </c>
    </row>
    <row r="28" spans="3:7" ht="12.75">
      <c r="C28" t="s">
        <v>136</v>
      </c>
      <c r="G28" s="189">
        <f t="shared" si="1"/>
        <v>0</v>
      </c>
    </row>
    <row r="29" ht="12.75">
      <c r="G29" s="189"/>
    </row>
    <row r="30" spans="2:7" ht="12.75">
      <c r="B30" t="s">
        <v>137</v>
      </c>
      <c r="D30" s="189">
        <v>1931000</v>
      </c>
      <c r="G30" s="189">
        <f t="shared" si="1"/>
        <v>1931000</v>
      </c>
    </row>
    <row r="31" spans="2:7" ht="12.75">
      <c r="B31" t="s">
        <v>138</v>
      </c>
      <c r="D31" s="189">
        <v>2354000</v>
      </c>
      <c r="E31" s="19">
        <f>+D31</f>
        <v>2354000</v>
      </c>
      <c r="F31" s="19">
        <f>+'Equity Analysis'!G7</f>
        <v>4004000</v>
      </c>
      <c r="G31" s="189">
        <f t="shared" si="1"/>
        <v>4004000</v>
      </c>
    </row>
    <row r="32" spans="2:7" ht="12.75">
      <c r="B32" t="s">
        <v>139</v>
      </c>
      <c r="D32" s="189">
        <v>1949000</v>
      </c>
      <c r="G32" s="189">
        <f t="shared" si="1"/>
        <v>1949000</v>
      </c>
    </row>
    <row r="33" spans="2:7" ht="12.75">
      <c r="B33" t="s">
        <v>140</v>
      </c>
      <c r="D33" s="189">
        <v>42000</v>
      </c>
      <c r="G33" s="189">
        <f t="shared" si="1"/>
        <v>42000</v>
      </c>
    </row>
    <row r="34" spans="2:7" ht="12.75">
      <c r="B34" t="s">
        <v>141</v>
      </c>
      <c r="D34" s="189">
        <v>2000</v>
      </c>
      <c r="G34" s="189">
        <f t="shared" si="1"/>
        <v>2000</v>
      </c>
    </row>
    <row r="35" spans="2:7" ht="12.75">
      <c r="B35" t="s">
        <v>142</v>
      </c>
      <c r="G35" s="189"/>
    </row>
    <row r="36" ht="12.75">
      <c r="G36" s="189"/>
    </row>
    <row r="37" spans="2:7" ht="12.75">
      <c r="B37" t="s">
        <v>143</v>
      </c>
      <c r="D37" s="189">
        <f>SUM(D25:D36)</f>
        <v>8209000</v>
      </c>
      <c r="G37" s="189">
        <f>SUM(G25:G36)</f>
        <v>9775000</v>
      </c>
    </row>
    <row r="38" ht="12.75">
      <c r="G38" s="189"/>
    </row>
    <row r="39" spans="2:7" ht="12.75">
      <c r="B39" t="s">
        <v>144</v>
      </c>
      <c r="G39" s="189"/>
    </row>
    <row r="40" spans="2:7" ht="12.75">
      <c r="B40" t="s">
        <v>145</v>
      </c>
      <c r="G40" s="189">
        <f t="shared" si="1"/>
        <v>0</v>
      </c>
    </row>
    <row r="41" spans="2:7" ht="12.75">
      <c r="B41" t="s">
        <v>146</v>
      </c>
      <c r="G41" s="189">
        <f t="shared" si="1"/>
        <v>0</v>
      </c>
    </row>
    <row r="42" spans="2:7" ht="12.75">
      <c r="B42" t="s">
        <v>147</v>
      </c>
      <c r="G42" s="189">
        <f t="shared" si="1"/>
        <v>0</v>
      </c>
    </row>
    <row r="43" spans="2:7" ht="12.75">
      <c r="B43" t="s">
        <v>148</v>
      </c>
      <c r="D43" s="189">
        <v>2000</v>
      </c>
      <c r="E43" s="19">
        <f>+D43</f>
        <v>2000</v>
      </c>
      <c r="F43" s="19">
        <f>+'Equity Analysis'!G8</f>
        <v>2598300</v>
      </c>
      <c r="G43" s="189">
        <f t="shared" si="1"/>
        <v>2598300</v>
      </c>
    </row>
    <row r="44" spans="2:7" ht="12.75">
      <c r="B44" t="s">
        <v>149</v>
      </c>
      <c r="D44" s="189">
        <f>2535000-179000</f>
        <v>2356000</v>
      </c>
      <c r="E44" s="19">
        <f>+D44</f>
        <v>2356000</v>
      </c>
      <c r="G44" s="189">
        <f t="shared" si="1"/>
        <v>0</v>
      </c>
    </row>
    <row r="45" spans="2:7" ht="12.75">
      <c r="B45" t="s">
        <v>150</v>
      </c>
      <c r="G45" s="189">
        <f t="shared" si="1"/>
        <v>0</v>
      </c>
    </row>
    <row r="46" spans="2:7" ht="12.75">
      <c r="B46" t="s">
        <v>151</v>
      </c>
      <c r="D46" s="189">
        <v>28000</v>
      </c>
      <c r="E46" s="19">
        <f>+D46</f>
        <v>28000</v>
      </c>
      <c r="G46" s="189">
        <f t="shared" si="1"/>
        <v>0</v>
      </c>
    </row>
    <row r="47" spans="2:7" ht="12.75">
      <c r="B47" t="s">
        <v>152</v>
      </c>
      <c r="D47" s="189">
        <v>-417000</v>
      </c>
      <c r="E47" s="19">
        <f>+D47</f>
        <v>-417000</v>
      </c>
      <c r="G47" s="189">
        <f t="shared" si="1"/>
        <v>0</v>
      </c>
    </row>
    <row r="49" spans="2:9" ht="12.75">
      <c r="B49" t="s">
        <v>153</v>
      </c>
      <c r="D49" s="189">
        <f>SUM(D37:D48)</f>
        <v>10178000</v>
      </c>
      <c r="E49" s="19">
        <f>SUM(E3:E47)</f>
        <v>6602300</v>
      </c>
      <c r="F49" s="19">
        <f>SUM(F3:F47)</f>
        <v>6602300</v>
      </c>
      <c r="G49" s="189">
        <f>SUM(G37:G48)</f>
        <v>12373300</v>
      </c>
      <c r="I49" s="189">
        <f>+G49-G22</f>
        <v>0</v>
      </c>
    </row>
    <row r="51" ht="12.75">
      <c r="D51" s="18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Christakis Droussiotis</cp:lastModifiedBy>
  <cp:lastPrinted>2015-03-02T21:31:38Z</cp:lastPrinted>
  <dcterms:created xsi:type="dcterms:W3CDTF">2007-12-04T14:52:44Z</dcterms:created>
  <dcterms:modified xsi:type="dcterms:W3CDTF">2015-04-27T16:01:16Z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