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CSD^0A/CSD^0A Education/IP and Start-up Valuations/"/>
    </mc:Choice>
  </mc:AlternateContent>
  <xr:revisionPtr revIDLastSave="7" documentId="8_{A88D4214-88F6-4BAB-8488-75574AA5A4C6}" xr6:coauthVersionLast="47" xr6:coauthVersionMax="47" xr10:uidLastSave="{7400E0E4-E01E-4D41-947D-EAAD8512F589}"/>
  <bookViews>
    <workbookView xWindow="-110" yWindow="-110" windowWidth="19420" windowHeight="11500" xr2:uid="{E7BE3FCC-B673-4D44-8175-B4FE1C9BDF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K12" i="1"/>
  <c r="D49" i="1"/>
  <c r="I35" i="1"/>
  <c r="K34" i="1"/>
  <c r="D41" i="1" s="1"/>
  <c r="E31" i="1"/>
  <c r="H31" i="1" s="1"/>
  <c r="J31" i="1" s="1"/>
  <c r="E32" i="1"/>
  <c r="H32" i="1" s="1"/>
  <c r="J32" i="1" s="1"/>
  <c r="E33" i="1"/>
  <c r="H33" i="1" s="1"/>
  <c r="J33" i="1" s="1"/>
  <c r="E30" i="1"/>
  <c r="H30" i="1" s="1"/>
  <c r="J30" i="1" s="1"/>
  <c r="C35" i="1"/>
  <c r="G17" i="1"/>
  <c r="G19" i="1" s="1"/>
  <c r="E23" i="1"/>
  <c r="E25" i="1" s="1"/>
  <c r="F19" i="1"/>
  <c r="F20" i="1" s="1"/>
  <c r="G12" i="1"/>
  <c r="D40" i="1" s="1"/>
  <c r="F21" i="1" l="1"/>
  <c r="F47" i="1"/>
  <c r="F46" i="1"/>
  <c r="J9" i="1"/>
  <c r="J34" i="1"/>
  <c r="D23" i="1"/>
  <c r="D25" i="1" s="1"/>
  <c r="H17" i="1"/>
  <c r="I17" i="1" s="1"/>
  <c r="H19" i="1"/>
  <c r="H21" i="1" s="1"/>
  <c r="G20" i="1"/>
  <c r="G22" i="1"/>
  <c r="F22" i="1"/>
  <c r="F23" i="1" s="1"/>
  <c r="F25" i="1" s="1"/>
  <c r="C7" i="1"/>
  <c r="C12" i="1" s="1"/>
  <c r="C24" i="1" l="1"/>
  <c r="I19" i="1"/>
  <c r="I21" i="1" s="1"/>
  <c r="J17" i="1"/>
  <c r="J19" i="1" s="1"/>
  <c r="J21" i="1" s="1"/>
  <c r="H20" i="1"/>
  <c r="H22" i="1"/>
  <c r="G23" i="1"/>
  <c r="G25" i="1" s="1"/>
  <c r="J20" i="1" l="1"/>
  <c r="J22" i="1"/>
  <c r="I20" i="1"/>
  <c r="I22" i="1"/>
  <c r="H23" i="1"/>
  <c r="H25" i="1" s="1"/>
  <c r="J24" i="1" l="1"/>
  <c r="J35" i="1"/>
  <c r="D35" i="1" s="1"/>
  <c r="J7" i="1" s="1"/>
  <c r="I23" i="1"/>
  <c r="I25" i="1" s="1"/>
  <c r="J23" i="1"/>
  <c r="J25" i="1" s="1"/>
  <c r="D26" i="1" l="1"/>
  <c r="D39" i="1" s="1"/>
  <c r="F45" i="1" s="1"/>
  <c r="D45" i="1" s="1"/>
  <c r="J6" i="1" l="1"/>
  <c r="D46" i="1"/>
  <c r="D48" i="1" s="1"/>
  <c r="D47" i="1"/>
  <c r="D50" i="1" s="1"/>
  <c r="J8" i="1" s="1"/>
  <c r="J12" i="1" s="1"/>
</calcChain>
</file>

<file path=xl/sharedStrings.xml><?xml version="1.0" encoding="utf-8"?>
<sst xmlns="http://schemas.openxmlformats.org/spreadsheetml/2006/main" count="78" uniqueCount="69">
  <si>
    <t>SOURCES</t>
  </si>
  <si>
    <t>USES</t>
  </si>
  <si>
    <t>Convertible Debt</t>
  </si>
  <si>
    <t>Equity</t>
  </si>
  <si>
    <t>Amount</t>
  </si>
  <si>
    <t>Personel</t>
  </si>
  <si>
    <t>Marketing</t>
  </si>
  <si>
    <t>Administrative</t>
  </si>
  <si>
    <t>Material Expenses</t>
  </si>
  <si>
    <t>Working Capital</t>
  </si>
  <si>
    <t>Total Uses</t>
  </si>
  <si>
    <t>Total Sources</t>
  </si>
  <si>
    <t>Yr 0</t>
  </si>
  <si>
    <t>Yr -1</t>
  </si>
  <si>
    <t>Yr 1</t>
  </si>
  <si>
    <t>Yr 2</t>
  </si>
  <si>
    <t>Yr 3</t>
  </si>
  <si>
    <t>Yr 4</t>
  </si>
  <si>
    <t>Yr 5</t>
  </si>
  <si>
    <t>Cash Flows</t>
  </si>
  <si>
    <t>COMMERCIALIZATION</t>
  </si>
  <si>
    <t>DEVELOPMENT</t>
  </si>
  <si>
    <t>Market Penetration Rate</t>
  </si>
  <si>
    <t>Revenue</t>
  </si>
  <si>
    <t>EBITDA</t>
  </si>
  <si>
    <t>Capital Expenditure</t>
  </si>
  <si>
    <t>Capex</t>
  </si>
  <si>
    <t>Total Addressable Market (TAM) (Billion)</t>
  </si>
  <si>
    <t>Assumpt.</t>
  </si>
  <si>
    <t>TRANSACTION SOURCES &amp; USES (24 months)</t>
  </si>
  <si>
    <t>Piblic Company 1</t>
  </si>
  <si>
    <t>Piblic Company 2</t>
  </si>
  <si>
    <t>Piblic Company 3</t>
  </si>
  <si>
    <t>Piblic Company 4</t>
  </si>
  <si>
    <t>Stock
Price</t>
  </si>
  <si>
    <t>Market
Cap</t>
  </si>
  <si>
    <t>Debt</t>
  </si>
  <si>
    <t>Cash</t>
  </si>
  <si>
    <t>EV</t>
  </si>
  <si>
    <t>EBITDA
Multiple</t>
  </si>
  <si>
    <t>Average</t>
  </si>
  <si>
    <t>MARKET VALUATION METHOD</t>
  </si>
  <si>
    <t>OPTIOIN PRICING METHOD</t>
  </si>
  <si>
    <t>Terminal Value</t>
  </si>
  <si>
    <t>Value</t>
  </si>
  <si>
    <t>Development Cost</t>
  </si>
  <si>
    <t>Standard Deviation</t>
  </si>
  <si>
    <t>Years</t>
  </si>
  <si>
    <t>Risk Free Rate</t>
  </si>
  <si>
    <t>d1</t>
  </si>
  <si>
    <t>d2</t>
  </si>
  <si>
    <t>N(d1)</t>
  </si>
  <si>
    <t>N(d2)</t>
  </si>
  <si>
    <t>e^-it</t>
  </si>
  <si>
    <t>Shares
Outstanding
($ mm)</t>
  </si>
  <si>
    <t>Stock
Standard
Deviation</t>
  </si>
  <si>
    <t>Weight %</t>
  </si>
  <si>
    <t>DCF</t>
  </si>
  <si>
    <t>DCF VALUATIOIN METHOD</t>
  </si>
  <si>
    <t>Market</t>
  </si>
  <si>
    <t>Options</t>
  </si>
  <si>
    <t>Cost</t>
  </si>
  <si>
    <t>VALUATION</t>
  </si>
  <si>
    <t>METANEXT TECHNOLOGY INC.</t>
  </si>
  <si>
    <t>INPUT</t>
  </si>
  <si>
    <t>OUTPUT</t>
  </si>
  <si>
    <t>=ln(S/X)</t>
  </si>
  <si>
    <r>
      <t>(i+</t>
    </r>
    <r>
      <rPr>
        <sz val="11"/>
        <color theme="1"/>
        <rFont val="Aptos Narrow"/>
        <family val="2"/>
      </rPr>
      <t>σ^2/2)t</t>
    </r>
  </si>
  <si>
    <t>σ√t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</si>
</sst>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0.0\x"/>
    <numFmt numFmtId="168" formatCode="_(* #,##0.00000_);_(* \(#,##0.00000\);_(* &quot;-&quot;??_);_(@_)"/>
    <numFmt numFmtId="169" formatCode="0.00000"/>
    <numFmt numFmtId="170" formatCode="0.0000"/>
    <numFmt numFmtId="171" formatCode="_(&quot;$&quot;* #,##0_);_(&quot;$&quot;* \(#,##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1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164" fontId="0" fillId="0" borderId="0" xfId="1" applyNumberFormat="1" applyFont="1"/>
    <xf numFmtId="165" fontId="0" fillId="0" borderId="0" xfId="1" applyNumberFormat="1" applyFont="1"/>
    <xf numFmtId="165" fontId="0" fillId="0" borderId="1" xfId="1" applyNumberFormat="1" applyFont="1" applyBorder="1"/>
    <xf numFmtId="0" fontId="3" fillId="0" borderId="0" xfId="0" applyFont="1"/>
    <xf numFmtId="0" fontId="2" fillId="2" borderId="0" xfId="0" applyFont="1" applyFill="1"/>
    <xf numFmtId="0" fontId="3" fillId="3" borderId="0" xfId="0" applyFont="1" applyFill="1"/>
    <xf numFmtId="165" fontId="3" fillId="0" borderId="1" xfId="1" applyNumberFormat="1" applyFont="1" applyBorder="1"/>
    <xf numFmtId="166" fontId="0" fillId="0" borderId="0" xfId="3" applyNumberFormat="1" applyFont="1"/>
    <xf numFmtId="0" fontId="0" fillId="0" borderId="2" xfId="0" applyBorder="1"/>
    <xf numFmtId="0" fontId="2" fillId="5" borderId="4" xfId="0" applyFont="1" applyFill="1" applyBorder="1"/>
    <xf numFmtId="0" fontId="2" fillId="5" borderId="4" xfId="0" applyFont="1" applyFill="1" applyBorder="1" applyAlignment="1">
      <alignment horizontal="centerContinuous"/>
    </xf>
    <xf numFmtId="0" fontId="2" fillId="5" borderId="5" xfId="0" applyFont="1" applyFill="1" applyBorder="1" applyAlignment="1">
      <alignment horizontal="centerContinuous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0" borderId="1" xfId="0" applyBorder="1"/>
    <xf numFmtId="165" fontId="0" fillId="0" borderId="0" xfId="1" applyNumberFormat="1" applyFont="1" applyBorder="1"/>
    <xf numFmtId="165" fontId="0" fillId="0" borderId="2" xfId="1" applyNumberFormat="1" applyFont="1" applyBorder="1"/>
    <xf numFmtId="165" fontId="0" fillId="0" borderId="3" xfId="1" applyNumberFormat="1" applyFont="1" applyBorder="1"/>
    <xf numFmtId="9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165" fontId="3" fillId="0" borderId="0" xfId="1" applyNumberFormat="1" applyFont="1" applyBorder="1"/>
    <xf numFmtId="167" fontId="0" fillId="0" borderId="0" xfId="0" applyNumberFormat="1"/>
    <xf numFmtId="167" fontId="3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3" applyFont="1" applyAlignment="1">
      <alignment horizontal="center"/>
    </xf>
    <xf numFmtId="44" fontId="0" fillId="0" borderId="0" xfId="2" applyFont="1"/>
    <xf numFmtId="165" fontId="0" fillId="0" borderId="0" xfId="0" applyNumberFormat="1"/>
    <xf numFmtId="43" fontId="0" fillId="0" borderId="0" xfId="0" applyNumberFormat="1"/>
    <xf numFmtId="167" fontId="3" fillId="0" borderId="1" xfId="0" applyNumberFormat="1" applyFont="1" applyBorder="1"/>
    <xf numFmtId="9" fontId="3" fillId="0" borderId="1" xfId="0" applyNumberFormat="1" applyFont="1" applyBorder="1"/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right"/>
    </xf>
    <xf numFmtId="6" fontId="0" fillId="0" borderId="0" xfId="0" applyNumberFormat="1"/>
    <xf numFmtId="10" fontId="0" fillId="0" borderId="0" xfId="0" applyNumberFormat="1"/>
    <xf numFmtId="168" fontId="0" fillId="0" borderId="0" xfId="1" applyNumberFormat="1" applyFont="1"/>
    <xf numFmtId="169" fontId="0" fillId="0" borderId="0" xfId="0" applyNumberFormat="1"/>
    <xf numFmtId="170" fontId="0" fillId="0" borderId="0" xfId="0" applyNumberFormat="1"/>
    <xf numFmtId="6" fontId="3" fillId="6" borderId="6" xfId="0" applyNumberFormat="1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166" fontId="3" fillId="0" borderId="0" xfId="3" applyNumberFormat="1" applyFont="1"/>
    <xf numFmtId="9" fontId="3" fillId="0" borderId="1" xfId="0" applyNumberFormat="1" applyFont="1" applyBorder="1" applyAlignment="1">
      <alignment horizontal="center"/>
    </xf>
    <xf numFmtId="6" fontId="3" fillId="6" borderId="7" xfId="0" applyNumberFormat="1" applyFont="1" applyFill="1" applyBorder="1"/>
    <xf numFmtId="0" fontId="5" fillId="0" borderId="0" xfId="0" applyFont="1"/>
    <xf numFmtId="165" fontId="3" fillId="0" borderId="3" xfId="1" applyNumberFormat="1" applyFont="1" applyBorder="1"/>
    <xf numFmtId="0" fontId="0" fillId="0" borderId="0" xfId="0" quotePrefix="1"/>
    <xf numFmtId="0" fontId="6" fillId="0" borderId="0" xfId="0" applyFont="1"/>
    <xf numFmtId="171" fontId="3" fillId="6" borderId="7" xfId="2" applyNumberFormat="1" applyFont="1" applyFill="1" applyBorder="1"/>
    <xf numFmtId="0" fontId="3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0" xfId="0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B38CF-45C3-4521-813D-07EA05D0293B}">
  <dimension ref="B1:K50"/>
  <sheetViews>
    <sheetView showGridLines="0" tabSelected="1" topLeftCell="A29" workbookViewId="0">
      <selection activeCell="B37" sqref="B37:G51"/>
    </sheetView>
  </sheetViews>
  <sheetFormatPr defaultRowHeight="15" x14ac:dyDescent="0.25"/>
  <cols>
    <col min="1" max="1" width="3.28515625" customWidth="1"/>
    <col min="2" max="2" width="28.140625" customWidth="1"/>
    <col min="3" max="3" width="10.7109375" bestFit="1" customWidth="1"/>
    <col min="4" max="4" width="12.85546875" bestFit="1" customWidth="1"/>
    <col min="5" max="5" width="11.28515625" customWidth="1"/>
    <col min="6" max="7" width="10.7109375" bestFit="1" customWidth="1"/>
    <col min="8" max="9" width="11.7109375" bestFit="1" customWidth="1"/>
    <col min="10" max="10" width="12.85546875" bestFit="1" customWidth="1"/>
    <col min="11" max="11" width="10.7109375" customWidth="1"/>
  </cols>
  <sheetData>
    <row r="1" spans="2:11" ht="24" x14ac:dyDescent="0.4">
      <c r="B1" s="48" t="s">
        <v>63</v>
      </c>
      <c r="C1" s="54"/>
      <c r="D1" s="55"/>
      <c r="E1" s="55"/>
      <c r="F1" s="55"/>
      <c r="G1" s="55"/>
      <c r="H1" s="55"/>
    </row>
    <row r="3" spans="2:11" x14ac:dyDescent="0.25">
      <c r="B3" s="5" t="s">
        <v>29</v>
      </c>
      <c r="C3" s="5"/>
      <c r="D3" s="5"/>
      <c r="E3" s="5"/>
      <c r="F3" s="5"/>
      <c r="G3" s="5"/>
      <c r="I3" s="5" t="s">
        <v>62</v>
      </c>
      <c r="J3" s="5"/>
      <c r="K3" s="5"/>
    </row>
    <row r="4" spans="2:11" x14ac:dyDescent="0.25">
      <c r="B4" s="6" t="s">
        <v>0</v>
      </c>
      <c r="C4" s="6"/>
      <c r="D4" s="6"/>
      <c r="E4" s="6" t="s">
        <v>1</v>
      </c>
      <c r="F4" s="6"/>
      <c r="G4" s="6"/>
      <c r="I4" s="6"/>
      <c r="J4" s="6"/>
      <c r="K4" s="6"/>
    </row>
    <row r="5" spans="2:11" ht="15.75" thickBot="1" x14ac:dyDescent="0.3">
      <c r="B5" s="43"/>
      <c r="C5" s="43" t="s">
        <v>4</v>
      </c>
      <c r="D5" s="43"/>
      <c r="E5" s="43"/>
      <c r="F5" s="43"/>
      <c r="G5" s="43" t="s">
        <v>4</v>
      </c>
      <c r="I5" s="43"/>
      <c r="J5" s="44" t="s">
        <v>4</v>
      </c>
      <c r="K5" s="44" t="s">
        <v>56</v>
      </c>
    </row>
    <row r="6" spans="2:11" ht="15.75" thickTop="1" x14ac:dyDescent="0.25">
      <c r="B6" t="s">
        <v>2</v>
      </c>
      <c r="C6" s="2">
        <v>0</v>
      </c>
      <c r="E6" t="s">
        <v>5</v>
      </c>
      <c r="G6" s="2">
        <v>2000000</v>
      </c>
      <c r="I6" s="8" t="s">
        <v>57</v>
      </c>
      <c r="J6" s="2">
        <f>D26</f>
        <v>22908657.985739261</v>
      </c>
      <c r="K6" s="25">
        <v>0.25</v>
      </c>
    </row>
    <row r="7" spans="2:11" x14ac:dyDescent="0.25">
      <c r="B7" t="s">
        <v>3</v>
      </c>
      <c r="C7" s="2">
        <f>G12</f>
        <v>7000000</v>
      </c>
      <c r="E7" t="s">
        <v>6</v>
      </c>
      <c r="G7" s="2">
        <v>1000000</v>
      </c>
      <c r="I7" s="8" t="s">
        <v>59</v>
      </c>
      <c r="J7" s="2">
        <f>D35</f>
        <v>33900993.960299425</v>
      </c>
      <c r="K7" s="25">
        <v>0.25</v>
      </c>
    </row>
    <row r="8" spans="2:11" x14ac:dyDescent="0.25">
      <c r="C8" s="2"/>
      <c r="E8" t="s">
        <v>7</v>
      </c>
      <c r="G8" s="2">
        <v>500000</v>
      </c>
      <c r="I8" s="8" t="s">
        <v>60</v>
      </c>
      <c r="J8" s="2">
        <f>D50</f>
        <v>17143208.672572866</v>
      </c>
      <c r="K8" s="25">
        <v>0.25</v>
      </c>
    </row>
    <row r="9" spans="2:11" x14ac:dyDescent="0.25">
      <c r="C9" s="2"/>
      <c r="E9" t="s">
        <v>8</v>
      </c>
      <c r="G9" s="2">
        <v>1500000</v>
      </c>
      <c r="I9" s="8" t="s">
        <v>61</v>
      </c>
      <c r="J9" s="2">
        <f>D40</f>
        <v>7000000</v>
      </c>
      <c r="K9" s="25">
        <v>0.25</v>
      </c>
    </row>
    <row r="10" spans="2:11" x14ac:dyDescent="0.25">
      <c r="C10" s="2"/>
      <c r="E10" t="s">
        <v>9</v>
      </c>
      <c r="G10" s="2">
        <v>1000000</v>
      </c>
    </row>
    <row r="11" spans="2:11" x14ac:dyDescent="0.25">
      <c r="C11" s="2"/>
      <c r="E11" t="s">
        <v>26</v>
      </c>
      <c r="G11" s="2">
        <v>1000000</v>
      </c>
      <c r="I11" s="8"/>
    </row>
    <row r="12" spans="2:11" ht="15.75" thickBot="1" x14ac:dyDescent="0.3">
      <c r="B12" s="4" t="s">
        <v>11</v>
      </c>
      <c r="C12" s="7">
        <f>SUM(C6:C11)</f>
        <v>7000000</v>
      </c>
      <c r="E12" s="4" t="s">
        <v>10</v>
      </c>
      <c r="G12" s="7">
        <f>SUM(G6:G11)</f>
        <v>7000000</v>
      </c>
      <c r="I12" s="45" t="s">
        <v>40</v>
      </c>
      <c r="J12" s="7">
        <f>J6*K6+J7*K7+J8*K8+J9*K9</f>
        <v>20238215.154652886</v>
      </c>
      <c r="K12" s="46">
        <f>SUM(K6:K11)</f>
        <v>1</v>
      </c>
    </row>
    <row r="13" spans="2:11" ht="15.75" thickTop="1" x14ac:dyDescent="0.25">
      <c r="D13" s="2"/>
    </row>
    <row r="14" spans="2:11" x14ac:dyDescent="0.25">
      <c r="B14" s="10" t="s">
        <v>58</v>
      </c>
      <c r="C14" s="10"/>
      <c r="D14" s="11" t="s">
        <v>21</v>
      </c>
      <c r="E14" s="12"/>
      <c r="F14" s="11" t="s">
        <v>20</v>
      </c>
      <c r="G14" s="11"/>
      <c r="H14" s="11"/>
      <c r="I14" s="11"/>
      <c r="J14" s="11"/>
      <c r="K14" s="11"/>
    </row>
    <row r="15" spans="2:11" ht="15.75" thickBot="1" x14ac:dyDescent="0.3">
      <c r="B15" s="13"/>
      <c r="C15" s="13" t="s">
        <v>28</v>
      </c>
      <c r="D15" s="14" t="s">
        <v>13</v>
      </c>
      <c r="E15" s="15" t="s">
        <v>12</v>
      </c>
      <c r="F15" s="14" t="s">
        <v>14</v>
      </c>
      <c r="G15" s="14" t="s">
        <v>15</v>
      </c>
      <c r="H15" s="14" t="s">
        <v>16</v>
      </c>
      <c r="I15" s="14" t="s">
        <v>17</v>
      </c>
      <c r="J15" s="14" t="s">
        <v>18</v>
      </c>
      <c r="K15" s="14"/>
    </row>
    <row r="16" spans="2:11" ht="15.75" thickTop="1" x14ac:dyDescent="0.25">
      <c r="B16" t="s">
        <v>27</v>
      </c>
      <c r="C16" s="27"/>
      <c r="D16" s="17"/>
      <c r="E16" s="18"/>
      <c r="F16" s="1">
        <v>10</v>
      </c>
      <c r="G16" s="1">
        <v>12</v>
      </c>
      <c r="H16" s="1">
        <v>14</v>
      </c>
      <c r="I16" s="1">
        <v>16</v>
      </c>
      <c r="J16" s="1">
        <v>18</v>
      </c>
    </row>
    <row r="17" spans="2:11" x14ac:dyDescent="0.25">
      <c r="B17" t="s">
        <v>22</v>
      </c>
      <c r="C17" s="27"/>
      <c r="E17" s="9"/>
      <c r="F17" s="8">
        <v>1E-3</v>
      </c>
      <c r="G17" s="8">
        <f>+F17+0.005</f>
        <v>6.0000000000000001E-3</v>
      </c>
      <c r="H17" s="8">
        <f t="shared" ref="H17:I17" si="0">+G17+0.005</f>
        <v>1.0999999999999999E-2</v>
      </c>
      <c r="I17" s="8">
        <f t="shared" si="0"/>
        <v>1.6E-2</v>
      </c>
      <c r="J17" s="8">
        <f>I17</f>
        <v>1.6E-2</v>
      </c>
    </row>
    <row r="18" spans="2:11" x14ac:dyDescent="0.25">
      <c r="C18" s="27"/>
      <c r="E18" s="9"/>
    </row>
    <row r="19" spans="2:11" x14ac:dyDescent="0.25">
      <c r="B19" t="s">
        <v>23</v>
      </c>
      <c r="C19" s="27"/>
      <c r="D19" s="17"/>
      <c r="E19" s="18"/>
      <c r="F19" s="2">
        <f>+F17*F16*100000000</f>
        <v>1000000</v>
      </c>
      <c r="G19" s="2">
        <f t="shared" ref="G19:J19" si="1">+G17*G16*100000000</f>
        <v>7200000.0000000009</v>
      </c>
      <c r="H19" s="2">
        <f t="shared" si="1"/>
        <v>15400000</v>
      </c>
      <c r="I19" s="2">
        <f t="shared" si="1"/>
        <v>25600000</v>
      </c>
      <c r="J19" s="2">
        <f t="shared" si="1"/>
        <v>28800000.000000004</v>
      </c>
    </row>
    <row r="20" spans="2:11" x14ac:dyDescent="0.25">
      <c r="B20" t="s">
        <v>24</v>
      </c>
      <c r="C20" s="28">
        <v>0.65</v>
      </c>
      <c r="D20" s="17">
        <v>-1250000</v>
      </c>
      <c r="E20" s="18">
        <v>-3750000</v>
      </c>
      <c r="F20" s="2">
        <f>$C$20*F19</f>
        <v>650000</v>
      </c>
      <c r="G20" s="2">
        <f t="shared" ref="G20:J20" si="2">$C$20*G19</f>
        <v>4680000.0000000009</v>
      </c>
      <c r="H20" s="2">
        <f t="shared" si="2"/>
        <v>10010000</v>
      </c>
      <c r="I20" s="2">
        <f t="shared" si="2"/>
        <v>16640000</v>
      </c>
      <c r="J20" s="2">
        <f t="shared" si="2"/>
        <v>18720000.000000004</v>
      </c>
    </row>
    <row r="21" spans="2:11" x14ac:dyDescent="0.25">
      <c r="B21" t="s">
        <v>9</v>
      </c>
      <c r="C21" s="25">
        <v>0.01</v>
      </c>
      <c r="D21" s="17">
        <v>-500000</v>
      </c>
      <c r="E21" s="18">
        <v>-500000</v>
      </c>
      <c r="F21" s="2">
        <f>-$C$21*F19</f>
        <v>-10000</v>
      </c>
      <c r="G21" s="2">
        <f t="shared" ref="G21:J21" si="3">-$C$21*G19</f>
        <v>-72000.000000000015</v>
      </c>
      <c r="H21" s="2">
        <f t="shared" si="3"/>
        <v>-154000</v>
      </c>
      <c r="I21" s="2">
        <f t="shared" si="3"/>
        <v>-256000</v>
      </c>
      <c r="J21" s="2">
        <f t="shared" si="3"/>
        <v>-288000.00000000006</v>
      </c>
    </row>
    <row r="22" spans="2:11" x14ac:dyDescent="0.25">
      <c r="B22" t="s">
        <v>25</v>
      </c>
      <c r="C22" s="25">
        <v>0.02</v>
      </c>
      <c r="D22" s="17">
        <v>-250000</v>
      </c>
      <c r="E22" s="18">
        <v>-750000</v>
      </c>
      <c r="F22" s="2">
        <f>$C$22*-F19</f>
        <v>-20000</v>
      </c>
      <c r="G22" s="2">
        <f t="shared" ref="G22:J22" si="4">$C$22*-G19</f>
        <v>-144000.00000000003</v>
      </c>
      <c r="H22" s="2">
        <f t="shared" si="4"/>
        <v>-308000</v>
      </c>
      <c r="I22" s="2">
        <f t="shared" si="4"/>
        <v>-512000</v>
      </c>
      <c r="J22" s="2">
        <f t="shared" si="4"/>
        <v>-576000.00000000012</v>
      </c>
    </row>
    <row r="23" spans="2:11" ht="15.75" thickBot="1" x14ac:dyDescent="0.3">
      <c r="B23" t="s">
        <v>19</v>
      </c>
      <c r="C23" s="27"/>
      <c r="D23" s="3">
        <f>SUM(D20:D22)</f>
        <v>-2000000</v>
      </c>
      <c r="E23" s="19">
        <f>SUM(E20:E22)</f>
        <v>-5000000</v>
      </c>
      <c r="F23" s="3">
        <f>SUM(F20:F22)</f>
        <v>620000</v>
      </c>
      <c r="G23" s="3">
        <f t="shared" ref="G23:J23" si="5">SUM(G20:G22)</f>
        <v>4464000.0000000009</v>
      </c>
      <c r="H23" s="3">
        <f t="shared" si="5"/>
        <v>9548000</v>
      </c>
      <c r="I23" s="3">
        <f t="shared" si="5"/>
        <v>15872000</v>
      </c>
      <c r="J23" s="3">
        <f t="shared" si="5"/>
        <v>17856000.000000004</v>
      </c>
    </row>
    <row r="24" spans="2:11" ht="15.75" thickTop="1" x14ac:dyDescent="0.25">
      <c r="B24" t="s">
        <v>43</v>
      </c>
      <c r="C24" s="24">
        <f>J34</f>
        <v>8.1203627394480868</v>
      </c>
      <c r="D24" s="17"/>
      <c r="E24" s="18"/>
      <c r="F24" s="17"/>
      <c r="G24" s="17"/>
      <c r="H24" s="17"/>
      <c r="I24" s="17"/>
      <c r="J24" s="22">
        <f>+C24*J20</f>
        <v>152013190.48246822</v>
      </c>
    </row>
    <row r="25" spans="2:11" ht="15.75" thickBot="1" x14ac:dyDescent="0.3">
      <c r="B25" s="4" t="s">
        <v>19</v>
      </c>
      <c r="C25" s="34"/>
      <c r="D25" s="7">
        <f>+D23</f>
        <v>-2000000</v>
      </c>
      <c r="E25" s="49">
        <f>+E23</f>
        <v>-5000000</v>
      </c>
      <c r="F25" s="7">
        <f>+F24+F23</f>
        <v>620000</v>
      </c>
      <c r="G25" s="7">
        <f t="shared" ref="G25:J25" si="6">+G24+G23</f>
        <v>4464000.0000000009</v>
      </c>
      <c r="H25" s="7">
        <f t="shared" si="6"/>
        <v>9548000</v>
      </c>
      <c r="I25" s="7">
        <f t="shared" si="6"/>
        <v>15872000</v>
      </c>
      <c r="J25" s="7">
        <f t="shared" si="6"/>
        <v>169869190.48246822</v>
      </c>
    </row>
    <row r="26" spans="2:11" ht="16.5" thickTop="1" thickBot="1" x14ac:dyDescent="0.3">
      <c r="B26" t="s">
        <v>44</v>
      </c>
      <c r="C26" s="26">
        <v>0.35</v>
      </c>
      <c r="D26" s="47">
        <f>NPV(C26,D25:J25)</f>
        <v>22908657.985739261</v>
      </c>
    </row>
    <row r="28" spans="2:11" x14ac:dyDescent="0.25">
      <c r="B28" s="10" t="s">
        <v>41</v>
      </c>
      <c r="C28" s="10"/>
      <c r="D28" s="10"/>
      <c r="E28" s="10"/>
      <c r="F28" s="10"/>
      <c r="G28" s="10"/>
      <c r="H28" s="10"/>
      <c r="I28" s="10"/>
      <c r="J28" s="10"/>
      <c r="K28" s="10"/>
    </row>
    <row r="29" spans="2:11" ht="51" customHeight="1" thickBot="1" x14ac:dyDescent="0.3">
      <c r="B29" s="13"/>
      <c r="C29" s="21" t="s">
        <v>34</v>
      </c>
      <c r="D29" s="21" t="s">
        <v>54</v>
      </c>
      <c r="E29" s="21" t="s">
        <v>35</v>
      </c>
      <c r="F29" s="21" t="s">
        <v>36</v>
      </c>
      <c r="G29" s="21" t="s">
        <v>37</v>
      </c>
      <c r="H29" s="21" t="s">
        <v>38</v>
      </c>
      <c r="I29" s="21" t="s">
        <v>24</v>
      </c>
      <c r="J29" s="21" t="s">
        <v>39</v>
      </c>
      <c r="K29" s="21" t="s">
        <v>55</v>
      </c>
    </row>
    <row r="30" spans="2:11" ht="15.75" thickTop="1" x14ac:dyDescent="0.25">
      <c r="B30" t="s">
        <v>30</v>
      </c>
      <c r="C30" s="29">
        <v>45</v>
      </c>
      <c r="D30">
        <v>220</v>
      </c>
      <c r="E30" s="2">
        <f>+D30*C30</f>
        <v>9900</v>
      </c>
      <c r="F30" s="2">
        <v>1200</v>
      </c>
      <c r="G30" s="2">
        <v>250</v>
      </c>
      <c r="H30" s="2">
        <f>E30+F30-G30</f>
        <v>10850</v>
      </c>
      <c r="I30" s="2">
        <v>1455</v>
      </c>
      <c r="J30" s="23">
        <f>+H30/$I$30</f>
        <v>7.4570446735395191</v>
      </c>
      <c r="K30" s="20">
        <v>0.32</v>
      </c>
    </row>
    <row r="31" spans="2:11" x14ac:dyDescent="0.25">
      <c r="B31" t="s">
        <v>31</v>
      </c>
      <c r="C31" s="29">
        <v>52</v>
      </c>
      <c r="D31">
        <v>55</v>
      </c>
      <c r="E31" s="2">
        <f t="shared" ref="E31:E33" si="7">+D31*C31</f>
        <v>2860</v>
      </c>
      <c r="F31" s="2">
        <v>500</v>
      </c>
      <c r="G31" s="2">
        <v>120</v>
      </c>
      <c r="H31" s="2">
        <f t="shared" ref="H31:H33" si="8">E31+F31-G31</f>
        <v>3240</v>
      </c>
      <c r="I31" s="2">
        <v>350</v>
      </c>
      <c r="J31" s="23">
        <f>+H31/I31</f>
        <v>9.257142857142858</v>
      </c>
      <c r="K31" s="20">
        <v>0.25</v>
      </c>
    </row>
    <row r="32" spans="2:11" x14ac:dyDescent="0.25">
      <c r="B32" t="s">
        <v>32</v>
      </c>
      <c r="C32" s="29">
        <v>18</v>
      </c>
      <c r="D32">
        <v>120</v>
      </c>
      <c r="E32" s="2">
        <f t="shared" si="7"/>
        <v>2160</v>
      </c>
      <c r="F32" s="2">
        <v>340</v>
      </c>
      <c r="G32" s="2">
        <v>140</v>
      </c>
      <c r="H32" s="2">
        <f t="shared" si="8"/>
        <v>2360</v>
      </c>
      <c r="I32" s="2">
        <v>340</v>
      </c>
      <c r="J32" s="23">
        <f t="shared" ref="J32:J33" si="9">+H32/I32</f>
        <v>6.9411764705882355</v>
      </c>
      <c r="K32" s="20">
        <v>0.32</v>
      </c>
    </row>
    <row r="33" spans="2:11" x14ac:dyDescent="0.25">
      <c r="B33" t="s">
        <v>33</v>
      </c>
      <c r="C33" s="29">
        <v>65</v>
      </c>
      <c r="D33">
        <v>45</v>
      </c>
      <c r="E33" s="2">
        <f t="shared" si="7"/>
        <v>2925</v>
      </c>
      <c r="F33" s="2">
        <v>200</v>
      </c>
      <c r="G33" s="2">
        <v>80</v>
      </c>
      <c r="H33" s="2">
        <f t="shared" si="8"/>
        <v>3045</v>
      </c>
      <c r="I33" s="2">
        <v>345</v>
      </c>
      <c r="J33" s="23">
        <f t="shared" si="9"/>
        <v>8.8260869565217384</v>
      </c>
      <c r="K33" s="20">
        <v>0.45</v>
      </c>
    </row>
    <row r="34" spans="2:11" ht="15.75" thickBot="1" x14ac:dyDescent="0.3">
      <c r="B34" s="53" t="s">
        <v>40</v>
      </c>
      <c r="C34" s="16"/>
      <c r="D34" s="16"/>
      <c r="E34" s="16"/>
      <c r="F34" s="16"/>
      <c r="G34" s="16"/>
      <c r="H34" s="16"/>
      <c r="I34" s="16"/>
      <c r="J34" s="32">
        <f>AVERAGE(J30:J33)</f>
        <v>8.1203627394480868</v>
      </c>
      <c r="K34" s="33">
        <f>AVERAGE(K30:K33)</f>
        <v>0.33500000000000002</v>
      </c>
    </row>
    <row r="35" spans="2:11" ht="16.5" thickTop="1" thickBot="1" x14ac:dyDescent="0.3">
      <c r="B35" t="s">
        <v>44</v>
      </c>
      <c r="C35" s="26">
        <f>C26</f>
        <v>0.35</v>
      </c>
      <c r="D35" s="52">
        <f>J35/(1+C35)^5</f>
        <v>33900993.960299425</v>
      </c>
      <c r="I35" s="36" t="str">
        <f>J15</f>
        <v>Yr 5</v>
      </c>
      <c r="J35" s="35">
        <f>J34*J20</f>
        <v>152013190.48246822</v>
      </c>
    </row>
    <row r="37" spans="2:11" x14ac:dyDescent="0.25">
      <c r="B37" s="10" t="s">
        <v>42</v>
      </c>
      <c r="C37" s="10"/>
      <c r="D37" s="10"/>
    </row>
    <row r="38" spans="2:11" ht="15.75" hidden="1" thickBot="1" x14ac:dyDescent="0.3">
      <c r="B38" s="13" t="s">
        <v>64</v>
      </c>
      <c r="C38" s="13"/>
      <c r="D38" s="13"/>
    </row>
    <row r="39" spans="2:11" ht="15.75" hidden="1" thickTop="1" x14ac:dyDescent="0.25">
      <c r="B39" t="s">
        <v>44</v>
      </c>
      <c r="D39" s="37">
        <f>D26</f>
        <v>22908657.985739261</v>
      </c>
    </row>
    <row r="40" spans="2:11" hidden="1" x14ac:dyDescent="0.25">
      <c r="B40" t="s">
        <v>45</v>
      </c>
      <c r="D40" s="30">
        <f>G12</f>
        <v>7000000</v>
      </c>
    </row>
    <row r="41" spans="2:11" hidden="1" x14ac:dyDescent="0.25">
      <c r="B41" t="s">
        <v>46</v>
      </c>
      <c r="D41" s="20">
        <f>K34</f>
        <v>0.33500000000000002</v>
      </c>
    </row>
    <row r="42" spans="2:11" hidden="1" x14ac:dyDescent="0.25">
      <c r="B42" t="s">
        <v>47</v>
      </c>
      <c r="D42">
        <v>5</v>
      </c>
    </row>
    <row r="43" spans="2:11" hidden="1" x14ac:dyDescent="0.25">
      <c r="B43" t="s">
        <v>48</v>
      </c>
      <c r="D43" s="38">
        <v>0.04</v>
      </c>
    </row>
    <row r="44" spans="2:11" ht="15.75" thickBot="1" x14ac:dyDescent="0.3">
      <c r="B44" s="13" t="s">
        <v>65</v>
      </c>
      <c r="C44" s="13"/>
      <c r="D44" s="13"/>
    </row>
    <row r="45" spans="2:11" ht="15.75" thickTop="1" x14ac:dyDescent="0.25">
      <c r="B45" t="s">
        <v>49</v>
      </c>
      <c r="D45" s="31">
        <f>(F45+F46)/F47</f>
        <v>1.7110489189571847</v>
      </c>
      <c r="F45" s="39">
        <f>LN(D39/D40)</f>
        <v>1.1856047680312909</v>
      </c>
      <c r="G45" s="50" t="s">
        <v>66</v>
      </c>
    </row>
    <row r="46" spans="2:11" x14ac:dyDescent="0.25">
      <c r="B46" t="s">
        <v>50</v>
      </c>
      <c r="D46" s="31">
        <f>D45-F47</f>
        <v>0.96196614649475509</v>
      </c>
      <c r="F46" s="39">
        <f>(D43+(D41^2)/2)</f>
        <v>9.6112500000000017E-2</v>
      </c>
      <c r="G46" s="50" t="s">
        <v>67</v>
      </c>
    </row>
    <row r="47" spans="2:11" x14ac:dyDescent="0.25">
      <c r="B47" t="s">
        <v>51</v>
      </c>
      <c r="D47" s="41">
        <f>NORMSDIST(D45)</f>
        <v>0.9564639586718966</v>
      </c>
      <c r="F47" s="39">
        <f>D41*SQRT(D42)</f>
        <v>0.7490827724624296</v>
      </c>
      <c r="G47" s="51" t="s">
        <v>68</v>
      </c>
    </row>
    <row r="48" spans="2:11" x14ac:dyDescent="0.25">
      <c r="B48" t="s">
        <v>52</v>
      </c>
      <c r="D48" s="41">
        <f>NORMSDIST(D46)</f>
        <v>0.83196669520865374</v>
      </c>
    </row>
    <row r="49" spans="2:4" ht="15.75" thickBot="1" x14ac:dyDescent="0.3">
      <c r="B49" t="s">
        <v>53</v>
      </c>
      <c r="D49" s="40">
        <f>EXP(-D43*D42)</f>
        <v>0.81873075307798182</v>
      </c>
    </row>
    <row r="50" spans="2:4" ht="15.75" thickBot="1" x14ac:dyDescent="0.3">
      <c r="B50" s="4" t="s">
        <v>44</v>
      </c>
      <c r="D50" s="42">
        <f>D39*D47-D40*D49*D48</f>
        <v>17143208.672572866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2025-04-11T03:23:36Z</dcterms:created>
  <dcterms:modified xsi:type="dcterms:W3CDTF">2025-04-16T15:14:55Z</dcterms:modified>
</cp:coreProperties>
</file>