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40" windowHeight="8610" activeTab="1"/>
  </bookViews>
  <sheets>
    <sheet name="Input" sheetId="1" r:id="rId1"/>
    <sheet name="Model" sheetId="2" r:id="rId2"/>
    <sheet name="Comparative Page" sheetId="3" r:id="rId3"/>
  </sheets>
  <externalReferences>
    <externalReference r:id="rId6"/>
  </externalReferences>
  <definedNames>
    <definedName name="CashSweep">'Model'!$K$460</definedName>
    <definedName name="CC">'Model'!$Y$2</definedName>
    <definedName name="_xlnm.Print_Area" localSheetId="2">'Comparative Page'!$A$1:$G$52</definedName>
    <definedName name="_xlnm.Print_Area" localSheetId="1">'Model'!$A$4:$V$353</definedName>
    <definedName name="_xlnm.Print_Titles" localSheetId="1">'Model'!$1:$3</definedName>
  </definedNames>
  <calcPr fullCalcOnLoad="1"/>
</workbook>
</file>

<file path=xl/sharedStrings.xml><?xml version="1.0" encoding="utf-8"?>
<sst xmlns="http://schemas.openxmlformats.org/spreadsheetml/2006/main" count="448" uniqueCount="351">
  <si>
    <t>Revenue</t>
  </si>
  <si>
    <t>EBITDA</t>
  </si>
  <si>
    <t>Divestitures</t>
  </si>
  <si>
    <t>Cash</t>
  </si>
  <si>
    <t>Revolver</t>
  </si>
  <si>
    <t>Amount</t>
  </si>
  <si>
    <t>Years</t>
  </si>
  <si>
    <t>Term Loan A</t>
  </si>
  <si>
    <t>Term Loan B</t>
  </si>
  <si>
    <t xml:space="preserve">   Total Bank Debt</t>
  </si>
  <si>
    <t xml:space="preserve">  Total Secured Debt</t>
  </si>
  <si>
    <t>Senior Secured Notes</t>
  </si>
  <si>
    <t>Junior Subordinated Notes</t>
  </si>
  <si>
    <t xml:space="preserve">  Total Subordinated Debt</t>
  </si>
  <si>
    <t xml:space="preserve">    Total Debt</t>
  </si>
  <si>
    <t>Equity</t>
  </si>
  <si>
    <t>Total Sources</t>
  </si>
  <si>
    <t>Uses</t>
  </si>
  <si>
    <t>Refinance Debt</t>
  </si>
  <si>
    <t>Assumption of Debt</t>
  </si>
  <si>
    <t>Other Bank Debt / Exisiting</t>
  </si>
  <si>
    <t>New Term Loan</t>
  </si>
  <si>
    <t>Transaction Fees &amp; Expenses</t>
  </si>
  <si>
    <t>Total Uses</t>
  </si>
  <si>
    <t>% Cap</t>
  </si>
  <si>
    <t>Debit</t>
  </si>
  <si>
    <t>Credit</t>
  </si>
  <si>
    <t>HISTORICAL</t>
  </si>
  <si>
    <t>PROJECTED</t>
  </si>
  <si>
    <t>ASSETS</t>
  </si>
  <si>
    <t>Short-Term Investments</t>
  </si>
  <si>
    <t>Accounts Receivable</t>
  </si>
  <si>
    <t>Inventory</t>
  </si>
  <si>
    <t>Other Current Assets</t>
  </si>
  <si>
    <t xml:space="preserve">   Total Current Assets</t>
  </si>
  <si>
    <t>Gross Fixed Assets</t>
  </si>
  <si>
    <t>(Accum. Depreciation)</t>
  </si>
  <si>
    <t xml:space="preserve">    Total Fixed Assets</t>
  </si>
  <si>
    <t>Other Investm's &amp; Assets</t>
  </si>
  <si>
    <t>Total Assets</t>
  </si>
  <si>
    <t>LIABILITIES &amp; SHAREHOLDER EQUITY</t>
  </si>
  <si>
    <t>Accounts Payable</t>
  </si>
  <si>
    <t>Acccrued Expenses</t>
  </si>
  <si>
    <t>Other Current Liabilities</t>
  </si>
  <si>
    <t xml:space="preserve">   Total Current Liabilities </t>
  </si>
  <si>
    <t>Deferred Taxes</t>
  </si>
  <si>
    <t>Other Liabilities &amp; OPEB</t>
  </si>
  <si>
    <t>Total Liabilities</t>
  </si>
  <si>
    <t xml:space="preserve">   Treasury Stock</t>
  </si>
  <si>
    <t xml:space="preserve">   Preferred Stock</t>
  </si>
  <si>
    <t xml:space="preserve">   Common Stock</t>
  </si>
  <si>
    <t xml:space="preserve">   Add'l Paid-in-Capital</t>
  </si>
  <si>
    <t xml:space="preserve">   Retained Earnings</t>
  </si>
  <si>
    <t>Total Equity</t>
  </si>
  <si>
    <t>Total Liabilities &amp; Equity</t>
  </si>
  <si>
    <t>ASSETS - LIABILITIES</t>
  </si>
  <si>
    <t>CHANGE</t>
  </si>
  <si>
    <t xml:space="preserve">  Total Debt</t>
  </si>
  <si>
    <t>OWNER'S EQUITY</t>
  </si>
  <si>
    <t>INCOME STATEMENT</t>
  </si>
  <si>
    <t xml:space="preserve">   Sales Growth</t>
  </si>
  <si>
    <t xml:space="preserve">   Gross Margin</t>
  </si>
  <si>
    <t>EBITDA BEF. OTHER</t>
  </si>
  <si>
    <t xml:space="preserve">   % Sales</t>
  </si>
  <si>
    <t>EBITDA  (Op. Cash Flow)</t>
  </si>
  <si>
    <t xml:space="preserve">   EBITDA Margin</t>
  </si>
  <si>
    <t xml:space="preserve">   Depreciation</t>
  </si>
  <si>
    <t>EBIT from cont. oper.</t>
  </si>
  <si>
    <t xml:space="preserve">   Operating Margin</t>
  </si>
  <si>
    <t xml:space="preserve">   Amort. of Goodwill / Intagibles</t>
  </si>
  <si>
    <t xml:space="preserve">   Amort. of Fees</t>
  </si>
  <si>
    <t xml:space="preserve">   Other Non-Oper. Cash Expense</t>
  </si>
  <si>
    <t xml:space="preserve">   Other Non-Oper. Cash (Income)</t>
  </si>
  <si>
    <t>EBIT</t>
  </si>
  <si>
    <t>INTEREST EXPENSE (INCOME):</t>
  </si>
  <si>
    <t xml:space="preserve"> Total Interest Expense</t>
  </si>
  <si>
    <t>EBT and Gain on Asset Sales</t>
  </si>
  <si>
    <t>Gain on Asset Sales</t>
  </si>
  <si>
    <t>Income Before Taxes</t>
  </si>
  <si>
    <t xml:space="preserve">   Tax Rate</t>
  </si>
  <si>
    <t>Tax Expense</t>
  </si>
  <si>
    <t>Net Income bef. Extraordinary</t>
  </si>
  <si>
    <t xml:space="preserve">   Extraord. Chrge (after tax)</t>
  </si>
  <si>
    <t>NET INCOME (LOSS)</t>
  </si>
  <si>
    <t>COST OF SALES (excl. Deprec.)</t>
  </si>
  <si>
    <t>OPERATING EXPENSES</t>
  </si>
  <si>
    <t>REVENUE</t>
  </si>
  <si>
    <t>CASH FLOW STATEMENT</t>
  </si>
  <si>
    <t>OPERATING ACTIVITIES:</t>
  </si>
  <si>
    <t xml:space="preserve">   Net Income (Loss)</t>
  </si>
  <si>
    <t xml:space="preserve">   Amort. Goodwill &amp; Fees</t>
  </si>
  <si>
    <t xml:space="preserve">   Non-Oper. Expense (Income)</t>
  </si>
  <si>
    <t xml:space="preserve">   Gain on Sale of Assets</t>
  </si>
  <si>
    <t xml:space="preserve">   Interest Expense</t>
  </si>
  <si>
    <t xml:space="preserve">   Tax Expense</t>
  </si>
  <si>
    <t xml:space="preserve">  Adjusted  EBITDA  (Op. Cash Flow)</t>
  </si>
  <si>
    <t xml:space="preserve">   Cash Taxes</t>
  </si>
  <si>
    <t xml:space="preserve">   Change in Working Capital</t>
  </si>
  <si>
    <t xml:space="preserve">   Non-Oper. Income (Expense)</t>
  </si>
  <si>
    <t xml:space="preserve">   Change in Other Assets</t>
  </si>
  <si>
    <t xml:space="preserve">   Change in Other Liabilities</t>
  </si>
  <si>
    <t xml:space="preserve">     Subtotal</t>
  </si>
  <si>
    <t>INVESTMENT ACTIVITIES:</t>
  </si>
  <si>
    <t xml:space="preserve">   Capital Expenditures:Base  (-)</t>
  </si>
  <si>
    <t>AVAILABLE CASH FLOW (FACF)</t>
  </si>
  <si>
    <t>FINANCING ACTIVITIES:</t>
  </si>
  <si>
    <t xml:space="preserve">   Cash Interest Expense</t>
  </si>
  <si>
    <t xml:space="preserve">   Cash Common Stock Dividends  (-)</t>
  </si>
  <si>
    <t xml:space="preserve">   Cash Preferred Stock Dividends  (-)</t>
  </si>
  <si>
    <t xml:space="preserve">   Preferred Stock Issued (Purchased)</t>
  </si>
  <si>
    <t xml:space="preserve">   Common Equity Issued (Purchased)</t>
  </si>
  <si>
    <t xml:space="preserve">      Cash Available for Debt Amortization</t>
  </si>
  <si>
    <t>Beginning Cash Balance</t>
  </si>
  <si>
    <t>Required Operating Cash</t>
  </si>
  <si>
    <t>CASH SURPLUS/(NEEDS)</t>
  </si>
  <si>
    <t xml:space="preserve">  Total Debt Payments</t>
  </si>
  <si>
    <t>Free Cash Flow</t>
  </si>
  <si>
    <t>SEGMENT SUMMARY</t>
  </si>
  <si>
    <t xml:space="preserve">  Total Revenue</t>
  </si>
  <si>
    <t>Cost Of Goods</t>
  </si>
  <si>
    <t xml:space="preserve">  Total Cost of Good Sold</t>
  </si>
  <si>
    <t xml:space="preserve">  Total Gross Profit</t>
  </si>
  <si>
    <t>Gross Profit</t>
  </si>
  <si>
    <t>Revenue Growth</t>
  </si>
  <si>
    <t>Cost of Good as % of Sales</t>
  </si>
  <si>
    <t>Operating Expense as % of Total Revenue</t>
  </si>
  <si>
    <t>Depreciation % of Revenue</t>
  </si>
  <si>
    <t>Capex % of Revenue</t>
  </si>
  <si>
    <t>Other Expenses % of Revenue</t>
  </si>
  <si>
    <t>Other Non-Oper. Expenses % of Revenue</t>
  </si>
  <si>
    <t>Other Non-Operating Income % of Revenue</t>
  </si>
  <si>
    <t>Accounts Receivable Days</t>
  </si>
  <si>
    <t>Inventory Turns</t>
  </si>
  <si>
    <t>Acccrued Expenses % of Revenue</t>
  </si>
  <si>
    <t>Other Current Liabilities % of Revenues</t>
  </si>
  <si>
    <t>DEBT SCHEDULES / ANALYSIS</t>
  </si>
  <si>
    <t>Outstanding</t>
  </si>
  <si>
    <t>Interest</t>
  </si>
  <si>
    <t>Interest rate</t>
  </si>
  <si>
    <t>Interest Rate Assumptions</t>
  </si>
  <si>
    <t>LIBOR Rate</t>
  </si>
  <si>
    <t>LIBOR Iincrease / Decrease</t>
  </si>
  <si>
    <t>Base Case</t>
  </si>
  <si>
    <t>Funded</t>
  </si>
  <si>
    <t>Senior Unsecured / Subordinated Notes</t>
  </si>
  <si>
    <t>Enteprise Value</t>
  </si>
  <si>
    <t>Multiple of EBITDA</t>
  </si>
  <si>
    <t>mm</t>
  </si>
  <si>
    <t>Spread
 (bps) / Fixed</t>
  </si>
  <si>
    <t>Other Expense</t>
  </si>
  <si>
    <t>Other (Income)</t>
  </si>
  <si>
    <t>E</t>
  </si>
  <si>
    <t>Acquisition Target EBITDA =</t>
  </si>
  <si>
    <t>Other Intagibles</t>
  </si>
  <si>
    <t>Purchase Goodwill</t>
  </si>
  <si>
    <t>Minority Interest</t>
  </si>
  <si>
    <t xml:space="preserve">   Other</t>
  </si>
  <si>
    <t xml:space="preserve">   Acquistions</t>
  </si>
  <si>
    <t xml:space="preserve">      Total Capex / Acquisitions</t>
  </si>
  <si>
    <t>Capitalized Exp.</t>
  </si>
  <si>
    <t>HARD INPUT</t>
  </si>
  <si>
    <t>Revenues</t>
  </si>
  <si>
    <t>COGS</t>
  </si>
  <si>
    <t>Operating Expenses</t>
  </si>
  <si>
    <t>Total Revenue</t>
  </si>
  <si>
    <t>Other Income % of Revenue</t>
  </si>
  <si>
    <t>Other Current Assets % of Revenue</t>
  </si>
  <si>
    <t xml:space="preserve">Accounts Payable Days </t>
  </si>
  <si>
    <t>SUMMARY</t>
  </si>
  <si>
    <t xml:space="preserve"> Revenue Growth</t>
  </si>
  <si>
    <t xml:space="preserve">  EBITDA Margin</t>
  </si>
  <si>
    <t>Capex</t>
  </si>
  <si>
    <t>Working capital</t>
  </si>
  <si>
    <t>Cash Taxes</t>
  </si>
  <si>
    <t>Bank Debt</t>
  </si>
  <si>
    <t>Total Debt</t>
  </si>
  <si>
    <t>EBITDA / Interest</t>
  </si>
  <si>
    <t>Interest Expenses</t>
  </si>
  <si>
    <t>EBITDA - Capex / Interest</t>
  </si>
  <si>
    <t>Debt / Capitalization</t>
  </si>
  <si>
    <t>Senior Debt / EBITDA</t>
  </si>
  <si>
    <t>Total Debt / EBITDA</t>
  </si>
  <si>
    <t>TRANSACTION SOURCES &amp; USES</t>
  </si>
  <si>
    <t>BALANCE SHEET</t>
  </si>
  <si>
    <t>OPERATING ASSUMPTIONS (INCOME, CASH FLOW AND BALANCE SHEET STATEMENTS)</t>
  </si>
  <si>
    <t>Current Case</t>
  </si>
  <si>
    <t>Case ????</t>
  </si>
  <si>
    <t>Stress Case</t>
  </si>
  <si>
    <t>Depreciation</t>
  </si>
  <si>
    <t>Amortization</t>
  </si>
  <si>
    <t>Variable</t>
  </si>
  <si>
    <t>Revenue Growth (%)</t>
  </si>
  <si>
    <t xml:space="preserve">  Difference</t>
  </si>
  <si>
    <t>EBITDA Margin (%)</t>
  </si>
  <si>
    <t>Change in Working Capital ($)</t>
  </si>
  <si>
    <t>CAPEX ($)</t>
  </si>
  <si>
    <t>Results</t>
  </si>
  <si>
    <t>Revenues ($)</t>
  </si>
  <si>
    <t>EBITDA ($)</t>
  </si>
  <si>
    <t>EBITDA (Cumulative)</t>
  </si>
  <si>
    <t>EBITDA/Interest Expense</t>
  </si>
  <si>
    <t>Total Debt/EBITDA</t>
  </si>
  <si>
    <t>Total Debt/Total Capital (%)</t>
  </si>
  <si>
    <t>Comparative Analysis</t>
  </si>
  <si>
    <t>Amort. of Goodwill / Intagibles</t>
  </si>
  <si>
    <t>Amort. of Fees</t>
  </si>
  <si>
    <t>FX Effect</t>
  </si>
  <si>
    <t xml:space="preserve">  EBITDA
 x</t>
  </si>
  <si>
    <t>Net Senior Debt / EBITDA</t>
  </si>
  <si>
    <t>Net Total Debt / EBITDA</t>
  </si>
  <si>
    <t>Cash &amp; Short-term Investments</t>
  </si>
  <si>
    <t>Transaction Adjustm.</t>
  </si>
  <si>
    <t>Net Bank Debt Remaining ($) (a)</t>
  </si>
  <si>
    <t>Net Total Debt Remaining ($)</t>
  </si>
  <si>
    <t>(EBITDA - Capex)/Interest Expense</t>
  </si>
  <si>
    <t>Net Senior Debt/EBITDA</t>
  </si>
  <si>
    <t xml:space="preserve">MACRO = </t>
  </si>
  <si>
    <t>Cntl + A</t>
  </si>
  <si>
    <t>Make sure the Automatic Cal is on (to check go to Tools/Options/Calc and click Automatic)</t>
  </si>
  <si>
    <t>Current Case:</t>
  </si>
  <si>
    <t>Increase / (Decrease)</t>
  </si>
  <si>
    <t>CASH SWEEP ANALYSIS</t>
  </si>
  <si>
    <t>Cash Available for Debt Service</t>
  </si>
  <si>
    <t>CASH SWEEP</t>
  </si>
  <si>
    <t>Yes / No</t>
  </si>
  <si>
    <t>No</t>
  </si>
  <si>
    <t>Choose</t>
  </si>
  <si>
    <t>Cash Sweep if any</t>
  </si>
  <si>
    <t>Short Term Investment (Income)</t>
  </si>
  <si>
    <t>Scheduled Amortization</t>
  </si>
  <si>
    <t>OID</t>
  </si>
  <si>
    <t>All-in
Yield (4 yr)</t>
  </si>
  <si>
    <t>Other Investments % of Revenue</t>
  </si>
  <si>
    <t xml:space="preserve">   Other Investments</t>
  </si>
  <si>
    <t xml:space="preserve">   Capital Expenditures</t>
  </si>
  <si>
    <t>12 mos</t>
  </si>
  <si>
    <t>LIBOR Rate/Floor=</t>
  </si>
  <si>
    <t>Other Investments</t>
  </si>
  <si>
    <t>Income Statement</t>
  </si>
  <si>
    <t>PERIOD ENDING</t>
  </si>
  <si>
    <t>Cost of Revenue</t>
  </si>
  <si>
    <t>Research Development</t>
  </si>
  <si>
    <t>Selling General and Administrative</t>
  </si>
  <si>
    <t>Non Recurring - One time</t>
  </si>
  <si>
    <t>Others</t>
  </si>
  <si>
    <t>Total Operating Expenses</t>
  </si>
  <si>
    <t>Operating Income or Loss</t>
  </si>
  <si>
    <t>Total Other Income/Expenses Net - One time</t>
  </si>
  <si>
    <t>Earnings Before Interest And Taxes (EBIT)</t>
  </si>
  <si>
    <t>Interest Expense</t>
  </si>
  <si>
    <t>Income Before Tax</t>
  </si>
  <si>
    <t>Income Tax Expense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</si>
  <si>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</si>
  <si>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</si>
  <si>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</si>
  <si>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</si>
  <si>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</si>
  <si>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</si>
  <si>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</si>
  <si>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</si>
  <si>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</si>
  <si>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End of Period Stock Price Close</t>
  </si>
  <si>
    <t xml:space="preserve">  % Change</t>
  </si>
  <si>
    <t>Balance Sheet</t>
  </si>
  <si>
    <t>Assets</t>
  </si>
  <si>
    <t>Current Assets</t>
  </si>
  <si>
    <t>Cash And Cash Equivalents</t>
  </si>
  <si>
    <t>Short Term Investments</t>
  </si>
  <si>
    <t xml:space="preserve">-  </t>
  </si>
  <si>
    <t>Net Receivables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</si>
  <si>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</si>
  <si>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</si>
  <si>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</si>
  <si>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</si>
  <si>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</si>
  <si>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</si>
  <si>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</si>
  <si>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</si>
  <si>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Liabilities</t>
  </si>
  <si>
    <t>Current Liabilities</t>
  </si>
  <si>
    <t>Short/Current Long Term Debt</t>
  </si>
  <si>
    <t>Total Current Liabilities</t>
  </si>
  <si>
    <t>Long Term Debt</t>
  </si>
  <si>
    <t>Other Liabilities</t>
  </si>
  <si>
    <t>Deferred Long Term Liability Charges</t>
  </si>
  <si>
    <t>Negative Goodwill</t>
  </si>
  <si>
    <t xml:space="preserve">Stockholders' Equity 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</si>
  <si>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</si>
  <si>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</si>
  <si>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</si>
  <si>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</si>
  <si>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</si>
  <si>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</si>
  <si>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</si>
  <si>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</si>
  <si>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Error Check</t>
  </si>
  <si>
    <t>Cash Flow Statement</t>
  </si>
  <si>
    <t>Adjustments To Net Income</t>
  </si>
  <si>
    <t>Changes In Accounts Receivables</t>
  </si>
  <si>
    <t>Changes In Liabilities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</si>
  <si>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</si>
  <si>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</si>
  <si>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</si>
  <si>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</si>
  <si>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</si>
  <si>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</si>
  <si>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Cashflows from Investing Activities</t>
  </si>
  <si>
    <t>Total Cash Flows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</si>
  <si>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</si>
  <si>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</si>
  <si>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</si>
  <si>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</si>
  <si>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</si>
  <si>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Flows From Financing Activities</t>
  </si>
  <si>
    <t>Effect Of Exchange Rate Changes</t>
  </si>
  <si>
    <t xml:space="preserve">Change In Cash and Cash Equivalents </t>
  </si>
  <si>
    <t>Starwood Hotels &amp; Resorts Worldwide Inc. (HOT)</t>
  </si>
  <si>
    <t>Ratio Analysis</t>
  </si>
  <si>
    <t>EBITDA (Operating Income + Depreciation+Non Rec. Exp)</t>
  </si>
  <si>
    <t>Liquidity Ratios</t>
  </si>
  <si>
    <t xml:space="preserve"> Current Ratio </t>
  </si>
  <si>
    <t xml:space="preserve"> Accounts Receivable Turnover</t>
  </si>
  <si>
    <t>Solvency Ratios</t>
  </si>
  <si>
    <t xml:space="preserve"> LTD / Total Capitalization</t>
  </si>
  <si>
    <t xml:space="preserve"> EBITDA / Interest (Interest Coverage)</t>
  </si>
  <si>
    <t xml:space="preserve"> LTD / EBITDA</t>
  </si>
  <si>
    <t>Activity Ratios</t>
  </si>
  <si>
    <t xml:space="preserve"> Inventory Ratio (Food)</t>
  </si>
  <si>
    <t xml:space="preserve"> Fixed Asset Turnover Ratio</t>
  </si>
  <si>
    <t xml:space="preserve"> Asset Turnover Ratio</t>
  </si>
  <si>
    <t xml:space="preserve"> Occupancy Rate</t>
  </si>
  <si>
    <t>Profitability Ratios</t>
  </si>
  <si>
    <t>Gross Margin</t>
  </si>
  <si>
    <t>EBITDA Margin</t>
  </si>
  <si>
    <t>EBIT Margin</t>
  </si>
  <si>
    <t>Return on Assets (ROA)</t>
  </si>
  <si>
    <t>Gross Return on Assets</t>
  </si>
  <si>
    <t>Return on Equity (ROE)</t>
  </si>
  <si>
    <t>Trend Analysis Ratios</t>
  </si>
  <si>
    <t>REVPAR Growth</t>
  </si>
  <si>
    <t>Stock Purchase</t>
  </si>
  <si>
    <t>Stock
 Price</t>
  </si>
  <si>
    <t>Shares 
Outstanding
(000s)</t>
  </si>
  <si>
    <t>Debt
Capacity
EBITDA x</t>
  </si>
  <si>
    <t>New 
Commit.
(Rounded)</t>
  </si>
  <si>
    <t>Sources
($000s)</t>
  </si>
  <si>
    <t>Owned, Leased and Consolidated Joint Venture Hotels</t>
  </si>
  <si>
    <t>Management Fees, Franchise Fees and Other Income</t>
  </si>
  <si>
    <t>Vacation Ownership and Residential</t>
  </si>
  <si>
    <t>Other Revenues from Managed and Franchised Properties</t>
  </si>
  <si>
    <t>Calculated
Debt
based on DC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</si>
</sst>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_);\(0\)"/>
    <numFmt numFmtId="167" formatCode="_(* #,##0.0_);_(* \(#,##0.0\);_(* &quot;-&quot;??_);_(@_)"/>
    <numFmt numFmtId="168" formatCode="0.0\x"/>
    <numFmt numFmtId="169" formatCode="0.00\x"/>
    <numFmt numFmtId="170" formatCode="_(* #,##0.0_);_(* \(#,##0.0\);_(* &quot;-&quot;?_);_(@_)"/>
    <numFmt numFmtId="171" formatCode="_(&quot;$&quot;* #,##0.0_);_(&quot;$&quot;* \(#,##0.0\);_(&quot;$&quot;* &quot;-&quot;??_);_(@_)"/>
    <numFmt numFmtId="172" formatCode="&quot;$&quot;#,##0.0_);\(&quot;$&quot;#,##0.0\);\-\-_)"/>
    <numFmt numFmtId="173" formatCode="#,##0.0_);\(#,##0.0\)"/>
    <numFmt numFmtId="174" formatCode="#,##0.0_);\(#,##0.0\);#,##0.0_);@_)"/>
    <numFmt numFmtId="175" formatCode="_(* #,##0.000_);_(* \(#,##0.000\);_(* &quot;-&quot;??_);_(@_)"/>
    <numFmt numFmtId="176" formatCode="0.0"/>
    <numFmt numFmtId="177" formatCode="[$-409]dddd\,\ mmmm\ dd\,\ yyyy"/>
    <numFmt numFmtId="178" formatCode="m/d/yy;@"/>
    <numFmt numFmtId="179" formatCode="0_)"/>
    <numFmt numFmtId="180" formatCode="General_)"/>
    <numFmt numFmtId="181" formatCode="General_);[Red]\-General_)"/>
    <numFmt numFmtId="182" formatCode="#,##0.0_);[Red]\(#,##0.0\)"/>
    <numFmt numFmtId="183" formatCode="0_);[Red]\-0_)"/>
    <numFmt numFmtId="184" formatCode="[$-409]mmm\-yy;@"/>
    <numFmt numFmtId="185" formatCode="0.0_);[Red]\(0.0\)"/>
    <numFmt numFmtId="186" formatCode="_(* #,##0.000_);_(* \(#,##0.000\);_(* &quot;-&quot;_);_(@_)"/>
    <numFmt numFmtId="187" formatCode="#,##0.0"/>
    <numFmt numFmtId="188" formatCode="_(* #,##0.0_);_(* \(#,##0.0\);_(* &quot;-&quot;_);_(@_)"/>
    <numFmt numFmtId="189" formatCode="#,##0.0;\-#,##0.0"/>
    <numFmt numFmtId="190" formatCode="_-* #,##0_-;\-* #,##0_-;_-* &quot;-&quot;_-;_-@_-"/>
    <numFmt numFmtId="191" formatCode="0.000"/>
    <numFmt numFmtId="192" formatCode="[$-409]mmmm\-yy;@"/>
    <numFmt numFmtId="193" formatCode="[$-409]d\-mmm;@"/>
    <numFmt numFmtId="194" formatCode="0.00_);\(0.00\)"/>
    <numFmt numFmtId="195" formatCode="0.00_ "/>
    <numFmt numFmtId="196" formatCode="_(* #,##0.0000_);_(* \(#,##0.0000\);_(* &quot;-&quot;??_);_(@_)"/>
    <numFmt numFmtId="197" formatCode="_(* #,##0_);_(* \(#,##0\);_(* &quot;-&quot;?_);_(@_)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12"/>
      <name val="Arial MT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7.9"/>
      <name val="Arial"/>
      <family val="2"/>
    </font>
    <font>
      <b/>
      <sz val="7.9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8"/>
      <color indexed="62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4" tint="-0.2499700039625167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8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7" fontId="22" fillId="33" borderId="0">
      <alignment/>
      <protection/>
    </xf>
  </cellStyleXfs>
  <cellXfs count="394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34" borderId="0" xfId="55" applyFont="1" applyFill="1">
      <alignment/>
      <protection/>
    </xf>
    <xf numFmtId="0" fontId="6" fillId="34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167" fontId="11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64" fontId="0" fillId="0" borderId="0" xfId="58" applyNumberFormat="1" applyFont="1" applyAlignment="1">
      <alignment/>
    </xf>
    <xf numFmtId="164" fontId="0" fillId="0" borderId="11" xfId="58" applyNumberFormat="1" applyFont="1" applyBorder="1" applyAlignment="1">
      <alignment/>
    </xf>
    <xf numFmtId="164" fontId="0" fillId="0" borderId="12" xfId="58" applyNumberFormat="1" applyFont="1" applyBorder="1" applyAlignment="1">
      <alignment/>
    </xf>
    <xf numFmtId="164" fontId="0" fillId="0" borderId="13" xfId="58" applyNumberFormat="1" applyFont="1" applyBorder="1" applyAlignment="1">
      <alignment/>
    </xf>
    <xf numFmtId="0" fontId="4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7" fontId="11" fillId="0" borderId="14" xfId="42" applyNumberFormat="1" applyFon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 horizontal="center"/>
    </xf>
    <xf numFmtId="164" fontId="11" fillId="0" borderId="0" xfId="58" applyNumberFormat="1" applyFont="1" applyAlignment="1">
      <alignment/>
    </xf>
    <xf numFmtId="0" fontId="11" fillId="0" borderId="0" xfId="0" applyFont="1" applyAlignment="1">
      <alignment/>
    </xf>
    <xf numFmtId="167" fontId="10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171" fontId="10" fillId="0" borderId="0" xfId="44" applyNumberFormat="1" applyFont="1" applyAlignment="1">
      <alignment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10" xfId="0" applyFill="1" applyBorder="1" applyAlignment="1">
      <alignment vertic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164" fontId="0" fillId="0" borderId="15" xfId="58" applyNumberFormat="1" applyFont="1" applyBorder="1" applyAlignment="1">
      <alignment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167" fontId="0" fillId="0" borderId="15" xfId="42" applyNumberFormat="1" applyFont="1" applyBorder="1" applyAlignment="1">
      <alignment/>
    </xf>
    <xf numFmtId="10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0" fontId="0" fillId="0" borderId="0" xfId="58" applyNumberFormat="1" applyFont="1" applyAlignment="1">
      <alignment/>
    </xf>
    <xf numFmtId="40" fontId="1" fillId="0" borderId="0" xfId="55" applyNumberFormat="1" applyFont="1">
      <alignment/>
      <protection/>
    </xf>
    <xf numFmtId="165" fontId="0" fillId="0" borderId="11" xfId="42" applyNumberFormat="1" applyFont="1" applyBorder="1" applyAlignment="1">
      <alignment/>
    </xf>
    <xf numFmtId="167" fontId="11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171" fontId="7" fillId="34" borderId="0" xfId="44" applyNumberFormat="1" applyFont="1" applyFill="1" applyAlignment="1">
      <alignment/>
    </xf>
    <xf numFmtId="167" fontId="0" fillId="0" borderId="0" xfId="42" applyNumberFormat="1" applyFont="1" applyAlignment="1">
      <alignment horizontal="left"/>
    </xf>
    <xf numFmtId="164" fontId="0" fillId="0" borderId="0" xfId="58" applyNumberFormat="1" applyFont="1" applyAlignment="1">
      <alignment/>
    </xf>
    <xf numFmtId="167" fontId="0" fillId="0" borderId="15" xfId="42" applyNumberFormat="1" applyFont="1" applyBorder="1" applyAlignment="1">
      <alignment/>
    </xf>
    <xf numFmtId="164" fontId="0" fillId="0" borderId="15" xfId="58" applyNumberFormat="1" applyFont="1" applyBorder="1" applyAlignment="1">
      <alignment/>
    </xf>
    <xf numFmtId="168" fontId="0" fillId="0" borderId="0" xfId="42" applyNumberFormat="1" applyFont="1" applyAlignment="1">
      <alignment/>
    </xf>
    <xf numFmtId="178" fontId="0" fillId="0" borderId="0" xfId="0" applyNumberFormat="1" applyAlignment="1">
      <alignment/>
    </xf>
    <xf numFmtId="0" fontId="13" fillId="34" borderId="0" xfId="55" applyFont="1" applyFill="1">
      <alignment/>
      <protection/>
    </xf>
    <xf numFmtId="0" fontId="13" fillId="34" borderId="0" xfId="0" applyFont="1" applyFill="1" applyAlignment="1">
      <alignment horizontal="left"/>
    </xf>
    <xf numFmtId="0" fontId="13" fillId="34" borderId="0" xfId="0" applyFont="1" applyFill="1" applyAlignment="1">
      <alignment/>
    </xf>
    <xf numFmtId="0" fontId="3" fillId="0" borderId="0" xfId="55" applyFont="1" applyAlignment="1">
      <alignment horizontal="centerContinuous"/>
      <protection/>
    </xf>
    <xf numFmtId="178" fontId="0" fillId="0" borderId="0" xfId="0" applyNumberFormat="1" applyAlignment="1">
      <alignment horizontal="centerContinuous"/>
    </xf>
    <xf numFmtId="40" fontId="15" fillId="0" borderId="0" xfId="55" applyNumberFormat="1" applyFont="1" applyAlignment="1">
      <alignment horizontal="centerContinuous"/>
      <protection/>
    </xf>
    <xf numFmtId="0" fontId="4" fillId="35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173" fontId="4" fillId="0" borderId="2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9" fontId="0" fillId="0" borderId="0" xfId="58" applyFont="1" applyAlignment="1">
      <alignment/>
    </xf>
    <xf numFmtId="173" fontId="0" fillId="0" borderId="0" xfId="0" applyNumberFormat="1" applyFont="1" applyAlignment="1" applyProtection="1">
      <alignment/>
      <protection/>
    </xf>
    <xf numFmtId="0" fontId="4" fillId="37" borderId="22" xfId="0" applyFont="1" applyFill="1" applyBorder="1" applyAlignment="1">
      <alignment horizontal="left"/>
    </xf>
    <xf numFmtId="181" fontId="4" fillId="0" borderId="23" xfId="0" applyNumberFormat="1" applyFont="1" applyBorder="1" applyAlignment="1" applyProtection="1">
      <alignment horizontal="left"/>
      <protection/>
    </xf>
    <xf numFmtId="181" fontId="0" fillId="0" borderId="23" xfId="0" applyNumberFormat="1" applyFont="1" applyBorder="1" applyAlignment="1" applyProtection="1">
      <alignment/>
      <protection/>
    </xf>
    <xf numFmtId="181" fontId="0" fillId="0" borderId="23" xfId="0" applyNumberFormat="1" applyFont="1" applyBorder="1" applyAlignment="1" applyProtection="1">
      <alignment horizontal="left"/>
      <protection locked="0"/>
    </xf>
    <xf numFmtId="182" fontId="0" fillId="0" borderId="23" xfId="0" applyNumberFormat="1" applyFont="1" applyBorder="1" applyAlignment="1" applyProtection="1">
      <alignment/>
      <protection/>
    </xf>
    <xf numFmtId="181" fontId="4" fillId="0" borderId="23" xfId="0" applyNumberFormat="1" applyFont="1" applyBorder="1" applyAlignment="1" applyProtection="1">
      <alignment horizontal="left"/>
      <protection locked="0"/>
    </xf>
    <xf numFmtId="182" fontId="4" fillId="0" borderId="23" xfId="0" applyNumberFormat="1" applyFont="1" applyBorder="1" applyAlignment="1" applyProtection="1">
      <alignment/>
      <protection/>
    </xf>
    <xf numFmtId="181" fontId="4" fillId="0" borderId="24" xfId="0" applyNumberFormat="1" applyFont="1" applyBorder="1" applyAlignment="1" applyProtection="1">
      <alignment horizontal="left"/>
      <protection/>
    </xf>
    <xf numFmtId="182" fontId="0" fillId="0" borderId="24" xfId="0" applyNumberFormat="1" applyFont="1" applyBorder="1" applyAlignment="1" applyProtection="1">
      <alignment/>
      <protection/>
    </xf>
    <xf numFmtId="182" fontId="0" fillId="0" borderId="23" xfId="0" applyNumberFormat="1" applyFont="1" applyBorder="1" applyAlignment="1" applyProtection="1" quotePrefix="1">
      <alignment/>
      <protection/>
    </xf>
    <xf numFmtId="181" fontId="4" fillId="37" borderId="22" xfId="0" applyNumberFormat="1" applyFont="1" applyFill="1" applyBorder="1" applyAlignment="1" applyProtection="1">
      <alignment horizontal="left"/>
      <protection/>
    </xf>
    <xf numFmtId="181" fontId="0" fillId="0" borderId="24" xfId="0" applyNumberFormat="1" applyFont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/>
    </xf>
    <xf numFmtId="38" fontId="0" fillId="0" borderId="24" xfId="0" applyNumberFormat="1" applyFont="1" applyBorder="1" applyAlignment="1" applyProtection="1">
      <alignment/>
      <protection/>
    </xf>
    <xf numFmtId="181" fontId="4" fillId="0" borderId="25" xfId="0" applyNumberFormat="1" applyFont="1" applyBorder="1" applyAlignment="1" applyProtection="1">
      <alignment horizontal="left"/>
      <protection/>
    </xf>
    <xf numFmtId="38" fontId="0" fillId="0" borderId="25" xfId="0" applyNumberFormat="1" applyFont="1" applyBorder="1" applyAlignment="1" applyProtection="1">
      <alignment/>
      <protection/>
    </xf>
    <xf numFmtId="181" fontId="0" fillId="0" borderId="26" xfId="0" applyNumberFormat="1" applyFont="1" applyBorder="1" applyAlignment="1" applyProtection="1">
      <alignment/>
      <protection/>
    </xf>
    <xf numFmtId="168" fontId="0" fillId="0" borderId="23" xfId="0" applyNumberFormat="1" applyFont="1" applyBorder="1" applyAlignment="1" applyProtection="1">
      <alignment/>
      <protection/>
    </xf>
    <xf numFmtId="168" fontId="0" fillId="0" borderId="24" xfId="0" applyNumberFormat="1" applyFont="1" applyBorder="1" applyAlignment="1" applyProtection="1">
      <alignment/>
      <protection/>
    </xf>
    <xf numFmtId="40" fontId="14" fillId="0" borderId="21" xfId="0" applyNumberFormat="1" applyFont="1" applyBorder="1" applyAlignment="1">
      <alignment/>
    </xf>
    <xf numFmtId="0" fontId="18" fillId="0" borderId="0" xfId="0" applyFont="1" applyAlignment="1">
      <alignment/>
    </xf>
    <xf numFmtId="164" fontId="0" fillId="0" borderId="27" xfId="58" applyNumberFormat="1" applyFont="1" applyBorder="1" applyAlignment="1" applyProtection="1">
      <alignment/>
      <protection/>
    </xf>
    <xf numFmtId="164" fontId="0" fillId="0" borderId="26" xfId="58" applyNumberFormat="1" applyFont="1" applyBorder="1" applyAlignment="1" applyProtection="1">
      <alignment/>
      <protection/>
    </xf>
    <xf numFmtId="164" fontId="0" fillId="0" borderId="23" xfId="58" applyNumberFormat="1" applyFont="1" applyBorder="1" applyAlignment="1" applyProtection="1">
      <alignment/>
      <protection/>
    </xf>
    <xf numFmtId="182" fontId="0" fillId="0" borderId="26" xfId="0" applyNumberFormat="1" applyFont="1" applyBorder="1" applyAlignment="1" applyProtection="1">
      <alignment/>
      <protection/>
    </xf>
    <xf numFmtId="0" fontId="17" fillId="38" borderId="28" xfId="0" applyFont="1" applyFill="1" applyBorder="1" applyAlignment="1">
      <alignment/>
    </xf>
    <xf numFmtId="0" fontId="4" fillId="38" borderId="29" xfId="0" applyFont="1" applyFill="1" applyBorder="1" applyAlignment="1">
      <alignment horizontal="center"/>
    </xf>
    <xf numFmtId="0" fontId="4" fillId="38" borderId="30" xfId="0" applyFont="1" applyFill="1" applyBorder="1" applyAlignment="1">
      <alignment/>
    </xf>
    <xf numFmtId="0" fontId="4" fillId="38" borderId="31" xfId="0" applyFont="1" applyFill="1" applyBorder="1" applyAlignment="1">
      <alignment/>
    </xf>
    <xf numFmtId="167" fontId="19" fillId="0" borderId="0" xfId="42" applyNumberFormat="1" applyFont="1" applyAlignment="1">
      <alignment/>
    </xf>
    <xf numFmtId="167" fontId="19" fillId="0" borderId="11" xfId="42" applyNumberFormat="1" applyFont="1" applyBorder="1" applyAlignment="1">
      <alignment/>
    </xf>
    <xf numFmtId="17" fontId="4" fillId="35" borderId="10" xfId="0" applyNumberFormat="1" applyFont="1" applyFill="1" applyBorder="1" applyAlignment="1">
      <alignment/>
    </xf>
    <xf numFmtId="17" fontId="4" fillId="35" borderId="32" xfId="0" applyNumberFormat="1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left"/>
    </xf>
    <xf numFmtId="168" fontId="0" fillId="0" borderId="15" xfId="42" applyNumberFormat="1" applyFont="1" applyBorder="1" applyAlignment="1">
      <alignment/>
    </xf>
    <xf numFmtId="184" fontId="2" fillId="35" borderId="33" xfId="55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181" fontId="4" fillId="0" borderId="23" xfId="0" applyNumberFormat="1" applyFont="1" applyBorder="1" applyAlignment="1" applyProtection="1" quotePrefix="1">
      <alignment horizontal="left"/>
      <protection/>
    </xf>
    <xf numFmtId="167" fontId="0" fillId="0" borderId="23" xfId="42" applyNumberFormat="1" applyFont="1" applyBorder="1" applyAlignment="1" applyProtection="1">
      <alignment/>
      <protection/>
    </xf>
    <xf numFmtId="173" fontId="20" fillId="38" borderId="34" xfId="0" applyNumberFormat="1" applyFont="1" applyFill="1" applyBorder="1" applyAlignment="1" applyProtection="1">
      <alignment/>
      <protection/>
    </xf>
    <xf numFmtId="173" fontId="20" fillId="38" borderId="35" xfId="0" applyNumberFormat="1" applyFont="1" applyFill="1" applyBorder="1" applyAlignment="1" applyProtection="1">
      <alignment/>
      <protection/>
    </xf>
    <xf numFmtId="173" fontId="4" fillId="38" borderId="35" xfId="0" applyNumberFormat="1" applyFont="1" applyFill="1" applyBorder="1" applyAlignment="1" applyProtection="1">
      <alignment/>
      <protection/>
    </xf>
    <xf numFmtId="0" fontId="3" fillId="38" borderId="36" xfId="0" applyFont="1" applyFill="1" applyBorder="1" applyAlignment="1">
      <alignment/>
    </xf>
    <xf numFmtId="173" fontId="4" fillId="38" borderId="37" xfId="0" applyNumberFormat="1" applyFont="1" applyFill="1" applyBorder="1" applyAlignment="1" applyProtection="1">
      <alignment/>
      <protection/>
    </xf>
    <xf numFmtId="173" fontId="4" fillId="38" borderId="38" xfId="0" applyNumberFormat="1" applyFont="1" applyFill="1" applyBorder="1" applyAlignment="1" applyProtection="1">
      <alignment/>
      <protection/>
    </xf>
    <xf numFmtId="0" fontId="8" fillId="38" borderId="39" xfId="0" applyFont="1" applyFill="1" applyBorder="1" applyAlignment="1">
      <alignment/>
    </xf>
    <xf numFmtId="173" fontId="0" fillId="38" borderId="10" xfId="0" applyNumberFormat="1" applyFont="1" applyFill="1" applyBorder="1" applyAlignment="1" applyProtection="1">
      <alignment/>
      <protection/>
    </xf>
    <xf numFmtId="173" fontId="0" fillId="38" borderId="40" xfId="0" applyNumberFormat="1" applyFont="1" applyFill="1" applyBorder="1" applyAlignment="1" applyProtection="1">
      <alignment/>
      <protection/>
    </xf>
    <xf numFmtId="17" fontId="4" fillId="39" borderId="32" xfId="0" applyNumberFormat="1" applyFont="1" applyFill="1" applyBorder="1" applyAlignment="1">
      <alignment/>
    </xf>
    <xf numFmtId="17" fontId="4" fillId="39" borderId="10" xfId="0" applyNumberFormat="1" applyFont="1" applyFill="1" applyBorder="1" applyAlignment="1">
      <alignment/>
    </xf>
    <xf numFmtId="17" fontId="4" fillId="38" borderId="10" xfId="0" applyNumberFormat="1" applyFont="1" applyFill="1" applyBorder="1" applyAlignment="1">
      <alignment/>
    </xf>
    <xf numFmtId="17" fontId="4" fillId="38" borderId="32" xfId="0" applyNumberFormat="1" applyFont="1" applyFill="1" applyBorder="1" applyAlignment="1">
      <alignment/>
    </xf>
    <xf numFmtId="167" fontId="0" fillId="40" borderId="13" xfId="0" applyNumberFormat="1" applyFill="1" applyBorder="1" applyAlignment="1">
      <alignment/>
    </xf>
    <xf numFmtId="167" fontId="0" fillId="40" borderId="0" xfId="0" applyNumberFormat="1" applyFill="1" applyBorder="1" applyAlignment="1">
      <alignment/>
    </xf>
    <xf numFmtId="0" fontId="0" fillId="40" borderId="0" xfId="0" applyFill="1" applyBorder="1" applyAlignment="1">
      <alignment/>
    </xf>
    <xf numFmtId="167" fontId="9" fillId="40" borderId="0" xfId="42" applyNumberFormat="1" applyFont="1" applyFill="1" applyBorder="1" applyAlignment="1">
      <alignment/>
    </xf>
    <xf numFmtId="167" fontId="11" fillId="40" borderId="0" xfId="42" applyNumberFormat="1" applyFont="1" applyFill="1" applyBorder="1" applyAlignment="1">
      <alignment/>
    </xf>
    <xf numFmtId="0" fontId="13" fillId="34" borderId="41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21" fillId="38" borderId="20" xfId="0" applyFont="1" applyFill="1" applyBorder="1" applyAlignment="1">
      <alignment/>
    </xf>
    <xf numFmtId="0" fontId="4" fillId="38" borderId="0" xfId="0" applyFont="1" applyFill="1" applyBorder="1" applyAlignment="1">
      <alignment horizontal="centerContinuous"/>
    </xf>
    <xf numFmtId="0" fontId="4" fillId="38" borderId="0" xfId="0" applyFont="1" applyFill="1" applyBorder="1" applyAlignment="1">
      <alignment horizontal="left"/>
    </xf>
    <xf numFmtId="0" fontId="4" fillId="38" borderId="2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164" fontId="4" fillId="38" borderId="0" xfId="58" applyNumberFormat="1" applyFont="1" applyFill="1" applyBorder="1" applyAlignment="1" quotePrefix="1">
      <alignment/>
    </xf>
    <xf numFmtId="167" fontId="4" fillId="38" borderId="0" xfId="0" applyNumberFormat="1" applyFont="1" applyFill="1" applyBorder="1" applyAlignment="1" quotePrefix="1">
      <alignment/>
    </xf>
    <xf numFmtId="0" fontId="4" fillId="38" borderId="39" xfId="0" applyFont="1" applyFill="1" applyBorder="1" applyAlignment="1">
      <alignment/>
    </xf>
    <xf numFmtId="0" fontId="16" fillId="34" borderId="42" xfId="0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21" fillId="39" borderId="20" xfId="0" applyFont="1" applyFill="1" applyBorder="1" applyAlignment="1">
      <alignment/>
    </xf>
    <xf numFmtId="0" fontId="4" fillId="39" borderId="0" xfId="0" applyFont="1" applyFill="1" applyBorder="1" applyAlignment="1">
      <alignment horizontal="centerContinuous"/>
    </xf>
    <xf numFmtId="0" fontId="4" fillId="39" borderId="0" xfId="0" applyFont="1" applyFill="1" applyBorder="1" applyAlignment="1">
      <alignment horizontal="left"/>
    </xf>
    <xf numFmtId="0" fontId="4" fillId="39" borderId="19" xfId="0" applyFont="1" applyFill="1" applyBorder="1" applyAlignment="1">
      <alignment horizontal="centerContinuous"/>
    </xf>
    <xf numFmtId="0" fontId="4" fillId="39" borderId="20" xfId="0" applyFont="1" applyFill="1" applyBorder="1" applyAlignment="1">
      <alignment/>
    </xf>
    <xf numFmtId="17" fontId="4" fillId="39" borderId="40" xfId="0" applyNumberFormat="1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164" fontId="4" fillId="39" borderId="0" xfId="58" applyNumberFormat="1" applyFont="1" applyFill="1" applyBorder="1" applyAlignment="1" quotePrefix="1">
      <alignment/>
    </xf>
    <xf numFmtId="164" fontId="4" fillId="39" borderId="19" xfId="58" applyNumberFormat="1" applyFont="1" applyFill="1" applyBorder="1" applyAlignment="1" quotePrefix="1">
      <alignment/>
    </xf>
    <xf numFmtId="167" fontId="4" fillId="39" borderId="0" xfId="0" applyNumberFormat="1" applyFont="1" applyFill="1" applyBorder="1" applyAlignment="1" quotePrefix="1">
      <alignment/>
    </xf>
    <xf numFmtId="167" fontId="4" fillId="39" borderId="19" xfId="0" applyNumberFormat="1" applyFont="1" applyFill="1" applyBorder="1" applyAlignment="1" quotePrefix="1">
      <alignment/>
    </xf>
    <xf numFmtId="9" fontId="4" fillId="39" borderId="0" xfId="58" applyFont="1" applyFill="1" applyBorder="1" applyAlignment="1" quotePrefix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40" borderId="20" xfId="0" applyFont="1" applyFill="1" applyBorder="1" applyAlignment="1">
      <alignment/>
    </xf>
    <xf numFmtId="0" fontId="0" fillId="40" borderId="19" xfId="0" applyFill="1" applyBorder="1" applyAlignment="1">
      <alignment/>
    </xf>
    <xf numFmtId="0" fontId="4" fillId="40" borderId="20" xfId="0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167" fontId="9" fillId="40" borderId="19" xfId="42" applyNumberFormat="1" applyFont="1" applyFill="1" applyBorder="1" applyAlignment="1">
      <alignment/>
    </xf>
    <xf numFmtId="167" fontId="0" fillId="40" borderId="45" xfId="0" applyNumberFormat="1" applyFill="1" applyBorder="1" applyAlignment="1">
      <alignment/>
    </xf>
    <xf numFmtId="167" fontId="0" fillId="40" borderId="19" xfId="0" applyNumberFormat="1" applyFill="1" applyBorder="1" applyAlignment="1">
      <alignment/>
    </xf>
    <xf numFmtId="0" fontId="0" fillId="40" borderId="20" xfId="0" applyFont="1" applyFill="1" applyBorder="1" applyAlignment="1">
      <alignment/>
    </xf>
    <xf numFmtId="167" fontId="9" fillId="40" borderId="0" xfId="0" applyNumberFormat="1" applyFont="1" applyFill="1" applyBorder="1" applyAlignment="1">
      <alignment/>
    </xf>
    <xf numFmtId="0" fontId="0" fillId="40" borderId="20" xfId="0" applyFill="1" applyBorder="1" applyAlignment="1">
      <alignment/>
    </xf>
    <xf numFmtId="167" fontId="11" fillId="40" borderId="19" xfId="42" applyNumberFormat="1" applyFont="1" applyFill="1" applyBorder="1" applyAlignment="1">
      <alignment/>
    </xf>
    <xf numFmtId="0" fontId="9" fillId="40" borderId="19" xfId="0" applyFont="1" applyFill="1" applyBorder="1" applyAlignment="1">
      <alignment/>
    </xf>
    <xf numFmtId="0" fontId="0" fillId="40" borderId="39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40" xfId="0" applyFill="1" applyBorder="1" applyAlignment="1">
      <alignment/>
    </xf>
    <xf numFmtId="0" fontId="4" fillId="41" borderId="41" xfId="0" applyFont="1" applyFill="1" applyBorder="1" applyAlignment="1">
      <alignment/>
    </xf>
    <xf numFmtId="0" fontId="0" fillId="41" borderId="42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0" xfId="0" applyFill="1" applyBorder="1" applyAlignment="1">
      <alignment/>
    </xf>
    <xf numFmtId="167" fontId="0" fillId="41" borderId="0" xfId="0" applyNumberFormat="1" applyFill="1" applyBorder="1" applyAlignment="1">
      <alignment/>
    </xf>
    <xf numFmtId="167" fontId="0" fillId="41" borderId="19" xfId="0" applyNumberFormat="1" applyFill="1" applyBorder="1" applyAlignment="1">
      <alignment/>
    </xf>
    <xf numFmtId="0" fontId="0" fillId="41" borderId="19" xfId="0" applyFill="1" applyBorder="1" applyAlignment="1">
      <alignment/>
    </xf>
    <xf numFmtId="167" fontId="0" fillId="41" borderId="0" xfId="42" applyNumberFormat="1" applyFont="1" applyFill="1" applyBorder="1" applyAlignment="1">
      <alignment/>
    </xf>
    <xf numFmtId="167" fontId="0" fillId="41" borderId="19" xfId="42" applyNumberFormat="1" applyFont="1" applyFill="1" applyBorder="1" applyAlignment="1">
      <alignment/>
    </xf>
    <xf numFmtId="0" fontId="0" fillId="41" borderId="39" xfId="0" applyFill="1" applyBorder="1" applyAlignment="1">
      <alignment/>
    </xf>
    <xf numFmtId="0" fontId="0" fillId="41" borderId="10" xfId="0" applyFill="1" applyBorder="1" applyAlignment="1">
      <alignment/>
    </xf>
    <xf numFmtId="167" fontId="0" fillId="41" borderId="10" xfId="42" applyNumberFormat="1" applyFont="1" applyFill="1" applyBorder="1" applyAlignment="1">
      <alignment/>
    </xf>
    <xf numFmtId="167" fontId="0" fillId="41" borderId="40" xfId="42" applyNumberFormat="1" applyFont="1" applyFill="1" applyBorder="1" applyAlignment="1">
      <alignment/>
    </xf>
    <xf numFmtId="0" fontId="4" fillId="41" borderId="36" xfId="0" applyFont="1" applyFill="1" applyBorder="1" applyAlignment="1">
      <alignment/>
    </xf>
    <xf numFmtId="0" fontId="4" fillId="41" borderId="37" xfId="0" applyFont="1" applyFill="1" applyBorder="1" applyAlignment="1">
      <alignment/>
    </xf>
    <xf numFmtId="0" fontId="0" fillId="41" borderId="0" xfId="0" applyFill="1" applyBorder="1" applyAlignment="1" quotePrefix="1">
      <alignment/>
    </xf>
    <xf numFmtId="0" fontId="4" fillId="41" borderId="38" xfId="0" applyFont="1" applyFill="1" applyBorder="1" applyAlignment="1">
      <alignment horizontal="center"/>
    </xf>
    <xf numFmtId="17" fontId="4" fillId="35" borderId="46" xfId="0" applyNumberFormat="1" applyFont="1" applyFill="1" applyBorder="1" applyAlignment="1">
      <alignment/>
    </xf>
    <xf numFmtId="17" fontId="4" fillId="35" borderId="37" xfId="0" applyNumberFormat="1" applyFont="1" applyFill="1" applyBorder="1" applyAlignment="1">
      <alignment/>
    </xf>
    <xf numFmtId="17" fontId="4" fillId="35" borderId="38" xfId="0" applyNumberFormat="1" applyFont="1" applyFill="1" applyBorder="1" applyAlignment="1">
      <alignment/>
    </xf>
    <xf numFmtId="0" fontId="4" fillId="38" borderId="15" xfId="0" applyFont="1" applyFill="1" applyBorder="1" applyAlignment="1">
      <alignment/>
    </xf>
    <xf numFmtId="164" fontId="4" fillId="38" borderId="15" xfId="58" applyNumberFormat="1" applyFont="1" applyFill="1" applyBorder="1" applyAlignment="1" quotePrefix="1">
      <alignment/>
    </xf>
    <xf numFmtId="164" fontId="4" fillId="38" borderId="15" xfId="58" applyNumberFormat="1" applyFont="1" applyFill="1" applyBorder="1" applyAlignment="1">
      <alignment/>
    </xf>
    <xf numFmtId="0" fontId="4" fillId="39" borderId="15" xfId="0" applyFont="1" applyFill="1" applyBorder="1" applyAlignment="1">
      <alignment/>
    </xf>
    <xf numFmtId="164" fontId="4" fillId="39" borderId="15" xfId="58" applyNumberFormat="1" applyFont="1" applyFill="1" applyBorder="1" applyAlignment="1" quotePrefix="1">
      <alignment/>
    </xf>
    <xf numFmtId="164" fontId="4" fillId="39" borderId="15" xfId="58" applyNumberFormat="1" applyFont="1" applyFill="1" applyBorder="1" applyAlignment="1">
      <alignment/>
    </xf>
    <xf numFmtId="0" fontId="0" fillId="41" borderId="15" xfId="0" applyFill="1" applyBorder="1" applyAlignment="1">
      <alignment/>
    </xf>
    <xf numFmtId="167" fontId="0" fillId="41" borderId="15" xfId="0" applyNumberFormat="1" applyFill="1" applyBorder="1" applyAlignment="1">
      <alignment/>
    </xf>
    <xf numFmtId="0" fontId="0" fillId="41" borderId="32" xfId="0" applyFill="1" applyBorder="1" applyAlignment="1">
      <alignment/>
    </xf>
    <xf numFmtId="0" fontId="4" fillId="0" borderId="0" xfId="0" applyFont="1" applyBorder="1" applyAlignment="1">
      <alignment horizontal="centerContinuous"/>
    </xf>
    <xf numFmtId="17" fontId="4" fillId="40" borderId="32" xfId="0" applyNumberFormat="1" applyFont="1" applyFill="1" applyBorder="1" applyAlignment="1">
      <alignment/>
    </xf>
    <xf numFmtId="17" fontId="4" fillId="40" borderId="10" xfId="0" applyNumberFormat="1" applyFont="1" applyFill="1" applyBorder="1" applyAlignment="1">
      <alignment/>
    </xf>
    <xf numFmtId="17" fontId="4" fillId="40" borderId="40" xfId="0" applyNumberFormat="1" applyFont="1" applyFill="1" applyBorder="1" applyAlignment="1">
      <alignment/>
    </xf>
    <xf numFmtId="0" fontId="0" fillId="40" borderId="15" xfId="0" applyFill="1" applyBorder="1" applyAlignment="1">
      <alignment/>
    </xf>
    <xf numFmtId="167" fontId="9" fillId="40" borderId="15" xfId="42" applyNumberFormat="1" applyFont="1" applyFill="1" applyBorder="1" applyAlignment="1">
      <alignment/>
    </xf>
    <xf numFmtId="167" fontId="0" fillId="40" borderId="15" xfId="0" applyNumberFormat="1" applyFill="1" applyBorder="1" applyAlignment="1">
      <alignment/>
    </xf>
    <xf numFmtId="167" fontId="9" fillId="40" borderId="15" xfId="0" applyNumberFormat="1" applyFont="1" applyFill="1" applyBorder="1" applyAlignment="1">
      <alignment/>
    </xf>
    <xf numFmtId="167" fontId="0" fillId="40" borderId="15" xfId="42" applyNumberFormat="1" applyFont="1" applyFill="1" applyBorder="1" applyAlignment="1">
      <alignment/>
    </xf>
    <xf numFmtId="167" fontId="11" fillId="40" borderId="15" xfId="42" applyNumberFormat="1" applyFont="1" applyFill="1" applyBorder="1" applyAlignment="1">
      <alignment/>
    </xf>
    <xf numFmtId="0" fontId="9" fillId="40" borderId="15" xfId="0" applyFont="1" applyFill="1" applyBorder="1" applyAlignment="1">
      <alignment/>
    </xf>
    <xf numFmtId="43" fontId="0" fillId="40" borderId="15" xfId="0" applyNumberFormat="1" applyFill="1" applyBorder="1" applyAlignment="1">
      <alignment/>
    </xf>
    <xf numFmtId="0" fontId="0" fillId="40" borderId="32" xfId="0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164" fontId="10" fillId="0" borderId="0" xfId="58" applyNumberFormat="1" applyFont="1" applyAlignment="1">
      <alignment/>
    </xf>
    <xf numFmtId="10" fontId="0" fillId="0" borderId="15" xfId="0" applyNumberFormat="1" applyFont="1" applyBorder="1" applyAlignment="1">
      <alignment/>
    </xf>
    <xf numFmtId="167" fontId="11" fillId="0" borderId="0" xfId="42" applyNumberFormat="1" applyFont="1" applyAlignment="1">
      <alignment horizontal="center"/>
    </xf>
    <xf numFmtId="0" fontId="4" fillId="39" borderId="39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32" xfId="0" applyFont="1" applyFill="1" applyBorder="1" applyAlignment="1">
      <alignment/>
    </xf>
    <xf numFmtId="9" fontId="4" fillId="39" borderId="10" xfId="58" applyFont="1" applyFill="1" applyBorder="1" applyAlignment="1" quotePrefix="1">
      <alignment/>
    </xf>
    <xf numFmtId="43" fontId="4" fillId="38" borderId="0" xfId="42" applyFont="1" applyFill="1" applyBorder="1" applyAlignment="1">
      <alignment/>
    </xf>
    <xf numFmtId="164" fontId="4" fillId="38" borderId="0" xfId="58" applyNumberFormat="1" applyFont="1" applyFill="1" applyBorder="1" applyAlignment="1">
      <alignment/>
    </xf>
    <xf numFmtId="164" fontId="4" fillId="39" borderId="0" xfId="58" applyNumberFormat="1" applyFont="1" applyFill="1" applyBorder="1" applyAlignment="1">
      <alignment/>
    </xf>
    <xf numFmtId="164" fontId="4" fillId="39" borderId="19" xfId="58" applyNumberFormat="1" applyFont="1" applyFill="1" applyBorder="1" applyAlignment="1">
      <alignment/>
    </xf>
    <xf numFmtId="40" fontId="65" fillId="0" borderId="0" xfId="55" applyNumberFormat="1" applyFont="1" applyAlignment="1">
      <alignment horizontal="centerContinuous"/>
      <protection/>
    </xf>
    <xf numFmtId="0" fontId="15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23" fillId="35" borderId="37" xfId="42" applyFont="1" applyFill="1" applyBorder="1" applyAlignment="1">
      <alignment wrapText="1"/>
    </xf>
    <xf numFmtId="15" fontId="23" fillId="35" borderId="37" xfId="42" applyNumberFormat="1" applyFont="1" applyFill="1" applyBorder="1" applyAlignment="1">
      <alignment horizontal="right" wrapText="1"/>
    </xf>
    <xf numFmtId="43" fontId="24" fillId="0" borderId="0" xfId="42" applyFont="1" applyAlignment="1">
      <alignment/>
    </xf>
    <xf numFmtId="0" fontId="24" fillId="0" borderId="0" xfId="0" applyFont="1" applyAlignment="1">
      <alignment/>
    </xf>
    <xf numFmtId="165" fontId="23" fillId="0" borderId="0" xfId="42" applyNumberFormat="1" applyFont="1" applyAlignment="1">
      <alignment wrapText="1"/>
    </xf>
    <xf numFmtId="165" fontId="23" fillId="0" borderId="0" xfId="42" applyNumberFormat="1" applyFont="1" applyAlignment="1">
      <alignment horizontal="right" wrapText="1"/>
    </xf>
    <xf numFmtId="165" fontId="24" fillId="0" borderId="0" xfId="42" applyNumberFormat="1" applyFont="1" applyAlignment="1">
      <alignment/>
    </xf>
    <xf numFmtId="165" fontId="24" fillId="0" borderId="0" xfId="42" applyNumberFormat="1" applyFont="1" applyAlignment="1">
      <alignment wrapText="1"/>
    </xf>
    <xf numFmtId="165" fontId="24" fillId="0" borderId="11" xfId="42" applyNumberFormat="1" applyFont="1" applyBorder="1" applyAlignment="1">
      <alignment horizontal="right" wrapText="1"/>
    </xf>
    <xf numFmtId="165" fontId="24" fillId="0" borderId="0" xfId="42" applyNumberFormat="1" applyFont="1" applyAlignment="1">
      <alignment/>
    </xf>
    <xf numFmtId="165" fontId="23" fillId="0" borderId="0" xfId="42" applyNumberFormat="1" applyFont="1" applyAlignment="1">
      <alignment/>
    </xf>
    <xf numFmtId="165" fontId="24" fillId="0" borderId="0" xfId="42" applyNumberFormat="1" applyFont="1" applyAlignment="1">
      <alignment horizontal="right" wrapText="1"/>
    </xf>
    <xf numFmtId="165" fontId="24" fillId="0" borderId="0" xfId="42" applyNumberFormat="1" applyFont="1" applyAlignment="1">
      <alignment horizontal="right"/>
    </xf>
    <xf numFmtId="165" fontId="24" fillId="0" borderId="11" xfId="42" applyNumberFormat="1" applyFont="1" applyBorder="1" applyAlignment="1">
      <alignment horizontal="right"/>
    </xf>
    <xf numFmtId="165" fontId="25" fillId="0" borderId="11" xfId="42" applyNumberFormat="1" applyFont="1" applyBorder="1" applyAlignment="1">
      <alignment horizontal="right" wrapText="1"/>
    </xf>
    <xf numFmtId="165" fontId="23" fillId="0" borderId="13" xfId="42" applyNumberFormat="1" applyFont="1" applyBorder="1" applyAlignment="1">
      <alignment horizontal="right" wrapText="1"/>
    </xf>
    <xf numFmtId="165" fontId="23" fillId="0" borderId="0" xfId="42" applyNumberFormat="1" applyFont="1" applyBorder="1" applyAlignment="1">
      <alignment horizontal="right" wrapText="1"/>
    </xf>
    <xf numFmtId="44" fontId="23" fillId="0" borderId="0" xfId="44" applyFont="1" applyAlignment="1">
      <alignment wrapText="1"/>
    </xf>
    <xf numFmtId="44" fontId="23" fillId="0" borderId="0" xfId="44" applyFont="1" applyBorder="1" applyAlignment="1">
      <alignment horizontal="right" wrapText="1"/>
    </xf>
    <xf numFmtId="44" fontId="24" fillId="0" borderId="0" xfId="44" applyFont="1" applyAlignment="1">
      <alignment/>
    </xf>
    <xf numFmtId="43" fontId="26" fillId="0" borderId="0" xfId="42" applyFont="1" applyAlignment="1">
      <alignment/>
    </xf>
    <xf numFmtId="164" fontId="26" fillId="0" borderId="0" xfId="58" applyNumberFormat="1" applyFont="1" applyAlignment="1">
      <alignment/>
    </xf>
    <xf numFmtId="43" fontId="27" fillId="0" borderId="0" xfId="42" applyFont="1" applyAlignment="1">
      <alignment/>
    </xf>
    <xf numFmtId="164" fontId="23" fillId="0" borderId="0" xfId="58" applyNumberFormat="1" applyFont="1" applyAlignment="1">
      <alignment/>
    </xf>
    <xf numFmtId="0" fontId="0" fillId="0" borderId="0" xfId="0" applyAlignment="1">
      <alignment/>
    </xf>
    <xf numFmtId="0" fontId="23" fillId="35" borderId="36" xfId="0" applyFont="1" applyFill="1" applyBorder="1" applyAlignment="1">
      <alignment/>
    </xf>
    <xf numFmtId="0" fontId="23" fillId="35" borderId="37" xfId="0" applyFont="1" applyFill="1" applyBorder="1" applyAlignment="1">
      <alignment/>
    </xf>
    <xf numFmtId="15" fontId="23" fillId="35" borderId="37" xfId="0" applyNumberFormat="1" applyFont="1" applyFill="1" applyBorder="1" applyAlignment="1">
      <alignment horizontal="right"/>
    </xf>
    <xf numFmtId="43" fontId="28" fillId="0" borderId="0" xfId="42" applyFont="1" applyBorder="1" applyAlignment="1">
      <alignment/>
    </xf>
    <xf numFmtId="43" fontId="23" fillId="0" borderId="0" xfId="42" applyFont="1" applyAlignment="1">
      <alignment/>
    </xf>
    <xf numFmtId="43" fontId="28" fillId="0" borderId="0" xfId="42" applyFont="1" applyBorder="1" applyAlignment="1">
      <alignment horizontal="right"/>
    </xf>
    <xf numFmtId="43" fontId="24" fillId="0" borderId="0" xfId="42" applyFont="1" applyAlignment="1">
      <alignment/>
    </xf>
    <xf numFmtId="0" fontId="24" fillId="0" borderId="0" xfId="0" applyFont="1" applyAlignment="1">
      <alignment/>
    </xf>
    <xf numFmtId="43" fontId="29" fillId="0" borderId="0" xfId="42" applyFont="1" applyBorder="1" applyAlignment="1">
      <alignment/>
    </xf>
    <xf numFmtId="43" fontId="29" fillId="0" borderId="0" xfId="42" applyFont="1" applyBorder="1" applyAlignment="1">
      <alignment horizontal="right"/>
    </xf>
    <xf numFmtId="165" fontId="24" fillId="0" borderId="0" xfId="42" applyNumberFormat="1" applyFont="1" applyBorder="1" applyAlignment="1">
      <alignment/>
    </xf>
    <xf numFmtId="165" fontId="23" fillId="0" borderId="0" xfId="42" applyNumberFormat="1" applyFont="1" applyAlignment="1">
      <alignment horizontal="right"/>
    </xf>
    <xf numFmtId="165" fontId="23" fillId="0" borderId="47" xfId="42" applyNumberFormat="1" applyFont="1" applyBorder="1" applyAlignment="1">
      <alignment horizontal="right"/>
    </xf>
    <xf numFmtId="165" fontId="23" fillId="0" borderId="13" xfId="42" applyNumberFormat="1" applyFont="1" applyBorder="1" applyAlignment="1">
      <alignment horizontal="right"/>
    </xf>
    <xf numFmtId="0" fontId="30" fillId="0" borderId="0" xfId="0" applyFont="1" applyAlignment="1">
      <alignment/>
    </xf>
    <xf numFmtId="165" fontId="30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0" fontId="23" fillId="0" borderId="0" xfId="0" applyFont="1" applyAlignment="1">
      <alignment/>
    </xf>
    <xf numFmtId="165" fontId="23" fillId="0" borderId="0" xfId="42" applyNumberFormat="1" applyFont="1" applyBorder="1" applyAlignment="1">
      <alignment/>
    </xf>
    <xf numFmtId="169" fontId="24" fillId="0" borderId="0" xfId="42" applyNumberFormat="1" applyFont="1" applyAlignment="1">
      <alignment/>
    </xf>
    <xf numFmtId="164" fontId="24" fillId="0" borderId="0" xfId="58" applyNumberFormat="1" applyFont="1" applyAlignment="1">
      <alignment/>
    </xf>
    <xf numFmtId="0" fontId="24" fillId="0" borderId="0" xfId="0" applyFont="1" applyBorder="1" applyAlignment="1">
      <alignment/>
    </xf>
    <xf numFmtId="43" fontId="24" fillId="0" borderId="0" xfId="42" applyFont="1" applyBorder="1" applyAlignment="1">
      <alignment/>
    </xf>
    <xf numFmtId="41" fontId="24" fillId="0" borderId="0" xfId="42" applyNumberFormat="1" applyFont="1" applyAlignment="1">
      <alignment/>
    </xf>
    <xf numFmtId="164" fontId="24" fillId="0" borderId="0" xfId="58" applyNumberFormat="1" applyFont="1" applyBorder="1" applyAlignment="1">
      <alignment/>
    </xf>
    <xf numFmtId="165" fontId="19" fillId="0" borderId="0" xfId="42" applyNumberFormat="1" applyFont="1" applyAlignment="1">
      <alignment/>
    </xf>
    <xf numFmtId="165" fontId="11" fillId="0" borderId="0" xfId="42" applyNumberFormat="1" applyFont="1" applyAlignment="1">
      <alignment/>
    </xf>
    <xf numFmtId="165" fontId="19" fillId="0" borderId="11" xfId="42" applyNumberFormat="1" applyFont="1" applyBorder="1" applyAlignment="1">
      <alignment/>
    </xf>
    <xf numFmtId="165" fontId="11" fillId="0" borderId="11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11" fillId="0" borderId="48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19" fillId="0" borderId="0" xfId="0" applyNumberFormat="1" applyFont="1" applyAlignment="1">
      <alignment/>
    </xf>
    <xf numFmtId="165" fontId="0" fillId="0" borderId="13" xfId="0" applyNumberFormat="1" applyBorder="1" applyAlignment="1">
      <alignment/>
    </xf>
    <xf numFmtId="165" fontId="0" fillId="0" borderId="49" xfId="0" applyNumberFormat="1" applyBorder="1" applyAlignment="1">
      <alignment/>
    </xf>
    <xf numFmtId="165" fontId="0" fillId="40" borderId="49" xfId="0" applyNumberFormat="1" applyFill="1" applyBorder="1" applyAlignment="1">
      <alignment/>
    </xf>
    <xf numFmtId="165" fontId="9" fillId="40" borderId="15" xfId="42" applyNumberFormat="1" applyFont="1" applyFill="1" applyBorder="1" applyAlignment="1">
      <alignment/>
    </xf>
    <xf numFmtId="197" fontId="0" fillId="0" borderId="0" xfId="0" applyNumberFormat="1" applyFill="1" applyAlignment="1">
      <alignment/>
    </xf>
    <xf numFmtId="197" fontId="0" fillId="0" borderId="15" xfId="0" applyNumberFormat="1" applyBorder="1" applyAlignment="1">
      <alignment/>
    </xf>
    <xf numFmtId="197" fontId="0" fillId="0" borderId="0" xfId="42" applyNumberFormat="1" applyFont="1" applyAlignment="1">
      <alignment/>
    </xf>
    <xf numFmtId="197" fontId="0" fillId="0" borderId="0" xfId="42" applyNumberFormat="1" applyFont="1" applyFill="1" applyAlignment="1">
      <alignment/>
    </xf>
    <xf numFmtId="197" fontId="0" fillId="0" borderId="15" xfId="42" applyNumberFormat="1" applyFont="1" applyBorder="1" applyAlignment="1">
      <alignment/>
    </xf>
    <xf numFmtId="197" fontId="0" fillId="0" borderId="11" xfId="42" applyNumberFormat="1" applyFont="1" applyFill="1" applyBorder="1" applyAlignment="1">
      <alignment/>
    </xf>
    <xf numFmtId="197" fontId="0" fillId="0" borderId="48" xfId="42" applyNumberFormat="1" applyFont="1" applyBorder="1" applyAlignment="1">
      <alignment/>
    </xf>
    <xf numFmtId="197" fontId="0" fillId="0" borderId="11" xfId="42" applyNumberFormat="1" applyFont="1" applyBorder="1" applyAlignment="1">
      <alignment/>
    </xf>
    <xf numFmtId="197" fontId="19" fillId="0" borderId="0" xfId="42" applyNumberFormat="1" applyFont="1" applyFill="1" applyAlignment="1">
      <alignment/>
    </xf>
    <xf numFmtId="197" fontId="19" fillId="0" borderId="15" xfId="42" applyNumberFormat="1" applyFont="1" applyBorder="1" applyAlignment="1">
      <alignment/>
    </xf>
    <xf numFmtId="197" fontId="11" fillId="0" borderId="15" xfId="42" applyNumberFormat="1" applyFont="1" applyBorder="1" applyAlignment="1">
      <alignment/>
    </xf>
    <xf numFmtId="197" fontId="11" fillId="0" borderId="11" xfId="42" applyNumberFormat="1" applyFont="1" applyFill="1" applyBorder="1" applyAlignment="1">
      <alignment/>
    </xf>
    <xf numFmtId="197" fontId="11" fillId="0" borderId="48" xfId="42" applyNumberFormat="1" applyFont="1" applyBorder="1" applyAlignment="1">
      <alignment/>
    </xf>
    <xf numFmtId="197" fontId="19" fillId="0" borderId="11" xfId="42" applyNumberFormat="1" applyFont="1" applyFill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48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5" xfId="42" applyNumberFormat="1" applyFont="1" applyBorder="1" applyAlignment="1">
      <alignment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Continuous"/>
    </xf>
    <xf numFmtId="197" fontId="66" fillId="0" borderId="0" xfId="42" applyNumberFormat="1" applyFont="1" applyFill="1" applyAlignment="1">
      <alignment/>
    </xf>
    <xf numFmtId="197" fontId="66" fillId="0" borderId="11" xfId="42" applyNumberFormat="1" applyFont="1" applyFill="1" applyBorder="1" applyAlignment="1">
      <alignment/>
    </xf>
    <xf numFmtId="165" fontId="23" fillId="42" borderId="0" xfId="42" applyNumberFormat="1" applyFont="1" applyFill="1" applyAlignment="1">
      <alignment horizontal="right"/>
    </xf>
    <xf numFmtId="165" fontId="24" fillId="42" borderId="0" xfId="42" applyNumberFormat="1" applyFont="1" applyFill="1" applyAlignment="1">
      <alignment horizontal="right"/>
    </xf>
    <xf numFmtId="165" fontId="24" fillId="42" borderId="11" xfId="42" applyNumberFormat="1" applyFont="1" applyFill="1" applyBorder="1" applyAlignment="1">
      <alignment horizontal="right"/>
    </xf>
    <xf numFmtId="0" fontId="0" fillId="0" borderId="50" xfId="0" applyBorder="1" applyAlignment="1">
      <alignment/>
    </xf>
    <xf numFmtId="197" fontId="0" fillId="0" borderId="15" xfId="42" applyNumberFormat="1" applyFont="1" applyFill="1" applyBorder="1" applyAlignment="1">
      <alignment/>
    </xf>
    <xf numFmtId="197" fontId="19" fillId="0" borderId="15" xfId="42" applyNumberFormat="1" applyFont="1" applyFill="1" applyBorder="1" applyAlignment="1">
      <alignment/>
    </xf>
    <xf numFmtId="197" fontId="19" fillId="0" borderId="48" xfId="42" applyNumberFormat="1" applyFont="1" applyFill="1" applyBorder="1" applyAlignment="1">
      <alignment/>
    </xf>
    <xf numFmtId="197" fontId="0" fillId="0" borderId="0" xfId="42" applyNumberFormat="1" applyFont="1" applyBorder="1" applyAlignment="1">
      <alignment/>
    </xf>
    <xf numFmtId="43" fontId="4" fillId="38" borderId="0" xfId="0" applyNumberFormat="1" applyFont="1" applyFill="1" applyBorder="1" applyAlignment="1">
      <alignment/>
    </xf>
    <xf numFmtId="43" fontId="4" fillId="38" borderId="15" xfId="0" applyNumberFormat="1" applyFont="1" applyFill="1" applyBorder="1" applyAlignment="1">
      <alignment/>
    </xf>
    <xf numFmtId="10" fontId="4" fillId="38" borderId="0" xfId="58" applyNumberFormat="1" applyFont="1" applyFill="1" applyBorder="1" applyAlignment="1">
      <alignment/>
    </xf>
    <xf numFmtId="10" fontId="4" fillId="38" borderId="15" xfId="0" applyNumberFormat="1" applyFont="1" applyFill="1" applyBorder="1" applyAlignment="1">
      <alignment/>
    </xf>
    <xf numFmtId="43" fontId="4" fillId="38" borderId="0" xfId="42" applyNumberFormat="1" applyFont="1" applyFill="1" applyBorder="1" applyAlignment="1" quotePrefix="1">
      <alignment/>
    </xf>
    <xf numFmtId="10" fontId="4" fillId="38" borderId="15" xfId="58" applyNumberFormat="1" applyFont="1" applyFill="1" applyBorder="1" applyAlignment="1">
      <alignment/>
    </xf>
    <xf numFmtId="10" fontId="4" fillId="38" borderId="10" xfId="58" applyNumberFormat="1" applyFont="1" applyFill="1" applyBorder="1" applyAlignment="1">
      <alignment/>
    </xf>
    <xf numFmtId="164" fontId="4" fillId="38" borderId="51" xfId="58" applyNumberFormat="1" applyFont="1" applyFill="1" applyBorder="1" applyAlignment="1" quotePrefix="1">
      <alignment/>
    </xf>
    <xf numFmtId="164" fontId="4" fillId="38" borderId="52" xfId="58" applyNumberFormat="1" applyFont="1" applyFill="1" applyBorder="1" applyAlignment="1" quotePrefix="1">
      <alignment/>
    </xf>
    <xf numFmtId="165" fontId="0" fillId="0" borderId="52" xfId="42" applyNumberFormat="1" applyFont="1" applyBorder="1" applyAlignment="1">
      <alignment/>
    </xf>
    <xf numFmtId="165" fontId="0" fillId="0" borderId="49" xfId="42" applyNumberFormat="1" applyFont="1" applyBorder="1" applyAlignment="1">
      <alignment/>
    </xf>
    <xf numFmtId="165" fontId="0" fillId="0" borderId="53" xfId="42" applyNumberFormat="1" applyFont="1" applyBorder="1" applyAlignment="1">
      <alignment/>
    </xf>
    <xf numFmtId="165" fontId="0" fillId="0" borderId="54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55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51" xfId="58" applyNumberFormat="1" applyFont="1" applyBorder="1" applyAlignment="1">
      <alignment/>
    </xf>
    <xf numFmtId="17" fontId="10" fillId="35" borderId="32" xfId="0" applyNumberFormat="1" applyFont="1" applyFill="1" applyBorder="1" applyAlignment="1">
      <alignment/>
    </xf>
    <xf numFmtId="0" fontId="10" fillId="35" borderId="15" xfId="0" applyFont="1" applyFill="1" applyBorder="1" applyAlignment="1">
      <alignment horizontal="center"/>
    </xf>
    <xf numFmtId="10" fontId="0" fillId="0" borderId="15" xfId="58" applyNumberFormat="1" applyFont="1" applyBorder="1" applyAlignment="1">
      <alignment/>
    </xf>
    <xf numFmtId="167" fontId="11" fillId="0" borderId="15" xfId="42" applyNumberFormat="1" applyFont="1" applyBorder="1" applyAlignment="1">
      <alignment/>
    </xf>
    <xf numFmtId="167" fontId="11" fillId="0" borderId="48" xfId="42" applyNumberFormat="1" applyFont="1" applyBorder="1" applyAlignment="1">
      <alignment/>
    </xf>
    <xf numFmtId="0" fontId="0" fillId="0" borderId="48" xfId="0" applyBorder="1" applyAlignment="1">
      <alignment/>
    </xf>
    <xf numFmtId="164" fontId="0" fillId="0" borderId="56" xfId="58" applyNumberFormat="1" applyFont="1" applyBorder="1" applyAlignment="1">
      <alignment/>
    </xf>
    <xf numFmtId="165" fontId="4" fillId="0" borderId="13" xfId="42" applyNumberFormat="1" applyFont="1" applyBorder="1" applyAlignment="1">
      <alignment/>
    </xf>
    <xf numFmtId="165" fontId="10" fillId="0" borderId="0" xfId="42" applyNumberFormat="1" applyFont="1" applyAlignment="1">
      <alignment/>
    </xf>
    <xf numFmtId="168" fontId="66" fillId="0" borderId="0" xfId="42" applyNumberFormat="1" applyFont="1" applyAlignment="1">
      <alignment/>
    </xf>
    <xf numFmtId="168" fontId="66" fillId="0" borderId="11" xfId="42" applyNumberFormat="1" applyFont="1" applyBorder="1" applyAlignment="1">
      <alignment/>
    </xf>
    <xf numFmtId="168" fontId="66" fillId="0" borderId="12" xfId="42" applyNumberFormat="1" applyFont="1" applyBorder="1" applyAlignment="1">
      <alignment/>
    </xf>
    <xf numFmtId="168" fontId="67" fillId="0" borderId="13" xfId="42" applyNumberFormat="1" applyFont="1" applyBorder="1" applyAlignment="1">
      <alignment/>
    </xf>
    <xf numFmtId="168" fontId="66" fillId="0" borderId="0" xfId="0" applyNumberFormat="1" applyFont="1" applyAlignment="1">
      <alignment/>
    </xf>
    <xf numFmtId="165" fontId="0" fillId="0" borderId="12" xfId="42" applyNumberFormat="1" applyFont="1" applyBorder="1" applyAlignment="1">
      <alignment/>
    </xf>
    <xf numFmtId="0" fontId="0" fillId="0" borderId="12" xfId="0" applyBorder="1" applyAlignment="1">
      <alignment/>
    </xf>
    <xf numFmtId="168" fontId="66" fillId="0" borderId="0" xfId="42" applyNumberFormat="1" applyFont="1" applyAlignment="1">
      <alignment horizontal="right"/>
    </xf>
    <xf numFmtId="165" fontId="11" fillId="0" borderId="14" xfId="42" applyNumberFormat="1" applyFont="1" applyBorder="1" applyAlignment="1">
      <alignment/>
    </xf>
    <xf numFmtId="165" fontId="6" fillId="34" borderId="0" xfId="42" applyNumberFormat="1" applyFont="1" applyFill="1" applyAlignment="1">
      <alignment/>
    </xf>
    <xf numFmtId="165" fontId="4" fillId="0" borderId="0" xfId="42" applyNumberFormat="1" applyFont="1" applyAlignment="1">
      <alignment horizontal="left"/>
    </xf>
    <xf numFmtId="165" fontId="4" fillId="0" borderId="0" xfId="42" applyNumberFormat="1" applyFont="1" applyAlignment="1">
      <alignment horizontal="centerContinuous"/>
    </xf>
    <xf numFmtId="165" fontId="11" fillId="0" borderId="15" xfId="0" applyNumberFormat="1" applyFont="1" applyBorder="1" applyAlignment="1">
      <alignment/>
    </xf>
    <xf numFmtId="0" fontId="4" fillId="38" borderId="15" xfId="0" applyFont="1" applyFill="1" applyBorder="1" applyAlignment="1">
      <alignment horizontal="centerContinuous"/>
    </xf>
    <xf numFmtId="167" fontId="4" fillId="38" borderId="15" xfId="0" applyNumberFormat="1" applyFont="1" applyFill="1" applyBorder="1" applyAlignment="1" quotePrefix="1">
      <alignment/>
    </xf>
    <xf numFmtId="43" fontId="4" fillId="38" borderId="15" xfId="42" applyFont="1" applyFill="1" applyBorder="1" applyAlignment="1">
      <alignment/>
    </xf>
    <xf numFmtId="43" fontId="4" fillId="38" borderId="15" xfId="42" applyNumberFormat="1" applyFont="1" applyFill="1" applyBorder="1" applyAlignment="1" quotePrefix="1">
      <alignment/>
    </xf>
    <xf numFmtId="164" fontId="4" fillId="38" borderId="48" xfId="58" applyNumberFormat="1" applyFont="1" applyFill="1" applyBorder="1" applyAlignment="1" quotePrefix="1">
      <alignment/>
    </xf>
    <xf numFmtId="165" fontId="23" fillId="0" borderId="0" xfId="42" applyNumberFormat="1" applyFont="1" applyAlignment="1">
      <alignment wrapText="1"/>
    </xf>
    <xf numFmtId="165" fontId="24" fillId="0" borderId="0" xfId="42" applyNumberFormat="1" applyFont="1" applyAlignment="1">
      <alignment wrapText="1"/>
    </xf>
    <xf numFmtId="43" fontId="23" fillId="35" borderId="36" xfId="42" applyFont="1" applyFill="1" applyBorder="1" applyAlignment="1">
      <alignment wrapText="1"/>
    </xf>
    <xf numFmtId="43" fontId="23" fillId="35" borderId="37" xfId="42" applyFont="1" applyFill="1" applyBorder="1" applyAlignment="1">
      <alignment wrapText="1"/>
    </xf>
    <xf numFmtId="165" fontId="66" fillId="0" borderId="0" xfId="42" applyNumberFormat="1" applyFont="1" applyAlignment="1">
      <alignment/>
    </xf>
    <xf numFmtId="165" fontId="66" fillId="0" borderId="15" xfId="42" applyNumberFormat="1" applyFont="1" applyBorder="1" applyAlignment="1">
      <alignment/>
    </xf>
    <xf numFmtId="164" fontId="0" fillId="0" borderId="15" xfId="0" applyNumberFormat="1" applyBorder="1" applyAlignment="1">
      <alignment/>
    </xf>
    <xf numFmtId="44" fontId="11" fillId="0" borderId="0" xfId="44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SK Spreads - 2006-3Q 10Q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  <cellStyle name="桁区切り_2005 8 2 NEW GCM Corp Card" xfId="63"/>
    <cellStyle name="標準_B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Packages\microsoft.windowscommunicationsapps_8wekyb3d8bbwe\LocalState\LiveComm\66921b89f68d3868\120712-0049\Att\2000b1fb\Valuation%20DCF%20Models\Valuation_starwood_financials_updated_4_1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hoo Fin Input"/>
      <sheetName val="Title"/>
      <sheetName val="Historical Analysis"/>
      <sheetName val="Title 2"/>
      <sheetName val="Projected Analysis"/>
      <sheetName val="Title3"/>
      <sheetName val="Valuation Analysis"/>
    </sheetNames>
    <sheetDataSet>
      <sheetData sheetId="0">
        <row r="2">
          <cell r="B2" t="str">
            <v>Starwood Hotels &amp; Resorts Worldwide Inc. (HOT)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8"/>
  <sheetViews>
    <sheetView zoomScalePageLayoutView="0" workbookViewId="0" topLeftCell="A36">
      <selection activeCell="F48" sqref="F48:G48"/>
    </sheetView>
  </sheetViews>
  <sheetFormatPr defaultColWidth="9.140625" defaultRowHeight="12.75"/>
  <cols>
    <col min="1" max="1" width="4.28125" style="0" customWidth="1"/>
    <col min="2" max="2" width="2.00390625" style="0" customWidth="1"/>
    <col min="3" max="3" width="3.421875" style="0" customWidth="1"/>
    <col min="4" max="4" width="45.00390625" style="0" customWidth="1"/>
    <col min="5" max="5" width="3.140625" style="0" customWidth="1"/>
    <col min="6" max="6" width="11.7109375" style="0" customWidth="1"/>
    <col min="7" max="12" width="11.28125" style="0" customWidth="1"/>
    <col min="13" max="13" width="12.28125" style="0" customWidth="1"/>
    <col min="14" max="14" width="9.8515625" style="0" customWidth="1"/>
    <col min="15" max="15" width="9.28125" style="0" bestFit="1" customWidth="1"/>
    <col min="16" max="16" width="11.140625" style="0" bestFit="1" customWidth="1"/>
  </cols>
  <sheetData>
    <row r="1" ht="24" customHeight="1">
      <c r="C1" s="236" t="str">
        <f>+'[1]Yahoo Fin Input'!B2</f>
        <v>Starwood Hotels &amp; Resorts Worldwide Inc. (HOT)</v>
      </c>
    </row>
    <row r="2" ht="12.75">
      <c r="C2" s="2" t="s">
        <v>238</v>
      </c>
    </row>
    <row r="3" ht="12.75">
      <c r="C3" s="2"/>
    </row>
    <row r="4" spans="6:13" ht="15" customHeight="1" thickBot="1">
      <c r="F4" s="239"/>
      <c r="G4" s="239"/>
      <c r="H4" s="239"/>
      <c r="I4" s="239"/>
      <c r="J4" s="238"/>
      <c r="K4" s="238"/>
      <c r="L4" s="238"/>
      <c r="M4" s="237"/>
    </row>
    <row r="5" spans="3:14" ht="13.5" thickBot="1">
      <c r="C5" s="388" t="s">
        <v>239</v>
      </c>
      <c r="D5" s="389"/>
      <c r="E5" s="240"/>
      <c r="F5" s="241">
        <v>39447</v>
      </c>
      <c r="G5" s="241">
        <v>39813</v>
      </c>
      <c r="H5" s="241">
        <v>40178</v>
      </c>
      <c r="I5" s="241">
        <v>40543</v>
      </c>
      <c r="J5" s="241">
        <v>40908</v>
      </c>
      <c r="K5" s="241">
        <v>41274</v>
      </c>
      <c r="L5" s="241">
        <v>41639</v>
      </c>
      <c r="M5" s="241">
        <v>42004</v>
      </c>
      <c r="N5" s="242"/>
    </row>
    <row r="6" spans="1:14" ht="13.5" customHeight="1">
      <c r="A6">
        <f>ROW()</f>
        <v>6</v>
      </c>
      <c r="C6" s="386" t="s">
        <v>164</v>
      </c>
      <c r="D6" s="386"/>
      <c r="E6" s="244"/>
      <c r="F6" s="245">
        <v>6153000</v>
      </c>
      <c r="G6" s="245">
        <v>5907000</v>
      </c>
      <c r="H6" s="245">
        <v>4696000</v>
      </c>
      <c r="I6" s="245">
        <v>5071000</v>
      </c>
      <c r="J6" s="245">
        <v>5624000</v>
      </c>
      <c r="K6" s="245">
        <v>6321000</v>
      </c>
      <c r="L6" s="245">
        <v>6115000</v>
      </c>
      <c r="M6" s="245">
        <v>5983000</v>
      </c>
      <c r="N6" s="246"/>
    </row>
    <row r="7" spans="1:14" ht="13.5" customHeight="1">
      <c r="A7">
        <f>ROW()</f>
        <v>7</v>
      </c>
      <c r="B7" s="243"/>
      <c r="C7" s="387" t="s">
        <v>240</v>
      </c>
      <c r="D7" s="387"/>
      <c r="E7" s="247"/>
      <c r="F7" s="248">
        <v>2235664.099646571</v>
      </c>
      <c r="G7" s="248">
        <v>2184935.9028960816</v>
      </c>
      <c r="H7" s="248">
        <v>1737000</v>
      </c>
      <c r="I7" s="248">
        <v>1800000</v>
      </c>
      <c r="J7" s="248">
        <v>1970000</v>
      </c>
      <c r="K7" s="248">
        <v>2352000</v>
      </c>
      <c r="L7" s="248">
        <v>1924000</v>
      </c>
      <c r="M7" s="248">
        <v>1708000</v>
      </c>
      <c r="N7" s="246"/>
    </row>
    <row r="8" spans="1:14" ht="13.5" customHeight="1">
      <c r="A8">
        <f>ROW()</f>
        <v>8</v>
      </c>
      <c r="B8" s="243"/>
      <c r="C8" s="386" t="s">
        <v>122</v>
      </c>
      <c r="D8" s="386"/>
      <c r="E8" s="244"/>
      <c r="F8" s="245">
        <v>3917335.900353429</v>
      </c>
      <c r="G8" s="245">
        <v>3722064.0971039184</v>
      </c>
      <c r="H8" s="245">
        <v>2959000</v>
      </c>
      <c r="I8" s="245">
        <v>3271000</v>
      </c>
      <c r="J8" s="245">
        <f>+J6-J7</f>
        <v>3654000</v>
      </c>
      <c r="K8" s="245">
        <v>3969000</v>
      </c>
      <c r="L8" s="245">
        <v>4191000</v>
      </c>
      <c r="M8" s="245">
        <v>4275000</v>
      </c>
      <c r="N8" s="246"/>
    </row>
    <row r="9" spans="1:14" ht="13.5" customHeight="1">
      <c r="A9">
        <f>ROW()</f>
        <v>9</v>
      </c>
      <c r="B9" s="243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6"/>
    </row>
    <row r="10" spans="1:14" ht="13.5" customHeight="1">
      <c r="A10">
        <f>ROW()</f>
        <v>10</v>
      </c>
      <c r="B10" s="243"/>
      <c r="C10" s="247"/>
      <c r="D10" s="250" t="s">
        <v>163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46"/>
    </row>
    <row r="11" spans="1:14" ht="13.5" customHeight="1">
      <c r="A11">
        <f>ROW()</f>
        <v>11</v>
      </c>
      <c r="B11" s="243"/>
      <c r="C11" s="247"/>
      <c r="D11" s="247" t="s">
        <v>241</v>
      </c>
      <c r="E11" s="247"/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46"/>
    </row>
    <row r="12" spans="1:14" ht="13.5" customHeight="1">
      <c r="A12">
        <f>ROW()</f>
        <v>12</v>
      </c>
      <c r="B12" s="243"/>
      <c r="C12" s="247"/>
      <c r="D12" s="247" t="s">
        <v>242</v>
      </c>
      <c r="E12" s="247"/>
      <c r="F12" s="251">
        <v>2700335.900353429</v>
      </c>
      <c r="G12" s="251">
        <v>2639064.0971039184</v>
      </c>
      <c r="H12" s="251">
        <v>2245000</v>
      </c>
      <c r="I12" s="251">
        <v>2461000</v>
      </c>
      <c r="J12" s="251">
        <v>2691000</v>
      </c>
      <c r="K12" s="251">
        <v>2818000</v>
      </c>
      <c r="L12" s="251">
        <v>2998000</v>
      </c>
      <c r="M12" s="251">
        <v>3113000</v>
      </c>
      <c r="N12" s="246"/>
    </row>
    <row r="13" spans="1:14" ht="13.5" customHeight="1">
      <c r="A13">
        <f>ROW()</f>
        <v>13</v>
      </c>
      <c r="B13" s="243"/>
      <c r="C13" s="247"/>
      <c r="D13" s="247" t="s">
        <v>243</v>
      </c>
      <c r="E13" s="247"/>
      <c r="F13" s="251">
        <v>53000</v>
      </c>
      <c r="G13" s="251">
        <v>141000</v>
      </c>
      <c r="H13" s="251">
        <v>379000</v>
      </c>
      <c r="I13" s="251">
        <v>-75000</v>
      </c>
      <c r="J13" s="251">
        <v>68000</v>
      </c>
      <c r="K13" s="251">
        <v>-12000</v>
      </c>
      <c r="L13" s="251">
        <v>1000</v>
      </c>
      <c r="M13" s="251">
        <v>-4000</v>
      </c>
      <c r="N13" s="246"/>
    </row>
    <row r="14" spans="1:14" ht="13.5" customHeight="1">
      <c r="A14">
        <f>ROW()</f>
        <v>14</v>
      </c>
      <c r="B14" s="243"/>
      <c r="C14" s="247"/>
      <c r="D14" s="247" t="s">
        <v>244</v>
      </c>
      <c r="E14" s="247"/>
      <c r="F14" s="248">
        <v>306000</v>
      </c>
      <c r="G14" s="248">
        <v>323000</v>
      </c>
      <c r="H14" s="248">
        <v>309000</v>
      </c>
      <c r="I14" s="248">
        <v>285000</v>
      </c>
      <c r="J14" s="248">
        <v>265000</v>
      </c>
      <c r="K14" s="248">
        <v>251000</v>
      </c>
      <c r="L14" s="248">
        <v>267000</v>
      </c>
      <c r="M14" s="248">
        <v>283000</v>
      </c>
      <c r="N14" s="246"/>
    </row>
    <row r="15" spans="1:14" ht="13.5" customHeight="1">
      <c r="A15">
        <f>ROW()</f>
        <v>15</v>
      </c>
      <c r="B15" s="243"/>
      <c r="C15" s="247"/>
      <c r="D15" s="244" t="s">
        <v>245</v>
      </c>
      <c r="E15" s="244"/>
      <c r="F15" s="251">
        <v>3059335.900353429</v>
      </c>
      <c r="G15" s="251">
        <v>3103064.0971039184</v>
      </c>
      <c r="H15" s="251">
        <v>2933000</v>
      </c>
      <c r="I15" s="251">
        <v>2671000</v>
      </c>
      <c r="J15" s="251">
        <f>SUM(J11:J14)</f>
        <v>3024000</v>
      </c>
      <c r="K15" s="251">
        <v>3057000</v>
      </c>
      <c r="L15" s="251">
        <v>3266000</v>
      </c>
      <c r="M15" s="251">
        <v>3392000</v>
      </c>
      <c r="N15" s="246"/>
    </row>
    <row r="16" spans="1:14" ht="13.5" customHeight="1">
      <c r="A16">
        <f>ROW()</f>
        <v>16</v>
      </c>
      <c r="B16" s="243"/>
      <c r="C16" s="247"/>
      <c r="D16" s="244"/>
      <c r="E16" s="244"/>
      <c r="F16" s="251"/>
      <c r="G16" s="251"/>
      <c r="H16" s="251"/>
      <c r="I16" s="251"/>
      <c r="J16" s="251"/>
      <c r="K16" s="251"/>
      <c r="L16" s="251"/>
      <c r="M16" s="251"/>
      <c r="N16" s="246"/>
    </row>
    <row r="17" spans="1:14" ht="13.5" customHeight="1">
      <c r="A17">
        <f>ROW()</f>
        <v>17</v>
      </c>
      <c r="B17" s="243"/>
      <c r="C17" s="386" t="s">
        <v>246</v>
      </c>
      <c r="D17" s="386"/>
      <c r="E17" s="244"/>
      <c r="F17" s="245">
        <f>+F8-F15</f>
        <v>858000</v>
      </c>
      <c r="G17" s="245">
        <v>619000</v>
      </c>
      <c r="H17" s="245">
        <v>26000</v>
      </c>
      <c r="I17" s="245">
        <v>600000</v>
      </c>
      <c r="J17" s="245">
        <v>630000</v>
      </c>
      <c r="K17" s="245">
        <v>912000</v>
      </c>
      <c r="L17" s="245">
        <v>925000</v>
      </c>
      <c r="M17" s="245">
        <v>883000</v>
      </c>
      <c r="N17" s="246"/>
    </row>
    <row r="18" spans="1:14" ht="13.5" customHeight="1">
      <c r="A18">
        <f>ROW()</f>
        <v>18</v>
      </c>
      <c r="B18" s="243"/>
      <c r="C18" s="247"/>
      <c r="D18" s="247" t="s">
        <v>247</v>
      </c>
      <c r="E18" s="247"/>
      <c r="F18" s="248">
        <v>43000</v>
      </c>
      <c r="G18" s="248">
        <v>-79000</v>
      </c>
      <c r="H18" s="254">
        <v>-22000</v>
      </c>
      <c r="I18" s="254">
        <v>-22000</v>
      </c>
      <c r="J18" s="254">
        <v>-22000</v>
      </c>
      <c r="K18" s="254">
        <v>-22000</v>
      </c>
      <c r="L18" s="254">
        <v>-29000</v>
      </c>
      <c r="M18" s="248"/>
      <c r="N18" s="246"/>
    </row>
    <row r="19" spans="1:14" ht="13.5" customHeight="1">
      <c r="A19">
        <f>ROW()</f>
        <v>19</v>
      </c>
      <c r="B19" s="243"/>
      <c r="C19" s="386" t="s">
        <v>248</v>
      </c>
      <c r="D19" s="386"/>
      <c r="E19" s="244"/>
      <c r="F19" s="245">
        <f>+F17-F18</f>
        <v>815000</v>
      </c>
      <c r="G19" s="245">
        <v>666000</v>
      </c>
      <c r="H19" s="245">
        <v>666000</v>
      </c>
      <c r="I19" s="245">
        <v>666000</v>
      </c>
      <c r="J19" s="245">
        <v>666000</v>
      </c>
      <c r="K19" s="245">
        <v>666000</v>
      </c>
      <c r="L19" s="245">
        <v>896000</v>
      </c>
      <c r="M19" s="245">
        <v>883000</v>
      </c>
      <c r="N19" s="246"/>
    </row>
    <row r="20" spans="1:14" ht="13.5" customHeight="1">
      <c r="A20">
        <f>ROW()</f>
        <v>20</v>
      </c>
      <c r="B20" s="243"/>
      <c r="C20" s="247"/>
      <c r="D20" s="247" t="s">
        <v>249</v>
      </c>
      <c r="E20" s="247"/>
      <c r="F20" s="248">
        <v>168000</v>
      </c>
      <c r="G20" s="248">
        <v>210000</v>
      </c>
      <c r="H20" s="254">
        <v>296000</v>
      </c>
      <c r="I20" s="254">
        <v>296000</v>
      </c>
      <c r="J20" s="254">
        <v>296000</v>
      </c>
      <c r="K20" s="254">
        <v>296000</v>
      </c>
      <c r="L20" s="254">
        <v>236000</v>
      </c>
      <c r="M20" s="254">
        <v>216000</v>
      </c>
      <c r="N20" s="246"/>
    </row>
    <row r="21" spans="1:14" ht="13.5" customHeight="1">
      <c r="A21">
        <f>ROW()</f>
        <v>21</v>
      </c>
      <c r="B21" s="243"/>
      <c r="C21" s="247"/>
      <c r="D21" s="247" t="s">
        <v>250</v>
      </c>
      <c r="E21" s="247"/>
      <c r="F21" s="245">
        <f>+F19-F20</f>
        <v>647000</v>
      </c>
      <c r="G21" s="245">
        <v>456000</v>
      </c>
      <c r="H21" s="245">
        <v>370000</v>
      </c>
      <c r="I21" s="245">
        <v>370000</v>
      </c>
      <c r="J21" s="245">
        <v>370000</v>
      </c>
      <c r="K21" s="245">
        <v>370000</v>
      </c>
      <c r="L21" s="245">
        <v>660000</v>
      </c>
      <c r="M21" s="245">
        <v>667000</v>
      </c>
      <c r="N21" s="246"/>
    </row>
    <row r="22" spans="1:14" ht="13.5" customHeight="1">
      <c r="A22">
        <f>ROW()</f>
        <v>22</v>
      </c>
      <c r="B22" s="243"/>
      <c r="C22" s="247"/>
      <c r="D22" s="247" t="s">
        <v>251</v>
      </c>
      <c r="E22" s="247"/>
      <c r="F22" s="251">
        <v>189000</v>
      </c>
      <c r="G22" s="251">
        <v>76000</v>
      </c>
      <c r="H22" s="251">
        <v>-293000</v>
      </c>
      <c r="I22" s="251">
        <v>27000</v>
      </c>
      <c r="J22" s="251">
        <v>-75000</v>
      </c>
      <c r="K22" s="251">
        <v>148000</v>
      </c>
      <c r="L22" s="251">
        <v>263000</v>
      </c>
      <c r="M22" s="251">
        <v>139000</v>
      </c>
      <c r="N22" s="246"/>
    </row>
    <row r="23" spans="1:14" ht="13.5" customHeight="1">
      <c r="A23">
        <f>ROW()</f>
        <v>23</v>
      </c>
      <c r="B23" s="243"/>
      <c r="C23" s="247"/>
      <c r="D23" s="247" t="s">
        <v>155</v>
      </c>
      <c r="E23" s="247"/>
      <c r="F23" s="248">
        <v>-1000</v>
      </c>
      <c r="G23" s="248">
        <v>0</v>
      </c>
      <c r="H23" s="248">
        <v>2000</v>
      </c>
      <c r="I23" s="248">
        <v>2000</v>
      </c>
      <c r="J23" s="248">
        <v>2000</v>
      </c>
      <c r="K23" s="248">
        <v>0</v>
      </c>
      <c r="L23" s="248">
        <v>0</v>
      </c>
      <c r="M23" s="248">
        <v>0</v>
      </c>
      <c r="N23" s="246"/>
    </row>
    <row r="24" spans="1:14" ht="13.5" customHeight="1">
      <c r="A24">
        <f>ROW()</f>
        <v>24</v>
      </c>
      <c r="B24" s="243"/>
      <c r="C24" s="247"/>
      <c r="D24" s="247" t="s">
        <v>252</v>
      </c>
      <c r="E24" s="247"/>
      <c r="F24" s="245">
        <f>+F21-F22-F23</f>
        <v>459000</v>
      </c>
      <c r="G24" s="245">
        <v>380000</v>
      </c>
      <c r="H24" s="245">
        <v>665000</v>
      </c>
      <c r="I24" s="245">
        <v>345000</v>
      </c>
      <c r="J24" s="245">
        <f>+J21-J22+J23</f>
        <v>447000</v>
      </c>
      <c r="K24" s="245">
        <v>222000</v>
      </c>
      <c r="L24" s="245">
        <v>397000</v>
      </c>
      <c r="M24" s="245">
        <v>528000</v>
      </c>
      <c r="N24" s="246"/>
    </row>
    <row r="25" spans="1:14" ht="13.5" customHeight="1">
      <c r="A25">
        <f>ROW()</f>
        <v>25</v>
      </c>
      <c r="B25" s="243"/>
      <c r="C25" s="247"/>
      <c r="D25" s="247"/>
      <c r="E25" s="247"/>
      <c r="F25" s="245"/>
      <c r="G25" s="245"/>
      <c r="H25" s="245"/>
      <c r="I25" s="245"/>
      <c r="J25" s="245"/>
      <c r="K25" s="245"/>
      <c r="L25" s="245"/>
      <c r="M25" s="245"/>
      <c r="N25" s="246"/>
    </row>
    <row r="26" spans="1:14" ht="13.5" customHeight="1">
      <c r="A26">
        <f>ROW()</f>
        <v>26</v>
      </c>
      <c r="B26" s="243"/>
      <c r="C26" s="247"/>
      <c r="D26" s="249" t="s">
        <v>253</v>
      </c>
      <c r="E26" s="249"/>
      <c r="F26" s="249"/>
      <c r="G26" s="249"/>
      <c r="H26" s="249"/>
      <c r="I26" s="249"/>
      <c r="J26" s="249"/>
      <c r="K26" s="249"/>
      <c r="L26" s="249"/>
      <c r="M26" s="249"/>
      <c r="N26" s="246"/>
    </row>
    <row r="27" spans="1:14" ht="13.5" customHeight="1">
      <c r="A27">
        <f>ROW()</f>
        <v>27</v>
      </c>
      <c r="B27" s="243"/>
      <c r="C27" s="247"/>
      <c r="D27" s="247" t="s">
        <v>254</v>
      </c>
      <c r="E27" s="247"/>
      <c r="F27" s="251">
        <v>-1000</v>
      </c>
      <c r="G27" s="251">
        <v>75000</v>
      </c>
      <c r="H27" s="251">
        <v>74000</v>
      </c>
      <c r="I27" s="251">
        <v>167000</v>
      </c>
      <c r="J27" s="251">
        <v>-13000</v>
      </c>
      <c r="K27" s="251">
        <v>92000</v>
      </c>
      <c r="L27" s="251">
        <v>70000</v>
      </c>
      <c r="M27" s="251">
        <v>-10000</v>
      </c>
      <c r="N27" s="246"/>
    </row>
    <row r="28" spans="1:14" ht="13.5" customHeight="1">
      <c r="A28">
        <f>ROW()</f>
        <v>28</v>
      </c>
      <c r="B28" s="243"/>
      <c r="C28" s="247"/>
      <c r="D28" s="247" t="s">
        <v>255</v>
      </c>
      <c r="E28" s="247"/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46"/>
    </row>
    <row r="29" spans="1:14" ht="13.5" customHeight="1">
      <c r="A29">
        <f>ROW()</f>
        <v>29</v>
      </c>
      <c r="B29" s="243"/>
      <c r="C29" s="247"/>
      <c r="D29" s="247" t="s">
        <v>256</v>
      </c>
      <c r="E29" s="247"/>
      <c r="F29" s="251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0</v>
      </c>
      <c r="N29" s="246"/>
    </row>
    <row r="30" spans="1:14" ht="13.5" customHeight="1">
      <c r="A30">
        <f>ROW()</f>
        <v>30</v>
      </c>
      <c r="B30" s="243"/>
      <c r="C30" s="247"/>
      <c r="D30" s="247" t="s">
        <v>257</v>
      </c>
      <c r="E30" s="247"/>
      <c r="F30" s="248"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6"/>
    </row>
    <row r="31" spans="1:14" ht="13.5" customHeight="1">
      <c r="A31">
        <f>ROW()</f>
        <v>31</v>
      </c>
      <c r="B31" s="243"/>
      <c r="C31" s="386" t="s">
        <v>258</v>
      </c>
      <c r="D31" s="386"/>
      <c r="E31" s="244"/>
      <c r="F31" s="245">
        <f>+F24+F27</f>
        <v>458000</v>
      </c>
      <c r="G31" s="245">
        <v>455000</v>
      </c>
      <c r="H31" s="245">
        <v>739000</v>
      </c>
      <c r="I31" s="245">
        <v>512000</v>
      </c>
      <c r="J31" s="245">
        <f>+J24+SUM(J27:J30)</f>
        <v>434000</v>
      </c>
      <c r="K31" s="245">
        <v>314000</v>
      </c>
      <c r="L31" s="245">
        <v>467000</v>
      </c>
      <c r="M31" s="245">
        <v>518000</v>
      </c>
      <c r="N31" s="246"/>
    </row>
    <row r="32" spans="1:14" ht="13.5" customHeight="1">
      <c r="A32">
        <f>ROW()</f>
        <v>32</v>
      </c>
      <c r="B32" s="243"/>
      <c r="C32" s="387" t="s">
        <v>259</v>
      </c>
      <c r="D32" s="387"/>
      <c r="E32" s="247"/>
      <c r="F32" s="248">
        <v>0</v>
      </c>
      <c r="G32" s="248">
        <v>0</v>
      </c>
      <c r="H32" s="248">
        <v>0</v>
      </c>
      <c r="I32" s="248">
        <v>0</v>
      </c>
      <c r="J32" s="248">
        <v>0</v>
      </c>
      <c r="K32" s="248">
        <v>0</v>
      </c>
      <c r="L32" s="248">
        <v>0</v>
      </c>
      <c r="M32" s="248">
        <v>0</v>
      </c>
      <c r="N32" s="246"/>
    </row>
    <row r="33" spans="1:14" ht="13.5" customHeight="1" thickBot="1">
      <c r="A33">
        <f>ROW()</f>
        <v>33</v>
      </c>
      <c r="B33" s="243"/>
      <c r="C33" s="386" t="s">
        <v>260</v>
      </c>
      <c r="D33" s="386"/>
      <c r="E33" s="244"/>
      <c r="F33" s="255">
        <f>+F31</f>
        <v>458000</v>
      </c>
      <c r="G33" s="255">
        <v>455000</v>
      </c>
      <c r="H33" s="255">
        <v>739000</v>
      </c>
      <c r="I33" s="255">
        <v>512000</v>
      </c>
      <c r="J33" s="255">
        <f>+J31-J32</f>
        <v>434000</v>
      </c>
      <c r="K33" s="255">
        <v>314000</v>
      </c>
      <c r="L33" s="255">
        <v>467000</v>
      </c>
      <c r="M33" s="255">
        <v>518000</v>
      </c>
      <c r="N33" s="246"/>
    </row>
    <row r="34" spans="1:14" ht="13.5" customHeight="1" thickTop="1">
      <c r="A34">
        <f>ROW()</f>
        <v>34</v>
      </c>
      <c r="B34" s="243"/>
      <c r="C34" s="244"/>
      <c r="D34" s="244"/>
      <c r="E34" s="244"/>
      <c r="F34" s="256"/>
      <c r="G34" s="256"/>
      <c r="H34" s="256"/>
      <c r="I34" s="256"/>
      <c r="J34" s="256"/>
      <c r="K34" s="256"/>
      <c r="L34" s="256"/>
      <c r="M34" s="244"/>
      <c r="N34" s="246"/>
    </row>
    <row r="35" spans="1:14" ht="13.5" customHeight="1">
      <c r="A35">
        <f>ROW()</f>
        <v>35</v>
      </c>
      <c r="B35" s="243"/>
      <c r="C35" s="244"/>
      <c r="D35" s="244" t="s">
        <v>261</v>
      </c>
      <c r="E35" s="244"/>
      <c r="F35" s="258">
        <v>39.91</v>
      </c>
      <c r="G35" s="258">
        <v>17.13</v>
      </c>
      <c r="H35" s="258">
        <v>35.18</v>
      </c>
      <c r="I35" s="258">
        <v>58.76</v>
      </c>
      <c r="J35" s="258">
        <v>52</v>
      </c>
      <c r="K35" s="258">
        <v>46.86</v>
      </c>
      <c r="L35" s="257">
        <v>57.36</v>
      </c>
      <c r="M35" s="257">
        <v>78.47</v>
      </c>
      <c r="N35" s="259"/>
    </row>
    <row r="36" spans="1:14" ht="13.5" customHeight="1">
      <c r="A36">
        <f>ROW()</f>
        <v>36</v>
      </c>
      <c r="B36" s="243"/>
      <c r="C36" s="242"/>
      <c r="D36" s="260" t="s">
        <v>262</v>
      </c>
      <c r="E36" s="260"/>
      <c r="F36" s="262"/>
      <c r="G36" s="261"/>
      <c r="H36" s="261">
        <f>+H35/I35-1</f>
        <v>-0.4012933968686181</v>
      </c>
      <c r="I36" s="261">
        <v>0.6702671972711767</v>
      </c>
      <c r="J36" s="261">
        <f>+J35/K35-1</f>
        <v>0.10968843363209557</v>
      </c>
      <c r="K36" s="261">
        <v>-0.0988461538461538</v>
      </c>
      <c r="L36" s="261">
        <v>0.22407170294494239</v>
      </c>
      <c r="M36" s="261">
        <v>0.36802649930264986</v>
      </c>
      <c r="N36" s="262"/>
    </row>
    <row r="37" spans="2:14" ht="13.5" customHeight="1">
      <c r="B37" s="243"/>
      <c r="C37" s="242"/>
      <c r="D37" s="260"/>
      <c r="E37" s="260"/>
      <c r="F37" s="262"/>
      <c r="G37" s="261"/>
      <c r="H37" s="261"/>
      <c r="I37" s="261"/>
      <c r="J37" s="261"/>
      <c r="K37" s="261"/>
      <c r="L37" s="261"/>
      <c r="M37" s="261"/>
      <c r="N37" s="262"/>
    </row>
    <row r="38" spans="2:14" ht="13.5" customHeight="1">
      <c r="B38" s="243"/>
      <c r="C38" s="242"/>
      <c r="D38" s="260"/>
      <c r="E38" s="260"/>
      <c r="F38" s="262"/>
      <c r="G38" s="261"/>
      <c r="H38" s="261"/>
      <c r="I38" s="261"/>
      <c r="J38" s="261"/>
      <c r="K38" s="261"/>
      <c r="L38" s="261"/>
      <c r="M38" s="261"/>
      <c r="N38" s="262"/>
    </row>
    <row r="39" spans="2:14" ht="13.5" customHeight="1">
      <c r="B39" s="243"/>
      <c r="C39" s="242"/>
      <c r="D39" s="260"/>
      <c r="E39" s="260"/>
      <c r="F39" s="262"/>
      <c r="G39" s="261"/>
      <c r="H39" s="261"/>
      <c r="I39" s="261"/>
      <c r="J39" s="261"/>
      <c r="K39" s="261"/>
      <c r="L39" s="261"/>
      <c r="M39" s="261"/>
      <c r="N39" s="262"/>
    </row>
    <row r="40" spans="2:14" ht="13.5" customHeight="1">
      <c r="B40" s="243"/>
      <c r="C40" s="242"/>
      <c r="D40" s="242"/>
      <c r="E40" s="242"/>
      <c r="F40" s="242"/>
      <c r="G40" s="263"/>
      <c r="H40" s="242"/>
      <c r="I40" s="242"/>
      <c r="J40" s="242"/>
      <c r="K40" s="242"/>
      <c r="L40" s="242"/>
      <c r="M40" s="242"/>
      <c r="N40" s="242"/>
    </row>
    <row r="41" spans="1:3" ht="15.75" customHeight="1">
      <c r="A41">
        <f>ROW()</f>
        <v>41</v>
      </c>
      <c r="B41" s="243"/>
      <c r="C41" s="236" t="str">
        <f>+C1</f>
        <v>Starwood Hotels &amp; Resorts Worldwide Inc. (HOT)</v>
      </c>
    </row>
    <row r="42" spans="1:3" ht="13.5" customHeight="1">
      <c r="A42">
        <f>ROW()</f>
        <v>42</v>
      </c>
      <c r="B42" s="243"/>
      <c r="C42" s="2" t="s">
        <v>263</v>
      </c>
    </row>
    <row r="43" spans="1:16" ht="13.5" customHeight="1" thickBot="1">
      <c r="A43">
        <f>ROW()</f>
        <v>43</v>
      </c>
      <c r="B43" s="243"/>
      <c r="O43" s="264"/>
      <c r="P43" s="264"/>
    </row>
    <row r="44" spans="1:16" ht="13.5" customHeight="1" thickBot="1">
      <c r="A44">
        <f>ROW()</f>
        <v>44</v>
      </c>
      <c r="B44" s="243"/>
      <c r="C44" s="265" t="s">
        <v>239</v>
      </c>
      <c r="D44" s="266"/>
      <c r="E44" s="266"/>
      <c r="F44" s="267">
        <f>+F5</f>
        <v>39447</v>
      </c>
      <c r="G44" s="267">
        <v>39813</v>
      </c>
      <c r="H44" s="267">
        <v>40178</v>
      </c>
      <c r="I44" s="267">
        <v>40543</v>
      </c>
      <c r="J44" s="267">
        <v>40908</v>
      </c>
      <c r="K44" s="267">
        <v>41274</v>
      </c>
      <c r="L44" s="267">
        <v>41639</v>
      </c>
      <c r="M44" s="267">
        <v>42004</v>
      </c>
      <c r="O44" s="268"/>
      <c r="P44" s="268"/>
    </row>
    <row r="45" spans="1:16" ht="13.5" customHeight="1">
      <c r="A45">
        <f>ROW()</f>
        <v>45</v>
      </c>
      <c r="B45" s="243"/>
      <c r="C45" s="269" t="s">
        <v>264</v>
      </c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O45" s="270"/>
      <c r="P45" s="270"/>
    </row>
    <row r="46" spans="1:16" ht="13.5" customHeight="1">
      <c r="A46">
        <f>ROW()</f>
        <v>46</v>
      </c>
      <c r="B46" s="243"/>
      <c r="C46" s="271" t="s">
        <v>265</v>
      </c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O46" s="270"/>
      <c r="P46" s="270"/>
    </row>
    <row r="47" spans="1:16" ht="13.5" customHeight="1">
      <c r="A47">
        <f>ROW()</f>
        <v>47</v>
      </c>
      <c r="B47" s="243"/>
      <c r="C47" s="249"/>
      <c r="D47" s="249" t="s">
        <v>266</v>
      </c>
      <c r="E47" s="249"/>
      <c r="F47" s="252">
        <v>358000</v>
      </c>
      <c r="G47" s="252">
        <v>485000</v>
      </c>
      <c r="H47" s="252">
        <v>134000</v>
      </c>
      <c r="I47" s="252">
        <v>806000</v>
      </c>
      <c r="J47" s="252">
        <v>686000</v>
      </c>
      <c r="K47" s="252">
        <v>463000</v>
      </c>
      <c r="L47" s="252">
        <v>750000</v>
      </c>
      <c r="M47" s="252">
        <v>1019000</v>
      </c>
      <c r="O47" s="270"/>
      <c r="P47" s="270"/>
    </row>
    <row r="48" spans="1:16" ht="13.5" customHeight="1">
      <c r="A48">
        <f>ROW()</f>
        <v>48</v>
      </c>
      <c r="B48" s="243"/>
      <c r="C48" s="249"/>
      <c r="D48" s="249" t="s">
        <v>267</v>
      </c>
      <c r="E48" s="249"/>
      <c r="F48" s="252">
        <v>0</v>
      </c>
      <c r="G48" s="252">
        <v>0</v>
      </c>
      <c r="H48" s="252">
        <v>0</v>
      </c>
      <c r="I48" s="252">
        <v>0</v>
      </c>
      <c r="J48" s="252">
        <v>0</v>
      </c>
      <c r="K48" s="252">
        <v>0</v>
      </c>
      <c r="L48" s="252">
        <v>0</v>
      </c>
      <c r="M48" s="252">
        <v>0</v>
      </c>
      <c r="O48" s="270"/>
      <c r="P48" s="270"/>
    </row>
    <row r="49" spans="1:16" ht="13.5" customHeight="1">
      <c r="A49">
        <f>ROW()</f>
        <v>49</v>
      </c>
      <c r="B49" s="243"/>
      <c r="C49" s="249"/>
      <c r="D49" s="249" t="s">
        <v>269</v>
      </c>
      <c r="E49" s="249"/>
      <c r="F49" s="252">
        <v>616000</v>
      </c>
      <c r="G49" s="252">
        <v>552000</v>
      </c>
      <c r="H49" s="252">
        <v>445000</v>
      </c>
      <c r="I49" s="252">
        <v>887000</v>
      </c>
      <c r="J49" s="252">
        <v>911000</v>
      </c>
      <c r="K49" s="252">
        <v>941000</v>
      </c>
      <c r="L49" s="252">
        <v>908000</v>
      </c>
      <c r="M49" s="252">
        <v>907000</v>
      </c>
      <c r="O49" s="270"/>
      <c r="P49" s="270"/>
    </row>
    <row r="50" spans="1:16" ht="13.5" customHeight="1">
      <c r="A50">
        <f>ROW()</f>
        <v>50</v>
      </c>
      <c r="B50" s="243"/>
      <c r="C50" s="249"/>
      <c r="D50" s="249" t="s">
        <v>32</v>
      </c>
      <c r="E50" s="249"/>
      <c r="F50" s="252">
        <v>714000</v>
      </c>
      <c r="G50" s="252">
        <v>986000</v>
      </c>
      <c r="H50" s="252">
        <v>783000</v>
      </c>
      <c r="I50" s="252">
        <v>802000</v>
      </c>
      <c r="J50" s="252">
        <v>812000</v>
      </c>
      <c r="K50" s="252">
        <v>361000</v>
      </c>
      <c r="L50" s="252">
        <v>217000</v>
      </c>
      <c r="M50" s="252">
        <v>236000</v>
      </c>
      <c r="O50" s="274"/>
      <c r="P50" s="274"/>
    </row>
    <row r="51" spans="1:16" ht="13.5" customHeight="1">
      <c r="A51">
        <f>ROW()</f>
        <v>51</v>
      </c>
      <c r="B51" s="243"/>
      <c r="C51" s="249"/>
      <c r="D51" s="275" t="s">
        <v>33</v>
      </c>
      <c r="E51" s="275"/>
      <c r="F51" s="253">
        <v>136000</v>
      </c>
      <c r="G51" s="253">
        <v>143000</v>
      </c>
      <c r="H51" s="253">
        <v>127000</v>
      </c>
      <c r="I51" s="253">
        <v>126000</v>
      </c>
      <c r="J51" s="253">
        <v>125000</v>
      </c>
      <c r="K51" s="253">
        <v>124000</v>
      </c>
      <c r="L51" s="253">
        <v>121000</v>
      </c>
      <c r="M51" s="253">
        <v>159000</v>
      </c>
      <c r="O51" s="270"/>
      <c r="P51" s="270"/>
    </row>
    <row r="52" spans="1:16" ht="13.5" customHeight="1">
      <c r="A52">
        <f>ROW()</f>
        <v>52</v>
      </c>
      <c r="B52" s="243"/>
      <c r="C52" s="250" t="s">
        <v>270</v>
      </c>
      <c r="D52" s="250"/>
      <c r="E52" s="250"/>
      <c r="F52" s="276">
        <v>1824000</v>
      </c>
      <c r="G52" s="276">
        <v>2166000</v>
      </c>
      <c r="H52" s="276">
        <v>1489000</v>
      </c>
      <c r="I52" s="276">
        <v>2621000</v>
      </c>
      <c r="J52" s="276">
        <f>SUM(J47:J51)</f>
        <v>2534000</v>
      </c>
      <c r="K52" s="276">
        <v>1889000</v>
      </c>
      <c r="L52" s="276">
        <v>1996000</v>
      </c>
      <c r="M52" s="276">
        <v>2321000</v>
      </c>
      <c r="O52" s="270"/>
      <c r="P52" s="270"/>
    </row>
    <row r="53" spans="1:16" ht="13.5" customHeight="1">
      <c r="A53">
        <f>ROW()</f>
        <v>53</v>
      </c>
      <c r="B53" s="243"/>
      <c r="C53" s="250"/>
      <c r="D53" s="250"/>
      <c r="E53" s="250"/>
      <c r="F53" s="276"/>
      <c r="G53" s="276"/>
      <c r="H53" s="276"/>
      <c r="I53" s="276"/>
      <c r="J53" s="276"/>
      <c r="K53" s="276"/>
      <c r="L53" s="276"/>
      <c r="M53" s="276"/>
      <c r="O53" s="270"/>
      <c r="P53" s="270"/>
    </row>
    <row r="54" spans="1:16" ht="13.5" customHeight="1">
      <c r="A54">
        <f>ROW()</f>
        <v>54</v>
      </c>
      <c r="B54" s="243"/>
      <c r="C54" s="249" t="s">
        <v>271</v>
      </c>
      <c r="D54" s="249"/>
      <c r="E54" s="249"/>
      <c r="F54" s="252">
        <v>837000</v>
      </c>
      <c r="G54" s="252">
        <v>848000</v>
      </c>
      <c r="H54" s="252">
        <v>368000</v>
      </c>
      <c r="I54" s="252">
        <v>720000</v>
      </c>
      <c r="J54" s="252">
        <v>705000</v>
      </c>
      <c r="K54" s="252">
        <v>698000</v>
      </c>
      <c r="L54" s="252">
        <v>566000</v>
      </c>
      <c r="M54" s="252">
        <v>441000</v>
      </c>
      <c r="O54" s="270"/>
      <c r="P54" s="270"/>
    </row>
    <row r="55" spans="1:16" ht="13.5" customHeight="1">
      <c r="A55">
        <f>ROW()</f>
        <v>55</v>
      </c>
      <c r="B55" s="243"/>
      <c r="C55" s="249" t="s">
        <v>272</v>
      </c>
      <c r="D55" s="249"/>
      <c r="E55" s="249"/>
      <c r="F55" s="252">
        <v>3850000</v>
      </c>
      <c r="G55" s="252">
        <v>3609000</v>
      </c>
      <c r="H55" s="252">
        <v>3421000</v>
      </c>
      <c r="I55" s="252">
        <v>3323000</v>
      </c>
      <c r="J55" s="252">
        <v>3274000</v>
      </c>
      <c r="K55" s="252">
        <v>3198000</v>
      </c>
      <c r="L55" s="252">
        <v>3034000</v>
      </c>
      <c r="M55" s="252">
        <v>2634000</v>
      </c>
      <c r="O55" s="270"/>
      <c r="P55" s="270"/>
    </row>
    <row r="56" spans="1:16" ht="13.5" customHeight="1">
      <c r="A56">
        <f>ROW()</f>
        <v>56</v>
      </c>
      <c r="B56" s="243"/>
      <c r="C56" s="249" t="s">
        <v>273</v>
      </c>
      <c r="D56" s="249"/>
      <c r="E56" s="249"/>
      <c r="F56" s="252">
        <v>2302000</v>
      </c>
      <c r="G56" s="252">
        <v>1639000</v>
      </c>
      <c r="H56" s="252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O56" s="270"/>
      <c r="P56" s="270"/>
    </row>
    <row r="57" spans="1:16" ht="13.5" customHeight="1">
      <c r="A57">
        <f>ROW()</f>
        <v>57</v>
      </c>
      <c r="B57" s="243"/>
      <c r="C57" s="249" t="s">
        <v>274</v>
      </c>
      <c r="D57" s="249"/>
      <c r="E57" s="249"/>
      <c r="F57" s="252">
        <v>0</v>
      </c>
      <c r="G57" s="252">
        <v>596000</v>
      </c>
      <c r="H57" s="252">
        <v>2063000</v>
      </c>
      <c r="I57" s="252">
        <v>2067000</v>
      </c>
      <c r="J57" s="252">
        <v>2053000</v>
      </c>
      <c r="K57" s="252">
        <v>2025000</v>
      </c>
      <c r="L57" s="252">
        <v>2032000</v>
      </c>
      <c r="M57" s="252">
        <v>1956000</v>
      </c>
      <c r="O57" s="270"/>
      <c r="P57" s="270"/>
    </row>
    <row r="58" spans="1:16" ht="13.5" customHeight="1">
      <c r="A58">
        <f>ROW()</f>
        <v>58</v>
      </c>
      <c r="B58" s="243"/>
      <c r="C58" s="249" t="s">
        <v>275</v>
      </c>
      <c r="D58" s="249"/>
      <c r="E58" s="249"/>
      <c r="F58" s="252">
        <v>0</v>
      </c>
      <c r="G58" s="252" t="s">
        <v>268</v>
      </c>
      <c r="H58" s="252">
        <v>0</v>
      </c>
      <c r="I58" s="252">
        <v>0</v>
      </c>
      <c r="J58" s="252">
        <v>0</v>
      </c>
      <c r="K58" s="252">
        <v>0</v>
      </c>
      <c r="L58" s="252">
        <v>0</v>
      </c>
      <c r="M58" s="252">
        <v>0</v>
      </c>
      <c r="O58" s="270"/>
      <c r="P58" s="270"/>
    </row>
    <row r="59" spans="1:16" ht="13.5" customHeight="1">
      <c r="A59">
        <f>ROW()</f>
        <v>59</v>
      </c>
      <c r="B59" s="243"/>
      <c r="C59" s="249" t="s">
        <v>276</v>
      </c>
      <c r="D59" s="249"/>
      <c r="E59" s="249"/>
      <c r="F59" s="252">
        <v>80000</v>
      </c>
      <c r="G59" s="252">
        <v>206000</v>
      </c>
      <c r="H59" s="252">
        <v>438000</v>
      </c>
      <c r="I59" s="252">
        <v>381000</v>
      </c>
      <c r="J59" s="252">
        <v>355000</v>
      </c>
      <c r="K59" s="252">
        <v>385000</v>
      </c>
      <c r="L59" s="252">
        <v>543000</v>
      </c>
      <c r="M59" s="252">
        <v>711000</v>
      </c>
      <c r="O59" s="270"/>
      <c r="P59" s="270"/>
    </row>
    <row r="60" spans="1:16" ht="13.5" customHeight="1">
      <c r="A60">
        <f>ROW()</f>
        <v>60</v>
      </c>
      <c r="B60" s="243"/>
      <c r="C60" s="249" t="s">
        <v>277</v>
      </c>
      <c r="D60" s="275"/>
      <c r="E60" s="275"/>
      <c r="F60" s="252">
        <v>729000</v>
      </c>
      <c r="G60" s="252">
        <v>639000</v>
      </c>
      <c r="H60" s="252">
        <v>982000</v>
      </c>
      <c r="I60" s="252">
        <v>664000</v>
      </c>
      <c r="J60" s="252">
        <v>639000</v>
      </c>
      <c r="K60" s="252">
        <v>660000</v>
      </c>
      <c r="L60" s="252">
        <v>591000</v>
      </c>
      <c r="M60" s="253">
        <v>596000</v>
      </c>
      <c r="O60" s="274"/>
      <c r="P60" s="274"/>
    </row>
    <row r="61" spans="1:16" ht="13.5" customHeight="1" thickBot="1">
      <c r="A61">
        <f>ROW()</f>
        <v>61</v>
      </c>
      <c r="B61" s="243"/>
      <c r="C61" s="250" t="s">
        <v>39</v>
      </c>
      <c r="D61" s="250"/>
      <c r="E61" s="250"/>
      <c r="F61" s="278">
        <v>9622000</v>
      </c>
      <c r="G61" s="278">
        <v>9703000</v>
      </c>
      <c r="H61" s="278">
        <v>8761000</v>
      </c>
      <c r="I61" s="278">
        <v>9776000</v>
      </c>
      <c r="J61" s="278">
        <v>9560000</v>
      </c>
      <c r="K61" s="278">
        <v>8855000</v>
      </c>
      <c r="L61" s="278">
        <v>8762000</v>
      </c>
      <c r="M61" s="277">
        <v>8659000</v>
      </c>
      <c r="O61" s="268"/>
      <c r="P61" s="268"/>
    </row>
    <row r="62" spans="1:16" ht="13.5" customHeight="1" thickTop="1">
      <c r="A62">
        <f>ROW()</f>
        <v>62</v>
      </c>
      <c r="B62" s="243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O62" s="273"/>
      <c r="P62" s="273"/>
    </row>
    <row r="63" spans="1:16" ht="13.5" customHeight="1">
      <c r="A63">
        <f>ROW()</f>
        <v>63</v>
      </c>
      <c r="B63" s="243"/>
      <c r="C63" s="250" t="s">
        <v>278</v>
      </c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O63" s="268"/>
      <c r="P63" s="268"/>
    </row>
    <row r="64" spans="1:16" ht="13.5" customHeight="1">
      <c r="A64">
        <f>ROW()</f>
        <v>64</v>
      </c>
      <c r="B64" s="243"/>
      <c r="C64" s="249" t="s">
        <v>279</v>
      </c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O64" s="268"/>
      <c r="P64" s="268"/>
    </row>
    <row r="65" spans="1:16" ht="13.5" customHeight="1">
      <c r="A65">
        <f>ROW()</f>
        <v>65</v>
      </c>
      <c r="B65" s="243"/>
      <c r="C65" s="249"/>
      <c r="D65" s="249" t="s">
        <v>41</v>
      </c>
      <c r="E65" s="249"/>
      <c r="F65" s="252">
        <v>2096000</v>
      </c>
      <c r="G65" s="252">
        <v>2182000</v>
      </c>
      <c r="H65" s="252">
        <v>2022000</v>
      </c>
      <c r="I65" s="252">
        <v>2029000</v>
      </c>
      <c r="J65" s="252">
        <v>1859000</v>
      </c>
      <c r="K65" s="252">
        <v>1864000</v>
      </c>
      <c r="L65" s="252">
        <v>1825000</v>
      </c>
      <c r="M65" s="252">
        <v>2080000</v>
      </c>
      <c r="O65" s="268"/>
      <c r="P65" s="268"/>
    </row>
    <row r="66" spans="1:16" ht="13.5" customHeight="1">
      <c r="A66">
        <f>ROW()</f>
        <v>66</v>
      </c>
      <c r="B66" s="243"/>
      <c r="C66" s="249"/>
      <c r="D66" s="249" t="s">
        <v>280</v>
      </c>
      <c r="E66" s="249"/>
      <c r="F66" s="252">
        <v>5000</v>
      </c>
      <c r="G66" s="252">
        <v>506000</v>
      </c>
      <c r="H66" s="252">
        <v>5000</v>
      </c>
      <c r="I66" s="252">
        <v>136000</v>
      </c>
      <c r="J66" s="252">
        <v>133000</v>
      </c>
      <c r="K66" s="252">
        <v>152000</v>
      </c>
      <c r="L66" s="252">
        <v>99000</v>
      </c>
      <c r="M66" s="252">
        <v>370000</v>
      </c>
      <c r="O66" s="268"/>
      <c r="P66" s="268"/>
    </row>
    <row r="67" spans="1:16" ht="13.5" customHeight="1">
      <c r="A67">
        <f>ROW()</f>
        <v>67</v>
      </c>
      <c r="B67" s="243"/>
      <c r="C67" s="249"/>
      <c r="D67" s="275" t="s">
        <v>43</v>
      </c>
      <c r="E67" s="275"/>
      <c r="F67" s="253">
        <v>0</v>
      </c>
      <c r="G67" s="253">
        <v>0</v>
      </c>
      <c r="H67" s="253">
        <v>0</v>
      </c>
      <c r="I67" s="253">
        <v>0</v>
      </c>
      <c r="J67" s="253">
        <v>0</v>
      </c>
      <c r="K67" s="253">
        <v>0</v>
      </c>
      <c r="L67" s="253">
        <v>0</v>
      </c>
      <c r="M67" s="253">
        <v>0</v>
      </c>
      <c r="O67" s="268"/>
      <c r="P67" s="268"/>
    </row>
    <row r="68" spans="1:16" ht="13.5" customHeight="1">
      <c r="A68">
        <f>ROW()</f>
        <v>68</v>
      </c>
      <c r="B68" s="243"/>
      <c r="C68" s="250" t="s">
        <v>281</v>
      </c>
      <c r="D68" s="250"/>
      <c r="E68" s="250"/>
      <c r="F68" s="276">
        <v>2101000</v>
      </c>
      <c r="G68" s="276">
        <v>2688000</v>
      </c>
      <c r="H68" s="276">
        <v>2027000</v>
      </c>
      <c r="I68" s="276">
        <v>2165000</v>
      </c>
      <c r="J68" s="276">
        <f>SUM(J65:J67)</f>
        <v>1992000</v>
      </c>
      <c r="K68" s="276">
        <v>2016000</v>
      </c>
      <c r="L68" s="276">
        <v>1924000</v>
      </c>
      <c r="M68" s="276">
        <v>2450000</v>
      </c>
      <c r="O68" s="268"/>
      <c r="P68" s="268"/>
    </row>
    <row r="69" spans="1:16" ht="13.5" customHeight="1">
      <c r="A69">
        <f>ROW()</f>
        <v>69</v>
      </c>
      <c r="B69" s="243"/>
      <c r="C69" s="249" t="s">
        <v>282</v>
      </c>
      <c r="D69" s="249"/>
      <c r="E69" s="249"/>
      <c r="F69" s="252">
        <v>3590000</v>
      </c>
      <c r="G69" s="252">
        <v>3502000</v>
      </c>
      <c r="H69" s="252">
        <v>2955000</v>
      </c>
      <c r="I69" s="252">
        <v>3215000</v>
      </c>
      <c r="J69" s="252">
        <v>2596000</v>
      </c>
      <c r="K69" s="252">
        <v>1656000</v>
      </c>
      <c r="L69" s="252">
        <v>1523000</v>
      </c>
      <c r="M69" s="252">
        <v>2574000</v>
      </c>
      <c r="O69" s="268"/>
      <c r="P69" s="268"/>
    </row>
    <row r="70" spans="1:16" ht="13.5" customHeight="1">
      <c r="A70">
        <f>ROW()</f>
        <v>70</v>
      </c>
      <c r="B70" s="243"/>
      <c r="C70" s="249" t="s">
        <v>283</v>
      </c>
      <c r="D70" s="249"/>
      <c r="E70" s="249"/>
      <c r="F70" s="252">
        <v>1801000</v>
      </c>
      <c r="G70" s="252">
        <v>719000</v>
      </c>
      <c r="H70" s="252">
        <v>1903000</v>
      </c>
      <c r="I70" s="252">
        <v>1886000</v>
      </c>
      <c r="J70" s="252">
        <v>1971000</v>
      </c>
      <c r="K70" s="252">
        <v>1956000</v>
      </c>
      <c r="L70" s="252">
        <v>1904000</v>
      </c>
      <c r="M70" s="252">
        <v>2069000</v>
      </c>
      <c r="O70" s="268"/>
      <c r="P70" s="268"/>
    </row>
    <row r="71" spans="1:16" ht="13.5" customHeight="1">
      <c r="A71">
        <f>ROW()</f>
        <v>71</v>
      </c>
      <c r="B71" s="243"/>
      <c r="C71" s="249" t="s">
        <v>284</v>
      </c>
      <c r="D71" s="249"/>
      <c r="E71" s="249"/>
      <c r="F71" s="252">
        <v>28000</v>
      </c>
      <c r="G71" s="252">
        <v>1150000</v>
      </c>
      <c r="H71" s="252">
        <v>31000</v>
      </c>
      <c r="I71" s="252">
        <v>24000</v>
      </c>
      <c r="J71" s="252">
        <v>46000</v>
      </c>
      <c r="K71" s="252">
        <v>85000</v>
      </c>
      <c r="L71" s="252">
        <v>48000</v>
      </c>
      <c r="M71" s="252">
        <v>38000</v>
      </c>
      <c r="O71" s="268"/>
      <c r="P71" s="268"/>
    </row>
    <row r="72" spans="1:16" ht="13.5" customHeight="1">
      <c r="A72">
        <f>ROW()</f>
        <v>72</v>
      </c>
      <c r="B72" s="243"/>
      <c r="C72" s="249" t="s">
        <v>155</v>
      </c>
      <c r="D72" s="249"/>
      <c r="E72" s="249"/>
      <c r="F72" s="252">
        <v>26000</v>
      </c>
      <c r="G72" s="252">
        <v>23000</v>
      </c>
      <c r="H72" s="252">
        <v>21000</v>
      </c>
      <c r="I72" s="252">
        <v>15000</v>
      </c>
      <c r="J72" s="252">
        <v>1000</v>
      </c>
      <c r="K72" s="252">
        <v>5000</v>
      </c>
      <c r="L72" s="252">
        <v>3000</v>
      </c>
      <c r="M72" s="252">
        <v>3000</v>
      </c>
      <c r="O72" s="268"/>
      <c r="P72" s="268"/>
    </row>
    <row r="73" spans="1:16" ht="13.5" customHeight="1">
      <c r="A73">
        <f>ROW()</f>
        <v>73</v>
      </c>
      <c r="B73" s="243"/>
      <c r="C73" s="249" t="s">
        <v>285</v>
      </c>
      <c r="D73" s="275"/>
      <c r="E73" s="275"/>
      <c r="F73" s="253">
        <v>0</v>
      </c>
      <c r="G73" s="253">
        <v>0</v>
      </c>
      <c r="H73" s="253">
        <v>0</v>
      </c>
      <c r="I73" s="253">
        <v>0</v>
      </c>
      <c r="J73" s="253">
        <v>0</v>
      </c>
      <c r="K73" s="253">
        <v>0</v>
      </c>
      <c r="L73" s="253">
        <v>0</v>
      </c>
      <c r="M73" s="253">
        <v>0</v>
      </c>
      <c r="O73" s="268"/>
      <c r="P73" s="268"/>
    </row>
    <row r="74" spans="1:16" ht="13.5" customHeight="1">
      <c r="A74">
        <f>ROW()</f>
        <v>74</v>
      </c>
      <c r="B74" s="243"/>
      <c r="C74" s="250" t="s">
        <v>47</v>
      </c>
      <c r="D74" s="250"/>
      <c r="E74" s="250"/>
      <c r="F74" s="276">
        <v>7546000</v>
      </c>
      <c r="G74" s="276">
        <v>8082000</v>
      </c>
      <c r="H74" s="276">
        <v>6937000</v>
      </c>
      <c r="I74" s="276">
        <v>7305000</v>
      </c>
      <c r="J74" s="276">
        <f>SUM(J68:J73)</f>
        <v>6606000</v>
      </c>
      <c r="K74" s="276">
        <v>5718000</v>
      </c>
      <c r="L74" s="276">
        <v>5402000</v>
      </c>
      <c r="M74" s="276">
        <v>7134000</v>
      </c>
      <c r="O74" s="268"/>
      <c r="P74" s="268"/>
    </row>
    <row r="75" spans="1:16" ht="13.5" customHeight="1">
      <c r="A75">
        <f>ROW()</f>
        <v>75</v>
      </c>
      <c r="B75" s="243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O75" s="268"/>
      <c r="P75" s="268"/>
    </row>
    <row r="76" spans="1:16" ht="13.5" customHeight="1">
      <c r="A76">
        <f>ROW()</f>
        <v>76</v>
      </c>
      <c r="B76" s="243"/>
      <c r="C76" s="250" t="s">
        <v>286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O76" s="268"/>
      <c r="P76" s="268"/>
    </row>
    <row r="77" spans="1:16" ht="13.5" customHeight="1">
      <c r="A77">
        <f>ROW()</f>
        <v>77</v>
      </c>
      <c r="B77" s="243"/>
      <c r="C77" s="249" t="s">
        <v>287</v>
      </c>
      <c r="D77" s="249"/>
      <c r="E77" s="249"/>
      <c r="F77" s="252">
        <v>0</v>
      </c>
      <c r="G77" s="252">
        <v>0</v>
      </c>
      <c r="H77" s="252">
        <v>0</v>
      </c>
      <c r="I77" s="252">
        <v>0</v>
      </c>
      <c r="J77" s="252">
        <v>0</v>
      </c>
      <c r="K77" s="252">
        <v>0</v>
      </c>
      <c r="L77" s="252">
        <v>0</v>
      </c>
      <c r="M77" s="252">
        <v>0</v>
      </c>
      <c r="O77" s="268"/>
      <c r="P77" s="268"/>
    </row>
    <row r="78" spans="1:16" ht="13.5" customHeight="1">
      <c r="A78">
        <f>ROW()</f>
        <v>78</v>
      </c>
      <c r="B78" s="243"/>
      <c r="C78" s="249" t="s">
        <v>288</v>
      </c>
      <c r="D78" s="249"/>
      <c r="E78" s="249"/>
      <c r="F78" s="252">
        <v>0</v>
      </c>
      <c r="G78" s="252">
        <v>0</v>
      </c>
      <c r="H78" s="252">
        <v>0</v>
      </c>
      <c r="I78" s="252">
        <v>0</v>
      </c>
      <c r="J78" s="252">
        <v>0</v>
      </c>
      <c r="K78" s="252">
        <v>0</v>
      </c>
      <c r="L78" s="252">
        <v>0</v>
      </c>
      <c r="M78" s="252">
        <v>0</v>
      </c>
      <c r="O78" s="268"/>
      <c r="P78" s="268"/>
    </row>
    <row r="79" spans="1:16" ht="13.5" customHeight="1">
      <c r="A79">
        <f>ROW()</f>
        <v>79</v>
      </c>
      <c r="B79" s="243"/>
      <c r="C79" s="249" t="s">
        <v>289</v>
      </c>
      <c r="D79" s="249"/>
      <c r="E79" s="249"/>
      <c r="F79" s="252">
        <v>2000</v>
      </c>
      <c r="G79" s="252">
        <v>2000</v>
      </c>
      <c r="H79" s="252">
        <v>2000</v>
      </c>
      <c r="I79" s="252">
        <v>2000</v>
      </c>
      <c r="J79" s="252">
        <v>2000</v>
      </c>
      <c r="K79" s="252">
        <v>2000</v>
      </c>
      <c r="L79" s="252">
        <v>2000</v>
      </c>
      <c r="M79" s="252">
        <v>2000</v>
      </c>
      <c r="O79" s="268"/>
      <c r="P79" s="268"/>
    </row>
    <row r="80" spans="1:16" ht="13.5" customHeight="1">
      <c r="A80">
        <f>ROW()</f>
        <v>80</v>
      </c>
      <c r="B80" s="243"/>
      <c r="C80" s="249" t="s">
        <v>290</v>
      </c>
      <c r="D80" s="249"/>
      <c r="E80" s="249"/>
      <c r="F80" s="252">
        <v>1353000</v>
      </c>
      <c r="G80" s="252">
        <v>1517000</v>
      </c>
      <c r="H80" s="252">
        <v>1553000</v>
      </c>
      <c r="I80" s="252">
        <v>1947000</v>
      </c>
      <c r="J80" s="252">
        <v>2337000</v>
      </c>
      <c r="K80" s="252">
        <v>2657000</v>
      </c>
      <c r="L80" s="252">
        <v>3032000</v>
      </c>
      <c r="M80" s="252">
        <v>1984000</v>
      </c>
      <c r="O80" s="268"/>
      <c r="P80" s="268"/>
    </row>
    <row r="81" spans="1:16" ht="13.5" customHeight="1">
      <c r="A81">
        <f>ROW()</f>
        <v>81</v>
      </c>
      <c r="B81" s="243"/>
      <c r="C81" s="249" t="s">
        <v>291</v>
      </c>
      <c r="D81" s="249"/>
      <c r="E81" s="249"/>
      <c r="F81" s="252">
        <v>0</v>
      </c>
      <c r="G81" s="252">
        <v>0</v>
      </c>
      <c r="H81" s="252">
        <v>0</v>
      </c>
      <c r="I81" s="252">
        <v>0</v>
      </c>
      <c r="J81" s="252">
        <v>0</v>
      </c>
      <c r="K81" s="252">
        <v>0</v>
      </c>
      <c r="L81" s="252">
        <v>0</v>
      </c>
      <c r="M81" s="252">
        <v>0</v>
      </c>
      <c r="O81" s="268"/>
      <c r="P81" s="268"/>
    </row>
    <row r="82" spans="1:16" ht="13.5" customHeight="1">
      <c r="A82">
        <f>ROW()</f>
        <v>82</v>
      </c>
      <c r="B82" s="243"/>
      <c r="C82" s="249" t="s">
        <v>292</v>
      </c>
      <c r="D82" s="249"/>
      <c r="E82" s="249"/>
      <c r="F82" s="252">
        <v>868000</v>
      </c>
      <c r="G82" s="252">
        <v>493000</v>
      </c>
      <c r="H82" s="252">
        <v>552000</v>
      </c>
      <c r="I82" s="252">
        <v>805000</v>
      </c>
      <c r="J82" s="252">
        <v>963000</v>
      </c>
      <c r="K82" s="252">
        <v>816000</v>
      </c>
      <c r="L82" s="252">
        <v>661000</v>
      </c>
      <c r="M82" s="252">
        <v>47000</v>
      </c>
      <c r="O82" s="268"/>
      <c r="P82" s="268"/>
    </row>
    <row r="83" spans="1:16" ht="13.5" customHeight="1">
      <c r="A83">
        <f>ROW()</f>
        <v>83</v>
      </c>
      <c r="B83" s="243"/>
      <c r="C83" s="249" t="s">
        <v>293</v>
      </c>
      <c r="D83" s="275"/>
      <c r="E83" s="275"/>
      <c r="F83" s="253">
        <v>-147000</v>
      </c>
      <c r="G83" s="253">
        <v>-391000</v>
      </c>
      <c r="H83" s="253">
        <v>-283000</v>
      </c>
      <c r="I83" s="253">
        <v>-283000</v>
      </c>
      <c r="J83" s="253">
        <v>-348000</v>
      </c>
      <c r="K83" s="253">
        <v>-338000</v>
      </c>
      <c r="L83" s="253">
        <v>-335000</v>
      </c>
      <c r="M83" s="253">
        <v>-508000</v>
      </c>
      <c r="O83" s="268"/>
      <c r="P83" s="268"/>
    </row>
    <row r="84" spans="1:16" ht="13.5" customHeight="1">
      <c r="A84">
        <f>ROW()</f>
        <v>84</v>
      </c>
      <c r="B84" s="243"/>
      <c r="C84" s="250" t="s">
        <v>294</v>
      </c>
      <c r="D84" s="250"/>
      <c r="E84" s="250"/>
      <c r="F84" s="276">
        <v>2076000</v>
      </c>
      <c r="G84" s="276">
        <v>1621000</v>
      </c>
      <c r="H84" s="276">
        <v>1824000</v>
      </c>
      <c r="I84" s="276">
        <v>2471000</v>
      </c>
      <c r="J84" s="276">
        <f>SUM(J77:J83)</f>
        <v>2954000</v>
      </c>
      <c r="K84" s="276">
        <v>3137000</v>
      </c>
      <c r="L84" s="276">
        <v>3360000</v>
      </c>
      <c r="M84" s="276">
        <v>1525000</v>
      </c>
      <c r="O84" s="268"/>
      <c r="P84" s="268"/>
    </row>
    <row r="85" spans="1:16" ht="13.5" customHeight="1" thickBot="1">
      <c r="A85">
        <f>ROW()</f>
        <v>85</v>
      </c>
      <c r="B85" s="243"/>
      <c r="C85" s="250" t="s">
        <v>54</v>
      </c>
      <c r="D85" s="250"/>
      <c r="E85" s="250"/>
      <c r="F85" s="278">
        <v>9622000</v>
      </c>
      <c r="G85" s="278">
        <v>9703000</v>
      </c>
      <c r="H85" s="278">
        <v>8761000</v>
      </c>
      <c r="I85" s="278">
        <v>9776000</v>
      </c>
      <c r="J85" s="278">
        <f>+J84+J74</f>
        <v>9560000</v>
      </c>
      <c r="K85" s="278">
        <v>8855000</v>
      </c>
      <c r="L85" s="278">
        <v>8762000</v>
      </c>
      <c r="M85" s="278">
        <v>8659000</v>
      </c>
      <c r="O85" s="268"/>
      <c r="P85" s="268"/>
    </row>
    <row r="86" spans="1:16" ht="13.5" customHeight="1" thickTop="1">
      <c r="A86">
        <f>ROW()</f>
        <v>86</v>
      </c>
      <c r="B86" s="243"/>
      <c r="C86" s="272"/>
      <c r="D86" s="279" t="s">
        <v>295</v>
      </c>
      <c r="E86" s="279"/>
      <c r="F86" s="280">
        <f>+F61-F85</f>
        <v>0</v>
      </c>
      <c r="G86" s="280">
        <f>+G61-G85</f>
        <v>0</v>
      </c>
      <c r="H86" s="280">
        <v>0</v>
      </c>
      <c r="I86" s="280">
        <v>0</v>
      </c>
      <c r="J86" s="280">
        <v>0</v>
      </c>
      <c r="K86" s="280">
        <v>0</v>
      </c>
      <c r="L86" s="280">
        <v>0</v>
      </c>
      <c r="M86" s="280">
        <v>0</v>
      </c>
      <c r="O86" s="268"/>
      <c r="P86" s="268"/>
    </row>
    <row r="87" spans="1:16" ht="13.5" customHeight="1">
      <c r="A87">
        <f>ROW()</f>
        <v>87</v>
      </c>
      <c r="B87" s="243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O87" s="268"/>
      <c r="P87" s="268"/>
    </row>
    <row r="88" spans="1:16" ht="22.5" customHeight="1">
      <c r="A88">
        <f>ROW()</f>
        <v>88</v>
      </c>
      <c r="B88" s="243"/>
      <c r="C88" s="281" t="str">
        <f>+C1</f>
        <v>Starwood Hotels &amp; Resorts Worldwide Inc. (HOT)</v>
      </c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O88" s="268"/>
      <c r="P88" s="268"/>
    </row>
    <row r="89" spans="1:16" ht="13.5" customHeight="1">
      <c r="A89">
        <f>ROW()</f>
        <v>89</v>
      </c>
      <c r="B89" s="243"/>
      <c r="C89" s="282" t="s">
        <v>296</v>
      </c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O89" s="268"/>
      <c r="P89" s="268"/>
    </row>
    <row r="90" spans="2:16" ht="13.5" customHeight="1">
      <c r="B90" s="243"/>
      <c r="C90" s="28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O90" s="268"/>
      <c r="P90" s="268"/>
    </row>
    <row r="91" spans="1:16" ht="13.5" customHeight="1" thickBot="1">
      <c r="A91">
        <f>ROW()</f>
        <v>91</v>
      </c>
      <c r="B91" s="243"/>
      <c r="C91" s="264"/>
      <c r="D91" s="264"/>
      <c r="E91" s="264"/>
      <c r="F91" s="239"/>
      <c r="G91" s="239"/>
      <c r="H91" s="239"/>
      <c r="I91" s="239"/>
      <c r="J91" s="238"/>
      <c r="K91" s="238"/>
      <c r="L91" s="238"/>
      <c r="M91" s="237"/>
      <c r="O91" s="268"/>
      <c r="P91" s="268"/>
    </row>
    <row r="92" spans="1:16" ht="13.5" customHeight="1" thickBot="1">
      <c r="A92">
        <f>ROW()</f>
        <v>92</v>
      </c>
      <c r="B92" s="243"/>
      <c r="C92" s="265" t="s">
        <v>239</v>
      </c>
      <c r="D92" s="266"/>
      <c r="E92" s="266"/>
      <c r="F92" s="267">
        <f>+F5</f>
        <v>39447</v>
      </c>
      <c r="G92" s="267">
        <v>39813</v>
      </c>
      <c r="H92" s="267">
        <f>+H5</f>
        <v>40178</v>
      </c>
      <c r="I92" s="267">
        <v>40543</v>
      </c>
      <c r="J92" s="267">
        <v>40908</v>
      </c>
      <c r="K92" s="267">
        <v>41274</v>
      </c>
      <c r="L92" s="267">
        <v>41639</v>
      </c>
      <c r="M92" s="267">
        <v>42004</v>
      </c>
      <c r="P92" s="268"/>
    </row>
    <row r="93" spans="1:16" ht="13.5" customHeight="1">
      <c r="A93">
        <f>ROW()</f>
        <v>93</v>
      </c>
      <c r="B93" s="243"/>
      <c r="C93" s="250" t="s">
        <v>258</v>
      </c>
      <c r="D93" s="250"/>
      <c r="E93" s="250"/>
      <c r="F93" s="333">
        <f>+F33</f>
        <v>458000</v>
      </c>
      <c r="G93" s="276">
        <f aca="true" t="shared" si="0" ref="G93:M93">+G33</f>
        <v>455000</v>
      </c>
      <c r="H93" s="276">
        <f t="shared" si="0"/>
        <v>739000</v>
      </c>
      <c r="I93" s="276">
        <f t="shared" si="0"/>
        <v>512000</v>
      </c>
      <c r="J93" s="276">
        <f t="shared" si="0"/>
        <v>434000</v>
      </c>
      <c r="K93" s="276">
        <f t="shared" si="0"/>
        <v>314000</v>
      </c>
      <c r="L93" s="276">
        <f t="shared" si="0"/>
        <v>467000</v>
      </c>
      <c r="M93" s="276">
        <f t="shared" si="0"/>
        <v>518000</v>
      </c>
      <c r="P93" s="268"/>
    </row>
    <row r="94" spans="1:16" ht="13.5" customHeight="1">
      <c r="A94">
        <f>ROW()</f>
        <v>94</v>
      </c>
      <c r="B94" s="243"/>
      <c r="C94" s="250"/>
      <c r="D94" s="250"/>
      <c r="E94" s="250"/>
      <c r="F94" s="333"/>
      <c r="G94" s="276"/>
      <c r="H94" s="276"/>
      <c r="I94" s="276"/>
      <c r="J94" s="276"/>
      <c r="K94" s="276"/>
      <c r="L94" s="276"/>
      <c r="M94" s="276"/>
      <c r="P94" s="268"/>
    </row>
    <row r="95" spans="1:16" ht="13.5" customHeight="1">
      <c r="A95">
        <f>ROW()</f>
        <v>95</v>
      </c>
      <c r="B95" s="243"/>
      <c r="C95" s="249" t="s">
        <v>188</v>
      </c>
      <c r="D95" s="249"/>
      <c r="E95" s="249"/>
      <c r="F95" s="334">
        <v>229000</v>
      </c>
      <c r="G95" s="252">
        <v>245000</v>
      </c>
      <c r="H95" s="252">
        <v>245000</v>
      </c>
      <c r="I95" s="252">
        <v>217000</v>
      </c>
      <c r="J95" s="252">
        <v>189000</v>
      </c>
      <c r="K95" s="252">
        <v>170000</v>
      </c>
      <c r="L95" s="252">
        <v>181000</v>
      </c>
      <c r="M95" s="252">
        <v>201000</v>
      </c>
      <c r="P95" s="268"/>
    </row>
    <row r="96" spans="1:16" ht="13.5" customHeight="1">
      <c r="A96">
        <f>ROW()</f>
        <v>96</v>
      </c>
      <c r="B96" s="243"/>
      <c r="C96" s="249" t="s">
        <v>297</v>
      </c>
      <c r="D96" s="249"/>
      <c r="E96" s="249"/>
      <c r="F96" s="334">
        <f aca="true" t="shared" si="1" ref="F96:M96">+F18</f>
        <v>43000</v>
      </c>
      <c r="G96" s="252">
        <f t="shared" si="1"/>
        <v>-79000</v>
      </c>
      <c r="H96" s="252">
        <f t="shared" si="1"/>
        <v>-22000</v>
      </c>
      <c r="I96" s="252">
        <f t="shared" si="1"/>
        <v>-22000</v>
      </c>
      <c r="J96" s="252">
        <f t="shared" si="1"/>
        <v>-22000</v>
      </c>
      <c r="K96" s="252">
        <f t="shared" si="1"/>
        <v>-22000</v>
      </c>
      <c r="L96" s="252">
        <f t="shared" si="1"/>
        <v>-29000</v>
      </c>
      <c r="M96" s="252">
        <f t="shared" si="1"/>
        <v>0</v>
      </c>
      <c r="P96" s="268"/>
    </row>
    <row r="97" spans="1:16" ht="13.5" customHeight="1">
      <c r="A97">
        <f>ROW()</f>
        <v>97</v>
      </c>
      <c r="B97" s="243"/>
      <c r="C97" s="249" t="s">
        <v>298</v>
      </c>
      <c r="D97" s="249"/>
      <c r="E97" s="249"/>
      <c r="F97" s="334">
        <v>-23000</v>
      </c>
      <c r="G97" s="252">
        <v>-116000</v>
      </c>
      <c r="H97" s="252">
        <v>63000</v>
      </c>
      <c r="I97" s="252">
        <v>-50000</v>
      </c>
      <c r="J97" s="252">
        <v>-78000</v>
      </c>
      <c r="K97" s="252">
        <v>-20000</v>
      </c>
      <c r="L97" s="252">
        <v>-55000</v>
      </c>
      <c r="M97" s="252">
        <v>-19000</v>
      </c>
      <c r="P97" s="283"/>
    </row>
    <row r="98" spans="1:16" ht="13.5" customHeight="1">
      <c r="A98">
        <f>ROW()</f>
        <v>98</v>
      </c>
      <c r="B98" s="243"/>
      <c r="C98" s="249" t="s">
        <v>299</v>
      </c>
      <c r="D98" s="249"/>
      <c r="E98" s="249"/>
      <c r="F98" s="334">
        <v>387000</v>
      </c>
      <c r="G98" s="252">
        <v>63000</v>
      </c>
      <c r="H98" s="252">
        <v>-94000</v>
      </c>
      <c r="I98" s="252">
        <v>213000</v>
      </c>
      <c r="J98" s="252">
        <v>-133000</v>
      </c>
      <c r="K98" s="252">
        <v>-39000</v>
      </c>
      <c r="L98" s="252">
        <v>68000</v>
      </c>
      <c r="M98" s="252">
        <v>233000</v>
      </c>
      <c r="P98" s="283"/>
    </row>
    <row r="99" spans="1:16" ht="13.5" customHeight="1">
      <c r="A99">
        <f>ROW()</f>
        <v>99</v>
      </c>
      <c r="B99" s="243"/>
      <c r="C99" s="249" t="s">
        <v>300</v>
      </c>
      <c r="D99" s="249"/>
      <c r="E99" s="249"/>
      <c r="F99" s="334">
        <v>-143000</v>
      </c>
      <c r="G99" s="252">
        <v>-280000</v>
      </c>
      <c r="H99" s="252">
        <v>-98000</v>
      </c>
      <c r="I99" s="252">
        <v>-110000</v>
      </c>
      <c r="J99" s="252">
        <v>-14000</v>
      </c>
      <c r="K99" s="252">
        <v>448000</v>
      </c>
      <c r="L99" s="252">
        <v>156000</v>
      </c>
      <c r="M99" s="252">
        <v>22000</v>
      </c>
      <c r="P99" s="283"/>
    </row>
    <row r="100" spans="1:16" ht="13.5" customHeight="1">
      <c r="A100">
        <f>ROW()</f>
        <v>100</v>
      </c>
      <c r="B100" s="243"/>
      <c r="C100" s="249" t="s">
        <v>301</v>
      </c>
      <c r="D100" s="275"/>
      <c r="E100" s="275"/>
      <c r="F100" s="335">
        <v>-166000</v>
      </c>
      <c r="G100" s="253">
        <v>156000</v>
      </c>
      <c r="H100" s="253">
        <v>172000</v>
      </c>
      <c r="I100" s="253">
        <v>76000</v>
      </c>
      <c r="J100" s="253">
        <v>-1000</v>
      </c>
      <c r="K100" s="253">
        <v>7000</v>
      </c>
      <c r="L100" s="253">
        <v>88000</v>
      </c>
      <c r="M100" s="253">
        <v>-172000</v>
      </c>
      <c r="P100" s="283"/>
    </row>
    <row r="101" spans="1:16" ht="13.5" customHeight="1">
      <c r="A101">
        <f>ROW()</f>
        <v>101</v>
      </c>
      <c r="B101" s="243"/>
      <c r="C101" s="250" t="s">
        <v>302</v>
      </c>
      <c r="D101" s="250"/>
      <c r="E101" s="250"/>
      <c r="F101" s="276">
        <f>SUM(F93:F100)</f>
        <v>785000</v>
      </c>
      <c r="G101" s="276">
        <f aca="true" t="shared" si="2" ref="G101:M101">SUM(G93:G100)</f>
        <v>444000</v>
      </c>
      <c r="H101" s="276">
        <f t="shared" si="2"/>
        <v>1005000</v>
      </c>
      <c r="I101" s="276">
        <f t="shared" si="2"/>
        <v>836000</v>
      </c>
      <c r="J101" s="276">
        <f t="shared" si="2"/>
        <v>375000</v>
      </c>
      <c r="K101" s="276">
        <f t="shared" si="2"/>
        <v>858000</v>
      </c>
      <c r="L101" s="276">
        <f t="shared" si="2"/>
        <v>876000</v>
      </c>
      <c r="M101" s="276">
        <f t="shared" si="2"/>
        <v>783000</v>
      </c>
      <c r="P101" s="283"/>
    </row>
    <row r="102" spans="1:16" ht="13.5" customHeight="1">
      <c r="A102">
        <f>ROW()</f>
        <v>102</v>
      </c>
      <c r="B102" s="243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P102" s="283"/>
    </row>
    <row r="103" spans="1:16" ht="13.5" customHeight="1">
      <c r="A103">
        <f>ROW()</f>
        <v>103</v>
      </c>
      <c r="B103" s="243"/>
      <c r="C103" s="250" t="s">
        <v>303</v>
      </c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P103" s="283"/>
    </row>
    <row r="104" spans="1:16" ht="13.5" customHeight="1">
      <c r="A104">
        <f>ROW()</f>
        <v>104</v>
      </c>
      <c r="B104" s="243"/>
      <c r="C104" s="249" t="s">
        <v>304</v>
      </c>
      <c r="D104" s="249"/>
      <c r="E104" s="249"/>
      <c r="F104" s="334">
        <v>-384000</v>
      </c>
      <c r="G104" s="252">
        <v>-476000</v>
      </c>
      <c r="H104" s="252">
        <v>-196000</v>
      </c>
      <c r="I104" s="252">
        <v>-227000</v>
      </c>
      <c r="J104" s="252">
        <v>-385000</v>
      </c>
      <c r="K104" s="252">
        <v>-362000</v>
      </c>
      <c r="L104" s="252">
        <v>-364000</v>
      </c>
      <c r="M104" s="252">
        <v>-327000</v>
      </c>
      <c r="P104" s="283"/>
    </row>
    <row r="105" spans="1:16" ht="13.5" customHeight="1">
      <c r="A105">
        <f>ROW()</f>
        <v>105</v>
      </c>
      <c r="B105" s="243"/>
      <c r="C105" s="249" t="s">
        <v>305</v>
      </c>
      <c r="D105" s="249"/>
      <c r="E105" s="249"/>
      <c r="F105" s="334">
        <v>108000</v>
      </c>
      <c r="G105" s="252">
        <v>5000</v>
      </c>
      <c r="H105" s="252">
        <v>28000</v>
      </c>
      <c r="I105" s="252">
        <v>18000</v>
      </c>
      <c r="J105" s="252">
        <v>-7000</v>
      </c>
      <c r="K105" s="252">
        <v>2000</v>
      </c>
      <c r="L105" s="252">
        <v>6000</v>
      </c>
      <c r="M105" s="252">
        <v>4000</v>
      </c>
      <c r="P105" s="283"/>
    </row>
    <row r="106" spans="1:16" ht="13.5" customHeight="1">
      <c r="A106">
        <f>ROW()</f>
        <v>106</v>
      </c>
      <c r="B106" s="243"/>
      <c r="C106" s="249" t="s">
        <v>306</v>
      </c>
      <c r="D106" s="275"/>
      <c r="E106" s="275"/>
      <c r="F106" s="335">
        <v>61000</v>
      </c>
      <c r="G106" s="253">
        <v>299000</v>
      </c>
      <c r="H106" s="253">
        <v>284000</v>
      </c>
      <c r="I106" s="253">
        <v>138000</v>
      </c>
      <c r="J106" s="253">
        <v>216000</v>
      </c>
      <c r="K106" s="253">
        <v>486000</v>
      </c>
      <c r="L106" s="253">
        <v>200000</v>
      </c>
      <c r="M106" s="253">
        <v>744000</v>
      </c>
      <c r="P106" s="283"/>
    </row>
    <row r="107" spans="1:16" ht="13.5" customHeight="1">
      <c r="A107">
        <f>ROW()</f>
        <v>107</v>
      </c>
      <c r="B107" s="243"/>
      <c r="C107" s="250" t="s">
        <v>307</v>
      </c>
      <c r="D107" s="250"/>
      <c r="E107" s="250"/>
      <c r="F107" s="276">
        <f>SUM(F101:F106)</f>
        <v>570000</v>
      </c>
      <c r="G107" s="276">
        <f aca="true" t="shared" si="3" ref="G107:M107">SUM(G101:G106)</f>
        <v>272000</v>
      </c>
      <c r="H107" s="276">
        <f t="shared" si="3"/>
        <v>1121000</v>
      </c>
      <c r="I107" s="276">
        <f t="shared" si="3"/>
        <v>765000</v>
      </c>
      <c r="J107" s="276">
        <f t="shared" si="3"/>
        <v>199000</v>
      </c>
      <c r="K107" s="276">
        <f t="shared" si="3"/>
        <v>984000</v>
      </c>
      <c r="L107" s="276">
        <f t="shared" si="3"/>
        <v>718000</v>
      </c>
      <c r="M107" s="276">
        <f t="shared" si="3"/>
        <v>1204000</v>
      </c>
      <c r="P107" s="283"/>
    </row>
    <row r="108" spans="1:16" ht="13.5" customHeight="1">
      <c r="A108">
        <f>ROW()</f>
        <v>108</v>
      </c>
      <c r="B108" s="243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P108" s="283"/>
    </row>
    <row r="109" spans="1:16" ht="13.5" customHeight="1">
      <c r="A109">
        <f>ROW()</f>
        <v>109</v>
      </c>
      <c r="B109" s="243"/>
      <c r="C109" s="250" t="s">
        <v>308</v>
      </c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P109" s="283"/>
    </row>
    <row r="110" spans="1:16" ht="13.5" customHeight="1">
      <c r="A110">
        <f>ROW()</f>
        <v>110</v>
      </c>
      <c r="B110" s="243"/>
      <c r="C110" s="249" t="s">
        <v>309</v>
      </c>
      <c r="D110" s="249"/>
      <c r="E110" s="249"/>
      <c r="F110" s="334">
        <v>-90000</v>
      </c>
      <c r="G110" s="252">
        <v>-172000</v>
      </c>
      <c r="H110" s="252">
        <v>-165000</v>
      </c>
      <c r="I110" s="252">
        <v>-93000</v>
      </c>
      <c r="J110" s="252">
        <v>-99000</v>
      </c>
      <c r="K110" s="252">
        <v>-242000</v>
      </c>
      <c r="L110" s="252">
        <v>-256000</v>
      </c>
      <c r="M110" s="252">
        <v>-735000</v>
      </c>
      <c r="P110" s="283"/>
    </row>
    <row r="111" spans="1:16" ht="13.5" customHeight="1">
      <c r="A111">
        <f>ROW()</f>
        <v>111</v>
      </c>
      <c r="B111" s="243"/>
      <c r="C111" s="249" t="s">
        <v>310</v>
      </c>
      <c r="D111" s="249"/>
      <c r="E111" s="249"/>
      <c r="F111" s="334">
        <v>-1597000</v>
      </c>
      <c r="G111" s="252">
        <v>-473000</v>
      </c>
      <c r="H111" s="252">
        <v>2000</v>
      </c>
      <c r="I111" s="252">
        <v>141000</v>
      </c>
      <c r="J111" s="252">
        <v>70000</v>
      </c>
      <c r="K111" s="252">
        <v>-246000</v>
      </c>
      <c r="L111" s="252">
        <v>-228000</v>
      </c>
      <c r="M111" s="252">
        <v>-1609000</v>
      </c>
      <c r="P111" s="283"/>
    </row>
    <row r="112" spans="1:16" ht="13.5" customHeight="1">
      <c r="A112">
        <f>ROW()</f>
        <v>112</v>
      </c>
      <c r="B112" s="243"/>
      <c r="C112" s="249" t="s">
        <v>311</v>
      </c>
      <c r="D112" s="249"/>
      <c r="E112" s="249"/>
      <c r="F112" s="334">
        <v>942000</v>
      </c>
      <c r="G112" s="252">
        <v>412000</v>
      </c>
      <c r="H112" s="252">
        <v>-1057000</v>
      </c>
      <c r="I112" s="252">
        <v>-64000</v>
      </c>
      <c r="J112" s="252">
        <v>-709000</v>
      </c>
      <c r="K112" s="252">
        <v>-981000</v>
      </c>
      <c r="L112" s="252">
        <v>-198000</v>
      </c>
      <c r="M112" s="252">
        <v>1276000</v>
      </c>
      <c r="P112" s="283"/>
    </row>
    <row r="113" spans="1:16" ht="13.5" customHeight="1">
      <c r="A113">
        <f>ROW()</f>
        <v>113</v>
      </c>
      <c r="B113" s="243"/>
      <c r="C113" s="249" t="s">
        <v>312</v>
      </c>
      <c r="D113" s="275"/>
      <c r="E113" s="275"/>
      <c r="F113" s="253">
        <v>33000</v>
      </c>
      <c r="G113" s="253">
        <v>-10000</v>
      </c>
      <c r="H113" s="253">
        <v>227000</v>
      </c>
      <c r="I113" s="253">
        <v>-38000</v>
      </c>
      <c r="J113" s="253">
        <v>-39000</v>
      </c>
      <c r="K113" s="253">
        <v>-59000</v>
      </c>
      <c r="L113" s="253">
        <v>-22000</v>
      </c>
      <c r="M113" s="253">
        <v>-28000</v>
      </c>
      <c r="P113" s="283"/>
    </row>
    <row r="114" spans="1:16" ht="13.5" customHeight="1">
      <c r="A114">
        <f>ROW()</f>
        <v>114</v>
      </c>
      <c r="B114" s="243"/>
      <c r="C114" s="250" t="s">
        <v>313</v>
      </c>
      <c r="D114" s="250"/>
      <c r="E114" s="250"/>
      <c r="F114" s="276">
        <f>SUM(F107:F113)</f>
        <v>-142000</v>
      </c>
      <c r="G114" s="276">
        <f aca="true" t="shared" si="4" ref="G114:M114">SUM(G107:G113)</f>
        <v>29000</v>
      </c>
      <c r="H114" s="276">
        <f t="shared" si="4"/>
        <v>128000</v>
      </c>
      <c r="I114" s="276">
        <f t="shared" si="4"/>
        <v>711000</v>
      </c>
      <c r="J114" s="276">
        <f t="shared" si="4"/>
        <v>-578000</v>
      </c>
      <c r="K114" s="276">
        <f t="shared" si="4"/>
        <v>-544000</v>
      </c>
      <c r="L114" s="276">
        <f t="shared" si="4"/>
        <v>14000</v>
      </c>
      <c r="M114" s="276">
        <f t="shared" si="4"/>
        <v>108000</v>
      </c>
      <c r="P114" s="283"/>
    </row>
    <row r="115" spans="1:16" ht="13.5" customHeight="1">
      <c r="A115">
        <f>ROW()</f>
        <v>115</v>
      </c>
      <c r="B115" s="243"/>
      <c r="C115" s="249" t="s">
        <v>314</v>
      </c>
      <c r="D115" s="249"/>
      <c r="E115" s="249"/>
      <c r="F115" s="252">
        <v>11000</v>
      </c>
      <c r="G115" s="252">
        <v>7000</v>
      </c>
      <c r="H115" s="252">
        <v>4000</v>
      </c>
      <c r="I115" s="252">
        <v>-1000</v>
      </c>
      <c r="J115" s="252">
        <v>-9000</v>
      </c>
      <c r="K115" s="252">
        <v>-3000</v>
      </c>
      <c r="L115" s="252">
        <v>-4000</v>
      </c>
      <c r="M115" s="252">
        <v>-9000</v>
      </c>
      <c r="P115" s="283"/>
    </row>
    <row r="116" spans="1:16" ht="13.5" customHeight="1" thickBot="1">
      <c r="A116">
        <f>ROW()</f>
        <v>116</v>
      </c>
      <c r="B116" s="243"/>
      <c r="C116" s="250" t="s">
        <v>315</v>
      </c>
      <c r="D116" s="250"/>
      <c r="E116" s="250"/>
      <c r="F116" s="278">
        <f>SUM(F114:F115)</f>
        <v>-131000</v>
      </c>
      <c r="G116" s="278">
        <f aca="true" t="shared" si="5" ref="G116:M116">SUM(G114:G115)</f>
        <v>36000</v>
      </c>
      <c r="H116" s="278">
        <f t="shared" si="5"/>
        <v>132000</v>
      </c>
      <c r="I116" s="278">
        <f t="shared" si="5"/>
        <v>710000</v>
      </c>
      <c r="J116" s="278">
        <f t="shared" si="5"/>
        <v>-587000</v>
      </c>
      <c r="K116" s="278">
        <f t="shared" si="5"/>
        <v>-547000</v>
      </c>
      <c r="L116" s="278">
        <f t="shared" si="5"/>
        <v>10000</v>
      </c>
      <c r="M116" s="278">
        <f t="shared" si="5"/>
        <v>99000</v>
      </c>
      <c r="P116" s="283"/>
    </row>
    <row r="117" spans="1:16" ht="13.5" customHeight="1" thickTop="1">
      <c r="A117">
        <f>ROW()</f>
        <v>117</v>
      </c>
      <c r="B117" s="243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P117" s="283"/>
    </row>
    <row r="118" spans="1:16" ht="13.5" customHeight="1">
      <c r="A118">
        <f>ROW()</f>
        <v>118</v>
      </c>
      <c r="B118" s="243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P118" s="283"/>
    </row>
    <row r="119" spans="1:16" ht="22.5" customHeight="1">
      <c r="A119">
        <f>ROW()</f>
        <v>119</v>
      </c>
      <c r="B119" s="243"/>
      <c r="C119" s="281" t="s">
        <v>316</v>
      </c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P119" s="283"/>
    </row>
    <row r="120" spans="1:16" ht="13.5" customHeight="1">
      <c r="A120">
        <f>ROW()</f>
        <v>120</v>
      </c>
      <c r="B120" s="243"/>
      <c r="C120" s="284" t="s">
        <v>317</v>
      </c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P120" s="283"/>
    </row>
    <row r="121" spans="1:16" ht="13.5" customHeight="1" thickBot="1">
      <c r="A121">
        <f>ROW()</f>
        <v>121</v>
      </c>
      <c r="B121" s="243"/>
      <c r="C121" s="284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P121" s="283"/>
    </row>
    <row r="122" spans="1:16" ht="13.5" customHeight="1" thickBot="1">
      <c r="A122">
        <f>ROW()</f>
        <v>122</v>
      </c>
      <c r="B122" s="243"/>
      <c r="C122" s="265" t="s">
        <v>239</v>
      </c>
      <c r="D122" s="266"/>
      <c r="E122" s="266"/>
      <c r="F122" s="267">
        <f>+F92</f>
        <v>39447</v>
      </c>
      <c r="G122" s="267">
        <f>+G92</f>
        <v>39813</v>
      </c>
      <c r="H122" s="267">
        <f>+H92</f>
        <v>40178</v>
      </c>
      <c r="I122" s="267">
        <f>+I92</f>
        <v>40543</v>
      </c>
      <c r="J122" s="267">
        <v>40908</v>
      </c>
      <c r="K122" s="267">
        <v>41274</v>
      </c>
      <c r="L122" s="267">
        <v>41639</v>
      </c>
      <c r="M122" s="267">
        <v>42004</v>
      </c>
      <c r="O122" s="283"/>
      <c r="P122" s="283"/>
    </row>
    <row r="123" spans="1:16" ht="13.5" customHeight="1">
      <c r="A123">
        <f>ROW()</f>
        <v>123</v>
      </c>
      <c r="B123" s="243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O123" s="283"/>
      <c r="P123" s="283"/>
    </row>
    <row r="124" spans="1:16" ht="13.5" customHeight="1">
      <c r="A124">
        <f>ROW()</f>
        <v>124</v>
      </c>
      <c r="B124" s="243"/>
      <c r="C124" s="284" t="s">
        <v>318</v>
      </c>
      <c r="D124" s="249"/>
      <c r="E124" s="249"/>
      <c r="F124" s="285">
        <f>+F17+F95</f>
        <v>1087000</v>
      </c>
      <c r="G124" s="285">
        <f>+G17+G95</f>
        <v>864000</v>
      </c>
      <c r="H124" s="285">
        <f>+H17+H95</f>
        <v>271000</v>
      </c>
      <c r="I124" s="285">
        <f>+I17+I95</f>
        <v>817000</v>
      </c>
      <c r="J124" s="285">
        <v>819000</v>
      </c>
      <c r="K124" s="285">
        <v>1082000</v>
      </c>
      <c r="L124" s="285">
        <v>1106000</v>
      </c>
      <c r="M124" s="285">
        <v>1084000</v>
      </c>
      <c r="O124" s="283"/>
      <c r="P124" s="283"/>
    </row>
    <row r="125" spans="1:16" ht="13.5" customHeight="1">
      <c r="A125">
        <f>ROW()</f>
        <v>125</v>
      </c>
      <c r="B125" s="243"/>
      <c r="C125" s="284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O125" s="283"/>
      <c r="P125" s="283"/>
    </row>
    <row r="126" spans="1:16" ht="13.5" customHeight="1">
      <c r="A126">
        <f>ROW()</f>
        <v>126</v>
      </c>
      <c r="B126" s="243"/>
      <c r="C126" s="284" t="s">
        <v>319</v>
      </c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O126" s="283"/>
      <c r="P126" s="283"/>
    </row>
    <row r="127" spans="1:16" ht="13.5" customHeight="1">
      <c r="A127">
        <f>ROW()</f>
        <v>127</v>
      </c>
      <c r="B127" s="243"/>
      <c r="C127" s="272" t="s">
        <v>320</v>
      </c>
      <c r="D127" s="272"/>
      <c r="E127" s="272"/>
      <c r="F127" s="286">
        <f>+F52/F68</f>
        <v>0.8681580199904807</v>
      </c>
      <c r="G127" s="286">
        <f>+G52/G68</f>
        <v>0.8058035714285714</v>
      </c>
      <c r="H127" s="286">
        <f>+H52/H68</f>
        <v>0.734583127775037</v>
      </c>
      <c r="I127" s="286">
        <f>+I52/I68</f>
        <v>1.210623556581986</v>
      </c>
      <c r="J127" s="286">
        <v>1.2720883534136547</v>
      </c>
      <c r="K127" s="286">
        <v>0.9370039682539683</v>
      </c>
      <c r="L127" s="286">
        <v>1.0374220374220373</v>
      </c>
      <c r="M127" s="286">
        <v>0.9473469387755102</v>
      </c>
      <c r="O127" s="283"/>
      <c r="P127" s="283"/>
    </row>
    <row r="128" spans="1:16" ht="13.5" customHeight="1">
      <c r="A128">
        <f>ROW()</f>
        <v>128</v>
      </c>
      <c r="B128" s="243"/>
      <c r="C128" s="272" t="s">
        <v>321</v>
      </c>
      <c r="D128" s="272"/>
      <c r="E128" s="272"/>
      <c r="F128" s="286">
        <f>+F6/AVERAGE(F49:F49)</f>
        <v>9.988636363636363</v>
      </c>
      <c r="G128" s="286">
        <f>+G6/AVERAGE(G49:G49)</f>
        <v>10.701086956521738</v>
      </c>
      <c r="H128" s="286">
        <f>+H6/AVERAGE(H49:H49)</f>
        <v>10.552808988764045</v>
      </c>
      <c r="I128" s="286">
        <f>+I6/AVERAGE(I49:I49)</f>
        <v>5.717023675310034</v>
      </c>
      <c r="J128" s="286">
        <v>6.1734357848518115</v>
      </c>
      <c r="K128" s="286">
        <v>6.717321997874602</v>
      </c>
      <c r="L128" s="286">
        <v>6.614386154678204</v>
      </c>
      <c r="M128" s="286">
        <v>6.592837465564738</v>
      </c>
      <c r="O128" s="283"/>
      <c r="P128" s="283"/>
    </row>
    <row r="129" spans="1:16" ht="13.5" customHeight="1">
      <c r="A129">
        <f>ROW()</f>
        <v>129</v>
      </c>
      <c r="B129" s="243"/>
      <c r="C129" s="272"/>
      <c r="D129" s="272"/>
      <c r="E129" s="272"/>
      <c r="F129" s="272"/>
      <c r="G129" s="272"/>
      <c r="H129" s="272"/>
      <c r="I129" s="272"/>
      <c r="J129" s="272"/>
      <c r="K129" s="272"/>
      <c r="L129" s="287"/>
      <c r="M129" s="287"/>
      <c r="O129" s="283"/>
      <c r="P129" s="283"/>
    </row>
    <row r="130" spans="1:16" ht="13.5" customHeight="1">
      <c r="A130">
        <f>ROW()</f>
        <v>130</v>
      </c>
      <c r="B130" s="243"/>
      <c r="C130" s="284" t="s">
        <v>322</v>
      </c>
      <c r="D130" s="272"/>
      <c r="E130" s="272"/>
      <c r="F130" s="272"/>
      <c r="G130" s="272"/>
      <c r="H130" s="272"/>
      <c r="I130" s="272"/>
      <c r="J130" s="272"/>
      <c r="K130" s="272"/>
      <c r="L130" s="271"/>
      <c r="M130" s="271"/>
      <c r="O130" s="283"/>
      <c r="P130" s="283"/>
    </row>
    <row r="131" spans="1:16" ht="13.5" customHeight="1">
      <c r="A131">
        <f>ROW()</f>
        <v>131</v>
      </c>
      <c r="B131" s="243"/>
      <c r="C131" s="272" t="s">
        <v>323</v>
      </c>
      <c r="D131" s="272"/>
      <c r="E131" s="272"/>
      <c r="F131" s="287">
        <f>+(F66+F69)/(F66+F69+F84)</f>
        <v>0.6339269970022924</v>
      </c>
      <c r="G131" s="287">
        <f>+(G66+G69)/(G66+G69+G84)</f>
        <v>0.7120270030200746</v>
      </c>
      <c r="H131" s="287">
        <f>+(H66+H69)/(H66+H69+H84)</f>
        <v>0.6187290969899666</v>
      </c>
      <c r="I131" s="287">
        <f>+(I66+I69)/(I66+I69+I84)</f>
        <v>0.5755754036413604</v>
      </c>
      <c r="J131" s="287">
        <v>0.48020411754355097</v>
      </c>
      <c r="K131" s="287">
        <v>0.36562184024266936</v>
      </c>
      <c r="L131" s="287">
        <v>0.32557205941389</v>
      </c>
      <c r="M131" s="287">
        <v>0.6587603490713806</v>
      </c>
      <c r="O131" s="283"/>
      <c r="P131" s="283"/>
    </row>
    <row r="132" spans="1:16" ht="13.5" customHeight="1">
      <c r="A132">
        <f>ROW()</f>
        <v>132</v>
      </c>
      <c r="B132" s="243"/>
      <c r="C132" s="272" t="s">
        <v>324</v>
      </c>
      <c r="D132" s="272"/>
      <c r="E132" s="272"/>
      <c r="F132" s="286">
        <f>+F124/F20</f>
        <v>6.470238095238095</v>
      </c>
      <c r="G132" s="286">
        <f>+G124/G20</f>
        <v>4.114285714285714</v>
      </c>
      <c r="H132" s="286">
        <f>+H124/H20</f>
        <v>0.9155405405405406</v>
      </c>
      <c r="I132" s="286">
        <f>+I124/I20</f>
        <v>2.760135135135135</v>
      </c>
      <c r="J132" s="286">
        <v>2.766891891891892</v>
      </c>
      <c r="K132" s="286">
        <v>3.6554054054054053</v>
      </c>
      <c r="L132" s="286">
        <v>4.686440677966102</v>
      </c>
      <c r="M132" s="286">
        <v>5.018518518518518</v>
      </c>
      <c r="O132" s="283"/>
      <c r="P132" s="283"/>
    </row>
    <row r="133" spans="1:16" ht="13.5" customHeight="1">
      <c r="A133">
        <f>ROW()</f>
        <v>133</v>
      </c>
      <c r="B133" s="243"/>
      <c r="C133" s="272" t="s">
        <v>325</v>
      </c>
      <c r="D133" s="272"/>
      <c r="E133" s="272"/>
      <c r="F133" s="286">
        <f>+(F66+F69)/F124</f>
        <v>3.3072677092916285</v>
      </c>
      <c r="G133" s="286">
        <f>+(G66+G69)/G124</f>
        <v>4.638888888888889</v>
      </c>
      <c r="H133" s="286">
        <f>+(H66+H69)/H124</f>
        <v>10.92250922509225</v>
      </c>
      <c r="I133" s="286">
        <f>+(I66+I69)/I124</f>
        <v>4.101591187270502</v>
      </c>
      <c r="J133" s="286">
        <v>3.3321123321123323</v>
      </c>
      <c r="K133" s="286">
        <v>1.6709796672828097</v>
      </c>
      <c r="L133" s="286">
        <v>1.4665461121157324</v>
      </c>
      <c r="M133" s="286">
        <v>2.715867158671587</v>
      </c>
      <c r="O133" s="283"/>
      <c r="P133" s="283"/>
    </row>
    <row r="134" spans="1:16" ht="13.5" customHeight="1">
      <c r="A134">
        <f>ROW()</f>
        <v>134</v>
      </c>
      <c r="B134" s="243"/>
      <c r="C134" s="272"/>
      <c r="D134" s="272"/>
      <c r="E134" s="272"/>
      <c r="F134" s="272"/>
      <c r="G134" s="272"/>
      <c r="H134" s="272"/>
      <c r="I134" s="272"/>
      <c r="J134" s="272"/>
      <c r="K134" s="272"/>
      <c r="L134" s="271"/>
      <c r="M134" s="271"/>
      <c r="O134" s="283"/>
      <c r="P134" s="283"/>
    </row>
    <row r="135" spans="1:16" ht="13.5" customHeight="1">
      <c r="A135">
        <f>ROW()</f>
        <v>135</v>
      </c>
      <c r="B135" s="243"/>
      <c r="C135" s="284" t="s">
        <v>326</v>
      </c>
      <c r="D135" s="272"/>
      <c r="E135" s="272"/>
      <c r="F135" s="272"/>
      <c r="G135" s="272"/>
      <c r="H135" s="272"/>
      <c r="I135" s="272"/>
      <c r="J135" s="272"/>
      <c r="K135" s="272"/>
      <c r="L135" s="271"/>
      <c r="M135" s="271"/>
      <c r="O135" s="10"/>
      <c r="P135" s="10"/>
    </row>
    <row r="136" spans="1:16" ht="13.5" customHeight="1">
      <c r="A136">
        <f>ROW()</f>
        <v>136</v>
      </c>
      <c r="B136" s="243"/>
      <c r="C136" s="272" t="s">
        <v>327</v>
      </c>
      <c r="D136" s="272"/>
      <c r="E136" s="272"/>
      <c r="F136" s="272"/>
      <c r="G136" s="272"/>
      <c r="H136" s="272"/>
      <c r="I136" s="272"/>
      <c r="J136" s="272"/>
      <c r="K136" s="272"/>
      <c r="L136" s="271"/>
      <c r="M136" s="271"/>
      <c r="O136" s="10"/>
      <c r="P136" s="10"/>
    </row>
    <row r="137" spans="1:16" ht="13.5" customHeight="1">
      <c r="A137">
        <f>ROW()</f>
        <v>137</v>
      </c>
      <c r="B137" s="243"/>
      <c r="C137" s="272" t="s">
        <v>328</v>
      </c>
      <c r="D137" s="272"/>
      <c r="E137" s="272"/>
      <c r="F137" s="272"/>
      <c r="G137" s="272"/>
      <c r="H137" s="272"/>
      <c r="I137" s="272"/>
      <c r="J137" s="272"/>
      <c r="K137" s="272"/>
      <c r="L137" s="271"/>
      <c r="M137" s="271"/>
      <c r="O137" s="10"/>
      <c r="P137" s="10"/>
    </row>
    <row r="138" spans="1:16" ht="13.5" customHeight="1">
      <c r="A138">
        <f>ROW()</f>
        <v>138</v>
      </c>
      <c r="B138" s="243"/>
      <c r="C138" s="272" t="s">
        <v>329</v>
      </c>
      <c r="D138" s="272"/>
      <c r="E138" s="272"/>
      <c r="F138" s="272"/>
      <c r="G138" s="272"/>
      <c r="H138" s="272"/>
      <c r="I138" s="272"/>
      <c r="J138" s="272"/>
      <c r="K138" s="272"/>
      <c r="L138" s="271"/>
      <c r="M138" s="271"/>
      <c r="O138" s="10"/>
      <c r="P138" s="10"/>
    </row>
    <row r="139" spans="1:16" ht="13.5" customHeight="1">
      <c r="A139">
        <f>ROW()</f>
        <v>139</v>
      </c>
      <c r="B139" s="243"/>
      <c r="C139" s="272" t="s">
        <v>330</v>
      </c>
      <c r="D139" s="272"/>
      <c r="E139" s="272"/>
      <c r="F139" s="272"/>
      <c r="G139" s="272"/>
      <c r="H139" s="272"/>
      <c r="I139" s="272"/>
      <c r="J139" s="272"/>
      <c r="K139" s="272"/>
      <c r="L139" s="271"/>
      <c r="M139" s="271"/>
      <c r="O139" s="10"/>
      <c r="P139" s="10"/>
    </row>
    <row r="140" spans="1:16" ht="13.5" customHeight="1">
      <c r="A140">
        <f>ROW()</f>
        <v>140</v>
      </c>
      <c r="B140" s="243"/>
      <c r="C140" s="272"/>
      <c r="D140" s="272"/>
      <c r="E140" s="272"/>
      <c r="F140" s="272"/>
      <c r="G140" s="272"/>
      <c r="H140" s="272"/>
      <c r="I140" s="272"/>
      <c r="J140" s="272"/>
      <c r="K140" s="272"/>
      <c r="L140" s="271"/>
      <c r="M140" s="271"/>
      <c r="O140" s="10"/>
      <c r="P140" s="10"/>
    </row>
    <row r="141" spans="1:16" ht="13.5" customHeight="1">
      <c r="A141">
        <f>ROW()</f>
        <v>141</v>
      </c>
      <c r="B141" s="243"/>
      <c r="C141" s="284" t="s">
        <v>331</v>
      </c>
      <c r="D141" s="272"/>
      <c r="E141" s="272"/>
      <c r="F141" s="272"/>
      <c r="G141" s="272"/>
      <c r="H141" s="272"/>
      <c r="I141" s="272"/>
      <c r="J141" s="272"/>
      <c r="K141" s="272"/>
      <c r="L141" s="271"/>
      <c r="M141" s="271"/>
      <c r="O141" s="10"/>
      <c r="P141" s="10"/>
    </row>
    <row r="142" spans="1:16" ht="13.5" customHeight="1">
      <c r="A142">
        <f>ROW()</f>
        <v>142</v>
      </c>
      <c r="B142" s="243"/>
      <c r="C142" s="272" t="s">
        <v>332</v>
      </c>
      <c r="D142" s="272"/>
      <c r="E142" s="272"/>
      <c r="F142" s="287">
        <f>+F8/F6</f>
        <v>0.6366546238182073</v>
      </c>
      <c r="G142" s="287">
        <f>+G8/G6</f>
        <v>0.6301107325383305</v>
      </c>
      <c r="H142" s="287">
        <f>+H8/H6</f>
        <v>0.6301107325383305</v>
      </c>
      <c r="I142" s="287">
        <f>+I8/I6</f>
        <v>0.6450404259514888</v>
      </c>
      <c r="J142" s="287">
        <v>0.6497155049786629</v>
      </c>
      <c r="K142" s="287">
        <v>0.627906976744186</v>
      </c>
      <c r="L142" s="287">
        <v>0.685363859362224</v>
      </c>
      <c r="M142" s="287">
        <v>0.7145244860437907</v>
      </c>
      <c r="O142" s="10"/>
      <c r="P142" s="10"/>
    </row>
    <row r="143" spans="1:16" ht="13.5" customHeight="1">
      <c r="A143">
        <f>ROW()</f>
        <v>143</v>
      </c>
      <c r="B143" s="243"/>
      <c r="C143" s="272" t="s">
        <v>333</v>
      </c>
      <c r="D143" s="272"/>
      <c r="E143" s="272"/>
      <c r="F143" s="287">
        <f>+F124/F6</f>
        <v>0.17666179099626197</v>
      </c>
      <c r="G143" s="287">
        <f>+G124/G6</f>
        <v>0.1462671406805485</v>
      </c>
      <c r="H143" s="287">
        <f>+H124/H6</f>
        <v>0.057708688245315165</v>
      </c>
      <c r="I143" s="287">
        <f>+I124/I6</f>
        <v>0.161112206665352</v>
      </c>
      <c r="J143" s="287">
        <v>0.14562588904694168</v>
      </c>
      <c r="K143" s="287">
        <v>0.17117544692295522</v>
      </c>
      <c r="L143" s="287">
        <v>0.18086672117743255</v>
      </c>
      <c r="M143" s="287">
        <v>0.18118001002841383</v>
      </c>
      <c r="O143" s="10"/>
      <c r="P143" s="10"/>
    </row>
    <row r="144" spans="1:16" ht="13.5" customHeight="1">
      <c r="A144">
        <f>ROW()</f>
        <v>144</v>
      </c>
      <c r="B144" s="243"/>
      <c r="C144" s="272" t="s">
        <v>334</v>
      </c>
      <c r="D144" s="272"/>
      <c r="E144" s="272"/>
      <c r="F144" s="287">
        <f>+F19/F6</f>
        <v>0.1324557126604908</v>
      </c>
      <c r="G144" s="287">
        <f>+G19/G6</f>
        <v>0.1127475876079228</v>
      </c>
      <c r="H144" s="287">
        <f>+H19/H6</f>
        <v>0.1418228279386712</v>
      </c>
      <c r="I144" s="287">
        <f>+I19/I6</f>
        <v>0.13133504239794913</v>
      </c>
      <c r="J144" s="287">
        <v>0.11842105263157894</v>
      </c>
      <c r="K144" s="287">
        <v>0.10536307546274323</v>
      </c>
      <c r="L144" s="287">
        <v>0.14652493867538838</v>
      </c>
      <c r="M144" s="287">
        <v>0.14758482366705666</v>
      </c>
      <c r="O144" s="10"/>
      <c r="P144" s="10"/>
    </row>
    <row r="145" spans="1:16" ht="13.5" customHeight="1">
      <c r="A145">
        <f>ROW()</f>
        <v>145</v>
      </c>
      <c r="B145" s="243"/>
      <c r="C145" s="272" t="s">
        <v>335</v>
      </c>
      <c r="D145" s="272"/>
      <c r="E145" s="272"/>
      <c r="F145" s="287"/>
      <c r="G145" s="287">
        <f>+G33/AVERAGE(G61:G61)</f>
        <v>0.0468927135937339</v>
      </c>
      <c r="H145" s="287">
        <f>+H33/AVERAGE(H61:I61)</f>
        <v>0.07973242703781626</v>
      </c>
      <c r="I145" s="287">
        <f>+I33/AVERAGE(I61:K61)</f>
        <v>0.05448547408747473</v>
      </c>
      <c r="J145" s="287">
        <v>0.046339466846994345</v>
      </c>
      <c r="K145" s="287">
        <v>0.03399004113444468</v>
      </c>
      <c r="L145" s="287">
        <v>0.053016972242720097</v>
      </c>
      <c r="M145" s="287">
        <v>0.05946845760863326</v>
      </c>
      <c r="O145" s="10"/>
      <c r="P145" s="10"/>
    </row>
    <row r="146" spans="1:16" ht="13.5" customHeight="1">
      <c r="A146">
        <f>ROW()</f>
        <v>146</v>
      </c>
      <c r="B146" s="243"/>
      <c r="C146" s="272" t="s">
        <v>336</v>
      </c>
      <c r="D146" s="272"/>
      <c r="E146" s="272"/>
      <c r="F146" s="287"/>
      <c r="G146" s="287"/>
      <c r="H146" s="287">
        <f>+H19/((H61+I61)/2)</f>
        <v>0.0718562874251497</v>
      </c>
      <c r="I146" s="287">
        <f>+I19/((I61+K61)/2)</f>
        <v>0.0714937469808384</v>
      </c>
      <c r="J146" s="287">
        <v>0.07270345505158016</v>
      </c>
      <c r="K146" s="287">
        <v>0.07561307901907358</v>
      </c>
      <c r="L146" s="287">
        <v>0.10171992961344156</v>
      </c>
      <c r="M146" s="287">
        <v>0.10137190746799839</v>
      </c>
      <c r="O146" s="10"/>
      <c r="P146" s="10"/>
    </row>
    <row r="147" spans="1:16" ht="13.5" customHeight="1">
      <c r="A147">
        <f>ROW()</f>
        <v>147</v>
      </c>
      <c r="B147" s="243"/>
      <c r="C147" s="272" t="s">
        <v>337</v>
      </c>
      <c r="D147" s="272"/>
      <c r="E147" s="272"/>
      <c r="F147" s="287"/>
      <c r="G147" s="287">
        <f>+G33/AVERAGE(G84:G84)</f>
        <v>0.2806909315237508</v>
      </c>
      <c r="H147" s="287">
        <f>+H33/AVERAGE(H84:I84)</f>
        <v>0.3441210710128056</v>
      </c>
      <c r="I147" s="287">
        <f>+I33/AVERAGE(I84:K84)</f>
        <v>0.17939733707077785</v>
      </c>
      <c r="J147" s="287">
        <v>0.17961098082494137</v>
      </c>
      <c r="K147" s="287">
        <v>0.12093202387829771</v>
      </c>
      <c r="L147" s="287">
        <v>0.14375865784208097</v>
      </c>
      <c r="M147" s="287">
        <v>0.2120777891504606</v>
      </c>
      <c r="O147" s="10"/>
      <c r="P147" s="10"/>
    </row>
    <row r="148" spans="1:16" ht="13.5" customHeight="1">
      <c r="A148">
        <f>ROW()</f>
        <v>148</v>
      </c>
      <c r="B148" s="243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88"/>
      <c r="O148" s="10"/>
      <c r="P148" s="10"/>
    </row>
    <row r="149" spans="1:16" ht="13.5" customHeight="1">
      <c r="A149">
        <f>ROW()</f>
        <v>149</v>
      </c>
      <c r="B149" s="243"/>
      <c r="C149" s="284" t="s">
        <v>338</v>
      </c>
      <c r="D149" s="272"/>
      <c r="E149" s="272"/>
      <c r="F149" s="290"/>
      <c r="G149" s="290"/>
      <c r="H149" s="290"/>
      <c r="I149" s="290"/>
      <c r="J149" s="290"/>
      <c r="K149" s="290"/>
      <c r="L149" s="271"/>
      <c r="M149" s="289"/>
      <c r="O149" s="10"/>
      <c r="P149" s="10"/>
    </row>
    <row r="150" spans="1:16" ht="13.5" customHeight="1">
      <c r="A150">
        <f>ROW()</f>
        <v>150</v>
      </c>
      <c r="B150" s="243"/>
      <c r="C150" s="272" t="s">
        <v>123</v>
      </c>
      <c r="D150" s="272"/>
      <c r="E150" s="272"/>
      <c r="F150" s="287"/>
      <c r="G150" s="291">
        <f>+G6/F6-1</f>
        <v>-0.03998049731838127</v>
      </c>
      <c r="H150" s="291">
        <f aca="true" t="shared" si="6" ref="H150:M150">+H6/G6-1</f>
        <v>-0.20501100389368543</v>
      </c>
      <c r="I150" s="291">
        <f t="shared" si="6"/>
        <v>0.07985519591141399</v>
      </c>
      <c r="J150" s="291">
        <f t="shared" si="6"/>
        <v>0.10905146913823693</v>
      </c>
      <c r="K150" s="291">
        <f t="shared" si="6"/>
        <v>0.12393314366998576</v>
      </c>
      <c r="L150" s="291">
        <f t="shared" si="6"/>
        <v>-0.032589780098085774</v>
      </c>
      <c r="M150" s="291">
        <f t="shared" si="6"/>
        <v>-0.021586263286999197</v>
      </c>
      <c r="O150" s="10"/>
      <c r="P150" s="10"/>
    </row>
    <row r="151" spans="1:16" ht="13.5" customHeight="1">
      <c r="A151">
        <f>ROW()</f>
        <v>151</v>
      </c>
      <c r="B151" s="243"/>
      <c r="C151" s="272" t="s">
        <v>339</v>
      </c>
      <c r="D151" s="272"/>
      <c r="E151" s="272"/>
      <c r="F151" s="290"/>
      <c r="G151" s="290"/>
      <c r="H151" s="290"/>
      <c r="I151" s="290"/>
      <c r="J151" s="290"/>
      <c r="K151" s="290"/>
      <c r="L151" s="271"/>
      <c r="M151" s="288"/>
      <c r="O151" s="10"/>
      <c r="P151" s="10"/>
    </row>
    <row r="152" spans="3:16" ht="13.5" customHeight="1"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O152" s="10"/>
      <c r="P152" s="10"/>
    </row>
    <row r="153" spans="3:16" ht="13.5" customHeight="1"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O153" s="10"/>
      <c r="P153" s="10"/>
    </row>
    <row r="154" spans="3:16" ht="13.5" customHeight="1"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O154" s="10"/>
      <c r="P154" s="10"/>
    </row>
    <row r="155" spans="3:16" ht="13.5" customHeight="1"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O155" s="10"/>
      <c r="P155" s="10"/>
    </row>
    <row r="156" spans="3:16" ht="13.5" customHeight="1"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O156" s="10"/>
      <c r="P156" s="10"/>
    </row>
    <row r="157" spans="3:16" ht="13.5" customHeight="1"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O157" s="10"/>
      <c r="P157" s="10"/>
    </row>
    <row r="158" spans="3:16" ht="13.5" customHeight="1"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O158" s="10"/>
      <c r="P158" s="10"/>
    </row>
    <row r="159" spans="3:16" ht="13.5" customHeight="1"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O159" s="10"/>
      <c r="P159" s="10"/>
    </row>
    <row r="160" spans="3:16" ht="13.5" customHeight="1"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O160" s="10"/>
      <c r="P160" s="10"/>
    </row>
    <row r="161" spans="3:16" ht="13.5" customHeight="1"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O161" s="10"/>
      <c r="P161" s="10"/>
    </row>
    <row r="162" spans="3:16" ht="13.5" customHeight="1"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O162" s="10"/>
      <c r="P162" s="10"/>
    </row>
    <row r="163" spans="3:16" ht="13.5" customHeight="1"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O163" s="10"/>
      <c r="P163" s="10"/>
    </row>
    <row r="164" spans="3:16" ht="13.5" customHeight="1"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O164" s="10"/>
      <c r="P164" s="10"/>
    </row>
    <row r="165" spans="3:16" ht="13.5" customHeight="1"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O165" s="10"/>
      <c r="P165" s="10"/>
    </row>
    <row r="166" spans="3:16" ht="13.5" customHeight="1"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O166" s="10"/>
      <c r="P166" s="10"/>
    </row>
    <row r="167" spans="3:16" ht="13.5" customHeight="1"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O167" s="10"/>
      <c r="P167" s="10"/>
    </row>
    <row r="168" spans="3:16" ht="13.5" customHeight="1"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O168" s="10"/>
      <c r="P168" s="10"/>
    </row>
    <row r="169" spans="3:16" ht="13.5" customHeight="1"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O169" s="10"/>
      <c r="P169" s="10"/>
    </row>
    <row r="170" spans="3:16" ht="13.5" customHeight="1"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O170" s="10"/>
      <c r="P170" s="10"/>
    </row>
    <row r="171" spans="3:16" ht="13.5" customHeight="1"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O171" s="10"/>
      <c r="P171" s="10"/>
    </row>
    <row r="172" spans="3:16" ht="13.5" customHeight="1"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O172" s="10"/>
      <c r="P172" s="10"/>
    </row>
    <row r="173" spans="3:16" ht="13.5" customHeight="1"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O173" s="10"/>
      <c r="P173" s="10"/>
    </row>
    <row r="174" spans="3:16" ht="13.5" customHeight="1"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O174" s="10"/>
      <c r="P174" s="10"/>
    </row>
    <row r="175" spans="3:16" ht="13.5" customHeight="1"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O175" s="10"/>
      <c r="P175" s="10"/>
    </row>
    <row r="176" spans="3:16" ht="13.5" customHeight="1"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O176" s="10"/>
      <c r="P176" s="10"/>
    </row>
    <row r="177" spans="3:16" ht="13.5" customHeight="1"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O177" s="10"/>
      <c r="P177" s="10"/>
    </row>
    <row r="178" spans="3:16" ht="13.5" customHeight="1"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O178" s="10"/>
      <c r="P178" s="10"/>
    </row>
    <row r="179" spans="3:16" ht="13.5" customHeight="1"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O179" s="10"/>
      <c r="P179" s="10"/>
    </row>
    <row r="180" spans="3:16" ht="13.5" customHeight="1"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O180" s="10"/>
      <c r="P180" s="10"/>
    </row>
    <row r="181" spans="3:16" ht="13.5" customHeight="1"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O181" s="10"/>
      <c r="P181" s="10"/>
    </row>
    <row r="182" spans="3:16" ht="13.5" customHeight="1"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O182" s="10"/>
      <c r="P182" s="10"/>
    </row>
    <row r="183" spans="3:16" ht="13.5" customHeight="1"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O183" s="10"/>
      <c r="P183" s="10"/>
    </row>
    <row r="184" spans="3:16" ht="13.5" customHeight="1"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O184" s="10"/>
      <c r="P184" s="10"/>
    </row>
    <row r="185" spans="3:16" ht="13.5" customHeight="1"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O185" s="10"/>
      <c r="P185" s="10"/>
    </row>
    <row r="186" spans="3:16" ht="13.5" customHeight="1"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O186" s="10"/>
      <c r="P186" s="10"/>
    </row>
    <row r="187" spans="3:16" ht="13.5" customHeight="1"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O187" s="10"/>
      <c r="P187" s="10"/>
    </row>
    <row r="188" spans="3:16" ht="13.5" customHeight="1"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O188" s="10"/>
      <c r="P188" s="10"/>
    </row>
    <row r="189" spans="3:16" ht="13.5" customHeight="1"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O189" s="10"/>
      <c r="P189" s="10"/>
    </row>
    <row r="190" spans="3:16" ht="13.5" customHeight="1"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O190" s="10"/>
      <c r="P190" s="10"/>
    </row>
    <row r="191" spans="3:16" ht="13.5" customHeight="1"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O191" s="10"/>
      <c r="P191" s="10"/>
    </row>
    <row r="192" spans="3:16" ht="13.5" customHeight="1"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O192" s="10"/>
      <c r="P192" s="10"/>
    </row>
    <row r="193" spans="3:16" ht="13.5" customHeight="1"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O193" s="10"/>
      <c r="P193" s="10"/>
    </row>
    <row r="194" spans="3:16" ht="13.5" customHeight="1"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O194" s="10"/>
      <c r="P194" s="10"/>
    </row>
    <row r="195" spans="3:16" ht="13.5" customHeight="1"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O195" s="10"/>
      <c r="P195" s="10"/>
    </row>
    <row r="196" spans="3:16" ht="13.5" customHeight="1"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O196" s="10"/>
      <c r="P196" s="10"/>
    </row>
    <row r="197" spans="3:16" ht="13.5" customHeight="1"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O197" s="10"/>
      <c r="P197" s="10"/>
    </row>
    <row r="198" spans="3:16" ht="13.5" customHeight="1"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O198" s="10"/>
      <c r="P198" s="10"/>
    </row>
    <row r="199" spans="3:16" ht="13.5" customHeight="1"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O199" s="10"/>
      <c r="P199" s="10"/>
    </row>
    <row r="200" spans="3:16" ht="13.5" customHeight="1"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O200" s="10"/>
      <c r="P200" s="10"/>
    </row>
    <row r="201" spans="3:16" ht="13.5" customHeight="1"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O201" s="10"/>
      <c r="P201" s="10"/>
    </row>
    <row r="202" spans="3:16" ht="13.5" customHeight="1"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O202" s="10"/>
      <c r="P202" s="10"/>
    </row>
    <row r="203" spans="3:16" ht="13.5" customHeight="1"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O203" s="10"/>
      <c r="P203" s="10"/>
    </row>
    <row r="204" spans="3:16" ht="13.5" customHeight="1"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O204" s="10"/>
      <c r="P204" s="10"/>
    </row>
    <row r="205" spans="3:16" ht="13.5" customHeight="1"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O205" s="10"/>
      <c r="P205" s="10"/>
    </row>
    <row r="206" spans="3:16" ht="13.5" customHeight="1"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O206" s="10"/>
      <c r="P206" s="10"/>
    </row>
    <row r="207" spans="3:16" ht="13.5" customHeight="1"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O207" s="10"/>
      <c r="P207" s="10"/>
    </row>
    <row r="208" spans="3:16" ht="13.5" customHeight="1"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O208" s="10"/>
      <c r="P208" s="10"/>
    </row>
    <row r="209" spans="3:13" ht="13.5" customHeight="1"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</row>
    <row r="210" spans="3:13" ht="13.5" customHeight="1"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</row>
    <row r="211" spans="3:13" ht="13.5" customHeight="1"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</row>
    <row r="212" spans="3:13" ht="13.5" customHeight="1"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</row>
    <row r="213" spans="3:13" ht="13.5" customHeight="1"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</row>
    <row r="214" spans="3:13" ht="13.5" customHeight="1"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</row>
    <row r="215" spans="3:13" ht="13.5" customHeight="1"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</row>
    <row r="216" spans="3:13" ht="13.5" customHeight="1"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</row>
    <row r="217" spans="3:13" ht="13.5" customHeight="1"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</row>
    <row r="218" spans="3:13" ht="13.5" customHeight="1"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</row>
    <row r="219" spans="3:13" ht="13.5" customHeight="1"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</row>
    <row r="220" spans="3:13" ht="13.5" customHeight="1"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</row>
    <row r="221" spans="3:13" ht="13.5" customHeight="1"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</row>
    <row r="222" spans="3:13" ht="13.5" customHeight="1"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</row>
    <row r="223" spans="3:13" ht="13.5" customHeight="1"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</row>
    <row r="224" spans="3:13" ht="13.5" customHeight="1"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</row>
    <row r="225" spans="3:13" ht="13.5" customHeight="1"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</row>
    <row r="226" spans="3:13" ht="13.5" customHeight="1"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</row>
    <row r="227" spans="3:13" ht="13.5" customHeight="1"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</row>
    <row r="228" spans="3:13" ht="13.5" customHeight="1"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</row>
    <row r="229" spans="3:13" ht="13.5" customHeight="1"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</row>
    <row r="230" spans="3:13" ht="13.5" customHeight="1"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</row>
    <row r="231" spans="3:13" ht="13.5" customHeight="1"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</row>
    <row r="232" spans="3:13" ht="13.5" customHeight="1"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</row>
    <row r="233" spans="3:13" ht="13.5" customHeight="1"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</row>
    <row r="234" spans="3:13" ht="13.5" customHeight="1"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</row>
    <row r="235" spans="3:13" ht="13.5" customHeight="1"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</row>
    <row r="236" spans="3:13" ht="13.5" customHeight="1"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</row>
    <row r="237" spans="3:13" ht="13.5" customHeight="1"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</row>
    <row r="238" spans="3:13" ht="13.5" customHeight="1"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</row>
    <row r="239" spans="3:13" ht="13.5" customHeight="1"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</row>
    <row r="240" spans="3:13" ht="13.5" customHeight="1"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</row>
    <row r="241" spans="3:13" ht="13.5" customHeight="1"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</row>
    <row r="242" spans="3:13" ht="13.5" customHeight="1"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</row>
    <row r="243" spans="3:13" ht="12.75"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</row>
    <row r="244" spans="3:13" ht="12.75"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</row>
    <row r="245" spans="3:13" ht="12.75"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</row>
    <row r="246" spans="3:13" ht="12.75"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</row>
    <row r="247" spans="3:13" ht="12.75"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</row>
    <row r="248" spans="3:13" ht="12.75"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</row>
    <row r="249" spans="3:13" ht="12.75"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</row>
    <row r="250" spans="3:13" ht="12.75"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</row>
    <row r="251" spans="3:13" ht="12.75"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</row>
    <row r="252" spans="3:13" ht="12.75"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</row>
    <row r="253" spans="3:13" ht="12.75"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</row>
    <row r="254" spans="3:13" ht="12.75"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</row>
    <row r="255" spans="3:13" ht="12.75"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</row>
    <row r="256" spans="3:13" ht="12.75"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</row>
    <row r="257" spans="3:13" ht="12.75"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</row>
    <row r="258" spans="3:13" ht="12.75"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</row>
    <row r="259" spans="3:13" ht="12.75"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</row>
    <row r="260" spans="3:13" ht="12.75"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</row>
    <row r="261" spans="3:13" ht="12.75"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</row>
    <row r="262" spans="3:13" ht="12.75"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</row>
    <row r="263" spans="3:13" ht="12.75"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</row>
    <row r="264" spans="3:13" ht="12.75"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</row>
    <row r="265" spans="3:13" ht="12.75"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</row>
    <row r="266" spans="3:13" ht="12.75"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</row>
    <row r="267" spans="3:13" ht="12.75"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</row>
    <row r="268" spans="3:13" ht="12.75"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</row>
    <row r="269" spans="3:13" ht="12.75"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</row>
    <row r="270" spans="3:13" ht="12.75"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</row>
    <row r="271" spans="3:13" ht="12.75"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</row>
    <row r="272" spans="3:13" ht="12.75"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</row>
    <row r="273" spans="3:13" ht="12.75"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</row>
    <row r="274" spans="3:13" ht="12.75"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</row>
    <row r="275" spans="3:13" ht="12.75"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</row>
    <row r="276" spans="3:13" ht="12.75"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</row>
    <row r="277" spans="3:13" ht="12.75"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</row>
    <row r="278" spans="3:13" ht="12.75"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</row>
    <row r="279" spans="3:13" ht="12.75"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</row>
    <row r="280" spans="3:13" ht="12.75"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</row>
    <row r="281" spans="3:13" ht="12.75"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</row>
    <row r="282" spans="3:13" ht="12.75"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</row>
    <row r="283" spans="3:13" ht="12.75"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</row>
    <row r="284" spans="3:13" ht="12.75"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</row>
    <row r="285" spans="3:13" ht="12.75"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</row>
    <row r="286" spans="3:13" ht="12.75"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</row>
    <row r="287" spans="3:13" ht="12.75"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</row>
    <row r="288" spans="3:13" ht="12.75"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</row>
    <row r="289" spans="3:13" ht="12.75"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</row>
    <row r="290" spans="3:13" ht="12.75"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</row>
    <row r="291" spans="3:13" ht="12.75"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</row>
    <row r="292" spans="3:13" ht="12.75"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</row>
    <row r="293" spans="3:13" ht="12.75"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</row>
    <row r="294" spans="3:13" ht="12.75"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</row>
    <row r="295" spans="3:13" ht="12.75"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</row>
    <row r="296" spans="3:13" ht="12.75"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</row>
    <row r="297" spans="3:13" ht="12.75"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</row>
    <row r="298" spans="3:13" ht="12.75"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</row>
    <row r="299" spans="3:13" ht="12.75"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</row>
    <row r="300" spans="3:13" ht="12.75"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</row>
    <row r="301" spans="3:13" ht="12">
      <c r="C301" s="264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</row>
    <row r="302" spans="3:13" ht="12">
      <c r="C302" s="264"/>
      <c r="D302" s="264"/>
      <c r="E302" s="264"/>
      <c r="F302" s="264"/>
      <c r="G302" s="264"/>
      <c r="H302" s="264"/>
      <c r="I302" s="264"/>
      <c r="J302" s="264"/>
      <c r="K302" s="264"/>
      <c r="L302" s="264"/>
      <c r="M302" s="264"/>
    </row>
    <row r="303" spans="3:13" ht="12">
      <c r="C303" s="264"/>
      <c r="D303" s="264"/>
      <c r="E303" s="264"/>
      <c r="F303" s="264"/>
      <c r="G303" s="264"/>
      <c r="H303" s="264"/>
      <c r="I303" s="264"/>
      <c r="J303" s="264"/>
      <c r="K303" s="264"/>
      <c r="L303" s="264"/>
      <c r="M303" s="264"/>
    </row>
    <row r="304" spans="3:13" ht="12">
      <c r="C304" s="264"/>
      <c r="D304" s="264"/>
      <c r="E304" s="264"/>
      <c r="F304" s="264"/>
      <c r="G304" s="264"/>
      <c r="H304" s="264"/>
      <c r="I304" s="264"/>
      <c r="J304" s="264"/>
      <c r="K304" s="264"/>
      <c r="L304" s="264"/>
      <c r="M304" s="264"/>
    </row>
    <row r="305" spans="3:13" ht="12">
      <c r="C305" s="264"/>
      <c r="D305" s="264"/>
      <c r="E305" s="264"/>
      <c r="F305" s="264"/>
      <c r="G305" s="264"/>
      <c r="H305" s="264"/>
      <c r="I305" s="264"/>
      <c r="J305" s="264"/>
      <c r="K305" s="264"/>
      <c r="L305" s="264"/>
      <c r="M305" s="264"/>
    </row>
    <row r="306" spans="3:13" ht="12">
      <c r="C306" s="264"/>
      <c r="D306" s="264"/>
      <c r="E306" s="264"/>
      <c r="F306" s="264"/>
      <c r="G306" s="264"/>
      <c r="H306" s="264"/>
      <c r="I306" s="264"/>
      <c r="J306" s="264"/>
      <c r="K306" s="264"/>
      <c r="L306" s="264"/>
      <c r="M306" s="264"/>
    </row>
    <row r="307" spans="3:13" ht="12">
      <c r="C307" s="264"/>
      <c r="D307" s="264"/>
      <c r="E307" s="264"/>
      <c r="F307" s="264"/>
      <c r="G307" s="264"/>
      <c r="H307" s="264"/>
      <c r="I307" s="264"/>
      <c r="J307" s="264"/>
      <c r="K307" s="264"/>
      <c r="L307" s="264"/>
      <c r="M307" s="264"/>
    </row>
    <row r="308" spans="3:13" ht="12"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</row>
    <row r="309" spans="3:13" ht="12"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</row>
    <row r="310" spans="3:13" ht="12"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</row>
    <row r="311" spans="3:13" ht="12">
      <c r="C311" s="264"/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</row>
    <row r="312" spans="3:13" ht="12"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</row>
    <row r="313" spans="3:13" ht="12"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</row>
    <row r="314" spans="3:13" ht="12">
      <c r="C314" s="264"/>
      <c r="D314" s="264"/>
      <c r="E314" s="264"/>
      <c r="F314" s="264"/>
      <c r="G314" s="264"/>
      <c r="H314" s="264"/>
      <c r="I314" s="264"/>
      <c r="J314" s="264"/>
      <c r="K314" s="264"/>
      <c r="L314" s="264"/>
      <c r="M314" s="264"/>
    </row>
    <row r="315" spans="3:13" ht="12"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</row>
    <row r="316" spans="3:13" ht="12"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</row>
    <row r="317" spans="3:13" ht="12">
      <c r="C317" s="264"/>
      <c r="D317" s="264"/>
      <c r="E317" s="264"/>
      <c r="F317" s="264"/>
      <c r="G317" s="264"/>
      <c r="H317" s="264"/>
      <c r="I317" s="264"/>
      <c r="J317" s="264"/>
      <c r="K317" s="264"/>
      <c r="L317" s="264"/>
      <c r="M317" s="264"/>
    </row>
    <row r="318" spans="3:13" ht="12"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</row>
    <row r="319" spans="3:13" ht="12"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</row>
    <row r="320" spans="3:13" ht="12">
      <c r="C320" s="264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</row>
    <row r="321" spans="3:13" ht="12">
      <c r="C321" s="264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</row>
    <row r="322" spans="3:13" ht="12"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</row>
    <row r="323" spans="3:13" ht="12">
      <c r="C323" s="264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</row>
    <row r="324" spans="3:13" ht="12"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</row>
    <row r="325" spans="3:13" ht="12">
      <c r="C325" s="264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</row>
    <row r="326" spans="3:13" ht="12">
      <c r="C326" s="264"/>
      <c r="D326" s="264"/>
      <c r="E326" s="264"/>
      <c r="F326" s="264"/>
      <c r="G326" s="264"/>
      <c r="H326" s="264"/>
      <c r="I326" s="264"/>
      <c r="J326" s="264"/>
      <c r="K326" s="264"/>
      <c r="L326" s="264"/>
      <c r="M326" s="264"/>
    </row>
    <row r="327" spans="3:13" ht="12"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</row>
    <row r="328" spans="3:13" ht="12">
      <c r="C328" s="264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</row>
    <row r="329" spans="3:13" ht="12">
      <c r="C329" s="264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</row>
    <row r="330" spans="3:13" ht="12"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</row>
    <row r="331" spans="3:13" ht="12"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</row>
    <row r="332" spans="3:13" ht="12">
      <c r="C332" s="264"/>
      <c r="D332" s="264"/>
      <c r="E332" s="264"/>
      <c r="F332" s="264"/>
      <c r="G332" s="264"/>
      <c r="H332" s="264"/>
      <c r="I332" s="264"/>
      <c r="J332" s="264"/>
      <c r="K332" s="264"/>
      <c r="L332" s="264"/>
      <c r="M332" s="264"/>
    </row>
    <row r="333" spans="3:13" ht="12">
      <c r="C333" s="264"/>
      <c r="D333" s="264"/>
      <c r="E333" s="264"/>
      <c r="F333" s="264"/>
      <c r="G333" s="264"/>
      <c r="H333" s="264"/>
      <c r="I333" s="264"/>
      <c r="J333" s="264"/>
      <c r="K333" s="264"/>
      <c r="L333" s="264"/>
      <c r="M333" s="264"/>
    </row>
    <row r="334" spans="3:13" ht="12">
      <c r="C334" s="264"/>
      <c r="D334" s="264"/>
      <c r="E334" s="264"/>
      <c r="F334" s="264"/>
      <c r="G334" s="264"/>
      <c r="H334" s="264"/>
      <c r="I334" s="264"/>
      <c r="J334" s="264"/>
      <c r="K334" s="264"/>
      <c r="L334" s="264"/>
      <c r="M334" s="264"/>
    </row>
    <row r="335" spans="3:13" ht="12">
      <c r="C335" s="264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</row>
    <row r="336" spans="3:13" ht="12">
      <c r="C336" s="264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</row>
    <row r="337" spans="3:13" ht="12">
      <c r="C337" s="264"/>
      <c r="D337" s="264"/>
      <c r="E337" s="264"/>
      <c r="F337" s="264"/>
      <c r="G337" s="264"/>
      <c r="H337" s="264"/>
      <c r="I337" s="264"/>
      <c r="J337" s="264"/>
      <c r="K337" s="264"/>
      <c r="L337" s="264"/>
      <c r="M337" s="264"/>
    </row>
    <row r="338" spans="3:13" ht="12"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</row>
    <row r="339" spans="3:13" ht="12"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</row>
    <row r="340" spans="3:13" ht="12"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</row>
    <row r="341" spans="3:13" ht="12"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</row>
    <row r="342" spans="3:13" ht="12">
      <c r="C342" s="264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</row>
    <row r="343" spans="3:13" ht="12">
      <c r="C343" s="264"/>
      <c r="D343" s="264"/>
      <c r="E343" s="264"/>
      <c r="F343" s="264"/>
      <c r="G343" s="264"/>
      <c r="H343" s="264"/>
      <c r="I343" s="264"/>
      <c r="J343" s="264"/>
      <c r="K343" s="264"/>
      <c r="L343" s="264"/>
      <c r="M343" s="264"/>
    </row>
    <row r="344" spans="3:13" ht="12">
      <c r="C344" s="264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</row>
    <row r="345" spans="3:13" ht="12">
      <c r="C345" s="264"/>
      <c r="D345" s="264"/>
      <c r="E345" s="264"/>
      <c r="F345" s="264"/>
      <c r="G345" s="264"/>
      <c r="H345" s="264"/>
      <c r="I345" s="264"/>
      <c r="J345" s="264"/>
      <c r="K345" s="264"/>
      <c r="L345" s="264"/>
      <c r="M345" s="264"/>
    </row>
    <row r="346" spans="3:13" ht="12">
      <c r="C346" s="264"/>
      <c r="D346" s="264"/>
      <c r="E346" s="264"/>
      <c r="F346" s="264"/>
      <c r="G346" s="264"/>
      <c r="H346" s="264"/>
      <c r="I346" s="264"/>
      <c r="J346" s="264"/>
      <c r="K346" s="264"/>
      <c r="L346" s="264"/>
      <c r="M346" s="264"/>
    </row>
    <row r="347" spans="3:13" ht="12"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</row>
    <row r="348" spans="3:13" ht="12"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</row>
    <row r="349" spans="3:13" ht="12">
      <c r="C349" s="264"/>
      <c r="D349" s="264"/>
      <c r="E349" s="264"/>
      <c r="F349" s="264"/>
      <c r="G349" s="264"/>
      <c r="H349" s="264"/>
      <c r="I349" s="264"/>
      <c r="J349" s="264"/>
      <c r="K349" s="264"/>
      <c r="L349" s="264"/>
      <c r="M349" s="264"/>
    </row>
    <row r="350" spans="3:13" ht="12">
      <c r="C350" s="264"/>
      <c r="D350" s="264"/>
      <c r="E350" s="264"/>
      <c r="F350" s="264"/>
      <c r="G350" s="264"/>
      <c r="H350" s="264"/>
      <c r="I350" s="264"/>
      <c r="J350" s="264"/>
      <c r="K350" s="264"/>
      <c r="L350" s="264"/>
      <c r="M350" s="264"/>
    </row>
    <row r="351" spans="3:13" ht="12">
      <c r="C351" s="264"/>
      <c r="D351" s="264"/>
      <c r="E351" s="264"/>
      <c r="F351" s="264"/>
      <c r="G351" s="264"/>
      <c r="H351" s="264"/>
      <c r="I351" s="264"/>
      <c r="J351" s="264"/>
      <c r="K351" s="264"/>
      <c r="L351" s="264"/>
      <c r="M351" s="264"/>
    </row>
    <row r="352" spans="3:13" ht="12">
      <c r="C352" s="264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</row>
    <row r="353" spans="3:13" ht="12"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</row>
    <row r="354" spans="3:13" ht="12"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</row>
    <row r="355" spans="3:13" ht="12"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</row>
    <row r="356" spans="3:13" ht="12"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</row>
    <row r="357" spans="3:13" ht="12"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</row>
    <row r="358" spans="3:13" ht="12"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</row>
    <row r="359" spans="3:13" ht="12"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</row>
    <row r="360" spans="3:13" ht="12"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</row>
    <row r="361" spans="3:13" ht="12">
      <c r="C361" s="264"/>
      <c r="D361" s="264"/>
      <c r="E361" s="264"/>
      <c r="F361" s="264"/>
      <c r="G361" s="264"/>
      <c r="H361" s="264"/>
      <c r="I361" s="264"/>
      <c r="J361" s="264"/>
      <c r="K361" s="264"/>
      <c r="L361" s="264"/>
      <c r="M361" s="264"/>
    </row>
    <row r="362" spans="3:13" ht="12"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</row>
    <row r="363" spans="3:13" ht="12">
      <c r="C363" s="264"/>
      <c r="D363" s="264"/>
      <c r="E363" s="264"/>
      <c r="F363" s="264"/>
      <c r="G363" s="264"/>
      <c r="H363" s="264"/>
      <c r="I363" s="264"/>
      <c r="J363" s="264"/>
      <c r="K363" s="264"/>
      <c r="L363" s="264"/>
      <c r="M363" s="264"/>
    </row>
    <row r="364" spans="3:13" ht="12">
      <c r="C364" s="264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</row>
    <row r="365" spans="3:13" ht="12">
      <c r="C365" s="264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</row>
    <row r="366" spans="3:13" ht="12">
      <c r="C366" s="264"/>
      <c r="D366" s="264"/>
      <c r="E366" s="264"/>
      <c r="F366" s="264"/>
      <c r="G366" s="264"/>
      <c r="H366" s="264"/>
      <c r="I366" s="264"/>
      <c r="J366" s="264"/>
      <c r="K366" s="264"/>
      <c r="L366" s="264"/>
      <c r="M366" s="264"/>
    </row>
    <row r="367" spans="3:13" ht="12">
      <c r="C367" s="264"/>
      <c r="D367" s="264"/>
      <c r="E367" s="264"/>
      <c r="F367" s="264"/>
      <c r="G367" s="264"/>
      <c r="H367" s="264"/>
      <c r="I367" s="264"/>
      <c r="J367" s="264"/>
      <c r="K367" s="264"/>
      <c r="L367" s="264"/>
      <c r="M367" s="264"/>
    </row>
    <row r="368" spans="3:13" ht="12">
      <c r="C368" s="264"/>
      <c r="D368" s="264"/>
      <c r="E368" s="264"/>
      <c r="F368" s="264"/>
      <c r="G368" s="264"/>
      <c r="H368" s="264"/>
      <c r="I368" s="264"/>
      <c r="J368" s="264"/>
      <c r="K368" s="264"/>
      <c r="L368" s="264"/>
      <c r="M368" s="264"/>
    </row>
    <row r="369" spans="3:13" ht="12">
      <c r="C369" s="264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</row>
    <row r="370" spans="3:13" ht="12"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</row>
    <row r="371" spans="3:13" ht="12">
      <c r="C371" s="264"/>
      <c r="D371" s="264"/>
      <c r="E371" s="264"/>
      <c r="F371" s="264"/>
      <c r="G371" s="264"/>
      <c r="H371" s="264"/>
      <c r="I371" s="264"/>
      <c r="J371" s="264"/>
      <c r="K371" s="264"/>
      <c r="L371" s="264"/>
      <c r="M371" s="264"/>
    </row>
    <row r="372" spans="3:13" ht="12">
      <c r="C372" s="264"/>
      <c r="D372" s="264"/>
      <c r="E372" s="264"/>
      <c r="F372" s="264"/>
      <c r="G372" s="264"/>
      <c r="H372" s="264"/>
      <c r="I372" s="264"/>
      <c r="J372" s="264"/>
      <c r="K372" s="264"/>
      <c r="L372" s="264"/>
      <c r="M372" s="264"/>
    </row>
    <row r="373" spans="3:13" ht="12">
      <c r="C373" s="264"/>
      <c r="D373" s="264"/>
      <c r="E373" s="264"/>
      <c r="F373" s="264"/>
      <c r="G373" s="264"/>
      <c r="H373" s="264"/>
      <c r="I373" s="264"/>
      <c r="J373" s="264"/>
      <c r="K373" s="264"/>
      <c r="L373" s="264"/>
      <c r="M373" s="264"/>
    </row>
    <row r="374" spans="3:13" ht="12">
      <c r="C374" s="264"/>
      <c r="D374" s="264"/>
      <c r="E374" s="264"/>
      <c r="F374" s="264"/>
      <c r="G374" s="264"/>
      <c r="H374" s="264"/>
      <c r="I374" s="264"/>
      <c r="J374" s="264"/>
      <c r="K374" s="264"/>
      <c r="L374" s="264"/>
      <c r="M374" s="264"/>
    </row>
    <row r="375" spans="3:13" ht="12">
      <c r="C375" s="264"/>
      <c r="D375" s="264"/>
      <c r="E375" s="264"/>
      <c r="F375" s="264"/>
      <c r="G375" s="264"/>
      <c r="H375" s="264"/>
      <c r="I375" s="264"/>
      <c r="J375" s="264"/>
      <c r="K375" s="264"/>
      <c r="L375" s="264"/>
      <c r="M375" s="264"/>
    </row>
    <row r="376" spans="3:13" ht="12">
      <c r="C376" s="264"/>
      <c r="D376" s="264"/>
      <c r="E376" s="264"/>
      <c r="F376" s="264"/>
      <c r="G376" s="264"/>
      <c r="H376" s="264"/>
      <c r="I376" s="264"/>
      <c r="J376" s="264"/>
      <c r="K376" s="264"/>
      <c r="L376" s="264"/>
      <c r="M376" s="264"/>
    </row>
    <row r="377" spans="3:13" ht="12">
      <c r="C377" s="264"/>
      <c r="D377" s="264"/>
      <c r="E377" s="264"/>
      <c r="F377" s="264"/>
      <c r="G377" s="264"/>
      <c r="H377" s="264"/>
      <c r="I377" s="264"/>
      <c r="J377" s="264"/>
      <c r="K377" s="264"/>
      <c r="L377" s="264"/>
      <c r="M377" s="264"/>
    </row>
    <row r="378" spans="3:13" ht="12">
      <c r="C378" s="264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</row>
    <row r="379" spans="3:13" ht="12">
      <c r="C379" s="264"/>
      <c r="D379" s="264"/>
      <c r="E379" s="264"/>
      <c r="F379" s="264"/>
      <c r="G379" s="264"/>
      <c r="H379" s="264"/>
      <c r="I379" s="264"/>
      <c r="J379" s="264"/>
      <c r="K379" s="264"/>
      <c r="L379" s="264"/>
      <c r="M379" s="264"/>
    </row>
    <row r="380" spans="3:13" ht="12">
      <c r="C380" s="264"/>
      <c r="D380" s="264"/>
      <c r="E380" s="264"/>
      <c r="F380" s="264"/>
      <c r="G380" s="264"/>
      <c r="H380" s="264"/>
      <c r="I380" s="264"/>
      <c r="J380" s="264"/>
      <c r="K380" s="264"/>
      <c r="L380" s="264"/>
      <c r="M380" s="264"/>
    </row>
    <row r="381" spans="3:13" ht="12"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</row>
    <row r="382" spans="3:13" ht="12">
      <c r="C382" s="264"/>
      <c r="D382" s="264"/>
      <c r="E382" s="264"/>
      <c r="F382" s="264"/>
      <c r="G382" s="264"/>
      <c r="H382" s="264"/>
      <c r="I382" s="264"/>
      <c r="J382" s="264"/>
      <c r="K382" s="264"/>
      <c r="L382" s="264"/>
      <c r="M382" s="264"/>
    </row>
    <row r="383" spans="3:13" ht="12">
      <c r="C383" s="264"/>
      <c r="D383" s="264"/>
      <c r="E383" s="264"/>
      <c r="F383" s="264"/>
      <c r="G383" s="264"/>
      <c r="H383" s="264"/>
      <c r="I383" s="264"/>
      <c r="J383" s="264"/>
      <c r="K383" s="264"/>
      <c r="L383" s="264"/>
      <c r="M383" s="264"/>
    </row>
    <row r="384" spans="3:13" ht="12">
      <c r="C384" s="264"/>
      <c r="D384" s="264"/>
      <c r="E384" s="264"/>
      <c r="F384" s="264"/>
      <c r="G384" s="264"/>
      <c r="H384" s="264"/>
      <c r="I384" s="264"/>
      <c r="J384" s="264"/>
      <c r="K384" s="264"/>
      <c r="L384" s="264"/>
      <c r="M384" s="264"/>
    </row>
    <row r="385" spans="3:13" ht="12">
      <c r="C385" s="264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</row>
    <row r="386" spans="3:13" ht="12">
      <c r="C386" s="264"/>
      <c r="D386" s="264"/>
      <c r="E386" s="264"/>
      <c r="F386" s="264"/>
      <c r="G386" s="264"/>
      <c r="H386" s="264"/>
      <c r="I386" s="264"/>
      <c r="J386" s="264"/>
      <c r="K386" s="264"/>
      <c r="L386" s="264"/>
      <c r="M386" s="264"/>
    </row>
    <row r="387" spans="3:13" ht="12">
      <c r="C387" s="264"/>
      <c r="D387" s="264"/>
      <c r="E387" s="264"/>
      <c r="F387" s="264"/>
      <c r="G387" s="264"/>
      <c r="H387" s="264"/>
      <c r="I387" s="264"/>
      <c r="J387" s="264"/>
      <c r="K387" s="264"/>
      <c r="L387" s="264"/>
      <c r="M387" s="264"/>
    </row>
    <row r="388" spans="3:13" ht="12">
      <c r="C388" s="264"/>
      <c r="D388" s="264"/>
      <c r="E388" s="264"/>
      <c r="F388" s="264"/>
      <c r="G388" s="264"/>
      <c r="H388" s="264"/>
      <c r="I388" s="264"/>
      <c r="J388" s="264"/>
      <c r="K388" s="264"/>
      <c r="L388" s="264"/>
      <c r="M388" s="264"/>
    </row>
    <row r="389" spans="3:13" ht="12">
      <c r="C389" s="264"/>
      <c r="D389" s="264"/>
      <c r="E389" s="264"/>
      <c r="F389" s="264"/>
      <c r="G389" s="264"/>
      <c r="H389" s="264"/>
      <c r="I389" s="264"/>
      <c r="J389" s="264"/>
      <c r="K389" s="264"/>
      <c r="L389" s="264"/>
      <c r="M389" s="264"/>
    </row>
    <row r="390" spans="3:13" ht="12">
      <c r="C390" s="264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</row>
    <row r="391" spans="3:13" ht="12">
      <c r="C391" s="264"/>
      <c r="D391" s="264"/>
      <c r="E391" s="264"/>
      <c r="F391" s="264"/>
      <c r="G391" s="264"/>
      <c r="H391" s="264"/>
      <c r="I391" s="264"/>
      <c r="J391" s="264"/>
      <c r="K391" s="264"/>
      <c r="L391" s="264"/>
      <c r="M391" s="264"/>
    </row>
    <row r="392" spans="3:13" ht="12"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</row>
    <row r="393" spans="3:13" ht="12">
      <c r="C393" s="264"/>
      <c r="D393" s="264"/>
      <c r="E393" s="264"/>
      <c r="F393" s="264"/>
      <c r="G393" s="264"/>
      <c r="H393" s="264"/>
      <c r="I393" s="264"/>
      <c r="J393" s="264"/>
      <c r="K393" s="264"/>
      <c r="L393" s="264"/>
      <c r="M393" s="264"/>
    </row>
    <row r="394" spans="3:13" ht="12">
      <c r="C394" s="264"/>
      <c r="D394" s="264"/>
      <c r="E394" s="264"/>
      <c r="F394" s="264"/>
      <c r="G394" s="264"/>
      <c r="H394" s="264"/>
      <c r="I394" s="264"/>
      <c r="J394" s="264"/>
      <c r="K394" s="264"/>
      <c r="L394" s="264"/>
      <c r="M394" s="264"/>
    </row>
    <row r="395" spans="3:13" ht="12">
      <c r="C395" s="264"/>
      <c r="D395" s="264"/>
      <c r="E395" s="264"/>
      <c r="F395" s="264"/>
      <c r="G395" s="264"/>
      <c r="H395" s="264"/>
      <c r="I395" s="264"/>
      <c r="J395" s="264"/>
      <c r="K395" s="264"/>
      <c r="L395" s="264"/>
      <c r="M395" s="264"/>
    </row>
    <row r="396" spans="3:13" ht="12">
      <c r="C396" s="264"/>
      <c r="D396" s="264"/>
      <c r="E396" s="264"/>
      <c r="F396" s="264"/>
      <c r="G396" s="264"/>
      <c r="H396" s="264"/>
      <c r="I396" s="264"/>
      <c r="J396" s="264"/>
      <c r="K396" s="264"/>
      <c r="L396" s="264"/>
      <c r="M396" s="264"/>
    </row>
    <row r="397" spans="3:13" ht="12"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</row>
    <row r="398" spans="3:13" ht="12">
      <c r="C398" s="264"/>
      <c r="D398" s="264"/>
      <c r="E398" s="264"/>
      <c r="F398" s="264"/>
      <c r="G398" s="264"/>
      <c r="H398" s="264"/>
      <c r="I398" s="264"/>
      <c r="J398" s="264"/>
      <c r="K398" s="264"/>
      <c r="L398" s="264"/>
      <c r="M398" s="264"/>
    </row>
  </sheetData>
  <sheetProtection/>
  <mergeCells count="9">
    <mergeCell ref="C17:D17"/>
    <mergeCell ref="C19:D19"/>
    <mergeCell ref="C31:D31"/>
    <mergeCell ref="C32:D32"/>
    <mergeCell ref="C33:D33"/>
    <mergeCell ref="C5:D5"/>
    <mergeCell ref="C6:D6"/>
    <mergeCell ref="C7:D7"/>
    <mergeCell ref="C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474"/>
  <sheetViews>
    <sheetView tabSelected="1" zoomScalePageLayoutView="0" workbookViewId="0" topLeftCell="A1">
      <selection activeCell="P191" sqref="P191"/>
    </sheetView>
  </sheetViews>
  <sheetFormatPr defaultColWidth="9.140625" defaultRowHeight="12.75"/>
  <cols>
    <col min="1" max="1" width="4.140625" style="0" customWidth="1"/>
    <col min="2" max="2" width="38.140625" style="0" customWidth="1"/>
    <col min="3" max="10" width="11.7109375" style="0" customWidth="1"/>
    <col min="11" max="11" width="11.8515625" style="0" bestFit="1" customWidth="1"/>
    <col min="12" max="12" width="7.57421875" style="0" customWidth="1"/>
    <col min="13" max="14" width="11.140625" style="0" bestFit="1" customWidth="1"/>
    <col min="15" max="15" width="5.00390625" style="0" customWidth="1"/>
    <col min="16" max="23" width="14.28125" style="0" customWidth="1"/>
    <col min="25" max="25" width="14.140625" style="0" customWidth="1"/>
  </cols>
  <sheetData>
    <row r="1" spans="2:26" ht="26.25" customHeight="1" thickBot="1">
      <c r="B1" s="235" t="str">
        <f>+Input!C1</f>
        <v>Starwood Hotels &amp; Resorts Worldwide Inc. (HOT)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7"/>
      <c r="Q1" s="7"/>
      <c r="R1" s="7"/>
      <c r="S1" s="7"/>
      <c r="T1" s="7"/>
      <c r="U1" s="7"/>
      <c r="V1" s="64"/>
      <c r="Y1" s="67" t="s">
        <v>185</v>
      </c>
      <c r="Z1" s="68"/>
    </row>
    <row r="2" spans="2:26" ht="16.5" customHeight="1" thickBot="1">
      <c r="B2" s="65" t="str">
        <f>IF(CC=1,Y4,IF(CC=2,Y5,Y6))&amp;IF($K$460="Yes"," (100% Cash Sweep)"," ")</f>
        <v>Base Case 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7"/>
      <c r="Q2" s="7"/>
      <c r="R2" s="7"/>
      <c r="S2" s="7"/>
      <c r="T2" s="7"/>
      <c r="U2" s="7"/>
      <c r="V2" s="7"/>
      <c r="Y2" s="66">
        <v>1</v>
      </c>
      <c r="Z2" s="69"/>
    </row>
    <row r="3" spans="2:26" ht="5.25" customHeight="1"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59"/>
      <c r="Y3" s="70"/>
      <c r="Z3" s="69"/>
    </row>
    <row r="4" spans="2:26" ht="18">
      <c r="B4" s="60" t="s">
        <v>182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Y4" s="101" t="s">
        <v>142</v>
      </c>
      <c r="Z4" s="102">
        <v>1</v>
      </c>
    </row>
    <row r="5" spans="7:26" ht="11.25" customHeight="1">
      <c r="G5" s="3"/>
      <c r="H5" s="3"/>
      <c r="Y5" s="101" t="s">
        <v>187</v>
      </c>
      <c r="Z5" s="102">
        <v>2</v>
      </c>
    </row>
    <row r="6" spans="2:26" ht="42" customHeight="1" thickBot="1">
      <c r="B6" s="223" t="s">
        <v>345</v>
      </c>
      <c r="C6" s="35"/>
      <c r="D6" s="36" t="s">
        <v>343</v>
      </c>
      <c r="E6" s="36" t="s">
        <v>350</v>
      </c>
      <c r="F6" s="36" t="s">
        <v>344</v>
      </c>
      <c r="G6" s="37" t="s">
        <v>143</v>
      </c>
      <c r="H6" s="37" t="s">
        <v>24</v>
      </c>
      <c r="I6" s="36" t="s">
        <v>207</v>
      </c>
      <c r="J6" s="36" t="s">
        <v>148</v>
      </c>
      <c r="K6" s="37" t="s">
        <v>230</v>
      </c>
      <c r="L6" s="223" t="s">
        <v>231</v>
      </c>
      <c r="M6" s="37" t="s">
        <v>6</v>
      </c>
      <c r="N6" s="38"/>
      <c r="O6" s="35" t="s">
        <v>17</v>
      </c>
      <c r="P6" s="35"/>
      <c r="Q6" s="39"/>
      <c r="R6" s="36" t="s">
        <v>341</v>
      </c>
      <c r="S6" s="36" t="s">
        <v>342</v>
      </c>
      <c r="T6" s="35" t="s">
        <v>5</v>
      </c>
      <c r="U6" s="36" t="s">
        <v>145</v>
      </c>
      <c r="V6" s="36" t="s">
        <v>146</v>
      </c>
      <c r="Y6" s="103" t="s">
        <v>186</v>
      </c>
      <c r="Z6" s="104"/>
    </row>
    <row r="7" spans="1:20" ht="12">
      <c r="A7">
        <f>ROW()</f>
        <v>7</v>
      </c>
      <c r="B7" t="s">
        <v>3</v>
      </c>
      <c r="D7" s="24"/>
      <c r="E7" s="25"/>
      <c r="F7" s="376">
        <v>519000</v>
      </c>
      <c r="G7" s="376">
        <f>+F7</f>
        <v>519000</v>
      </c>
      <c r="H7" s="25"/>
      <c r="I7" s="25"/>
      <c r="J7" s="25"/>
      <c r="K7" s="25"/>
      <c r="L7" s="25"/>
      <c r="M7" s="25"/>
      <c r="O7" t="s">
        <v>3</v>
      </c>
      <c r="T7" s="12">
        <f>-G7</f>
        <v>-519000</v>
      </c>
    </row>
    <row r="8" spans="1:21" ht="12">
      <c r="A8">
        <f>ROW()</f>
        <v>8</v>
      </c>
      <c r="B8" t="s">
        <v>4</v>
      </c>
      <c r="D8" s="368"/>
      <c r="F8" s="293">
        <v>1000000</v>
      </c>
      <c r="G8" s="298">
        <v>0</v>
      </c>
      <c r="H8" s="14">
        <f aca="true" t="shared" si="0" ref="H8:H21">+G8/$G$21</f>
        <v>0</v>
      </c>
      <c r="I8" s="20">
        <f aca="true" t="shared" si="1" ref="I8:I21">+G8/$C$23</f>
        <v>0</v>
      </c>
      <c r="J8" s="12">
        <v>400</v>
      </c>
      <c r="K8" s="226">
        <v>98</v>
      </c>
      <c r="L8" s="48">
        <f>+(J8/10000)+$C$24+((100-K8)/4)/100</f>
        <v>0.055</v>
      </c>
      <c r="M8" s="26"/>
      <c r="O8" s="73" t="s">
        <v>340</v>
      </c>
      <c r="R8" s="393">
        <v>90</v>
      </c>
      <c r="S8" s="293">
        <v>177000</v>
      </c>
      <c r="T8" s="327">
        <f>+R8*S8</f>
        <v>15930000</v>
      </c>
      <c r="U8" s="47"/>
    </row>
    <row r="9" spans="1:21" ht="12">
      <c r="A9">
        <f>ROW()</f>
        <v>9</v>
      </c>
      <c r="B9" t="s">
        <v>7</v>
      </c>
      <c r="D9" s="368"/>
      <c r="F9" s="293">
        <v>0</v>
      </c>
      <c r="G9" s="298">
        <v>0</v>
      </c>
      <c r="H9" s="14">
        <f t="shared" si="0"/>
        <v>0</v>
      </c>
      <c r="I9" s="20">
        <f t="shared" si="1"/>
        <v>0</v>
      </c>
      <c r="J9" s="12"/>
      <c r="K9" s="26"/>
      <c r="L9" s="14"/>
      <c r="M9" s="26"/>
      <c r="O9" t="s">
        <v>18</v>
      </c>
      <c r="T9" s="293">
        <f>+K88</f>
        <v>2944000</v>
      </c>
      <c r="U9" s="47"/>
    </row>
    <row r="10" spans="1:22" ht="12">
      <c r="A10">
        <f>ROW()</f>
        <v>10</v>
      </c>
      <c r="B10" t="s">
        <v>8</v>
      </c>
      <c r="D10" s="368">
        <v>3.5</v>
      </c>
      <c r="E10" s="302">
        <f>+D10*K33</f>
        <v>3794000</v>
      </c>
      <c r="F10" s="293">
        <v>3800000</v>
      </c>
      <c r="G10" s="298">
        <f>+F10</f>
        <v>3800000</v>
      </c>
      <c r="H10" s="14">
        <f t="shared" si="0"/>
        <v>0.20083271586081658</v>
      </c>
      <c r="I10" s="20">
        <f t="shared" si="1"/>
        <v>3.5055350553505535</v>
      </c>
      <c r="J10" s="12">
        <v>400</v>
      </c>
      <c r="K10" s="226">
        <v>99</v>
      </c>
      <c r="L10" s="48">
        <f>+(J10/10000)+$C$24+((100-K10)/4)/100</f>
        <v>0.052500000000000005</v>
      </c>
      <c r="M10" s="26">
        <v>7</v>
      </c>
      <c r="O10" t="s">
        <v>19</v>
      </c>
      <c r="T10" s="293">
        <v>0</v>
      </c>
      <c r="U10" s="47">
        <f>+T10+T9+T8</f>
        <v>18874000</v>
      </c>
      <c r="V10" s="19">
        <f>+U10/$C$23</f>
        <v>17.411439114391143</v>
      </c>
    </row>
    <row r="11" spans="1:21" ht="12">
      <c r="A11">
        <f>ROW()</f>
        <v>11</v>
      </c>
      <c r="B11" t="s">
        <v>21</v>
      </c>
      <c r="D11" s="368"/>
      <c r="F11" s="293">
        <v>0</v>
      </c>
      <c r="G11" s="298"/>
      <c r="H11" s="14">
        <f t="shared" si="0"/>
        <v>0</v>
      </c>
      <c r="I11" s="20">
        <f t="shared" si="1"/>
        <v>0</v>
      </c>
      <c r="J11" s="12"/>
      <c r="K11" s="26"/>
      <c r="M11" s="26"/>
      <c r="O11" t="s">
        <v>22</v>
      </c>
      <c r="R11" s="46">
        <v>0.03</v>
      </c>
      <c r="T11" s="293">
        <f>+(T8+T9)*R11</f>
        <v>566220</v>
      </c>
      <c r="U11" s="47"/>
    </row>
    <row r="12" spans="1:21" ht="12">
      <c r="A12">
        <f>ROW()</f>
        <v>12</v>
      </c>
      <c r="B12" t="s">
        <v>20</v>
      </c>
      <c r="D12" s="369"/>
      <c r="E12" s="32"/>
      <c r="F12" s="295">
        <v>0</v>
      </c>
      <c r="G12" s="325">
        <v>0</v>
      </c>
      <c r="H12" s="15">
        <f t="shared" si="0"/>
        <v>0</v>
      </c>
      <c r="I12" s="21">
        <f t="shared" si="1"/>
        <v>0</v>
      </c>
      <c r="J12" s="12"/>
      <c r="K12" s="26"/>
      <c r="M12" s="26"/>
      <c r="T12" s="293"/>
      <c r="U12" s="47"/>
    </row>
    <row r="13" spans="1:21" ht="12">
      <c r="A13">
        <f>ROW()</f>
        <v>13</v>
      </c>
      <c r="B13" t="s">
        <v>9</v>
      </c>
      <c r="D13" s="368"/>
      <c r="F13" s="298">
        <f>SUM(F8:F12)</f>
        <v>4800000</v>
      </c>
      <c r="G13" s="298">
        <f>SUM(G8:G12)</f>
        <v>3800000</v>
      </c>
      <c r="H13" s="14">
        <f t="shared" si="0"/>
        <v>0.20083271586081658</v>
      </c>
      <c r="I13" s="20">
        <f t="shared" si="1"/>
        <v>3.5055350553505535</v>
      </c>
      <c r="J13" s="12"/>
      <c r="K13" s="26"/>
      <c r="M13" s="26"/>
      <c r="T13" s="293"/>
      <c r="U13" s="47"/>
    </row>
    <row r="14" spans="1:21" ht="12">
      <c r="A14">
        <f>ROW()</f>
        <v>14</v>
      </c>
      <c r="B14" t="s">
        <v>11</v>
      </c>
      <c r="D14" s="369"/>
      <c r="E14" s="32"/>
      <c r="F14" s="295">
        <v>0</v>
      </c>
      <c r="G14" s="325">
        <f>+F14</f>
        <v>0</v>
      </c>
      <c r="H14" s="15">
        <f t="shared" si="0"/>
        <v>0</v>
      </c>
      <c r="I14" s="21">
        <f t="shared" si="1"/>
        <v>0</v>
      </c>
      <c r="J14" s="27">
        <v>0</v>
      </c>
      <c r="K14" s="26"/>
      <c r="M14" s="26"/>
      <c r="T14" s="293"/>
      <c r="U14" s="47"/>
    </row>
    <row r="15" spans="1:21" ht="12">
      <c r="A15">
        <f>ROW()</f>
        <v>15</v>
      </c>
      <c r="B15" t="s">
        <v>10</v>
      </c>
      <c r="D15" s="368"/>
      <c r="F15" s="298">
        <f>SUM(F13:F14)</f>
        <v>4800000</v>
      </c>
      <c r="G15" s="298">
        <f>SUM(G13:G14)</f>
        <v>3800000</v>
      </c>
      <c r="H15" s="14">
        <f t="shared" si="0"/>
        <v>0.20083271586081658</v>
      </c>
      <c r="I15" s="20">
        <f t="shared" si="1"/>
        <v>3.5055350553505535</v>
      </c>
      <c r="J15" s="12"/>
      <c r="K15" s="26"/>
      <c r="M15" s="26"/>
      <c r="T15" s="293"/>
      <c r="U15" s="47"/>
    </row>
    <row r="16" spans="1:21" ht="12">
      <c r="A16">
        <f>ROW()</f>
        <v>16</v>
      </c>
      <c r="B16" t="s">
        <v>144</v>
      </c>
      <c r="D16" s="375">
        <v>2.5</v>
      </c>
      <c r="E16" s="47">
        <f>+D16*K33</f>
        <v>2710000</v>
      </c>
      <c r="F16" s="293">
        <v>2700000</v>
      </c>
      <c r="G16" s="298">
        <f>+F16</f>
        <v>2700000</v>
      </c>
      <c r="H16" s="14">
        <f t="shared" si="0"/>
        <v>0.1426969296905802</v>
      </c>
      <c r="I16" s="20">
        <f t="shared" si="1"/>
        <v>2.4907749077490773</v>
      </c>
      <c r="J16" s="27">
        <v>0.08</v>
      </c>
      <c r="K16" s="26"/>
      <c r="M16" s="26"/>
      <c r="T16" s="293"/>
      <c r="U16" s="47"/>
    </row>
    <row r="17" spans="1:21" ht="12">
      <c r="A17">
        <f>ROW()</f>
        <v>17</v>
      </c>
      <c r="B17" t="s">
        <v>12</v>
      </c>
      <c r="D17" s="369"/>
      <c r="E17" s="32"/>
      <c r="F17" s="295">
        <v>0</v>
      </c>
      <c r="G17" s="325">
        <f>+F17</f>
        <v>0</v>
      </c>
      <c r="H17" s="15">
        <f t="shared" si="0"/>
        <v>0</v>
      </c>
      <c r="I17" s="21">
        <f t="shared" si="1"/>
        <v>0</v>
      </c>
      <c r="J17" s="27">
        <v>0</v>
      </c>
      <c r="K17" s="28"/>
      <c r="M17" s="28"/>
      <c r="T17" s="293"/>
      <c r="U17" s="47"/>
    </row>
    <row r="18" spans="1:21" ht="12">
      <c r="A18">
        <f>ROW()</f>
        <v>18</v>
      </c>
      <c r="B18" t="s">
        <v>13</v>
      </c>
      <c r="D18" s="370"/>
      <c r="E18" s="374"/>
      <c r="F18" s="373">
        <f>SUM(F16:F17)</f>
        <v>2700000</v>
      </c>
      <c r="G18" s="373">
        <f>SUM(G16:G17)</f>
        <v>2700000</v>
      </c>
      <c r="H18" s="16">
        <f t="shared" si="0"/>
        <v>0.1426969296905802</v>
      </c>
      <c r="I18" s="22">
        <f t="shared" si="1"/>
        <v>2.4907749077490773</v>
      </c>
      <c r="J18" s="12"/>
      <c r="K18" s="28"/>
      <c r="M18" s="28"/>
      <c r="T18" s="293"/>
      <c r="U18" s="47"/>
    </row>
    <row r="19" spans="1:21" ht="12">
      <c r="A19">
        <f>ROW()</f>
        <v>19</v>
      </c>
      <c r="B19" t="s">
        <v>14</v>
      </c>
      <c r="D19" s="368"/>
      <c r="F19" s="298">
        <f>+F18+F15</f>
        <v>7500000</v>
      </c>
      <c r="G19" s="298">
        <f>+G18+G15</f>
        <v>6500000</v>
      </c>
      <c r="H19" s="14">
        <f t="shared" si="0"/>
        <v>0.3435296455513968</v>
      </c>
      <c r="I19" s="20">
        <f t="shared" si="1"/>
        <v>5.996309963099631</v>
      </c>
      <c r="J19" s="12"/>
      <c r="K19" s="28"/>
      <c r="M19" s="28"/>
      <c r="T19" s="293"/>
      <c r="U19" s="47"/>
    </row>
    <row r="20" spans="1:21" ht="12">
      <c r="A20">
        <f>ROW()</f>
        <v>20</v>
      </c>
      <c r="B20" t="s">
        <v>15</v>
      </c>
      <c r="D20" s="368"/>
      <c r="F20" s="293"/>
      <c r="G20" s="298">
        <f>+T21-G19</f>
        <v>12421220</v>
      </c>
      <c r="H20" s="14">
        <f t="shared" si="0"/>
        <v>0.6564703544486032</v>
      </c>
      <c r="I20" s="20">
        <f t="shared" si="1"/>
        <v>11.45869003690037</v>
      </c>
      <c r="J20" s="12"/>
      <c r="K20" s="28"/>
      <c r="M20" s="28"/>
      <c r="T20" s="293"/>
      <c r="U20" s="47"/>
    </row>
    <row r="21" spans="1:21" ht="13.5" thickBot="1">
      <c r="A21">
        <f>ROW()</f>
        <v>21</v>
      </c>
      <c r="B21" s="2" t="s">
        <v>16</v>
      </c>
      <c r="D21" s="371"/>
      <c r="E21" s="371"/>
      <c r="F21" s="366">
        <f>+F20+F19</f>
        <v>7500000</v>
      </c>
      <c r="G21" s="366">
        <f>+G20+G19</f>
        <v>18921220</v>
      </c>
      <c r="H21" s="17">
        <f t="shared" si="0"/>
        <v>1</v>
      </c>
      <c r="I21" s="23">
        <f t="shared" si="1"/>
        <v>17.455</v>
      </c>
      <c r="J21" s="29"/>
      <c r="K21" s="30"/>
      <c r="M21" s="30"/>
      <c r="N21" s="2"/>
      <c r="O21" s="2" t="s">
        <v>23</v>
      </c>
      <c r="P21" s="2"/>
      <c r="Q21" s="2"/>
      <c r="R21" s="2"/>
      <c r="T21" s="366">
        <f>SUM(T7:T20)</f>
        <v>18921220</v>
      </c>
      <c r="U21" s="47"/>
    </row>
    <row r="22" ht="12.75" thickTop="1">
      <c r="E22" s="372"/>
    </row>
    <row r="23" spans="2:6" ht="12.75">
      <c r="B23" s="18" t="s">
        <v>152</v>
      </c>
      <c r="C23" s="367">
        <f>+K33</f>
        <v>1084000</v>
      </c>
      <c r="D23" t="s">
        <v>147</v>
      </c>
      <c r="E23" s="34"/>
      <c r="F23" s="34"/>
    </row>
    <row r="24" spans="2:6" ht="12.75">
      <c r="B24" s="18" t="s">
        <v>236</v>
      </c>
      <c r="C24" s="224">
        <v>0.01</v>
      </c>
      <c r="D24" s="224"/>
      <c r="E24" s="224"/>
      <c r="F24" s="224"/>
    </row>
    <row r="25" spans="2:6" ht="12.75">
      <c r="B25" s="18"/>
      <c r="C25" s="34"/>
      <c r="D25" s="34"/>
      <c r="E25" s="34"/>
      <c r="F25" s="34"/>
    </row>
    <row r="26" spans="2:23" ht="18">
      <c r="B26" s="61" t="s">
        <v>168</v>
      </c>
      <c r="C26" s="53"/>
      <c r="D26" s="53"/>
      <c r="E26" s="53"/>
      <c r="F26" s="5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3:23" ht="12.75">
      <c r="C27" s="8" t="s">
        <v>27</v>
      </c>
      <c r="D27" s="8"/>
      <c r="E27" s="8"/>
      <c r="F27" s="8"/>
      <c r="G27" s="8"/>
      <c r="H27" s="8"/>
      <c r="I27" s="8"/>
      <c r="J27" s="8"/>
      <c r="K27" s="8"/>
      <c r="L27" s="33"/>
      <c r="M27" s="33"/>
      <c r="N27" s="8"/>
      <c r="O27" s="8"/>
      <c r="P27" s="8" t="s">
        <v>28</v>
      </c>
      <c r="Q27" s="8"/>
      <c r="R27" s="8"/>
      <c r="S27" s="8"/>
      <c r="T27" s="8"/>
      <c r="U27" s="8"/>
      <c r="V27" s="8"/>
      <c r="W27" s="8"/>
    </row>
    <row r="28" spans="3:23" ht="19.5" customHeight="1">
      <c r="C28" s="110" t="str">
        <f>+$C$115</f>
        <v>12 mos</v>
      </c>
      <c r="D28" s="110" t="str">
        <f>+$C$115</f>
        <v>12 mos</v>
      </c>
      <c r="E28" s="110" t="str">
        <f>+$C$115</f>
        <v>12 mos</v>
      </c>
      <c r="F28" s="110" t="str">
        <f>+$C$115</f>
        <v>12 mos</v>
      </c>
      <c r="G28" s="110" t="str">
        <f>+$G$115</f>
        <v>12 mos</v>
      </c>
      <c r="H28" s="110" t="str">
        <f>+$H$115</f>
        <v>12 mos</v>
      </c>
      <c r="I28" s="110" t="str">
        <f>+$I$115</f>
        <v>12 mos</v>
      </c>
      <c r="J28" s="111" t="str">
        <f>+$J$115</f>
        <v>12 mos</v>
      </c>
      <c r="K28" s="111" t="str">
        <f>+$K$115</f>
        <v>12 mos</v>
      </c>
      <c r="L28" s="115"/>
      <c r="M28" s="33"/>
      <c r="N28" s="8"/>
      <c r="O28" s="8"/>
      <c r="P28" s="112" t="str">
        <f>+K28</f>
        <v>12 mos</v>
      </c>
      <c r="Q28" s="109" t="str">
        <f aca="true" t="shared" si="2" ref="Q28:V28">+P28</f>
        <v>12 mos</v>
      </c>
      <c r="R28" s="109" t="str">
        <f>+I28</f>
        <v>12 mos</v>
      </c>
      <c r="S28" s="109" t="str">
        <f t="shared" si="2"/>
        <v>12 mos</v>
      </c>
      <c r="T28" s="109" t="str">
        <f t="shared" si="2"/>
        <v>12 mos</v>
      </c>
      <c r="U28" s="109" t="str">
        <f t="shared" si="2"/>
        <v>12 mos</v>
      </c>
      <c r="V28" s="109" t="str">
        <f t="shared" si="2"/>
        <v>12 mos</v>
      </c>
      <c r="W28" s="109" t="str">
        <f>+V28</f>
        <v>12 mos</v>
      </c>
    </row>
    <row r="29" spans="3:23" ht="13.5" thickBot="1">
      <c r="C29" s="107">
        <f aca="true" t="shared" si="3" ref="C29:J29">+C59</f>
        <v>39447</v>
      </c>
      <c r="D29" s="107">
        <f>+D59</f>
        <v>39813</v>
      </c>
      <c r="E29" s="107">
        <f>+E59</f>
        <v>40178</v>
      </c>
      <c r="F29" s="107">
        <f>+F59</f>
        <v>40543</v>
      </c>
      <c r="G29" s="107">
        <f t="shared" si="3"/>
        <v>40908</v>
      </c>
      <c r="H29" s="107">
        <f t="shared" si="3"/>
        <v>41274</v>
      </c>
      <c r="I29" s="107">
        <f t="shared" si="3"/>
        <v>41639</v>
      </c>
      <c r="J29" s="108">
        <f t="shared" si="3"/>
        <v>42004</v>
      </c>
      <c r="K29" s="359">
        <v>42004</v>
      </c>
      <c r="L29" s="116" t="s">
        <v>151</v>
      </c>
      <c r="M29" s="33"/>
      <c r="N29" s="8"/>
      <c r="O29" s="8"/>
      <c r="P29" s="108">
        <f aca="true" t="shared" si="4" ref="P29:V29">+P59</f>
        <v>42004</v>
      </c>
      <c r="Q29" s="107">
        <f t="shared" si="4"/>
        <v>42369</v>
      </c>
      <c r="R29" s="107">
        <f t="shared" si="4"/>
        <v>42734</v>
      </c>
      <c r="S29" s="107">
        <f t="shared" si="4"/>
        <v>43099</v>
      </c>
      <c r="T29" s="107">
        <f t="shared" si="4"/>
        <v>43464</v>
      </c>
      <c r="U29" s="107">
        <f t="shared" si="4"/>
        <v>43829</v>
      </c>
      <c r="V29" s="107">
        <f t="shared" si="4"/>
        <v>44194</v>
      </c>
      <c r="W29" s="107">
        <f>+W59</f>
        <v>44559</v>
      </c>
    </row>
    <row r="30" spans="1:23" ht="12.75">
      <c r="A30">
        <f>ROW()</f>
        <v>30</v>
      </c>
      <c r="B30" s="54" t="s">
        <v>161</v>
      </c>
      <c r="C30" s="327">
        <f aca="true" t="shared" si="5" ref="C30:K30">+C117</f>
        <v>6153000</v>
      </c>
      <c r="D30" s="327">
        <f>+D117</f>
        <v>5907000</v>
      </c>
      <c r="E30" s="327">
        <f>+E117</f>
        <v>4696000</v>
      </c>
      <c r="F30" s="327">
        <f>+F117</f>
        <v>5071000</v>
      </c>
      <c r="G30" s="327">
        <f t="shared" si="5"/>
        <v>5624000</v>
      </c>
      <c r="H30" s="327">
        <f t="shared" si="5"/>
        <v>6321000</v>
      </c>
      <c r="I30" s="327">
        <f t="shared" si="5"/>
        <v>6115000</v>
      </c>
      <c r="J30" s="328">
        <f t="shared" si="5"/>
        <v>5983000</v>
      </c>
      <c r="K30" s="328">
        <f t="shared" si="5"/>
        <v>5983000</v>
      </c>
      <c r="L30" s="327"/>
      <c r="M30" s="329"/>
      <c r="N30" s="330"/>
      <c r="O30" s="327"/>
      <c r="P30" s="328">
        <f aca="true" t="shared" si="6" ref="P30:V30">+P117</f>
        <v>5983000</v>
      </c>
      <c r="Q30" s="327">
        <f t="shared" si="6"/>
        <v>6098920</v>
      </c>
      <c r="R30" s="327">
        <f t="shared" si="6"/>
        <v>6344145.6</v>
      </c>
      <c r="S30" s="327">
        <f t="shared" si="6"/>
        <v>6650695.264</v>
      </c>
      <c r="T30" s="327">
        <f t="shared" si="6"/>
        <v>6967340.560160001</v>
      </c>
      <c r="U30" s="327">
        <f t="shared" si="6"/>
        <v>7256107.098366401</v>
      </c>
      <c r="V30" s="327">
        <f t="shared" si="6"/>
        <v>7559377.596250257</v>
      </c>
      <c r="W30" s="327">
        <f>+W117</f>
        <v>7877957.982210408</v>
      </c>
    </row>
    <row r="31" spans="1:23" ht="12.75">
      <c r="A31">
        <f>ROW()</f>
        <v>31</v>
      </c>
      <c r="B31" s="54" t="s">
        <v>169</v>
      </c>
      <c r="C31" s="51"/>
      <c r="D31" s="55">
        <f>+C30/D30-1</f>
        <v>0.041645505332656096</v>
      </c>
      <c r="E31" s="55">
        <f aca="true" t="shared" si="7" ref="E31:J31">+D30/E30-1</f>
        <v>0.25787904599659295</v>
      </c>
      <c r="F31" s="55">
        <f t="shared" si="7"/>
        <v>-0.07394991126010653</v>
      </c>
      <c r="G31" s="55">
        <f t="shared" si="7"/>
        <v>-0.09832859174964437</v>
      </c>
      <c r="H31" s="55">
        <f t="shared" si="7"/>
        <v>-0.11026736275905713</v>
      </c>
      <c r="I31" s="55">
        <f t="shared" si="7"/>
        <v>0.03368765331152912</v>
      </c>
      <c r="J31" s="358">
        <f t="shared" si="7"/>
        <v>0.022062510446264394</v>
      </c>
      <c r="K31" s="365">
        <f>+J31</f>
        <v>0.022062510446264394</v>
      </c>
      <c r="L31" s="52"/>
      <c r="M31" s="33"/>
      <c r="N31" s="8"/>
      <c r="O31" s="52"/>
      <c r="P31" s="57">
        <f>+P30/I30-1</f>
        <v>-0.021586263286999197</v>
      </c>
      <c r="Q31" s="55">
        <f aca="true" t="shared" si="8" ref="Q31:W31">+Q30/P30-1</f>
        <v>0.01937489553735583</v>
      </c>
      <c r="R31" s="55">
        <f t="shared" si="8"/>
        <v>0.04020803683275065</v>
      </c>
      <c r="S31" s="55">
        <f t="shared" si="8"/>
        <v>0.04832008647468644</v>
      </c>
      <c r="T31" s="55">
        <f t="shared" si="8"/>
        <v>0.04761085624746508</v>
      </c>
      <c r="U31" s="55">
        <f t="shared" si="8"/>
        <v>0.04144573323393974</v>
      </c>
      <c r="V31" s="55">
        <f t="shared" si="8"/>
        <v>0.04179520695775474</v>
      </c>
      <c r="W31" s="55">
        <f t="shared" si="8"/>
        <v>0.04214373232502355</v>
      </c>
    </row>
    <row r="32" spans="1:23" ht="12.75">
      <c r="A32">
        <f>ROW()</f>
        <v>32</v>
      </c>
      <c r="B32" s="54"/>
      <c r="C32" s="51"/>
      <c r="D32" s="51"/>
      <c r="E32" s="51"/>
      <c r="F32" s="51"/>
      <c r="G32" s="52"/>
      <c r="H32" s="52"/>
      <c r="I32" s="52"/>
      <c r="J32" s="56"/>
      <c r="K32" s="56"/>
      <c r="L32" s="52"/>
      <c r="M32" s="33"/>
      <c r="N32" s="8"/>
      <c r="O32" s="52"/>
      <c r="P32" s="56"/>
      <c r="Q32" s="52"/>
      <c r="R32" s="52"/>
      <c r="S32" s="52"/>
      <c r="T32" s="52"/>
      <c r="U32" s="52"/>
      <c r="V32" s="52"/>
      <c r="W32" s="52"/>
    </row>
    <row r="33" spans="1:23" ht="12">
      <c r="A33">
        <f>ROW()</f>
        <v>33</v>
      </c>
      <c r="B33" s="54" t="s">
        <v>1</v>
      </c>
      <c r="C33" s="327">
        <f aca="true" t="shared" si="9" ref="C33:K33">+C130</f>
        <v>1044000</v>
      </c>
      <c r="D33" s="327">
        <f>+D130</f>
        <v>943000</v>
      </c>
      <c r="E33" s="327">
        <f>+E130</f>
        <v>293000</v>
      </c>
      <c r="F33" s="327">
        <f>+F130</f>
        <v>839000</v>
      </c>
      <c r="G33" s="327">
        <f t="shared" si="9"/>
        <v>841000</v>
      </c>
      <c r="H33" s="327">
        <f t="shared" si="9"/>
        <v>1104000</v>
      </c>
      <c r="I33" s="327">
        <f t="shared" si="9"/>
        <v>1135000</v>
      </c>
      <c r="J33" s="328">
        <f t="shared" si="9"/>
        <v>1084000</v>
      </c>
      <c r="K33" s="328">
        <f t="shared" si="9"/>
        <v>1084000</v>
      </c>
      <c r="L33" s="327"/>
      <c r="M33" s="327"/>
      <c r="N33" s="327"/>
      <c r="O33" s="327"/>
      <c r="P33" s="328">
        <f aca="true" t="shared" si="10" ref="P33:V33">+P130</f>
        <v>1084000</v>
      </c>
      <c r="Q33" s="327">
        <f t="shared" si="10"/>
        <v>1126665.354337289</v>
      </c>
      <c r="R33" s="327">
        <f t="shared" si="10"/>
        <v>1176124.2854671567</v>
      </c>
      <c r="S33" s="327">
        <f t="shared" si="10"/>
        <v>1228501.434457295</v>
      </c>
      <c r="T33" s="327">
        <f t="shared" si="10"/>
        <v>1284464.4898391645</v>
      </c>
      <c r="U33" s="327">
        <f t="shared" si="10"/>
        <v>1339507.523819929</v>
      </c>
      <c r="V33" s="327">
        <f t="shared" si="10"/>
        <v>1396925.296226821</v>
      </c>
      <c r="W33" s="327">
        <f>+W130</f>
        <v>1456828.4981211731</v>
      </c>
    </row>
    <row r="34" spans="1:23" ht="12">
      <c r="A34">
        <f>ROW()</f>
        <v>34</v>
      </c>
      <c r="B34" s="54" t="s">
        <v>170</v>
      </c>
      <c r="C34" s="55">
        <f aca="true" t="shared" si="11" ref="C34:K34">+C33/C30</f>
        <v>0.1696733300828864</v>
      </c>
      <c r="D34" s="55">
        <f>+D33/D30</f>
        <v>0.15964110377518198</v>
      </c>
      <c r="E34" s="55">
        <f>+E33/E30</f>
        <v>0.06239352640545145</v>
      </c>
      <c r="F34" s="55">
        <f>+F33/F30</f>
        <v>0.16545060145927826</v>
      </c>
      <c r="G34" s="55">
        <f t="shared" si="11"/>
        <v>0.14953769559032717</v>
      </c>
      <c r="H34" s="55">
        <f t="shared" si="11"/>
        <v>0.17465590887517798</v>
      </c>
      <c r="I34" s="55">
        <f t="shared" si="11"/>
        <v>0.1856091578086672</v>
      </c>
      <c r="J34" s="57">
        <f t="shared" si="11"/>
        <v>0.18118001002841383</v>
      </c>
      <c r="K34" s="57">
        <f t="shared" si="11"/>
        <v>0.18118001002841383</v>
      </c>
      <c r="L34" s="52"/>
      <c r="M34" s="52"/>
      <c r="N34" s="52"/>
      <c r="O34" s="52"/>
      <c r="P34" s="57">
        <f aca="true" t="shared" si="12" ref="P34:W34">+P33/P30</f>
        <v>0.18118001002841383</v>
      </c>
      <c r="Q34" s="55">
        <f t="shared" si="12"/>
        <v>0.18473194505540144</v>
      </c>
      <c r="R34" s="55">
        <f t="shared" si="12"/>
        <v>0.1853873412784153</v>
      </c>
      <c r="S34" s="55">
        <f t="shared" si="12"/>
        <v>0.18471774539229513</v>
      </c>
      <c r="T34" s="55">
        <f t="shared" si="12"/>
        <v>0.18435506040624308</v>
      </c>
      <c r="U34" s="55">
        <f t="shared" si="12"/>
        <v>0.18460415559763418</v>
      </c>
      <c r="V34" s="55">
        <f t="shared" si="12"/>
        <v>0.18479369213144606</v>
      </c>
      <c r="W34" s="55">
        <f t="shared" si="12"/>
        <v>0.18492463420227767</v>
      </c>
    </row>
    <row r="35" spans="1:23" ht="12">
      <c r="A35">
        <f>ROW()</f>
        <v>35</v>
      </c>
      <c r="B35" s="54"/>
      <c r="C35" s="51"/>
      <c r="D35" s="51"/>
      <c r="E35" s="51"/>
      <c r="F35" s="51"/>
      <c r="G35" s="52"/>
      <c r="H35" s="52"/>
      <c r="I35" s="52"/>
      <c r="J35" s="56"/>
      <c r="K35" s="56"/>
      <c r="L35" s="52"/>
      <c r="M35" s="52"/>
      <c r="N35" s="52"/>
      <c r="O35" s="52"/>
      <c r="P35" s="56"/>
      <c r="Q35" s="52"/>
      <c r="R35" s="52"/>
      <c r="S35" s="52"/>
      <c r="T35" s="52"/>
      <c r="U35" s="52"/>
      <c r="V35" s="52"/>
      <c r="W35" s="52"/>
    </row>
    <row r="36" spans="1:23" ht="12">
      <c r="A36">
        <f>ROW()</f>
        <v>36</v>
      </c>
      <c r="B36" s="54" t="s">
        <v>177</v>
      </c>
      <c r="C36" s="327">
        <f aca="true" t="shared" si="13" ref="C36:J36">+C153</f>
        <v>168000</v>
      </c>
      <c r="D36" s="327">
        <f t="shared" si="13"/>
        <v>210000</v>
      </c>
      <c r="E36" s="327">
        <f t="shared" si="13"/>
        <v>296000</v>
      </c>
      <c r="F36" s="327">
        <f t="shared" si="13"/>
        <v>296000</v>
      </c>
      <c r="G36" s="327">
        <f t="shared" si="13"/>
        <v>296000</v>
      </c>
      <c r="H36" s="327">
        <f t="shared" si="13"/>
        <v>296000</v>
      </c>
      <c r="I36" s="327">
        <f t="shared" si="13"/>
        <v>236000</v>
      </c>
      <c r="J36" s="328">
        <f t="shared" si="13"/>
        <v>216000</v>
      </c>
      <c r="K36" s="328">
        <f>+J36</f>
        <v>216000</v>
      </c>
      <c r="L36" s="327"/>
      <c r="M36" s="327"/>
      <c r="N36" s="327"/>
      <c r="O36" s="327"/>
      <c r="P36" s="328"/>
      <c r="Q36" s="327">
        <f aca="true" t="shared" si="14" ref="Q36:V36">+Q153</f>
        <v>406000</v>
      </c>
      <c r="R36" s="327">
        <f t="shared" si="14"/>
        <v>402025.6860381796</v>
      </c>
      <c r="S36" s="327">
        <f t="shared" si="14"/>
        <v>413642.45735125494</v>
      </c>
      <c r="T36" s="327">
        <f t="shared" si="14"/>
        <v>421511.19021100807</v>
      </c>
      <c r="U36" s="327">
        <f t="shared" si="14"/>
        <v>438207.2269130864</v>
      </c>
      <c r="V36" s="327">
        <f t="shared" si="14"/>
        <v>425708.94791725907</v>
      </c>
      <c r="W36" s="327">
        <f>+W153</f>
        <v>412082.1208519865</v>
      </c>
    </row>
    <row r="37" spans="1:23" ht="12">
      <c r="A37">
        <f>ROW()</f>
        <v>37</v>
      </c>
      <c r="B37" s="54" t="s">
        <v>171</v>
      </c>
      <c r="C37" s="52">
        <f aca="true" t="shared" si="15" ref="C37:J37">-C191</f>
        <v>276000</v>
      </c>
      <c r="D37" s="52">
        <f t="shared" si="15"/>
        <v>471000</v>
      </c>
      <c r="E37" s="52">
        <f t="shared" si="15"/>
        <v>168000</v>
      </c>
      <c r="F37" s="52">
        <f t="shared" si="15"/>
        <v>209000</v>
      </c>
      <c r="G37" s="52">
        <f t="shared" si="15"/>
        <v>392000</v>
      </c>
      <c r="H37" s="52">
        <f t="shared" si="15"/>
        <v>360000</v>
      </c>
      <c r="I37" s="52">
        <f t="shared" si="15"/>
        <v>358000</v>
      </c>
      <c r="J37" s="56">
        <f t="shared" si="15"/>
        <v>323000</v>
      </c>
      <c r="K37" s="328">
        <f aca="true" t="shared" si="16" ref="K37:K44">+J37</f>
        <v>323000</v>
      </c>
      <c r="L37" s="52"/>
      <c r="M37" s="52"/>
      <c r="N37" s="52"/>
      <c r="O37" s="52"/>
      <c r="P37" s="56"/>
      <c r="Q37" s="327">
        <f aca="true" t="shared" si="17" ref="Q37:V37">-Q191</f>
        <v>333335.5908407154</v>
      </c>
      <c r="R37" s="327">
        <f t="shared" si="17"/>
        <v>346738.36055490555</v>
      </c>
      <c r="S37" s="327">
        <f t="shared" si="17"/>
        <v>363492.78812100954</v>
      </c>
      <c r="T37" s="327">
        <f t="shared" si="17"/>
        <v>380798.9910032292</v>
      </c>
      <c r="U37" s="327">
        <f t="shared" si="17"/>
        <v>396581.4844001025</v>
      </c>
      <c r="V37" s="327">
        <f t="shared" si="17"/>
        <v>413156.6896162183</v>
      </c>
      <c r="W37" s="327">
        <f>-W191</f>
        <v>430568.6545516971</v>
      </c>
    </row>
    <row r="38" spans="1:23" ht="12">
      <c r="A38">
        <f>ROW()</f>
        <v>38</v>
      </c>
      <c r="B38" s="54" t="s">
        <v>172</v>
      </c>
      <c r="C38" s="52">
        <f aca="true" t="shared" si="18" ref="C38:J38">+C181</f>
        <v>55000</v>
      </c>
      <c r="D38" s="52">
        <f t="shared" si="18"/>
        <v>-177000</v>
      </c>
      <c r="E38" s="52">
        <f t="shared" si="18"/>
        <v>43000</v>
      </c>
      <c r="F38" s="52">
        <f t="shared" si="18"/>
        <v>129000</v>
      </c>
      <c r="G38" s="52">
        <f t="shared" si="18"/>
        <v>-226000</v>
      </c>
      <c r="H38" s="52">
        <f t="shared" si="18"/>
        <v>396000</v>
      </c>
      <c r="I38" s="52">
        <f t="shared" si="18"/>
        <v>257000</v>
      </c>
      <c r="J38" s="56">
        <f t="shared" si="18"/>
        <v>64000</v>
      </c>
      <c r="K38" s="328">
        <f t="shared" si="16"/>
        <v>64000</v>
      </c>
      <c r="L38" s="52"/>
      <c r="M38" s="52"/>
      <c r="N38" s="52"/>
      <c r="O38" s="52"/>
      <c r="P38" s="56"/>
      <c r="Q38" s="327">
        <f aca="true" t="shared" si="19" ref="Q38:V38">+Q181</f>
        <v>-11433.638642821228</v>
      </c>
      <c r="R38" s="327">
        <f t="shared" si="19"/>
        <v>25734.39047300676</v>
      </c>
      <c r="S38" s="327">
        <f t="shared" si="19"/>
        <v>43733.174870132</v>
      </c>
      <c r="T38" s="327">
        <f t="shared" si="19"/>
        <v>42896.32524732081</v>
      </c>
      <c r="U38" s="327">
        <f t="shared" si="19"/>
        <v>34216.257262709085</v>
      </c>
      <c r="V38" s="327">
        <f t="shared" si="19"/>
        <v>36411.966810137965</v>
      </c>
      <c r="W38" s="327">
        <f>+W181</f>
        <v>38755.702336169314</v>
      </c>
    </row>
    <row r="39" spans="1:23" ht="12">
      <c r="A39">
        <f>ROW()</f>
        <v>39</v>
      </c>
      <c r="B39" s="54" t="s">
        <v>173</v>
      </c>
      <c r="C39" s="52">
        <f aca="true" t="shared" si="20" ref="C39:J39">-C180</f>
        <v>189000</v>
      </c>
      <c r="D39" s="52">
        <f t="shared" si="20"/>
        <v>76000</v>
      </c>
      <c r="E39" s="52">
        <f t="shared" si="20"/>
        <v>-293000</v>
      </c>
      <c r="F39" s="52">
        <f t="shared" si="20"/>
        <v>27000</v>
      </c>
      <c r="G39" s="52">
        <f t="shared" si="20"/>
        <v>-75000</v>
      </c>
      <c r="H39" s="52">
        <f t="shared" si="20"/>
        <v>148000</v>
      </c>
      <c r="I39" s="52">
        <f t="shared" si="20"/>
        <v>263000</v>
      </c>
      <c r="J39" s="56">
        <f t="shared" si="20"/>
        <v>139000</v>
      </c>
      <c r="K39" s="328">
        <f t="shared" si="16"/>
        <v>139000</v>
      </c>
      <c r="L39" s="52"/>
      <c r="M39" s="52"/>
      <c r="N39" s="52"/>
      <c r="O39" s="52"/>
      <c r="P39" s="56"/>
      <c r="Q39" s="327">
        <f aca="true" t="shared" si="21" ref="Q39:V39">-Q180</f>
        <v>130464.72867171268</v>
      </c>
      <c r="R39" s="327">
        <f t="shared" si="21"/>
        <v>144023.18227944645</v>
      </c>
      <c r="S39" s="327">
        <f t="shared" si="21"/>
        <v>153161.71765523797</v>
      </c>
      <c r="T39" s="327">
        <f t="shared" si="21"/>
        <v>164398.6870913901</v>
      </c>
      <c r="U39" s="327">
        <f t="shared" si="21"/>
        <v>172992.4365752056</v>
      </c>
      <c r="V39" s="327">
        <f t="shared" si="21"/>
        <v>190910.72332772842</v>
      </c>
      <c r="W39" s="327">
        <f>-W180</f>
        <v>209758.90178439455</v>
      </c>
    </row>
    <row r="40" spans="1:23" ht="12">
      <c r="A40">
        <f>ROW()</f>
        <v>40</v>
      </c>
      <c r="B40" s="54"/>
      <c r="C40" s="52"/>
      <c r="D40" s="52"/>
      <c r="E40" s="52"/>
      <c r="F40" s="52"/>
      <c r="G40" s="52"/>
      <c r="H40" s="52"/>
      <c r="I40" s="52"/>
      <c r="J40" s="56"/>
      <c r="K40" s="328"/>
      <c r="L40" s="52"/>
      <c r="M40" s="52"/>
      <c r="N40" s="52"/>
      <c r="O40" s="52"/>
      <c r="P40" s="56"/>
      <c r="Q40" s="52"/>
      <c r="R40" s="52"/>
      <c r="S40" s="52"/>
      <c r="T40" s="52"/>
      <c r="U40" s="52"/>
      <c r="V40" s="52"/>
      <c r="W40" s="52"/>
    </row>
    <row r="41" spans="1:23" ht="12">
      <c r="A41">
        <f>ROW()</f>
        <v>41</v>
      </c>
      <c r="B41" s="54" t="s">
        <v>210</v>
      </c>
      <c r="C41" s="327">
        <f aca="true" t="shared" si="22" ref="C41:J41">+C61+C62</f>
        <v>358000</v>
      </c>
      <c r="D41" s="327">
        <f t="shared" si="22"/>
        <v>485000</v>
      </c>
      <c r="E41" s="327">
        <f t="shared" si="22"/>
        <v>134000</v>
      </c>
      <c r="F41" s="327">
        <f t="shared" si="22"/>
        <v>806000</v>
      </c>
      <c r="G41" s="327">
        <f t="shared" si="22"/>
        <v>686000</v>
      </c>
      <c r="H41" s="327">
        <f t="shared" si="22"/>
        <v>463000</v>
      </c>
      <c r="I41" s="327">
        <f t="shared" si="22"/>
        <v>750000</v>
      </c>
      <c r="J41" s="328">
        <f t="shared" si="22"/>
        <v>1019000</v>
      </c>
      <c r="K41" s="328">
        <f t="shared" si="16"/>
        <v>1019000</v>
      </c>
      <c r="L41" s="52"/>
      <c r="M41" s="52"/>
      <c r="N41" s="52"/>
      <c r="O41" s="52"/>
      <c r="P41" s="328">
        <f>+P61+P62</f>
        <v>500000</v>
      </c>
      <c r="Q41" s="327">
        <f aca="true" t="shared" si="23" ref="Q41:V41">+Q61+Q62</f>
        <v>707431.3961820398</v>
      </c>
      <c r="R41" s="327">
        <f t="shared" si="23"/>
        <v>978502.8432496714</v>
      </c>
      <c r="S41" s="327">
        <f t="shared" si="23"/>
        <v>1282440.4894495963</v>
      </c>
      <c r="T41" s="327">
        <f t="shared" si="23"/>
        <v>1605092.4362304541</v>
      </c>
      <c r="U41" s="327">
        <f t="shared" si="23"/>
        <v>1933035.0694246977</v>
      </c>
      <c r="V41" s="327">
        <f t="shared" si="23"/>
        <v>2298595.9716004506</v>
      </c>
      <c r="W41" s="327">
        <f>+W61+W62</f>
        <v>2169770.494869715</v>
      </c>
    </row>
    <row r="42" spans="1:23" ht="12">
      <c r="A42">
        <f>ROW()</f>
        <v>42</v>
      </c>
      <c r="B42" s="54" t="s">
        <v>174</v>
      </c>
      <c r="C42" s="327">
        <f aca="true" t="shared" si="24" ref="C42:J42">SUM(C84:C88)</f>
        <v>3595000</v>
      </c>
      <c r="D42" s="327">
        <f t="shared" si="24"/>
        <v>4008000</v>
      </c>
      <c r="E42" s="327">
        <f t="shared" si="24"/>
        <v>2960000</v>
      </c>
      <c r="F42" s="327">
        <f t="shared" si="24"/>
        <v>3351000</v>
      </c>
      <c r="G42" s="327">
        <f t="shared" si="24"/>
        <v>2729000</v>
      </c>
      <c r="H42" s="327">
        <f t="shared" si="24"/>
        <v>1808000</v>
      </c>
      <c r="I42" s="327">
        <f t="shared" si="24"/>
        <v>1622000</v>
      </c>
      <c r="J42" s="328">
        <f t="shared" si="24"/>
        <v>2944000</v>
      </c>
      <c r="K42" s="328">
        <f t="shared" si="16"/>
        <v>2944000</v>
      </c>
      <c r="L42" s="52"/>
      <c r="M42" s="52"/>
      <c r="N42" s="52"/>
      <c r="O42" s="52"/>
      <c r="P42" s="328">
        <f>SUM(P84:P88)</f>
        <v>3800000</v>
      </c>
      <c r="Q42" s="327">
        <f aca="true" t="shared" si="25" ref="Q42:V42">SUM(Q84:Q88)</f>
        <v>3762000</v>
      </c>
      <c r="R42" s="327">
        <f t="shared" si="25"/>
        <v>3724000</v>
      </c>
      <c r="S42" s="327">
        <f t="shared" si="25"/>
        <v>3686000</v>
      </c>
      <c r="T42" s="327">
        <f t="shared" si="25"/>
        <v>3648000</v>
      </c>
      <c r="U42" s="327">
        <f t="shared" si="25"/>
        <v>3610000</v>
      </c>
      <c r="V42" s="327">
        <f t="shared" si="25"/>
        <v>3572000</v>
      </c>
      <c r="W42" s="327">
        <f>SUM(W84:W88)</f>
        <v>3000000</v>
      </c>
    </row>
    <row r="43" spans="1:23" ht="12">
      <c r="A43">
        <f>ROW()</f>
        <v>43</v>
      </c>
      <c r="B43" s="54" t="s">
        <v>175</v>
      </c>
      <c r="C43" s="327">
        <f aca="true" t="shared" si="26" ref="C43:J43">+C92</f>
        <v>3595000</v>
      </c>
      <c r="D43" s="327">
        <f t="shared" si="26"/>
        <v>4008000</v>
      </c>
      <c r="E43" s="327">
        <f t="shared" si="26"/>
        <v>2960000</v>
      </c>
      <c r="F43" s="327">
        <f t="shared" si="26"/>
        <v>3351000</v>
      </c>
      <c r="G43" s="327">
        <f t="shared" si="26"/>
        <v>2729000</v>
      </c>
      <c r="H43" s="327">
        <f t="shared" si="26"/>
        <v>1808000</v>
      </c>
      <c r="I43" s="327">
        <f t="shared" si="26"/>
        <v>1622000</v>
      </c>
      <c r="J43" s="328">
        <f t="shared" si="26"/>
        <v>2944000</v>
      </c>
      <c r="K43" s="328">
        <f t="shared" si="16"/>
        <v>2944000</v>
      </c>
      <c r="L43" s="52"/>
      <c r="M43" s="52"/>
      <c r="N43" s="52"/>
      <c r="O43" s="52"/>
      <c r="P43" s="328">
        <f>+P92</f>
        <v>6500000</v>
      </c>
      <c r="Q43" s="327">
        <f aca="true" t="shared" si="27" ref="Q43:V43">+Q92</f>
        <v>6462000</v>
      </c>
      <c r="R43" s="327">
        <f t="shared" si="27"/>
        <v>6424000</v>
      </c>
      <c r="S43" s="327">
        <f t="shared" si="27"/>
        <v>6386000</v>
      </c>
      <c r="T43" s="327">
        <f t="shared" si="27"/>
        <v>6348000</v>
      </c>
      <c r="U43" s="327">
        <f t="shared" si="27"/>
        <v>6310000</v>
      </c>
      <c r="V43" s="327">
        <f t="shared" si="27"/>
        <v>6272000</v>
      </c>
      <c r="W43" s="327">
        <f>+W92</f>
        <v>5700000</v>
      </c>
    </row>
    <row r="44" spans="1:23" ht="12">
      <c r="A44">
        <f>ROW()</f>
        <v>44</v>
      </c>
      <c r="B44" s="54" t="s">
        <v>15</v>
      </c>
      <c r="C44" s="327">
        <f aca="true" t="shared" si="28" ref="C44:J44">+C106</f>
        <v>2076000</v>
      </c>
      <c r="D44" s="327">
        <f t="shared" si="28"/>
        <v>1621000</v>
      </c>
      <c r="E44" s="327">
        <f t="shared" si="28"/>
        <v>1824000</v>
      </c>
      <c r="F44" s="327">
        <f t="shared" si="28"/>
        <v>2471000</v>
      </c>
      <c r="G44" s="327">
        <f t="shared" si="28"/>
        <v>2954000</v>
      </c>
      <c r="H44" s="327">
        <f t="shared" si="28"/>
        <v>3137000</v>
      </c>
      <c r="I44" s="327">
        <f t="shared" si="28"/>
        <v>3360000</v>
      </c>
      <c r="J44" s="328">
        <f t="shared" si="28"/>
        <v>1525000</v>
      </c>
      <c r="K44" s="328">
        <f t="shared" si="16"/>
        <v>1525000</v>
      </c>
      <c r="L44" s="52"/>
      <c r="M44" s="52"/>
      <c r="N44" s="52"/>
      <c r="O44" s="52"/>
      <c r="P44" s="328">
        <f>+P106</f>
        <v>12421220</v>
      </c>
      <c r="Q44" s="327">
        <f aca="true" t="shared" si="29" ref="Q44:V44">+Q106</f>
        <v>12725637.700233996</v>
      </c>
      <c r="R44" s="327">
        <f t="shared" si="29"/>
        <v>13061691.79221937</v>
      </c>
      <c r="S44" s="327">
        <f t="shared" si="29"/>
        <v>13419069.133414926</v>
      </c>
      <c r="T44" s="327">
        <f t="shared" si="29"/>
        <v>13802666.069961503</v>
      </c>
      <c r="U44" s="327">
        <f t="shared" si="29"/>
        <v>14206315.088636983</v>
      </c>
      <c r="V44" s="327">
        <f t="shared" si="29"/>
        <v>14651773.44306835</v>
      </c>
      <c r="W44" s="327">
        <f>+W106</f>
        <v>15141210.88056527</v>
      </c>
    </row>
    <row r="45" spans="1:23" ht="12">
      <c r="A45">
        <f>ROW()</f>
        <v>45</v>
      </c>
      <c r="B45" s="54"/>
      <c r="C45" s="51"/>
      <c r="D45" s="51"/>
      <c r="E45" s="51"/>
      <c r="F45" s="51"/>
      <c r="G45" s="52"/>
      <c r="H45" s="52"/>
      <c r="I45" s="52"/>
      <c r="J45" s="56"/>
      <c r="K45" s="56"/>
      <c r="L45" s="52"/>
      <c r="M45" s="52"/>
      <c r="N45" s="52"/>
      <c r="O45" s="52"/>
      <c r="P45" s="56"/>
      <c r="Q45" s="52"/>
      <c r="R45" s="52"/>
      <c r="S45" s="52"/>
      <c r="T45" s="52"/>
      <c r="U45" s="52"/>
      <c r="V45" s="52"/>
      <c r="W45" s="52"/>
    </row>
    <row r="46" spans="1:23" ht="12">
      <c r="A46">
        <f>ROW()</f>
        <v>46</v>
      </c>
      <c r="B46" s="54" t="s">
        <v>180</v>
      </c>
      <c r="C46" s="58">
        <f aca="true" t="shared" si="30" ref="C46:I46">+C42/C33</f>
        <v>3.4434865900383143</v>
      </c>
      <c r="D46" s="58">
        <f t="shared" si="30"/>
        <v>4.250265111346765</v>
      </c>
      <c r="E46" s="58">
        <f t="shared" si="30"/>
        <v>10.102389078498293</v>
      </c>
      <c r="F46" s="58">
        <f t="shared" si="30"/>
        <v>3.9940405244338497</v>
      </c>
      <c r="G46" s="58">
        <f t="shared" si="30"/>
        <v>3.2449464922711058</v>
      </c>
      <c r="H46" s="58">
        <f t="shared" si="30"/>
        <v>1.6376811594202898</v>
      </c>
      <c r="I46" s="58">
        <f t="shared" si="30"/>
        <v>1.4290748898678414</v>
      </c>
      <c r="J46" s="113">
        <f>+J42/J33</f>
        <v>2.715867158671587</v>
      </c>
      <c r="K46" s="113">
        <f>+K42/K33</f>
        <v>2.715867158671587</v>
      </c>
      <c r="L46" s="52"/>
      <c r="M46" s="52"/>
      <c r="N46" s="52"/>
      <c r="O46" s="52"/>
      <c r="P46" s="113">
        <f>+P42/P33</f>
        <v>3.5055350553505535</v>
      </c>
      <c r="Q46" s="58">
        <f aca="true" t="shared" si="31" ref="Q46:V46">+Q42/Q33</f>
        <v>3.3390571437361984</v>
      </c>
      <c r="R46" s="58">
        <f t="shared" si="31"/>
        <v>3.1663320331157236</v>
      </c>
      <c r="S46" s="58">
        <f t="shared" si="31"/>
        <v>3.00040349698764</v>
      </c>
      <c r="T46" s="58">
        <f t="shared" si="31"/>
        <v>2.8400940850118697</v>
      </c>
      <c r="U46" s="58">
        <f t="shared" si="31"/>
        <v>2.6950203233687064</v>
      </c>
      <c r="V46" s="58">
        <f t="shared" si="31"/>
        <v>2.5570443957512876</v>
      </c>
      <c r="W46" s="58">
        <f>+W42/W33</f>
        <v>2.0592677888090516</v>
      </c>
    </row>
    <row r="47" spans="1:23" ht="12">
      <c r="A47">
        <f>ROW()</f>
        <v>47</v>
      </c>
      <c r="B47" s="54" t="s">
        <v>181</v>
      </c>
      <c r="C47" s="58">
        <f aca="true" t="shared" si="32" ref="C47:I47">+C43/C33</f>
        <v>3.4434865900383143</v>
      </c>
      <c r="D47" s="58">
        <f t="shared" si="32"/>
        <v>4.250265111346765</v>
      </c>
      <c r="E47" s="58">
        <f t="shared" si="32"/>
        <v>10.102389078498293</v>
      </c>
      <c r="F47" s="58">
        <f t="shared" si="32"/>
        <v>3.9940405244338497</v>
      </c>
      <c r="G47" s="58">
        <f t="shared" si="32"/>
        <v>3.2449464922711058</v>
      </c>
      <c r="H47" s="58">
        <f t="shared" si="32"/>
        <v>1.6376811594202898</v>
      </c>
      <c r="I47" s="58">
        <f t="shared" si="32"/>
        <v>1.4290748898678414</v>
      </c>
      <c r="J47" s="113">
        <f>+J43/J33</f>
        <v>2.715867158671587</v>
      </c>
      <c r="K47" s="113">
        <f>+K43/K33</f>
        <v>2.715867158671587</v>
      </c>
      <c r="L47" s="52"/>
      <c r="M47" s="52"/>
      <c r="N47" s="52"/>
      <c r="O47" s="52"/>
      <c r="P47" s="113">
        <f>+P43/P33</f>
        <v>5.996309963099631</v>
      </c>
      <c r="Q47" s="58">
        <f aca="true" t="shared" si="33" ref="Q47:V47">+Q43/Q33</f>
        <v>5.735509639240647</v>
      </c>
      <c r="R47" s="58">
        <f t="shared" si="33"/>
        <v>5.462007782152366</v>
      </c>
      <c r="S47" s="58">
        <f t="shared" si="33"/>
        <v>5.198203128530404</v>
      </c>
      <c r="T47" s="58">
        <f t="shared" si="33"/>
        <v>4.942137404510786</v>
      </c>
      <c r="U47" s="58">
        <f t="shared" si="33"/>
        <v>4.710686493201257</v>
      </c>
      <c r="V47" s="58">
        <f t="shared" si="33"/>
        <v>4.489860708329249</v>
      </c>
      <c r="W47" s="58">
        <f>+W43/W33</f>
        <v>3.9126087987371982</v>
      </c>
    </row>
    <row r="48" spans="1:23" ht="12">
      <c r="A48">
        <f>ROW()</f>
        <v>48</v>
      </c>
      <c r="B48" s="54"/>
      <c r="C48" s="58"/>
      <c r="D48" s="58"/>
      <c r="E48" s="58"/>
      <c r="F48" s="58"/>
      <c r="G48" s="58"/>
      <c r="H48" s="58"/>
      <c r="I48" s="58"/>
      <c r="J48" s="113"/>
      <c r="K48" s="113"/>
      <c r="L48" s="52"/>
      <c r="M48" s="52"/>
      <c r="N48" s="52"/>
      <c r="O48" s="52"/>
      <c r="P48" s="113"/>
      <c r="Q48" s="58"/>
      <c r="R48" s="58"/>
      <c r="S48" s="58"/>
      <c r="T48" s="58"/>
      <c r="U48" s="58"/>
      <c r="V48" s="58"/>
      <c r="W48" s="58"/>
    </row>
    <row r="49" spans="1:23" ht="12">
      <c r="A49">
        <f>ROW()</f>
        <v>49</v>
      </c>
      <c r="B49" s="54" t="s">
        <v>208</v>
      </c>
      <c r="C49" s="58">
        <f aca="true" t="shared" si="34" ref="C49:I49">+(C42-C41)/C33</f>
        <v>3.1005747126436782</v>
      </c>
      <c r="D49" s="58">
        <f>+(D42-D41)/D33</f>
        <v>3.735949098621421</v>
      </c>
      <c r="E49" s="58">
        <f t="shared" si="34"/>
        <v>9.64505119453925</v>
      </c>
      <c r="F49" s="58">
        <f t="shared" si="34"/>
        <v>3.033373063170441</v>
      </c>
      <c r="G49" s="58">
        <f t="shared" si="34"/>
        <v>2.4292508917954816</v>
      </c>
      <c r="H49" s="58">
        <f t="shared" si="34"/>
        <v>1.2182971014492754</v>
      </c>
      <c r="I49" s="58">
        <f t="shared" si="34"/>
        <v>0.7682819383259912</v>
      </c>
      <c r="J49" s="113">
        <f>+(J42-J41)/J33</f>
        <v>1.7758302583025831</v>
      </c>
      <c r="K49" s="113">
        <f>+(K42-K41)/K33</f>
        <v>1.7758302583025831</v>
      </c>
      <c r="L49" s="52"/>
      <c r="M49" s="52"/>
      <c r="N49" s="52"/>
      <c r="O49" s="52"/>
      <c r="P49" s="113">
        <f>+(P42-P41)/P33</f>
        <v>3.044280442804428</v>
      </c>
      <c r="Q49" s="58">
        <f aca="true" t="shared" si="35" ref="Q49:V49">+(Q42-Q41)/Q33</f>
        <v>2.711158723447811</v>
      </c>
      <c r="R49" s="58">
        <f t="shared" si="35"/>
        <v>2.334359719185475</v>
      </c>
      <c r="S49" s="58">
        <f t="shared" si="35"/>
        <v>1.9564971135847347</v>
      </c>
      <c r="T49" s="58">
        <f t="shared" si="35"/>
        <v>1.590474146953919</v>
      </c>
      <c r="U49" s="58">
        <f t="shared" si="35"/>
        <v>1.2519264735393438</v>
      </c>
      <c r="V49" s="58">
        <f t="shared" si="35"/>
        <v>0.9115763254048661</v>
      </c>
      <c r="W49" s="58">
        <f>+(W42-W41)/W33</f>
        <v>0.5698882924112251</v>
      </c>
    </row>
    <row r="50" spans="1:23" ht="12">
      <c r="A50">
        <f>ROW()</f>
        <v>50</v>
      </c>
      <c r="B50" s="54" t="s">
        <v>209</v>
      </c>
      <c r="C50" s="58">
        <f aca="true" t="shared" si="36" ref="C50:I50">+(C43-C41)/C33</f>
        <v>3.1005747126436782</v>
      </c>
      <c r="D50" s="58">
        <f>+(D43-D41)/D33</f>
        <v>3.735949098621421</v>
      </c>
      <c r="E50" s="58">
        <f t="shared" si="36"/>
        <v>9.64505119453925</v>
      </c>
      <c r="F50" s="58">
        <f t="shared" si="36"/>
        <v>3.033373063170441</v>
      </c>
      <c r="G50" s="58">
        <f t="shared" si="36"/>
        <v>2.4292508917954816</v>
      </c>
      <c r="H50" s="58">
        <f t="shared" si="36"/>
        <v>1.2182971014492754</v>
      </c>
      <c r="I50" s="58">
        <f t="shared" si="36"/>
        <v>0.7682819383259912</v>
      </c>
      <c r="J50" s="113">
        <f>+(J43-J41)/J33</f>
        <v>1.7758302583025831</v>
      </c>
      <c r="K50" s="113">
        <f>+(K43-K41)/K33</f>
        <v>1.7758302583025831</v>
      </c>
      <c r="L50" s="52"/>
      <c r="M50" s="52"/>
      <c r="N50" s="52"/>
      <c r="O50" s="52"/>
      <c r="P50" s="113">
        <f>+(P43-P41)/P33</f>
        <v>5.535055350553505</v>
      </c>
      <c r="Q50" s="58">
        <f aca="true" t="shared" si="37" ref="Q50:V50">+(Q43-Q41)/Q33</f>
        <v>5.107611218952259</v>
      </c>
      <c r="R50" s="58">
        <f t="shared" si="37"/>
        <v>4.6300354682221165</v>
      </c>
      <c r="S50" s="58">
        <f t="shared" si="37"/>
        <v>4.154296745127499</v>
      </c>
      <c r="T50" s="58">
        <f t="shared" si="37"/>
        <v>3.692517466452835</v>
      </c>
      <c r="U50" s="58">
        <f t="shared" si="37"/>
        <v>3.267592643371894</v>
      </c>
      <c r="V50" s="58">
        <f t="shared" si="37"/>
        <v>2.844392637982827</v>
      </c>
      <c r="W50" s="58">
        <f>+(W43-W41)/W33</f>
        <v>2.423229302339372</v>
      </c>
    </row>
    <row r="51" spans="1:23" ht="12">
      <c r="A51">
        <f>ROW()</f>
        <v>51</v>
      </c>
      <c r="B51" s="54"/>
      <c r="C51" s="58"/>
      <c r="D51" s="58"/>
      <c r="E51" s="58"/>
      <c r="F51" s="58"/>
      <c r="G51" s="58"/>
      <c r="H51" s="58"/>
      <c r="I51" s="58"/>
      <c r="J51" s="113"/>
      <c r="K51" s="113"/>
      <c r="L51" s="52"/>
      <c r="M51" s="52"/>
      <c r="N51" s="52"/>
      <c r="O51" s="52"/>
      <c r="P51" s="56"/>
      <c r="Q51" s="58"/>
      <c r="R51" s="58"/>
      <c r="S51" s="58"/>
      <c r="T51" s="58"/>
      <c r="U51" s="58"/>
      <c r="V51" s="58"/>
      <c r="W51" s="58"/>
    </row>
    <row r="52" spans="1:23" ht="12">
      <c r="A52">
        <f>ROW()</f>
        <v>52</v>
      </c>
      <c r="B52" s="54" t="s">
        <v>176</v>
      </c>
      <c r="C52" s="58">
        <f aca="true" t="shared" si="38" ref="C52:I52">+C33/C36</f>
        <v>6.214285714285714</v>
      </c>
      <c r="D52" s="58">
        <f t="shared" si="38"/>
        <v>4.4904761904761905</v>
      </c>
      <c r="E52" s="58">
        <f t="shared" si="38"/>
        <v>0.9898648648648649</v>
      </c>
      <c r="F52" s="58">
        <f t="shared" si="38"/>
        <v>2.8344594594594597</v>
      </c>
      <c r="G52" s="58">
        <f t="shared" si="38"/>
        <v>2.8412162162162162</v>
      </c>
      <c r="H52" s="58">
        <f t="shared" si="38"/>
        <v>3.72972972972973</v>
      </c>
      <c r="I52" s="58">
        <f t="shared" si="38"/>
        <v>4.809322033898305</v>
      </c>
      <c r="J52" s="113">
        <f>+J33/J36</f>
        <v>5.018518518518518</v>
      </c>
      <c r="K52" s="113">
        <f>+K33/K36</f>
        <v>5.018518518518518</v>
      </c>
      <c r="L52" s="52"/>
      <c r="M52" s="52"/>
      <c r="N52" s="52"/>
      <c r="O52" s="52"/>
      <c r="P52" s="56"/>
      <c r="Q52" s="58">
        <f aca="true" t="shared" si="39" ref="Q52:V52">+Q33/Q36</f>
        <v>2.7750378185647513</v>
      </c>
      <c r="R52" s="58">
        <f t="shared" si="39"/>
        <v>2.9254953758239775</v>
      </c>
      <c r="S52" s="58">
        <f t="shared" si="39"/>
        <v>2.969959714300029</v>
      </c>
      <c r="T52" s="58">
        <f t="shared" si="39"/>
        <v>3.0472844367338454</v>
      </c>
      <c r="U52" s="58">
        <f t="shared" si="39"/>
        <v>3.056790124745263</v>
      </c>
      <c r="V52" s="58">
        <f t="shared" si="39"/>
        <v>3.28140928928355</v>
      </c>
      <c r="W52" s="58">
        <f>+W33/W36</f>
        <v>3.5352868382378646</v>
      </c>
    </row>
    <row r="53" spans="1:23" ht="12">
      <c r="A53">
        <f>ROW()</f>
        <v>53</v>
      </c>
      <c r="B53" s="54" t="s">
        <v>178</v>
      </c>
      <c r="C53" s="58">
        <f aca="true" t="shared" si="40" ref="C53:I53">+(C33-C37)/C36</f>
        <v>4.571428571428571</v>
      </c>
      <c r="D53" s="58">
        <f t="shared" si="40"/>
        <v>2.2476190476190476</v>
      </c>
      <c r="E53" s="58">
        <f t="shared" si="40"/>
        <v>0.4222972972972973</v>
      </c>
      <c r="F53" s="58">
        <f t="shared" si="40"/>
        <v>2.1283783783783785</v>
      </c>
      <c r="G53" s="58">
        <f t="shared" si="40"/>
        <v>1.5168918918918919</v>
      </c>
      <c r="H53" s="58">
        <f t="shared" si="40"/>
        <v>2.5135135135135136</v>
      </c>
      <c r="I53" s="58">
        <f t="shared" si="40"/>
        <v>3.292372881355932</v>
      </c>
      <c r="J53" s="113">
        <f>+(J33-J37)/J36</f>
        <v>3.5231481481481484</v>
      </c>
      <c r="K53" s="113">
        <f>+(K33-K37)/K36</f>
        <v>3.5231481481481484</v>
      </c>
      <c r="L53" s="52"/>
      <c r="M53" s="52"/>
      <c r="N53" s="52"/>
      <c r="O53" s="52"/>
      <c r="P53" s="56"/>
      <c r="Q53" s="58">
        <f aca="true" t="shared" si="41" ref="Q53:V53">+(Q33-Q37)/Q36</f>
        <v>1.9540141958043684</v>
      </c>
      <c r="R53" s="58">
        <f t="shared" si="41"/>
        <v>2.0630172491851324</v>
      </c>
      <c r="S53" s="58">
        <f t="shared" si="41"/>
        <v>2.091198886776126</v>
      </c>
      <c r="T53" s="58">
        <f t="shared" si="41"/>
        <v>2.143870719976761</v>
      </c>
      <c r="U53" s="58">
        <f t="shared" si="41"/>
        <v>2.151781124337426</v>
      </c>
      <c r="V53" s="58">
        <f t="shared" si="41"/>
        <v>2.310894829492304</v>
      </c>
      <c r="W53" s="58">
        <f>+(W33-W37)/W36</f>
        <v>2.4904255526730132</v>
      </c>
    </row>
    <row r="54" spans="1:23" ht="12">
      <c r="A54">
        <f>ROW()</f>
        <v>54</v>
      </c>
      <c r="B54" s="54" t="s">
        <v>179</v>
      </c>
      <c r="C54" s="55">
        <f aca="true" t="shared" si="42" ref="C54:I54">+C43/(C44+C43)</f>
        <v>0.6339269970022924</v>
      </c>
      <c r="D54" s="55">
        <f t="shared" si="42"/>
        <v>0.7120270030200746</v>
      </c>
      <c r="E54" s="55">
        <f t="shared" si="42"/>
        <v>0.6187290969899666</v>
      </c>
      <c r="F54" s="55">
        <f t="shared" si="42"/>
        <v>0.5755754036413604</v>
      </c>
      <c r="G54" s="55">
        <f t="shared" si="42"/>
        <v>0.48020411754355097</v>
      </c>
      <c r="H54" s="55">
        <f t="shared" si="42"/>
        <v>0.36562184024266936</v>
      </c>
      <c r="I54" s="55">
        <f t="shared" si="42"/>
        <v>0.32557205941389</v>
      </c>
      <c r="J54" s="57">
        <f>+J43/(J44+J43)</f>
        <v>0.6587603490713806</v>
      </c>
      <c r="K54" s="57">
        <f>+K43/(K44+K43)</f>
        <v>0.6587603490713806</v>
      </c>
      <c r="L54" s="52"/>
      <c r="M54" s="52"/>
      <c r="N54" s="52"/>
      <c r="O54" s="52"/>
      <c r="P54" s="56"/>
      <c r="Q54" s="55">
        <f aca="true" t="shared" si="43" ref="Q54:V54">+Q43/(Q44+Q43)</f>
        <v>0.33677934204069293</v>
      </c>
      <c r="R54" s="55">
        <f t="shared" si="43"/>
        <v>0.3296777999211247</v>
      </c>
      <c r="S54" s="55">
        <f t="shared" si="43"/>
        <v>0.32244270176394396</v>
      </c>
      <c r="T54" s="55">
        <f t="shared" si="43"/>
        <v>0.3150268074494536</v>
      </c>
      <c r="U54" s="55">
        <f t="shared" si="43"/>
        <v>0.30756010388506905</v>
      </c>
      <c r="V54" s="55">
        <f t="shared" si="43"/>
        <v>0.2997547271798527</v>
      </c>
      <c r="W54" s="55">
        <f>+W43/(W44+W43)</f>
        <v>0.2734965848512829</v>
      </c>
    </row>
    <row r="55" spans="1:23" ht="12">
      <c r="A55">
        <f>ROW()</f>
        <v>55</v>
      </c>
      <c r="B55" s="54"/>
      <c r="C55" s="51"/>
      <c r="D55" s="51"/>
      <c r="E55" s="51"/>
      <c r="F55" s="51"/>
      <c r="G55" s="52"/>
      <c r="H55" s="52"/>
      <c r="I55" s="52"/>
      <c r="J55" s="56"/>
      <c r="K55" s="56"/>
      <c r="L55" s="52"/>
      <c r="M55" s="52"/>
      <c r="N55" s="52"/>
      <c r="O55" s="52"/>
      <c r="P55" s="56"/>
      <c r="Q55" s="52"/>
      <c r="R55" s="52"/>
      <c r="S55" s="52"/>
      <c r="T55" s="52"/>
      <c r="U55" s="52"/>
      <c r="V55" s="52"/>
      <c r="W55" s="52"/>
    </row>
    <row r="56" spans="2:23" ht="12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2:23" ht="18">
      <c r="B57" s="62" t="s">
        <v>183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3:23" ht="17.25" customHeight="1">
      <c r="C58" s="8" t="s">
        <v>27</v>
      </c>
      <c r="D58" s="8"/>
      <c r="E58" s="8"/>
      <c r="F58" s="8"/>
      <c r="G58" s="8"/>
      <c r="H58" s="8"/>
      <c r="I58" s="8"/>
      <c r="J58" s="8"/>
      <c r="K58" s="8"/>
      <c r="L58" s="33"/>
      <c r="M58" s="33" t="s">
        <v>211</v>
      </c>
      <c r="N58" s="8"/>
      <c r="O58" s="8"/>
      <c r="P58" s="8" t="s">
        <v>28</v>
      </c>
      <c r="Q58" s="8"/>
      <c r="R58" s="8"/>
      <c r="S58" s="8"/>
      <c r="T58" s="8"/>
      <c r="U58" s="8"/>
      <c r="V58" s="8"/>
      <c r="W58" s="8"/>
    </row>
    <row r="59" spans="3:23" ht="15" customHeight="1" thickBot="1">
      <c r="C59" s="107">
        <f>+Input!F44</f>
        <v>39447</v>
      </c>
      <c r="D59" s="107">
        <f>+Input!G44</f>
        <v>39813</v>
      </c>
      <c r="E59" s="107">
        <f>+Input!H44</f>
        <v>40178</v>
      </c>
      <c r="F59" s="107">
        <f>+Input!I44</f>
        <v>40543</v>
      </c>
      <c r="G59" s="107">
        <f>+Input!J44</f>
        <v>40908</v>
      </c>
      <c r="H59" s="107">
        <f>+Input!K44</f>
        <v>41274</v>
      </c>
      <c r="I59" s="107">
        <f>+Input!L44</f>
        <v>41639</v>
      </c>
      <c r="J59" s="107">
        <f>+Input!M44</f>
        <v>42004</v>
      </c>
      <c r="K59" s="359">
        <f>+K29</f>
        <v>42004</v>
      </c>
      <c r="L59" s="33" t="s">
        <v>151</v>
      </c>
      <c r="M59" s="6" t="s">
        <v>25</v>
      </c>
      <c r="N59" s="6" t="s">
        <v>26</v>
      </c>
      <c r="O59" s="8"/>
      <c r="P59" s="107">
        <f>+K59</f>
        <v>42004</v>
      </c>
      <c r="Q59" s="107">
        <f aca="true" t="shared" si="44" ref="Q59:V59">+P59+365</f>
        <v>42369</v>
      </c>
      <c r="R59" s="107">
        <f t="shared" si="44"/>
        <v>42734</v>
      </c>
      <c r="S59" s="107">
        <f t="shared" si="44"/>
        <v>43099</v>
      </c>
      <c r="T59" s="107">
        <f t="shared" si="44"/>
        <v>43464</v>
      </c>
      <c r="U59" s="107">
        <f t="shared" si="44"/>
        <v>43829</v>
      </c>
      <c r="V59" s="107">
        <f t="shared" si="44"/>
        <v>44194</v>
      </c>
      <c r="W59" s="107">
        <f>+V59+365</f>
        <v>44559</v>
      </c>
    </row>
    <row r="60" spans="1:16" ht="12.75">
      <c r="A60">
        <f>ROW()</f>
        <v>60</v>
      </c>
      <c r="B60" s="2" t="s">
        <v>29</v>
      </c>
      <c r="K60" s="43"/>
      <c r="L60" s="8"/>
      <c r="M60" s="47"/>
      <c r="N60" s="47"/>
      <c r="O60" s="8"/>
      <c r="P60" s="43"/>
    </row>
    <row r="61" spans="1:23" ht="12.75">
      <c r="A61">
        <f>ROW()</f>
        <v>61</v>
      </c>
      <c r="B61" t="s">
        <v>3</v>
      </c>
      <c r="C61" s="292">
        <f>+Input!F47</f>
        <v>358000</v>
      </c>
      <c r="D61" s="292">
        <f>+Input!G47</f>
        <v>485000</v>
      </c>
      <c r="E61" s="292">
        <f>+Input!H47</f>
        <v>134000</v>
      </c>
      <c r="F61" s="292">
        <f>+Input!I47</f>
        <v>806000</v>
      </c>
      <c r="G61" s="292">
        <f>+Input!J47</f>
        <v>686000</v>
      </c>
      <c r="H61" s="292">
        <f>+Input!K47</f>
        <v>463000</v>
      </c>
      <c r="I61" s="292">
        <f>+Input!L47</f>
        <v>750000</v>
      </c>
      <c r="J61" s="292">
        <f>+Input!M47</f>
        <v>1019000</v>
      </c>
      <c r="K61" s="301">
        <f>+J61</f>
        <v>1019000</v>
      </c>
      <c r="L61" s="8"/>
      <c r="M61" s="47">
        <f>-G7</f>
        <v>-519000</v>
      </c>
      <c r="N61" s="47"/>
      <c r="P61" s="296">
        <f>+K61+M61-N61</f>
        <v>500000</v>
      </c>
      <c r="Q61" s="47">
        <f aca="true" t="shared" si="45" ref="Q61:V61">+P61</f>
        <v>500000</v>
      </c>
      <c r="R61" s="47">
        <f t="shared" si="45"/>
        <v>500000</v>
      </c>
      <c r="S61" s="47">
        <f t="shared" si="45"/>
        <v>500000</v>
      </c>
      <c r="T61" s="47">
        <f t="shared" si="45"/>
        <v>500000</v>
      </c>
      <c r="U61" s="47">
        <f t="shared" si="45"/>
        <v>500000</v>
      </c>
      <c r="V61" s="47">
        <f t="shared" si="45"/>
        <v>500000</v>
      </c>
      <c r="W61" s="47">
        <f>+V61</f>
        <v>500000</v>
      </c>
    </row>
    <row r="62" spans="1:23" ht="12">
      <c r="A62">
        <f>ROW()</f>
        <v>62</v>
      </c>
      <c r="B62" t="s">
        <v>30</v>
      </c>
      <c r="C62" s="292">
        <f>+Input!F48</f>
        <v>0</v>
      </c>
      <c r="D62" s="292">
        <f>+Input!G48</f>
        <v>0</v>
      </c>
      <c r="E62" s="292">
        <f>+Input!H48</f>
        <v>0</v>
      </c>
      <c r="F62" s="292">
        <f>+Input!I48</f>
        <v>0</v>
      </c>
      <c r="G62" s="292">
        <f>+Input!J48</f>
        <v>0</v>
      </c>
      <c r="H62" s="292">
        <f>+Input!K48</f>
        <v>0</v>
      </c>
      <c r="I62" s="292">
        <f>+Input!L48</f>
        <v>0</v>
      </c>
      <c r="J62" s="292">
        <f>+Input!M48</f>
        <v>0</v>
      </c>
      <c r="K62" s="301">
        <f>+J62</f>
        <v>0</v>
      </c>
      <c r="M62" s="47"/>
      <c r="N62" s="47"/>
      <c r="P62" s="296">
        <f>+K62+M62-N62</f>
        <v>0</v>
      </c>
      <c r="Q62" s="47">
        <f aca="true" t="shared" si="46" ref="Q62:W62">+P62+Q216</f>
        <v>207431.39618203975</v>
      </c>
      <c r="R62" s="47">
        <f t="shared" si="46"/>
        <v>478502.84324967134</v>
      </c>
      <c r="S62" s="47">
        <f t="shared" si="46"/>
        <v>782440.4894495963</v>
      </c>
      <c r="T62" s="47">
        <f t="shared" si="46"/>
        <v>1105092.4362304541</v>
      </c>
      <c r="U62" s="47">
        <f t="shared" si="46"/>
        <v>1433035.0694246977</v>
      </c>
      <c r="V62" s="47">
        <f t="shared" si="46"/>
        <v>1798595.9716004506</v>
      </c>
      <c r="W62" s="47">
        <f t="shared" si="46"/>
        <v>1669770.494869715</v>
      </c>
    </row>
    <row r="63" spans="1:23" ht="12">
      <c r="A63">
        <f>ROW()</f>
        <v>63</v>
      </c>
      <c r="B63" t="s">
        <v>31</v>
      </c>
      <c r="C63" s="292">
        <f>+Input!F49</f>
        <v>616000</v>
      </c>
      <c r="D63" s="292">
        <f>+Input!G49</f>
        <v>552000</v>
      </c>
      <c r="E63" s="292">
        <f>+Input!H49</f>
        <v>445000</v>
      </c>
      <c r="F63" s="292">
        <f>+Input!I49</f>
        <v>887000</v>
      </c>
      <c r="G63" s="292">
        <f>+Input!J49</f>
        <v>911000</v>
      </c>
      <c r="H63" s="292">
        <f>+Input!K49</f>
        <v>941000</v>
      </c>
      <c r="I63" s="292">
        <f>+Input!L49</f>
        <v>908000</v>
      </c>
      <c r="J63" s="292">
        <f>+Input!M49</f>
        <v>907000</v>
      </c>
      <c r="K63" s="301">
        <f>+J63</f>
        <v>907000</v>
      </c>
      <c r="M63" s="47"/>
      <c r="N63" s="47"/>
      <c r="P63" s="296">
        <f>+K63+M63-N63</f>
        <v>907000</v>
      </c>
      <c r="Q63" s="47">
        <f aca="true" t="shared" si="47" ref="Q63:V63">+Q347/365*Q231</f>
        <v>924573.0302523817</v>
      </c>
      <c r="R63" s="47">
        <f t="shared" si="47"/>
        <v>961748.2967073374</v>
      </c>
      <c r="S63" s="47">
        <f t="shared" si="47"/>
        <v>1008220.0575711182</v>
      </c>
      <c r="T63" s="47">
        <f t="shared" si="47"/>
        <v>1056222.2777979476</v>
      </c>
      <c r="U63" s="47">
        <f t="shared" si="47"/>
        <v>1099998.1845593057</v>
      </c>
      <c r="V63" s="47">
        <f t="shared" si="47"/>
        <v>1145972.8363361163</v>
      </c>
      <c r="W63" s="47">
        <f>+W347/365*W231</f>
        <v>1194268.4088024134</v>
      </c>
    </row>
    <row r="64" spans="1:23" ht="12">
      <c r="A64">
        <f>ROW()</f>
        <v>64</v>
      </c>
      <c r="B64" t="s">
        <v>32</v>
      </c>
      <c r="C64" s="292">
        <f>+Input!F50</f>
        <v>714000</v>
      </c>
      <c r="D64" s="292">
        <f>+Input!G50</f>
        <v>986000</v>
      </c>
      <c r="E64" s="292">
        <f>+Input!H50</f>
        <v>783000</v>
      </c>
      <c r="F64" s="292">
        <f>+Input!I50</f>
        <v>802000</v>
      </c>
      <c r="G64" s="292">
        <f>+Input!J50</f>
        <v>812000</v>
      </c>
      <c r="H64" s="292">
        <f>+Input!K50</f>
        <v>361000</v>
      </c>
      <c r="I64" s="292">
        <f>+Input!L50</f>
        <v>217000</v>
      </c>
      <c r="J64" s="292">
        <f>+Input!M50</f>
        <v>236000</v>
      </c>
      <c r="K64" s="301">
        <f>+J64</f>
        <v>236000</v>
      </c>
      <c r="M64" s="47"/>
      <c r="N64" s="47"/>
      <c r="P64" s="296">
        <f>+K64+M64-N64</f>
        <v>236000</v>
      </c>
      <c r="Q64" s="47">
        <f aca="true" t="shared" si="48" ref="Q64:W64">+Q120/Q348</f>
        <v>237180</v>
      </c>
      <c r="R64" s="47">
        <f t="shared" si="48"/>
        <v>246065.40000000002</v>
      </c>
      <c r="S64" s="47">
        <f t="shared" si="48"/>
        <v>258652.69600000005</v>
      </c>
      <c r="T64" s="47">
        <f t="shared" si="48"/>
        <v>271363.09904000006</v>
      </c>
      <c r="U64" s="47">
        <f t="shared" si="48"/>
        <v>282326.8886416001</v>
      </c>
      <c r="V64" s="47">
        <f t="shared" si="48"/>
        <v>293902.4226988641</v>
      </c>
      <c r="W64" s="47">
        <f t="shared" si="48"/>
        <v>306127.0234393346</v>
      </c>
    </row>
    <row r="65" spans="1:23" ht="12">
      <c r="A65">
        <f>ROW()</f>
        <v>65</v>
      </c>
      <c r="B65" t="s">
        <v>33</v>
      </c>
      <c r="C65" s="294">
        <f>+Input!F51</f>
        <v>136000</v>
      </c>
      <c r="D65" s="294">
        <f>+Input!G51</f>
        <v>143000</v>
      </c>
      <c r="E65" s="294">
        <f>+Input!H51</f>
        <v>127000</v>
      </c>
      <c r="F65" s="294">
        <f>+Input!I51</f>
        <v>126000</v>
      </c>
      <c r="G65" s="294">
        <f>+Input!J51</f>
        <v>125000</v>
      </c>
      <c r="H65" s="294">
        <f>+Input!K51</f>
        <v>124000</v>
      </c>
      <c r="I65" s="294">
        <f>+Input!L51</f>
        <v>121000</v>
      </c>
      <c r="J65" s="294">
        <f>+Input!M51</f>
        <v>159000</v>
      </c>
      <c r="K65" s="297">
        <f>+J65</f>
        <v>159000</v>
      </c>
      <c r="M65" s="47"/>
      <c r="N65" s="47"/>
      <c r="P65" s="324">
        <f>+K65+M65-N65</f>
        <v>159000</v>
      </c>
      <c r="Q65" s="350">
        <f aca="true" t="shared" si="49" ref="Q65:V65">+Q349*Q231</f>
        <v>162080.60839043956</v>
      </c>
      <c r="R65" s="50">
        <f t="shared" si="49"/>
        <v>168597.55146247701</v>
      </c>
      <c r="S65" s="50">
        <f t="shared" si="49"/>
        <v>176744.19972856427</v>
      </c>
      <c r="T65" s="50">
        <f t="shared" si="49"/>
        <v>185159.14241441418</v>
      </c>
      <c r="U65" s="50">
        <f t="shared" si="49"/>
        <v>192833.19883674706</v>
      </c>
      <c r="V65" s="50">
        <f t="shared" si="49"/>
        <v>200892.70229045476</v>
      </c>
      <c r="W65" s="50">
        <f>+W349*W231</f>
        <v>209359.07056183435</v>
      </c>
    </row>
    <row r="66" spans="1:23" ht="12">
      <c r="A66">
        <f>ROW()</f>
        <v>66</v>
      </c>
      <c r="B66" t="s">
        <v>34</v>
      </c>
      <c r="C66" s="47">
        <f aca="true" t="shared" si="50" ref="C66:K66">SUM(C60:C65)</f>
        <v>1824000</v>
      </c>
      <c r="D66" s="47">
        <f t="shared" si="50"/>
        <v>2166000</v>
      </c>
      <c r="E66" s="47">
        <f t="shared" si="50"/>
        <v>1489000</v>
      </c>
      <c r="F66" s="47">
        <f t="shared" si="50"/>
        <v>2621000</v>
      </c>
      <c r="G66" s="47">
        <f t="shared" si="50"/>
        <v>2534000</v>
      </c>
      <c r="H66" s="47">
        <f t="shared" si="50"/>
        <v>1889000</v>
      </c>
      <c r="I66" s="47">
        <f t="shared" si="50"/>
        <v>1996000</v>
      </c>
      <c r="J66" s="47">
        <f t="shared" si="50"/>
        <v>2321000</v>
      </c>
      <c r="K66" s="296">
        <f t="shared" si="50"/>
        <v>2321000</v>
      </c>
      <c r="M66" s="47"/>
      <c r="N66" s="47"/>
      <c r="P66" s="296">
        <f aca="true" t="shared" si="51" ref="P66:W66">SUM(P60:P65)</f>
        <v>1802000</v>
      </c>
      <c r="Q66" s="47">
        <f t="shared" si="51"/>
        <v>2031265.034824861</v>
      </c>
      <c r="R66" s="47">
        <f t="shared" si="51"/>
        <v>2354914.091419486</v>
      </c>
      <c r="S66" s="47">
        <f t="shared" si="51"/>
        <v>2726057.442749279</v>
      </c>
      <c r="T66" s="47">
        <f t="shared" si="51"/>
        <v>3117836.9554828163</v>
      </c>
      <c r="U66" s="47">
        <f t="shared" si="51"/>
        <v>3508193.3414623505</v>
      </c>
      <c r="V66" s="47">
        <f t="shared" si="51"/>
        <v>3939363.932925886</v>
      </c>
      <c r="W66" s="47">
        <f t="shared" si="51"/>
        <v>3879524.9976732973</v>
      </c>
    </row>
    <row r="67" spans="1:23" ht="12">
      <c r="A67">
        <f>ROW()</f>
        <v>67</v>
      </c>
      <c r="C67" s="47"/>
      <c r="D67" s="47"/>
      <c r="E67" s="47"/>
      <c r="F67" s="47"/>
      <c r="G67" s="47"/>
      <c r="H67" s="47"/>
      <c r="I67" s="47"/>
      <c r="J67" s="47"/>
      <c r="K67" s="296"/>
      <c r="M67" s="47"/>
      <c r="N67" s="47"/>
      <c r="P67" s="296"/>
      <c r="Q67" s="47"/>
      <c r="R67" s="47"/>
      <c r="S67" s="47"/>
      <c r="T67" s="47"/>
      <c r="U67" s="47"/>
      <c r="V67" s="47"/>
      <c r="W67" s="47"/>
    </row>
    <row r="68" spans="1:23" ht="12">
      <c r="A68">
        <f>ROW()</f>
        <v>68</v>
      </c>
      <c r="B68" t="s">
        <v>35</v>
      </c>
      <c r="C68" s="292">
        <f>+Input!F55</f>
        <v>3850000</v>
      </c>
      <c r="D68" s="292">
        <f>+Input!G55</f>
        <v>3609000</v>
      </c>
      <c r="E68" s="292">
        <f>+Input!H55</f>
        <v>3421000</v>
      </c>
      <c r="F68" s="292">
        <f>+Input!I55</f>
        <v>3323000</v>
      </c>
      <c r="G68" s="292">
        <f>+Input!J55</f>
        <v>3274000</v>
      </c>
      <c r="H68" s="292">
        <f>+Input!K55</f>
        <v>3198000</v>
      </c>
      <c r="I68" s="292">
        <f>+Input!L55</f>
        <v>3034000</v>
      </c>
      <c r="J68" s="292">
        <f>+Input!M55</f>
        <v>2634000</v>
      </c>
      <c r="K68" s="301">
        <f>+J68</f>
        <v>2634000</v>
      </c>
      <c r="M68" s="47"/>
      <c r="N68" s="47"/>
      <c r="P68" s="296">
        <f>+K68+M68-N68</f>
        <v>2634000</v>
      </c>
      <c r="Q68" s="47">
        <f aca="true" t="shared" si="52" ref="Q68:W68">+P68-Q194</f>
        <v>2967335.5908407154</v>
      </c>
      <c r="R68" s="47">
        <f t="shared" si="52"/>
        <v>3314073.951395621</v>
      </c>
      <c r="S68" s="47">
        <f t="shared" si="52"/>
        <v>3677566.739516631</v>
      </c>
      <c r="T68" s="47">
        <f t="shared" si="52"/>
        <v>4058365.73051986</v>
      </c>
      <c r="U68" s="47">
        <f t="shared" si="52"/>
        <v>4454947.214919963</v>
      </c>
      <c r="V68" s="47">
        <f t="shared" si="52"/>
        <v>4868103.904536181</v>
      </c>
      <c r="W68" s="47">
        <f t="shared" si="52"/>
        <v>5298672.559087878</v>
      </c>
    </row>
    <row r="69" spans="1:23" ht="12">
      <c r="A69">
        <f>ROW()</f>
        <v>69</v>
      </c>
      <c r="B69" t="s">
        <v>36</v>
      </c>
      <c r="C69" s="295"/>
      <c r="D69" s="295"/>
      <c r="E69" s="295"/>
      <c r="F69" s="295"/>
      <c r="G69" s="295"/>
      <c r="H69" s="295"/>
      <c r="I69" s="295"/>
      <c r="J69" s="295"/>
      <c r="K69" s="297"/>
      <c r="M69" s="47"/>
      <c r="N69" s="47"/>
      <c r="P69" s="324"/>
      <c r="Q69" s="350">
        <f aca="true" t="shared" si="53" ref="Q69:V69">+P69-Q133</f>
        <v>-204894.35400300854</v>
      </c>
      <c r="R69" s="50">
        <f t="shared" si="53"/>
        <v>-418027.10773859266</v>
      </c>
      <c r="S69" s="50">
        <f t="shared" si="53"/>
        <v>-641458.4545652682</v>
      </c>
      <c r="T69" s="50">
        <f t="shared" si="53"/>
        <v>-875527.5591268862</v>
      </c>
      <c r="U69" s="50">
        <f t="shared" si="53"/>
        <v>-1119297.8293544722</v>
      </c>
      <c r="V69" s="50">
        <f t="shared" si="53"/>
        <v>-1373256.528476368</v>
      </c>
      <c r="W69" s="50">
        <f>+V69-W133</f>
        <v>-1637917.995035668</v>
      </c>
    </row>
    <row r="70" spans="1:23" ht="12">
      <c r="A70">
        <f>ROW()</f>
        <v>70</v>
      </c>
      <c r="B70" t="s">
        <v>37</v>
      </c>
      <c r="C70" s="298">
        <f aca="true" t="shared" si="54" ref="C70:K70">SUM(C68:C69)</f>
        <v>3850000</v>
      </c>
      <c r="D70" s="298">
        <f t="shared" si="54"/>
        <v>3609000</v>
      </c>
      <c r="E70" s="298">
        <f t="shared" si="54"/>
        <v>3421000</v>
      </c>
      <c r="F70" s="298">
        <f t="shared" si="54"/>
        <v>3323000</v>
      </c>
      <c r="G70" s="298">
        <f t="shared" si="54"/>
        <v>3274000</v>
      </c>
      <c r="H70" s="298">
        <f t="shared" si="54"/>
        <v>3198000</v>
      </c>
      <c r="I70" s="298">
        <f t="shared" si="54"/>
        <v>3034000</v>
      </c>
      <c r="J70" s="298">
        <f t="shared" si="54"/>
        <v>2634000</v>
      </c>
      <c r="K70" s="299">
        <f t="shared" si="54"/>
        <v>2634000</v>
      </c>
      <c r="M70" s="47"/>
      <c r="N70" s="47"/>
      <c r="P70" s="296">
        <f>+K70+M70-N70</f>
        <v>2634000</v>
      </c>
      <c r="Q70" s="47">
        <f aca="true" t="shared" si="55" ref="Q70:W70">SUM(Q68:Q69)</f>
        <v>2762441.236837707</v>
      </c>
      <c r="R70" s="47">
        <f t="shared" si="55"/>
        <v>2896046.8436570284</v>
      </c>
      <c r="S70" s="47">
        <f t="shared" si="55"/>
        <v>3036108.2849513628</v>
      </c>
      <c r="T70" s="47">
        <f t="shared" si="55"/>
        <v>3182838.171392974</v>
      </c>
      <c r="U70" s="47">
        <f t="shared" si="55"/>
        <v>3335649.3855654905</v>
      </c>
      <c r="V70" s="47">
        <f t="shared" si="55"/>
        <v>3494847.3760598134</v>
      </c>
      <c r="W70" s="47">
        <f t="shared" si="55"/>
        <v>3660754.56405221</v>
      </c>
    </row>
    <row r="71" spans="1:23" ht="12">
      <c r="A71">
        <f>ROW()</f>
        <v>71</v>
      </c>
      <c r="C71" s="47"/>
      <c r="D71" s="47"/>
      <c r="E71" s="47"/>
      <c r="F71" s="47"/>
      <c r="G71" s="47"/>
      <c r="H71" s="47"/>
      <c r="I71" s="47"/>
      <c r="J71" s="47"/>
      <c r="K71" s="296"/>
      <c r="M71" s="47"/>
      <c r="N71" s="47"/>
      <c r="P71" s="296"/>
      <c r="Q71" s="47"/>
      <c r="R71" s="47"/>
      <c r="S71" s="47"/>
      <c r="T71" s="47"/>
      <c r="U71" s="47"/>
      <c r="V71" s="47"/>
      <c r="W71" s="47"/>
    </row>
    <row r="72" spans="1:23" ht="12">
      <c r="A72">
        <f>ROW()</f>
        <v>72</v>
      </c>
      <c r="B72" t="s">
        <v>159</v>
      </c>
      <c r="C72" s="47"/>
      <c r="D72" s="47"/>
      <c r="E72" s="47"/>
      <c r="F72" s="47"/>
      <c r="G72" s="47"/>
      <c r="H72" s="47"/>
      <c r="I72" s="47"/>
      <c r="J72" s="47"/>
      <c r="K72" s="296"/>
      <c r="M72" s="47">
        <f>+T11</f>
        <v>566220</v>
      </c>
      <c r="N72" s="47"/>
      <c r="P72" s="296">
        <f>+K72+M72-N72</f>
        <v>566220</v>
      </c>
      <c r="Q72" s="293">
        <f aca="true" t="shared" si="56" ref="Q72:W72">P72-($P$72/$M$10)</f>
        <v>485331.4285714286</v>
      </c>
      <c r="R72" s="293">
        <f t="shared" si="56"/>
        <v>404442.85714285716</v>
      </c>
      <c r="S72" s="293">
        <f t="shared" si="56"/>
        <v>323554.28571428574</v>
      </c>
      <c r="T72" s="293">
        <f t="shared" si="56"/>
        <v>242665.71428571432</v>
      </c>
      <c r="U72" s="293">
        <f t="shared" si="56"/>
        <v>161777.1428571429</v>
      </c>
      <c r="V72" s="293">
        <f t="shared" si="56"/>
        <v>80888.57142857146</v>
      </c>
      <c r="W72" s="293">
        <f t="shared" si="56"/>
        <v>0</v>
      </c>
    </row>
    <row r="73" spans="1:23" ht="12">
      <c r="A73">
        <f>ROW()</f>
        <v>73</v>
      </c>
      <c r="B73" t="s">
        <v>154</v>
      </c>
      <c r="C73" s="292">
        <f>+Input!F56</f>
        <v>2302000</v>
      </c>
      <c r="D73" s="292">
        <f>+Input!G56</f>
        <v>1639000</v>
      </c>
      <c r="E73" s="292">
        <f>+Input!H56</f>
        <v>0</v>
      </c>
      <c r="F73" s="292">
        <f>+Input!I56</f>
        <v>0</v>
      </c>
      <c r="G73" s="292">
        <f>+Input!J56</f>
        <v>0</v>
      </c>
      <c r="H73" s="292">
        <f>+Input!K56</f>
        <v>0</v>
      </c>
      <c r="I73" s="292">
        <f>+Input!L56</f>
        <v>0</v>
      </c>
      <c r="J73" s="292">
        <f>+Input!M56</f>
        <v>0</v>
      </c>
      <c r="K73" s="301">
        <f>+J73</f>
        <v>0</v>
      </c>
      <c r="M73" s="47">
        <f>+N108-SUM(M60:M72)-SUM(M74:M107)</f>
        <v>14405000</v>
      </c>
      <c r="N73" s="47"/>
      <c r="P73" s="296">
        <f>+K73+M73-N73</f>
        <v>14405000</v>
      </c>
      <c r="Q73" s="47">
        <f aca="true" t="shared" si="57" ref="Q73:V75">+P73</f>
        <v>14405000</v>
      </c>
      <c r="R73" s="47">
        <f t="shared" si="57"/>
        <v>14405000</v>
      </c>
      <c r="S73" s="47">
        <f t="shared" si="57"/>
        <v>14405000</v>
      </c>
      <c r="T73" s="47">
        <f t="shared" si="57"/>
        <v>14405000</v>
      </c>
      <c r="U73" s="47">
        <f t="shared" si="57"/>
        <v>14405000</v>
      </c>
      <c r="V73" s="47">
        <f t="shared" si="57"/>
        <v>14405000</v>
      </c>
      <c r="W73" s="47">
        <f>+V73</f>
        <v>14405000</v>
      </c>
    </row>
    <row r="74" spans="1:23" ht="12">
      <c r="A74">
        <f>ROW()</f>
        <v>74</v>
      </c>
      <c r="B74" t="s">
        <v>153</v>
      </c>
      <c r="C74" s="292">
        <f>+Input!F57</f>
        <v>0</v>
      </c>
      <c r="D74" s="292">
        <f>+Input!G57</f>
        <v>596000</v>
      </c>
      <c r="E74" s="292">
        <f>+Input!H57</f>
        <v>2063000</v>
      </c>
      <c r="F74" s="292">
        <f>+Input!I57</f>
        <v>2067000</v>
      </c>
      <c r="G74" s="292">
        <f>+Input!J57</f>
        <v>2053000</v>
      </c>
      <c r="H74" s="292">
        <f>+Input!K57</f>
        <v>2025000</v>
      </c>
      <c r="I74" s="292">
        <f>+Input!L57</f>
        <v>2032000</v>
      </c>
      <c r="J74" s="292">
        <f>+Input!M57</f>
        <v>1956000</v>
      </c>
      <c r="K74" s="301">
        <f>+J74</f>
        <v>1956000</v>
      </c>
      <c r="M74" s="47"/>
      <c r="N74" s="47"/>
      <c r="P74" s="296">
        <f>+K74+M74-N74</f>
        <v>1956000</v>
      </c>
      <c r="Q74" s="47">
        <f t="shared" si="57"/>
        <v>1956000</v>
      </c>
      <c r="R74" s="47">
        <f t="shared" si="57"/>
        <v>1956000</v>
      </c>
      <c r="S74" s="47">
        <f t="shared" si="57"/>
        <v>1956000</v>
      </c>
      <c r="T74" s="47">
        <f t="shared" si="57"/>
        <v>1956000</v>
      </c>
      <c r="U74" s="47">
        <f t="shared" si="57"/>
        <v>1956000</v>
      </c>
      <c r="V74" s="47">
        <f t="shared" si="57"/>
        <v>1956000</v>
      </c>
      <c r="W74" s="47">
        <f>+V74</f>
        <v>1956000</v>
      </c>
    </row>
    <row r="75" spans="1:23" ht="12">
      <c r="A75">
        <f>ROW()</f>
        <v>75</v>
      </c>
      <c r="B75" t="s">
        <v>38</v>
      </c>
      <c r="C75" s="294">
        <f>+Input!F54+Input!F59+Input!F60</f>
        <v>1646000</v>
      </c>
      <c r="D75" s="294">
        <f>+Input!G54+Input!G59+Input!G60</f>
        <v>1693000</v>
      </c>
      <c r="E75" s="294">
        <f>+Input!H54+Input!H59+Input!H60</f>
        <v>1788000</v>
      </c>
      <c r="F75" s="294">
        <f>+Input!I54+Input!I59+Input!I60</f>
        <v>1765000</v>
      </c>
      <c r="G75" s="294">
        <f>+Input!J54+Input!J59+Input!J60</f>
        <v>1699000</v>
      </c>
      <c r="H75" s="294">
        <f>+Input!K54+Input!K59+Input!K60</f>
        <v>1743000</v>
      </c>
      <c r="I75" s="294">
        <f>+Input!L54+Input!L59+Input!L60</f>
        <v>1700000</v>
      </c>
      <c r="J75" s="294">
        <f>+Input!M54+Input!M59+Input!M60</f>
        <v>1748000</v>
      </c>
      <c r="K75" s="297">
        <f>+J75</f>
        <v>1748000</v>
      </c>
      <c r="M75" s="47"/>
      <c r="N75" s="47"/>
      <c r="P75" s="324">
        <f>+K75+M75-N75</f>
        <v>1748000</v>
      </c>
      <c r="Q75" s="47">
        <f t="shared" si="57"/>
        <v>1748000</v>
      </c>
      <c r="R75" s="47">
        <f t="shared" si="57"/>
        <v>1748000</v>
      </c>
      <c r="S75" s="47">
        <f t="shared" si="57"/>
        <v>1748000</v>
      </c>
      <c r="T75" s="47">
        <f t="shared" si="57"/>
        <v>1748000</v>
      </c>
      <c r="U75" s="47">
        <f t="shared" si="57"/>
        <v>1748000</v>
      </c>
      <c r="V75" s="47">
        <f t="shared" si="57"/>
        <v>1748000</v>
      </c>
      <c r="W75" s="47">
        <f>+V75</f>
        <v>1748000</v>
      </c>
    </row>
    <row r="76" spans="1:23" ht="13.5" thickBot="1">
      <c r="A76">
        <f>ROW()</f>
        <v>76</v>
      </c>
      <c r="B76" s="2" t="s">
        <v>39</v>
      </c>
      <c r="C76" s="300">
        <f aca="true" t="shared" si="58" ref="C76:K76">+C66+SUM(C70:C75)</f>
        <v>9622000</v>
      </c>
      <c r="D76" s="300">
        <f t="shared" si="58"/>
        <v>9703000</v>
      </c>
      <c r="E76" s="300">
        <f t="shared" si="58"/>
        <v>8761000</v>
      </c>
      <c r="F76" s="300">
        <f t="shared" si="58"/>
        <v>9776000</v>
      </c>
      <c r="G76" s="300">
        <f t="shared" si="58"/>
        <v>9560000</v>
      </c>
      <c r="H76" s="300">
        <f t="shared" si="58"/>
        <v>8855000</v>
      </c>
      <c r="I76" s="300">
        <f t="shared" si="58"/>
        <v>8762000</v>
      </c>
      <c r="J76" s="300">
        <f t="shared" si="58"/>
        <v>8659000</v>
      </c>
      <c r="K76" s="351">
        <f t="shared" si="58"/>
        <v>8659000</v>
      </c>
      <c r="M76" s="47"/>
      <c r="N76" s="47"/>
      <c r="P76" s="351">
        <f aca="true" t="shared" si="59" ref="P76:W76">+P66+SUM(P70:P75)</f>
        <v>23111220</v>
      </c>
      <c r="Q76" s="300">
        <f t="shared" si="59"/>
        <v>23388037.700233996</v>
      </c>
      <c r="R76" s="300">
        <f t="shared" si="59"/>
        <v>23764403.79221937</v>
      </c>
      <c r="S76" s="300">
        <f t="shared" si="59"/>
        <v>24194720.01341493</v>
      </c>
      <c r="T76" s="300">
        <f t="shared" si="59"/>
        <v>24652340.841161504</v>
      </c>
      <c r="U76" s="300">
        <f t="shared" si="59"/>
        <v>25114619.869884983</v>
      </c>
      <c r="V76" s="300">
        <f t="shared" si="59"/>
        <v>25624099.880414274</v>
      </c>
      <c r="W76" s="300">
        <f t="shared" si="59"/>
        <v>25649279.561725505</v>
      </c>
    </row>
    <row r="77" spans="1:23" ht="12.75" thickTop="1">
      <c r="A77">
        <f>ROW()</f>
        <v>77</v>
      </c>
      <c r="C77" s="47"/>
      <c r="D77" s="47"/>
      <c r="E77" s="47"/>
      <c r="F77" s="47"/>
      <c r="G77" s="47"/>
      <c r="H77" s="47"/>
      <c r="I77" s="47"/>
      <c r="J77" s="47"/>
      <c r="K77" s="296"/>
      <c r="M77" s="47"/>
      <c r="N77" s="47"/>
      <c r="P77" s="296"/>
      <c r="Q77" s="47"/>
      <c r="R77" s="47"/>
      <c r="S77" s="47"/>
      <c r="T77" s="47"/>
      <c r="U77" s="47"/>
      <c r="V77" s="47"/>
      <c r="W77" s="47"/>
    </row>
    <row r="78" spans="1:23" ht="12.75">
      <c r="A78">
        <f>ROW()</f>
        <v>78</v>
      </c>
      <c r="B78" s="2" t="s">
        <v>40</v>
      </c>
      <c r="C78" s="47"/>
      <c r="D78" s="47"/>
      <c r="E78" s="47"/>
      <c r="F78" s="47"/>
      <c r="G78" s="47"/>
      <c r="H78" s="47"/>
      <c r="I78" s="47"/>
      <c r="J78" s="47"/>
      <c r="K78" s="296"/>
      <c r="M78" s="47"/>
      <c r="N78" s="47"/>
      <c r="P78" s="296"/>
      <c r="Q78" s="47"/>
      <c r="R78" s="47"/>
      <c r="S78" s="47"/>
      <c r="T78" s="47"/>
      <c r="U78" s="47"/>
      <c r="V78" s="47"/>
      <c r="W78" s="47"/>
    </row>
    <row r="79" spans="1:23" ht="12">
      <c r="A79">
        <f>ROW()</f>
        <v>79</v>
      </c>
      <c r="B79" t="s">
        <v>41</v>
      </c>
      <c r="C79" s="292">
        <f>+Input!F65</f>
        <v>2096000</v>
      </c>
      <c r="D79" s="292">
        <f>+Input!G65</f>
        <v>2182000</v>
      </c>
      <c r="E79" s="292">
        <f>+Input!H65</f>
        <v>2022000</v>
      </c>
      <c r="F79" s="292">
        <f>+Input!I65</f>
        <v>2029000</v>
      </c>
      <c r="G79" s="292">
        <f>+Input!J65</f>
        <v>1859000</v>
      </c>
      <c r="H79" s="292">
        <f>+Input!K65</f>
        <v>1864000</v>
      </c>
      <c r="I79" s="292">
        <f>+Input!L65</f>
        <v>1825000</v>
      </c>
      <c r="J79" s="292">
        <f>+Input!M65</f>
        <v>2080000</v>
      </c>
      <c r="K79" s="301">
        <f>+J79</f>
        <v>2080000</v>
      </c>
      <c r="M79" s="47"/>
      <c r="N79" s="47"/>
      <c r="P79" s="296">
        <f>+K79+N79-M79</f>
        <v>2080000</v>
      </c>
      <c r="Q79" s="47">
        <f aca="true" t="shared" si="60" ref="Q79:W79">+Q350/365*Q120</f>
        <v>2090400</v>
      </c>
      <c r="R79" s="47">
        <f t="shared" si="60"/>
        <v>2168712</v>
      </c>
      <c r="S79" s="47">
        <f t="shared" si="60"/>
        <v>2279650.8800000004</v>
      </c>
      <c r="T79" s="47">
        <f t="shared" si="60"/>
        <v>2391674.7712000003</v>
      </c>
      <c r="U79" s="47">
        <f t="shared" si="60"/>
        <v>2488304.7812480005</v>
      </c>
      <c r="V79" s="47">
        <f t="shared" si="60"/>
        <v>2590326.4373459206</v>
      </c>
      <c r="W79" s="47">
        <f t="shared" si="60"/>
        <v>2698068.681160237</v>
      </c>
    </row>
    <row r="80" spans="1:23" ht="12">
      <c r="A80">
        <f>ROW()</f>
        <v>80</v>
      </c>
      <c r="B80" t="s">
        <v>42</v>
      </c>
      <c r="C80" s="292"/>
      <c r="D80" s="292"/>
      <c r="E80" s="292"/>
      <c r="F80" s="292"/>
      <c r="G80" s="292"/>
      <c r="H80" s="292"/>
      <c r="I80" s="292"/>
      <c r="J80" s="292"/>
      <c r="K80" s="301"/>
      <c r="M80" s="47"/>
      <c r="N80" s="47"/>
      <c r="P80" s="296">
        <f>+K80+N80-M80</f>
        <v>0</v>
      </c>
      <c r="Q80" s="47">
        <f aca="true" t="shared" si="61" ref="Q80:V80">+Q351*Q231</f>
        <v>0</v>
      </c>
      <c r="R80" s="47">
        <f t="shared" si="61"/>
        <v>0</v>
      </c>
      <c r="S80" s="47">
        <f t="shared" si="61"/>
        <v>0</v>
      </c>
      <c r="T80" s="47">
        <f t="shared" si="61"/>
        <v>0</v>
      </c>
      <c r="U80" s="47">
        <f t="shared" si="61"/>
        <v>0</v>
      </c>
      <c r="V80" s="47">
        <f t="shared" si="61"/>
        <v>0</v>
      </c>
      <c r="W80" s="47">
        <f>+W351*W231</f>
        <v>0</v>
      </c>
    </row>
    <row r="81" spans="1:23" ht="12">
      <c r="A81">
        <f>ROW()</f>
        <v>81</v>
      </c>
      <c r="B81" t="s">
        <v>43</v>
      </c>
      <c r="C81" s="294"/>
      <c r="D81" s="294"/>
      <c r="E81" s="294"/>
      <c r="F81" s="294"/>
      <c r="G81" s="294"/>
      <c r="H81" s="294"/>
      <c r="I81" s="294"/>
      <c r="J81" s="294"/>
      <c r="K81" s="297"/>
      <c r="M81" s="47"/>
      <c r="N81" s="47"/>
      <c r="P81" s="324">
        <f>+K81+N81-M81</f>
        <v>0</v>
      </c>
      <c r="Q81" s="50">
        <f aca="true" t="shared" si="62" ref="Q81:V81">+Q352*Q231</f>
        <v>0</v>
      </c>
      <c r="R81" s="50">
        <f t="shared" si="62"/>
        <v>0</v>
      </c>
      <c r="S81" s="50">
        <f t="shared" si="62"/>
        <v>0</v>
      </c>
      <c r="T81" s="50">
        <f t="shared" si="62"/>
        <v>0</v>
      </c>
      <c r="U81" s="50">
        <f t="shared" si="62"/>
        <v>0</v>
      </c>
      <c r="V81" s="50">
        <f t="shared" si="62"/>
        <v>0</v>
      </c>
      <c r="W81" s="50">
        <f>+W352*W231</f>
        <v>0</v>
      </c>
    </row>
    <row r="82" spans="1:23" ht="12">
      <c r="A82">
        <f>ROW()</f>
        <v>82</v>
      </c>
      <c r="B82" t="s">
        <v>44</v>
      </c>
      <c r="C82" s="47">
        <f aca="true" t="shared" si="63" ref="C82:K82">SUM(C79:C81)</f>
        <v>2096000</v>
      </c>
      <c r="D82" s="47">
        <f t="shared" si="63"/>
        <v>2182000</v>
      </c>
      <c r="E82" s="47">
        <f t="shared" si="63"/>
        <v>2022000</v>
      </c>
      <c r="F82" s="47">
        <f t="shared" si="63"/>
        <v>2029000</v>
      </c>
      <c r="G82" s="47">
        <f t="shared" si="63"/>
        <v>1859000</v>
      </c>
      <c r="H82" s="47">
        <f t="shared" si="63"/>
        <v>1864000</v>
      </c>
      <c r="I82" s="47">
        <f t="shared" si="63"/>
        <v>1825000</v>
      </c>
      <c r="J82" s="47">
        <f t="shared" si="63"/>
        <v>2080000</v>
      </c>
      <c r="K82" s="296">
        <f t="shared" si="63"/>
        <v>2080000</v>
      </c>
      <c r="M82" s="47"/>
      <c r="N82" s="47"/>
      <c r="P82" s="296">
        <f aca="true" t="shared" si="64" ref="P82:W82">SUM(P79:P81)</f>
        <v>2080000</v>
      </c>
      <c r="Q82" s="47">
        <f t="shared" si="64"/>
        <v>2090400</v>
      </c>
      <c r="R82" s="47">
        <f t="shared" si="64"/>
        <v>2168712</v>
      </c>
      <c r="S82" s="47">
        <f t="shared" si="64"/>
        <v>2279650.8800000004</v>
      </c>
      <c r="T82" s="47">
        <f t="shared" si="64"/>
        <v>2391674.7712000003</v>
      </c>
      <c r="U82" s="47">
        <f t="shared" si="64"/>
        <v>2488304.7812480005</v>
      </c>
      <c r="V82" s="47">
        <f t="shared" si="64"/>
        <v>2590326.4373459206</v>
      </c>
      <c r="W82" s="47">
        <f t="shared" si="64"/>
        <v>2698068.681160237</v>
      </c>
    </row>
    <row r="83" spans="1:23" ht="12">
      <c r="A83">
        <f>ROW()</f>
        <v>83</v>
      </c>
      <c r="C83" s="47"/>
      <c r="D83" s="47"/>
      <c r="E83" s="47"/>
      <c r="F83" s="47"/>
      <c r="G83" s="47"/>
      <c r="H83" s="47"/>
      <c r="I83" s="47"/>
      <c r="J83" s="47"/>
      <c r="K83" s="296"/>
      <c r="M83" s="47"/>
      <c r="N83" s="47"/>
      <c r="P83" s="296"/>
      <c r="Q83" s="47"/>
      <c r="R83" s="47"/>
      <c r="S83" s="47"/>
      <c r="T83" s="47"/>
      <c r="U83" s="47"/>
      <c r="V83" s="47"/>
      <c r="W83" s="47"/>
    </row>
    <row r="84" spans="1:23" ht="12">
      <c r="A84">
        <f>ROW()</f>
        <v>84</v>
      </c>
      <c r="B84" t="str">
        <f>+B8</f>
        <v>Revolver</v>
      </c>
      <c r="C84" s="293"/>
      <c r="D84" s="293"/>
      <c r="E84" s="293"/>
      <c r="F84" s="293"/>
      <c r="G84" s="293"/>
      <c r="H84" s="293"/>
      <c r="I84" s="293"/>
      <c r="J84" s="293"/>
      <c r="K84" s="301"/>
      <c r="M84" s="47"/>
      <c r="N84" s="47"/>
      <c r="P84" s="296">
        <f aca="true" t="shared" si="65" ref="P84:P91">+K84+N84-M84</f>
        <v>0</v>
      </c>
      <c r="Q84" s="47">
        <f aca="true" t="shared" si="66" ref="Q84:V84">+Q261</f>
        <v>0</v>
      </c>
      <c r="R84" s="47">
        <f t="shared" si="66"/>
        <v>0</v>
      </c>
      <c r="S84" s="47">
        <f t="shared" si="66"/>
        <v>0</v>
      </c>
      <c r="T84" s="47">
        <f t="shared" si="66"/>
        <v>0</v>
      </c>
      <c r="U84" s="47">
        <f t="shared" si="66"/>
        <v>0</v>
      </c>
      <c r="V84" s="47">
        <f t="shared" si="66"/>
        <v>0</v>
      </c>
      <c r="W84" s="47">
        <f>+W261</f>
        <v>0</v>
      </c>
    </row>
    <row r="85" spans="1:23" ht="12">
      <c r="A85">
        <f>ROW()</f>
        <v>85</v>
      </c>
      <c r="B85" t="str">
        <f>+B9</f>
        <v>Term Loan A</v>
      </c>
      <c r="C85" s="293"/>
      <c r="D85" s="293"/>
      <c r="E85" s="293"/>
      <c r="F85" s="293"/>
      <c r="G85" s="293"/>
      <c r="H85" s="293"/>
      <c r="I85" s="293"/>
      <c r="J85" s="293"/>
      <c r="K85" s="301"/>
      <c r="M85" s="47"/>
      <c r="N85" s="47"/>
      <c r="P85" s="296">
        <f t="shared" si="65"/>
        <v>0</v>
      </c>
      <c r="Q85" s="47">
        <f aca="true" t="shared" si="67" ref="Q85:V85">+Q269</f>
        <v>0</v>
      </c>
      <c r="R85" s="47">
        <f t="shared" si="67"/>
        <v>0</v>
      </c>
      <c r="S85" s="47">
        <f t="shared" si="67"/>
        <v>0</v>
      </c>
      <c r="T85" s="47">
        <f t="shared" si="67"/>
        <v>0</v>
      </c>
      <c r="U85" s="47">
        <f t="shared" si="67"/>
        <v>0</v>
      </c>
      <c r="V85" s="47">
        <f t="shared" si="67"/>
        <v>0</v>
      </c>
      <c r="W85" s="47">
        <f>+W269</f>
        <v>0</v>
      </c>
    </row>
    <row r="86" spans="1:23" ht="12">
      <c r="A86">
        <f>ROW()</f>
        <v>86</v>
      </c>
      <c r="B86" t="str">
        <f>+B10</f>
        <v>Term Loan B</v>
      </c>
      <c r="C86" s="293"/>
      <c r="D86" s="293"/>
      <c r="E86" s="293"/>
      <c r="F86" s="293"/>
      <c r="G86" s="293"/>
      <c r="H86" s="293"/>
      <c r="I86" s="293"/>
      <c r="J86" s="293"/>
      <c r="K86" s="301"/>
      <c r="M86" s="47"/>
      <c r="N86" s="47">
        <f>+G10</f>
        <v>3800000</v>
      </c>
      <c r="P86" s="296">
        <f t="shared" si="65"/>
        <v>3800000</v>
      </c>
      <c r="Q86" s="47">
        <f aca="true" t="shared" si="68" ref="Q86:V86">+Q277</f>
        <v>3762000</v>
      </c>
      <c r="R86" s="47">
        <f t="shared" si="68"/>
        <v>3724000</v>
      </c>
      <c r="S86" s="47">
        <f t="shared" si="68"/>
        <v>3686000</v>
      </c>
      <c r="T86" s="47">
        <f t="shared" si="68"/>
        <v>3648000</v>
      </c>
      <c r="U86" s="47">
        <f t="shared" si="68"/>
        <v>3610000</v>
      </c>
      <c r="V86" s="47">
        <f t="shared" si="68"/>
        <v>3572000</v>
      </c>
      <c r="W86" s="47">
        <f>+W277</f>
        <v>0</v>
      </c>
    </row>
    <row r="87" spans="1:23" ht="12">
      <c r="A87">
        <f>ROW()</f>
        <v>87</v>
      </c>
      <c r="B87" t="str">
        <f>+B11</f>
        <v>New Term Loan</v>
      </c>
      <c r="C87" s="293"/>
      <c r="D87" s="293"/>
      <c r="E87" s="293"/>
      <c r="F87" s="293"/>
      <c r="G87" s="293"/>
      <c r="H87" s="293"/>
      <c r="I87" s="293"/>
      <c r="J87" s="293"/>
      <c r="K87" s="301"/>
      <c r="M87" s="47"/>
      <c r="N87" s="47">
        <f>+G11</f>
        <v>0</v>
      </c>
      <c r="P87" s="296">
        <f t="shared" si="65"/>
        <v>0</v>
      </c>
      <c r="Q87" s="47">
        <f aca="true" t="shared" si="69" ref="Q87:V87">+Q285</f>
        <v>0</v>
      </c>
      <c r="R87" s="47">
        <f t="shared" si="69"/>
        <v>0</v>
      </c>
      <c r="S87" s="47">
        <f t="shared" si="69"/>
        <v>0</v>
      </c>
      <c r="T87" s="47">
        <f t="shared" si="69"/>
        <v>0</v>
      </c>
      <c r="U87" s="47">
        <f t="shared" si="69"/>
        <v>0</v>
      </c>
      <c r="V87" s="47">
        <f t="shared" si="69"/>
        <v>0</v>
      </c>
      <c r="W87" s="47">
        <f>+W285</f>
        <v>3000000</v>
      </c>
    </row>
    <row r="88" spans="1:23" ht="12">
      <c r="A88">
        <f>ROW()</f>
        <v>88</v>
      </c>
      <c r="B88" t="str">
        <f>+B12</f>
        <v>Other Bank Debt / Exisiting</v>
      </c>
      <c r="C88" s="292">
        <f>+Input!F69+Input!F66</f>
        <v>3595000</v>
      </c>
      <c r="D88" s="292">
        <f>+Input!G69+Input!G66</f>
        <v>4008000</v>
      </c>
      <c r="E88" s="292">
        <f>+Input!H69+Input!H66</f>
        <v>2960000</v>
      </c>
      <c r="F88" s="292">
        <f>+Input!I69+Input!I66</f>
        <v>3351000</v>
      </c>
      <c r="G88" s="292">
        <f>+Input!J69+Input!J66</f>
        <v>2729000</v>
      </c>
      <c r="H88" s="292">
        <f>+Input!K69+Input!K66</f>
        <v>1808000</v>
      </c>
      <c r="I88" s="292">
        <f>+Input!L69+Input!L66</f>
        <v>1622000</v>
      </c>
      <c r="J88" s="292">
        <f>+Input!M69+Input!M66</f>
        <v>2944000</v>
      </c>
      <c r="K88" s="301">
        <f>+J88</f>
        <v>2944000</v>
      </c>
      <c r="M88" s="47">
        <f>+K88</f>
        <v>2944000</v>
      </c>
      <c r="N88" s="47">
        <f>+G12</f>
        <v>0</v>
      </c>
      <c r="P88" s="296">
        <f t="shared" si="65"/>
        <v>0</v>
      </c>
      <c r="Q88" s="47">
        <f aca="true" t="shared" si="70" ref="Q88:V88">+Q293</f>
        <v>0</v>
      </c>
      <c r="R88" s="47">
        <f t="shared" si="70"/>
        <v>0</v>
      </c>
      <c r="S88" s="47">
        <f t="shared" si="70"/>
        <v>0</v>
      </c>
      <c r="T88" s="47">
        <f t="shared" si="70"/>
        <v>0</v>
      </c>
      <c r="U88" s="47">
        <f t="shared" si="70"/>
        <v>0</v>
      </c>
      <c r="V88" s="47">
        <f t="shared" si="70"/>
        <v>0</v>
      </c>
      <c r="W88" s="47">
        <f>+W293</f>
        <v>0</v>
      </c>
    </row>
    <row r="89" spans="1:23" ht="12">
      <c r="A89">
        <f>ROW()</f>
        <v>89</v>
      </c>
      <c r="B89" t="str">
        <f>+B14</f>
        <v>Senior Secured Notes</v>
      </c>
      <c r="C89" s="293"/>
      <c r="D89" s="293"/>
      <c r="E89" s="293"/>
      <c r="F89" s="293"/>
      <c r="G89" s="293"/>
      <c r="H89" s="293"/>
      <c r="I89" s="293"/>
      <c r="J89" s="293"/>
      <c r="K89" s="301"/>
      <c r="M89" s="47"/>
      <c r="N89" s="47">
        <f>+G14</f>
        <v>0</v>
      </c>
      <c r="P89" s="296">
        <f t="shared" si="65"/>
        <v>0</v>
      </c>
      <c r="Q89" s="47">
        <f aca="true" t="shared" si="71" ref="Q89:V89">+Q301</f>
        <v>0</v>
      </c>
      <c r="R89" s="47">
        <f t="shared" si="71"/>
        <v>0</v>
      </c>
      <c r="S89" s="47">
        <f t="shared" si="71"/>
        <v>0</v>
      </c>
      <c r="T89" s="47">
        <f t="shared" si="71"/>
        <v>0</v>
      </c>
      <c r="U89" s="47">
        <f t="shared" si="71"/>
        <v>0</v>
      </c>
      <c r="V89" s="47">
        <f t="shared" si="71"/>
        <v>0</v>
      </c>
      <c r="W89" s="47">
        <f>+W301</f>
        <v>0</v>
      </c>
    </row>
    <row r="90" spans="1:23" ht="12">
      <c r="A90">
        <f>ROW()</f>
        <v>90</v>
      </c>
      <c r="B90" t="str">
        <f>+B16</f>
        <v>Senior Unsecured / Subordinated Notes</v>
      </c>
      <c r="C90" s="293"/>
      <c r="D90" s="293"/>
      <c r="E90" s="293"/>
      <c r="F90" s="293"/>
      <c r="G90" s="293"/>
      <c r="H90" s="293"/>
      <c r="I90" s="293"/>
      <c r="J90" s="293"/>
      <c r="K90" s="301"/>
      <c r="M90" s="47"/>
      <c r="N90" s="47">
        <f>+G16</f>
        <v>2700000</v>
      </c>
      <c r="P90" s="296">
        <f t="shared" si="65"/>
        <v>2700000</v>
      </c>
      <c r="Q90" s="47">
        <f aca="true" t="shared" si="72" ref="Q90:V90">+Q307</f>
        <v>2700000</v>
      </c>
      <c r="R90" s="47">
        <f t="shared" si="72"/>
        <v>2700000</v>
      </c>
      <c r="S90" s="47">
        <f t="shared" si="72"/>
        <v>2700000</v>
      </c>
      <c r="T90" s="47">
        <f t="shared" si="72"/>
        <v>2700000</v>
      </c>
      <c r="U90" s="47">
        <f t="shared" si="72"/>
        <v>2700000</v>
      </c>
      <c r="V90" s="47">
        <f t="shared" si="72"/>
        <v>2700000</v>
      </c>
      <c r="W90" s="47">
        <f>+W307</f>
        <v>2700000</v>
      </c>
    </row>
    <row r="91" spans="1:23" ht="12">
      <c r="A91">
        <f>ROW()</f>
        <v>91</v>
      </c>
      <c r="B91" t="str">
        <f>+B17</f>
        <v>Junior Subordinated Notes</v>
      </c>
      <c r="C91" s="295"/>
      <c r="D91" s="295"/>
      <c r="E91" s="295"/>
      <c r="F91" s="295"/>
      <c r="G91" s="295"/>
      <c r="H91" s="295"/>
      <c r="I91" s="295"/>
      <c r="J91" s="295"/>
      <c r="K91" s="297"/>
      <c r="M91" s="47"/>
      <c r="N91" s="47">
        <f>+G17</f>
        <v>0</v>
      </c>
      <c r="P91" s="324">
        <f t="shared" si="65"/>
        <v>0</v>
      </c>
      <c r="Q91" s="50">
        <f aca="true" t="shared" si="73" ref="Q91:V91">+Q313</f>
        <v>0</v>
      </c>
      <c r="R91" s="50">
        <f t="shared" si="73"/>
        <v>0</v>
      </c>
      <c r="S91" s="50">
        <f t="shared" si="73"/>
        <v>0</v>
      </c>
      <c r="T91" s="50">
        <f t="shared" si="73"/>
        <v>0</v>
      </c>
      <c r="U91" s="50">
        <f t="shared" si="73"/>
        <v>0</v>
      </c>
      <c r="V91" s="50">
        <f t="shared" si="73"/>
        <v>0</v>
      </c>
      <c r="W91" s="50">
        <f>+W313</f>
        <v>0</v>
      </c>
    </row>
    <row r="92" spans="1:23" ht="12">
      <c r="A92">
        <f>ROW()</f>
        <v>92</v>
      </c>
      <c r="B92" t="s">
        <v>57</v>
      </c>
      <c r="C92" s="298">
        <f aca="true" t="shared" si="74" ref="C92:K92">SUM(C84:C91)</f>
        <v>3595000</v>
      </c>
      <c r="D92" s="298">
        <f t="shared" si="74"/>
        <v>4008000</v>
      </c>
      <c r="E92" s="298">
        <f t="shared" si="74"/>
        <v>2960000</v>
      </c>
      <c r="F92" s="298">
        <f t="shared" si="74"/>
        <v>3351000</v>
      </c>
      <c r="G92" s="298">
        <f t="shared" si="74"/>
        <v>2729000</v>
      </c>
      <c r="H92" s="298">
        <f t="shared" si="74"/>
        <v>1808000</v>
      </c>
      <c r="I92" s="298">
        <f t="shared" si="74"/>
        <v>1622000</v>
      </c>
      <c r="J92" s="298">
        <f t="shared" si="74"/>
        <v>2944000</v>
      </c>
      <c r="K92" s="299">
        <f t="shared" si="74"/>
        <v>2944000</v>
      </c>
      <c r="M92" s="47"/>
      <c r="N92" s="47"/>
      <c r="P92" s="299">
        <f aca="true" t="shared" si="75" ref="P92:W92">SUM(P84:P91)</f>
        <v>6500000</v>
      </c>
      <c r="Q92" s="298">
        <f t="shared" si="75"/>
        <v>6462000</v>
      </c>
      <c r="R92" s="47">
        <f t="shared" si="75"/>
        <v>6424000</v>
      </c>
      <c r="S92" s="47">
        <f t="shared" si="75"/>
        <v>6386000</v>
      </c>
      <c r="T92" s="47">
        <f t="shared" si="75"/>
        <v>6348000</v>
      </c>
      <c r="U92" s="47">
        <f t="shared" si="75"/>
        <v>6310000</v>
      </c>
      <c r="V92" s="47">
        <f t="shared" si="75"/>
        <v>6272000</v>
      </c>
      <c r="W92" s="47">
        <f t="shared" si="75"/>
        <v>5700000</v>
      </c>
    </row>
    <row r="93" spans="1:23" ht="12">
      <c r="A93">
        <f>ROW()</f>
        <v>93</v>
      </c>
      <c r="C93" s="47"/>
      <c r="D93" s="47"/>
      <c r="E93" s="47"/>
      <c r="F93" s="47"/>
      <c r="G93" s="47"/>
      <c r="H93" s="47"/>
      <c r="I93" s="47"/>
      <c r="J93" s="47"/>
      <c r="K93" s="296"/>
      <c r="M93" s="47"/>
      <c r="N93" s="47"/>
      <c r="P93" s="296"/>
      <c r="Q93" s="47"/>
      <c r="R93" s="47"/>
      <c r="S93" s="47"/>
      <c r="T93" s="47"/>
      <c r="U93" s="47"/>
      <c r="V93" s="47"/>
      <c r="W93" s="47"/>
    </row>
    <row r="94" spans="1:23" ht="12">
      <c r="A94">
        <f>ROW()</f>
        <v>94</v>
      </c>
      <c r="B94" t="s">
        <v>45</v>
      </c>
      <c r="C94" s="292">
        <f>+Input!F71</f>
        <v>28000</v>
      </c>
      <c r="D94" s="292">
        <f>+Input!G71</f>
        <v>1150000</v>
      </c>
      <c r="E94" s="292">
        <f>+Input!H71</f>
        <v>31000</v>
      </c>
      <c r="F94" s="292">
        <f>+Input!I71</f>
        <v>24000</v>
      </c>
      <c r="G94" s="292">
        <f>+Input!J71</f>
        <v>46000</v>
      </c>
      <c r="H94" s="292">
        <f>+Input!K71</f>
        <v>85000</v>
      </c>
      <c r="I94" s="292">
        <f>+Input!L71</f>
        <v>48000</v>
      </c>
      <c r="J94" s="292">
        <f>+Input!M71</f>
        <v>38000</v>
      </c>
      <c r="K94" s="301">
        <f>+J94</f>
        <v>38000</v>
      </c>
      <c r="M94" s="47"/>
      <c r="N94" s="47"/>
      <c r="P94" s="296">
        <f>+K94+N94-M94</f>
        <v>38000</v>
      </c>
      <c r="Q94" s="47">
        <f aca="true" t="shared" si="76" ref="Q94:V96">+P94</f>
        <v>38000</v>
      </c>
      <c r="R94" s="47">
        <f t="shared" si="76"/>
        <v>38000</v>
      </c>
      <c r="S94" s="47">
        <f t="shared" si="76"/>
        <v>38000</v>
      </c>
      <c r="T94" s="47">
        <f t="shared" si="76"/>
        <v>38000</v>
      </c>
      <c r="U94" s="47">
        <f t="shared" si="76"/>
        <v>38000</v>
      </c>
      <c r="V94" s="47">
        <f t="shared" si="76"/>
        <v>38000</v>
      </c>
      <c r="W94" s="47">
        <f>+V94</f>
        <v>38000</v>
      </c>
    </row>
    <row r="95" spans="1:23" ht="12">
      <c r="A95">
        <f>ROW()</f>
        <v>95</v>
      </c>
      <c r="B95" t="s">
        <v>46</v>
      </c>
      <c r="C95" s="294">
        <f>+Input!F70</f>
        <v>1801000</v>
      </c>
      <c r="D95" s="294">
        <f>+Input!G70</f>
        <v>719000</v>
      </c>
      <c r="E95" s="294">
        <f>+Input!H70</f>
        <v>1903000</v>
      </c>
      <c r="F95" s="294">
        <f>+Input!I70</f>
        <v>1886000</v>
      </c>
      <c r="G95" s="294">
        <f>+Input!J70</f>
        <v>1971000</v>
      </c>
      <c r="H95" s="294">
        <f>+Input!K70</f>
        <v>1956000</v>
      </c>
      <c r="I95" s="294">
        <f>+Input!L70</f>
        <v>1904000</v>
      </c>
      <c r="J95" s="294">
        <f>+Input!M70</f>
        <v>2069000</v>
      </c>
      <c r="K95" s="297">
        <f>+J95</f>
        <v>2069000</v>
      </c>
      <c r="M95" s="47"/>
      <c r="N95" s="47"/>
      <c r="P95" s="324">
        <f>+K95+N95-M95</f>
        <v>2069000</v>
      </c>
      <c r="Q95" s="350">
        <f t="shared" si="76"/>
        <v>2069000</v>
      </c>
      <c r="R95" s="50">
        <f t="shared" si="76"/>
        <v>2069000</v>
      </c>
      <c r="S95" s="50">
        <f t="shared" si="76"/>
        <v>2069000</v>
      </c>
      <c r="T95" s="50">
        <f t="shared" si="76"/>
        <v>2069000</v>
      </c>
      <c r="U95" s="50">
        <f t="shared" si="76"/>
        <v>2069000</v>
      </c>
      <c r="V95" s="50">
        <f t="shared" si="76"/>
        <v>2069000</v>
      </c>
      <c r="W95" s="50">
        <f>+V95</f>
        <v>2069000</v>
      </c>
    </row>
    <row r="96" spans="1:23" ht="12">
      <c r="A96">
        <f>ROW()</f>
        <v>96</v>
      </c>
      <c r="B96" t="s">
        <v>155</v>
      </c>
      <c r="C96" s="294">
        <f>+Input!F72</f>
        <v>26000</v>
      </c>
      <c r="D96" s="294">
        <f>+Input!G72</f>
        <v>23000</v>
      </c>
      <c r="E96" s="294">
        <f>+Input!H72</f>
        <v>21000</v>
      </c>
      <c r="F96" s="294">
        <f>+Input!I72</f>
        <v>15000</v>
      </c>
      <c r="G96" s="294">
        <f>+Input!J72</f>
        <v>1000</v>
      </c>
      <c r="H96" s="294">
        <f>+Input!K72</f>
        <v>5000</v>
      </c>
      <c r="I96" s="294">
        <f>+Input!L72</f>
        <v>3000</v>
      </c>
      <c r="J96" s="294">
        <f>+Input!M72</f>
        <v>3000</v>
      </c>
      <c r="K96" s="297">
        <f>+J96</f>
        <v>3000</v>
      </c>
      <c r="M96" s="47"/>
      <c r="N96" s="47"/>
      <c r="P96" s="352">
        <f>+K96+N96-M96</f>
        <v>3000</v>
      </c>
      <c r="Q96" s="353">
        <f t="shared" si="76"/>
        <v>3000</v>
      </c>
      <c r="R96" s="354">
        <f t="shared" si="76"/>
        <v>3000</v>
      </c>
      <c r="S96" s="354">
        <f t="shared" si="76"/>
        <v>3000</v>
      </c>
      <c r="T96" s="354">
        <f t="shared" si="76"/>
        <v>3000</v>
      </c>
      <c r="U96" s="354">
        <f t="shared" si="76"/>
        <v>3000</v>
      </c>
      <c r="V96" s="354">
        <f t="shared" si="76"/>
        <v>3000</v>
      </c>
      <c r="W96" s="354">
        <f>+V96</f>
        <v>3000</v>
      </c>
    </row>
    <row r="97" spans="1:23" ht="12">
      <c r="A97">
        <f>ROW()</f>
        <v>97</v>
      </c>
      <c r="B97" t="s">
        <v>47</v>
      </c>
      <c r="C97" s="47">
        <f aca="true" t="shared" si="77" ref="C97:K97">+C82+SUM(C92:C96)</f>
        <v>7546000</v>
      </c>
      <c r="D97" s="47">
        <f t="shared" si="77"/>
        <v>8082000</v>
      </c>
      <c r="E97" s="47">
        <f t="shared" si="77"/>
        <v>6937000</v>
      </c>
      <c r="F97" s="47">
        <f t="shared" si="77"/>
        <v>7305000</v>
      </c>
      <c r="G97" s="47">
        <f t="shared" si="77"/>
        <v>6606000</v>
      </c>
      <c r="H97" s="47">
        <f t="shared" si="77"/>
        <v>5718000</v>
      </c>
      <c r="I97" s="47">
        <f t="shared" si="77"/>
        <v>5402000</v>
      </c>
      <c r="J97" s="47">
        <f t="shared" si="77"/>
        <v>7134000</v>
      </c>
      <c r="K97" s="296">
        <f t="shared" si="77"/>
        <v>7134000</v>
      </c>
      <c r="M97" s="47"/>
      <c r="N97" s="47"/>
      <c r="P97" s="296">
        <f aca="true" t="shared" si="78" ref="P97:W97">+P82+SUM(P92:P96)</f>
        <v>10690000</v>
      </c>
      <c r="Q97" s="47">
        <f t="shared" si="78"/>
        <v>10662400</v>
      </c>
      <c r="R97" s="47">
        <f t="shared" si="78"/>
        <v>10702712</v>
      </c>
      <c r="S97" s="47">
        <f t="shared" si="78"/>
        <v>10775650.88</v>
      </c>
      <c r="T97" s="47">
        <f t="shared" si="78"/>
        <v>10849674.771200001</v>
      </c>
      <c r="U97" s="47">
        <f t="shared" si="78"/>
        <v>10908304.781248</v>
      </c>
      <c r="V97" s="47">
        <f t="shared" si="78"/>
        <v>10972326.43734592</v>
      </c>
      <c r="W97" s="47">
        <f t="shared" si="78"/>
        <v>10508068.681160238</v>
      </c>
    </row>
    <row r="98" spans="1:23" ht="12">
      <c r="A98">
        <f>ROW()</f>
        <v>98</v>
      </c>
      <c r="C98" s="47"/>
      <c r="D98" s="47"/>
      <c r="E98" s="47"/>
      <c r="F98" s="47"/>
      <c r="G98" s="47"/>
      <c r="H98" s="47"/>
      <c r="I98" s="47"/>
      <c r="J98" s="47"/>
      <c r="K98" s="296"/>
      <c r="M98" s="47"/>
      <c r="N98" s="47"/>
      <c r="P98" s="296"/>
      <c r="Q98" s="47"/>
      <c r="R98" s="47"/>
      <c r="S98" s="47"/>
      <c r="T98" s="47"/>
      <c r="U98" s="47"/>
      <c r="V98" s="47"/>
      <c r="W98" s="47"/>
    </row>
    <row r="99" spans="1:23" ht="12.75">
      <c r="A99">
        <f>ROW()</f>
        <v>99</v>
      </c>
      <c r="B99" s="2" t="s">
        <v>58</v>
      </c>
      <c r="C99" s="47"/>
      <c r="D99" s="47"/>
      <c r="E99" s="47"/>
      <c r="F99" s="47"/>
      <c r="G99" s="47"/>
      <c r="H99" s="47"/>
      <c r="I99" s="47"/>
      <c r="J99" s="47"/>
      <c r="K99" s="296"/>
      <c r="M99" s="47"/>
      <c r="N99" s="47"/>
      <c r="P99" s="296"/>
      <c r="Q99" s="47"/>
      <c r="R99" s="47"/>
      <c r="S99" s="47"/>
      <c r="T99" s="47"/>
      <c r="U99" s="47"/>
      <c r="V99" s="47"/>
      <c r="W99" s="47"/>
    </row>
    <row r="100" spans="1:23" ht="12">
      <c r="A100">
        <f>ROW()</f>
        <v>100</v>
      </c>
      <c r="B100" t="s">
        <v>48</v>
      </c>
      <c r="C100" s="292"/>
      <c r="D100" s="292"/>
      <c r="E100" s="292"/>
      <c r="F100" s="292"/>
      <c r="G100" s="292"/>
      <c r="H100" s="292"/>
      <c r="I100" s="292"/>
      <c r="J100" s="292"/>
      <c r="K100" s="301"/>
      <c r="M100" s="47"/>
      <c r="N100" s="47"/>
      <c r="P100" s="296">
        <f aca="true" t="shared" si="79" ref="P100:P105">+K100+N100-M100</f>
        <v>0</v>
      </c>
      <c r="Q100" s="47">
        <f aca="true" t="shared" si="80" ref="Q100:V104">+P100</f>
        <v>0</v>
      </c>
      <c r="R100" s="355">
        <f t="shared" si="80"/>
        <v>0</v>
      </c>
      <c r="S100" s="355">
        <f t="shared" si="80"/>
        <v>0</v>
      </c>
      <c r="T100" s="355">
        <f t="shared" si="80"/>
        <v>0</v>
      </c>
      <c r="U100" s="355">
        <f t="shared" si="80"/>
        <v>0</v>
      </c>
      <c r="V100" s="355">
        <f t="shared" si="80"/>
        <v>0</v>
      </c>
      <c r="W100" s="355">
        <f>+V100</f>
        <v>0</v>
      </c>
    </row>
    <row r="101" spans="1:23" ht="12">
      <c r="A101">
        <f>ROW()</f>
        <v>101</v>
      </c>
      <c r="B101" t="s">
        <v>49</v>
      </c>
      <c r="C101" s="293"/>
      <c r="D101" s="293"/>
      <c r="E101" s="293"/>
      <c r="F101" s="293"/>
      <c r="G101" s="293"/>
      <c r="H101" s="293"/>
      <c r="I101" s="293"/>
      <c r="J101" s="293"/>
      <c r="K101" s="301"/>
      <c r="M101" s="47"/>
      <c r="N101" s="47"/>
      <c r="P101" s="296">
        <f t="shared" si="79"/>
        <v>0</v>
      </c>
      <c r="Q101" s="47">
        <f t="shared" si="80"/>
        <v>0</v>
      </c>
      <c r="R101" s="355">
        <f t="shared" si="80"/>
        <v>0</v>
      </c>
      <c r="S101" s="355">
        <f t="shared" si="80"/>
        <v>0</v>
      </c>
      <c r="T101" s="355">
        <f t="shared" si="80"/>
        <v>0</v>
      </c>
      <c r="U101" s="355">
        <f t="shared" si="80"/>
        <v>0</v>
      </c>
      <c r="V101" s="355">
        <f t="shared" si="80"/>
        <v>0</v>
      </c>
      <c r="W101" s="355">
        <f>+V101</f>
        <v>0</v>
      </c>
    </row>
    <row r="102" spans="1:23" ht="12">
      <c r="A102">
        <f>ROW()</f>
        <v>102</v>
      </c>
      <c r="B102" t="s">
        <v>50</v>
      </c>
      <c r="C102" s="292">
        <f>+Input!F79</f>
        <v>2000</v>
      </c>
      <c r="D102" s="292">
        <f>+Input!G79</f>
        <v>2000</v>
      </c>
      <c r="E102" s="292">
        <f>+Input!H79</f>
        <v>2000</v>
      </c>
      <c r="F102" s="292">
        <f>+Input!I79</f>
        <v>2000</v>
      </c>
      <c r="G102" s="292">
        <f>+Input!J79</f>
        <v>2000</v>
      </c>
      <c r="H102" s="292">
        <f>+Input!K79</f>
        <v>2000</v>
      </c>
      <c r="I102" s="292">
        <f>+Input!L79</f>
        <v>2000</v>
      </c>
      <c r="J102" s="292">
        <f>+Input!M79</f>
        <v>2000</v>
      </c>
      <c r="K102" s="301">
        <f>+J102</f>
        <v>2000</v>
      </c>
      <c r="M102" s="47">
        <f>+K102</f>
        <v>2000</v>
      </c>
      <c r="N102" s="47">
        <f>+G20</f>
        <v>12421220</v>
      </c>
      <c r="P102" s="296">
        <f t="shared" si="79"/>
        <v>12421220</v>
      </c>
      <c r="Q102" s="47">
        <f t="shared" si="80"/>
        <v>12421220</v>
      </c>
      <c r="R102" s="355">
        <f t="shared" si="80"/>
        <v>12421220</v>
      </c>
      <c r="S102" s="355">
        <f t="shared" si="80"/>
        <v>12421220</v>
      </c>
      <c r="T102" s="355">
        <f t="shared" si="80"/>
        <v>12421220</v>
      </c>
      <c r="U102" s="355">
        <f t="shared" si="80"/>
        <v>12421220</v>
      </c>
      <c r="V102" s="355">
        <f t="shared" si="80"/>
        <v>12421220</v>
      </c>
      <c r="W102" s="355">
        <f>+V102</f>
        <v>12421220</v>
      </c>
    </row>
    <row r="103" spans="1:23" ht="12">
      <c r="A103">
        <f>ROW()</f>
        <v>103</v>
      </c>
      <c r="B103" t="s">
        <v>51</v>
      </c>
      <c r="C103" s="292">
        <f>+Input!F82</f>
        <v>868000</v>
      </c>
      <c r="D103" s="292">
        <f>+Input!G82</f>
        <v>493000</v>
      </c>
      <c r="E103" s="292">
        <f>+Input!H82</f>
        <v>552000</v>
      </c>
      <c r="F103" s="292">
        <f>+Input!I82</f>
        <v>805000</v>
      </c>
      <c r="G103" s="292">
        <f>+Input!J82</f>
        <v>963000</v>
      </c>
      <c r="H103" s="292">
        <f>+Input!K82</f>
        <v>816000</v>
      </c>
      <c r="I103" s="292">
        <f>+Input!L82</f>
        <v>661000</v>
      </c>
      <c r="J103" s="292">
        <f>+Input!M82</f>
        <v>47000</v>
      </c>
      <c r="K103" s="301">
        <f>+J103</f>
        <v>47000</v>
      </c>
      <c r="M103" s="47">
        <f>+K103</f>
        <v>47000</v>
      </c>
      <c r="N103" s="47"/>
      <c r="P103" s="296">
        <f t="shared" si="79"/>
        <v>0</v>
      </c>
      <c r="Q103" s="47">
        <f t="shared" si="80"/>
        <v>0</v>
      </c>
      <c r="R103" s="355">
        <f t="shared" si="80"/>
        <v>0</v>
      </c>
      <c r="S103" s="355">
        <f t="shared" si="80"/>
        <v>0</v>
      </c>
      <c r="T103" s="355">
        <f t="shared" si="80"/>
        <v>0</v>
      </c>
      <c r="U103" s="355">
        <f t="shared" si="80"/>
        <v>0</v>
      </c>
      <c r="V103" s="355">
        <f t="shared" si="80"/>
        <v>0</v>
      </c>
      <c r="W103" s="355">
        <f>+V103</f>
        <v>0</v>
      </c>
    </row>
    <row r="104" spans="1:23" ht="12">
      <c r="A104">
        <f>ROW()</f>
        <v>104</v>
      </c>
      <c r="B104" t="s">
        <v>156</v>
      </c>
      <c r="C104" s="292">
        <f>+Input!F83</f>
        <v>-147000</v>
      </c>
      <c r="D104" s="292">
        <f>+Input!G83</f>
        <v>-391000</v>
      </c>
      <c r="E104" s="292">
        <f>+Input!H83</f>
        <v>-283000</v>
      </c>
      <c r="F104" s="292">
        <f>+Input!I83</f>
        <v>-283000</v>
      </c>
      <c r="G104" s="292">
        <f>+Input!J83</f>
        <v>-348000</v>
      </c>
      <c r="H104" s="292">
        <f>+Input!K83</f>
        <v>-338000</v>
      </c>
      <c r="I104" s="292">
        <f>+Input!L83</f>
        <v>-335000</v>
      </c>
      <c r="J104" s="292">
        <f>+Input!M83</f>
        <v>-508000</v>
      </c>
      <c r="K104" s="301">
        <f>+J104</f>
        <v>-508000</v>
      </c>
      <c r="M104" s="47">
        <f>+K104</f>
        <v>-508000</v>
      </c>
      <c r="N104" s="47"/>
      <c r="P104" s="296">
        <f t="shared" si="79"/>
        <v>0</v>
      </c>
      <c r="Q104" s="47">
        <f t="shared" si="80"/>
        <v>0</v>
      </c>
      <c r="R104" s="355">
        <f t="shared" si="80"/>
        <v>0</v>
      </c>
      <c r="S104" s="355">
        <f t="shared" si="80"/>
        <v>0</v>
      </c>
      <c r="T104" s="355">
        <f t="shared" si="80"/>
        <v>0</v>
      </c>
      <c r="U104" s="355">
        <f t="shared" si="80"/>
        <v>0</v>
      </c>
      <c r="V104" s="355">
        <f t="shared" si="80"/>
        <v>0</v>
      </c>
      <c r="W104" s="355">
        <f>+V104</f>
        <v>0</v>
      </c>
    </row>
    <row r="105" spans="1:23" ht="12">
      <c r="A105">
        <f>ROW()</f>
        <v>105</v>
      </c>
      <c r="B105" t="s">
        <v>52</v>
      </c>
      <c r="C105" s="294">
        <f>+Input!F80</f>
        <v>1353000</v>
      </c>
      <c r="D105" s="294">
        <f>+Input!G80</f>
        <v>1517000</v>
      </c>
      <c r="E105" s="294">
        <f>+Input!H80</f>
        <v>1553000</v>
      </c>
      <c r="F105" s="294">
        <f>+Input!I80</f>
        <v>1947000</v>
      </c>
      <c r="G105" s="294">
        <f>+Input!J80</f>
        <v>2337000</v>
      </c>
      <c r="H105" s="294">
        <f>+Input!K80</f>
        <v>2657000</v>
      </c>
      <c r="I105" s="294">
        <f>+Input!L80</f>
        <v>3032000</v>
      </c>
      <c r="J105" s="294">
        <f>+Input!M80</f>
        <v>1984000</v>
      </c>
      <c r="K105" s="297">
        <f>+J105</f>
        <v>1984000</v>
      </c>
      <c r="M105" s="47">
        <f>+K105</f>
        <v>1984000</v>
      </c>
      <c r="N105" s="47"/>
      <c r="P105" s="324">
        <f t="shared" si="79"/>
        <v>0</v>
      </c>
      <c r="Q105" s="350">
        <f aca="true" t="shared" si="81" ref="Q105:V105">+P105+Q163+Q139</f>
        <v>304417.70023399626</v>
      </c>
      <c r="R105" s="50">
        <f t="shared" si="81"/>
        <v>640471.7922193713</v>
      </c>
      <c r="S105" s="50">
        <f t="shared" si="81"/>
        <v>997849.1334149266</v>
      </c>
      <c r="T105" s="50">
        <f t="shared" si="81"/>
        <v>1381446.0699615036</v>
      </c>
      <c r="U105" s="50">
        <f t="shared" si="81"/>
        <v>1785095.0886369834</v>
      </c>
      <c r="V105" s="50">
        <f t="shared" si="81"/>
        <v>2230553.4430683497</v>
      </c>
      <c r="W105" s="50">
        <f>+V105+W163+W139</f>
        <v>2719990.8805652703</v>
      </c>
    </row>
    <row r="106" spans="1:23" ht="12">
      <c r="A106">
        <f>ROW()</f>
        <v>106</v>
      </c>
      <c r="B106" t="s">
        <v>53</v>
      </c>
      <c r="C106" s="47">
        <f aca="true" t="shared" si="82" ref="C106:K106">SUM(C99:C105)</f>
        <v>2076000</v>
      </c>
      <c r="D106" s="47">
        <f t="shared" si="82"/>
        <v>1621000</v>
      </c>
      <c r="E106" s="47">
        <f t="shared" si="82"/>
        <v>1824000</v>
      </c>
      <c r="F106" s="47">
        <f t="shared" si="82"/>
        <v>2471000</v>
      </c>
      <c r="G106" s="47">
        <f t="shared" si="82"/>
        <v>2954000</v>
      </c>
      <c r="H106" s="47">
        <f t="shared" si="82"/>
        <v>3137000</v>
      </c>
      <c r="I106" s="47">
        <f t="shared" si="82"/>
        <v>3360000</v>
      </c>
      <c r="J106" s="47">
        <f t="shared" si="82"/>
        <v>1525000</v>
      </c>
      <c r="K106" s="296">
        <f t="shared" si="82"/>
        <v>1525000</v>
      </c>
      <c r="M106" s="47"/>
      <c r="N106" s="47"/>
      <c r="P106" s="296">
        <f aca="true" t="shared" si="83" ref="P106:W106">SUM(P99:P105)</f>
        <v>12421220</v>
      </c>
      <c r="Q106" s="47">
        <f t="shared" si="83"/>
        <v>12725637.700233996</v>
      </c>
      <c r="R106" s="47">
        <f t="shared" si="83"/>
        <v>13061691.79221937</v>
      </c>
      <c r="S106" s="47">
        <f t="shared" si="83"/>
        <v>13419069.133414926</v>
      </c>
      <c r="T106" s="47">
        <f t="shared" si="83"/>
        <v>13802666.069961503</v>
      </c>
      <c r="U106" s="47">
        <f t="shared" si="83"/>
        <v>14206315.088636983</v>
      </c>
      <c r="V106" s="47">
        <f t="shared" si="83"/>
        <v>14651773.44306835</v>
      </c>
      <c r="W106" s="47">
        <f t="shared" si="83"/>
        <v>15141210.88056527</v>
      </c>
    </row>
    <row r="107" spans="1:23" ht="12">
      <c r="A107">
        <f>ROW()</f>
        <v>107</v>
      </c>
      <c r="C107" s="47"/>
      <c r="D107" s="47"/>
      <c r="E107" s="47"/>
      <c r="F107" s="47"/>
      <c r="G107" s="47"/>
      <c r="H107" s="47"/>
      <c r="I107" s="47"/>
      <c r="J107" s="47"/>
      <c r="K107" s="296"/>
      <c r="M107" s="47"/>
      <c r="N107" s="47"/>
      <c r="P107" s="296"/>
      <c r="Q107" s="47"/>
      <c r="R107" s="47"/>
      <c r="S107" s="47"/>
      <c r="T107" s="47"/>
      <c r="U107" s="47"/>
      <c r="V107" s="47"/>
      <c r="W107" s="47"/>
    </row>
    <row r="108" spans="1:23" ht="13.5" thickBot="1">
      <c r="A108">
        <f>ROW()</f>
        <v>108</v>
      </c>
      <c r="B108" s="2" t="s">
        <v>54</v>
      </c>
      <c r="C108" s="300">
        <f aca="true" t="shared" si="84" ref="C108:K108">+C106+C97</f>
        <v>9622000</v>
      </c>
      <c r="D108" s="300">
        <f t="shared" si="84"/>
        <v>9703000</v>
      </c>
      <c r="E108" s="300">
        <f t="shared" si="84"/>
        <v>8761000</v>
      </c>
      <c r="F108" s="300">
        <f t="shared" si="84"/>
        <v>9776000</v>
      </c>
      <c r="G108" s="300">
        <f t="shared" si="84"/>
        <v>9560000</v>
      </c>
      <c r="H108" s="300">
        <f t="shared" si="84"/>
        <v>8855000</v>
      </c>
      <c r="I108" s="300">
        <f t="shared" si="84"/>
        <v>8762000</v>
      </c>
      <c r="J108" s="300">
        <f t="shared" si="84"/>
        <v>8659000</v>
      </c>
      <c r="K108" s="351">
        <f t="shared" si="84"/>
        <v>8659000</v>
      </c>
      <c r="M108" s="300">
        <f>SUM(M60:M107)</f>
        <v>18921220</v>
      </c>
      <c r="N108" s="300">
        <f>SUM(N60:N107)</f>
        <v>18921220</v>
      </c>
      <c r="P108" s="351">
        <f aca="true" t="shared" si="85" ref="P108:V108">+P106+P97</f>
        <v>23111220</v>
      </c>
      <c r="Q108" s="356">
        <f t="shared" si="85"/>
        <v>23388037.700233996</v>
      </c>
      <c r="R108" s="300">
        <f t="shared" si="85"/>
        <v>23764403.79221937</v>
      </c>
      <c r="S108" s="300">
        <f t="shared" si="85"/>
        <v>24194720.013414927</v>
      </c>
      <c r="T108" s="300">
        <f t="shared" si="85"/>
        <v>24652340.841161504</v>
      </c>
      <c r="U108" s="300">
        <f t="shared" si="85"/>
        <v>25114619.869884983</v>
      </c>
      <c r="V108" s="300">
        <f t="shared" si="85"/>
        <v>25624099.88041427</v>
      </c>
      <c r="W108" s="300">
        <f>+W106+W97</f>
        <v>25649279.56172551</v>
      </c>
    </row>
    <row r="109" spans="1:14" ht="12.75" thickTop="1">
      <c r="A109">
        <f>ROW()</f>
        <v>109</v>
      </c>
      <c r="C109" s="47"/>
      <c r="D109" s="47"/>
      <c r="E109" s="47"/>
      <c r="F109" s="47"/>
      <c r="G109" s="47"/>
      <c r="H109" s="47"/>
      <c r="I109" s="47"/>
      <c r="J109" s="47"/>
      <c r="K109" s="296"/>
      <c r="M109" s="47"/>
      <c r="N109" s="47"/>
    </row>
    <row r="110" spans="1:23" ht="12">
      <c r="A110">
        <f>ROW()</f>
        <v>110</v>
      </c>
      <c r="B110" t="s">
        <v>55</v>
      </c>
      <c r="C110" s="47">
        <f aca="true" t="shared" si="86" ref="C110:K110">+C76-C108</f>
        <v>0</v>
      </c>
      <c r="D110" s="47">
        <f t="shared" si="86"/>
        <v>0</v>
      </c>
      <c r="E110" s="47">
        <f t="shared" si="86"/>
        <v>0</v>
      </c>
      <c r="F110" s="47">
        <f t="shared" si="86"/>
        <v>0</v>
      </c>
      <c r="G110" s="47">
        <f t="shared" si="86"/>
        <v>0</v>
      </c>
      <c r="H110" s="47">
        <f t="shared" si="86"/>
        <v>0</v>
      </c>
      <c r="I110" s="47">
        <f t="shared" si="86"/>
        <v>0</v>
      </c>
      <c r="J110" s="47">
        <f t="shared" si="86"/>
        <v>0</v>
      </c>
      <c r="K110" s="296">
        <f t="shared" si="86"/>
        <v>0</v>
      </c>
      <c r="M110" s="47"/>
      <c r="N110" s="47"/>
      <c r="P110" s="11">
        <f aca="true" t="shared" si="87" ref="P110:V110">+P76-P108</f>
        <v>0</v>
      </c>
      <c r="Q110" s="11">
        <f t="shared" si="87"/>
        <v>0</v>
      </c>
      <c r="R110" s="11">
        <f t="shared" si="87"/>
        <v>0</v>
      </c>
      <c r="S110" s="11">
        <f t="shared" si="87"/>
        <v>0</v>
      </c>
      <c r="T110" s="11">
        <f t="shared" si="87"/>
        <v>0</v>
      </c>
      <c r="U110" s="11">
        <f t="shared" si="87"/>
        <v>0</v>
      </c>
      <c r="V110" s="11">
        <f t="shared" si="87"/>
        <v>0</v>
      </c>
      <c r="W110" s="11">
        <f>+W76-W108</f>
        <v>0</v>
      </c>
    </row>
    <row r="111" spans="1:23" ht="12">
      <c r="A111">
        <f>ROW()</f>
        <v>111</v>
      </c>
      <c r="B111" t="s">
        <v>56</v>
      </c>
      <c r="C111" s="47"/>
      <c r="D111" s="47"/>
      <c r="E111" s="47"/>
      <c r="F111" s="47"/>
      <c r="G111" s="47">
        <f>+G110-C110</f>
        <v>0</v>
      </c>
      <c r="H111" s="47">
        <f>+H110-G110</f>
        <v>0</v>
      </c>
      <c r="I111" s="47">
        <f>+I110-H110</f>
        <v>0</v>
      </c>
      <c r="J111" s="47">
        <f>+J110-I110</f>
        <v>0</v>
      </c>
      <c r="K111" s="296">
        <f>+K110-J110</f>
        <v>0</v>
      </c>
      <c r="M111" s="47"/>
      <c r="N111" s="47"/>
      <c r="Q111" s="31">
        <f aca="true" t="shared" si="88" ref="Q111:W111">+Q110-P110</f>
        <v>0</v>
      </c>
      <c r="R111" s="31">
        <f t="shared" si="88"/>
        <v>0</v>
      </c>
      <c r="S111" s="31">
        <f t="shared" si="88"/>
        <v>0</v>
      </c>
      <c r="T111" s="31">
        <f t="shared" si="88"/>
        <v>0</v>
      </c>
      <c r="U111" s="31">
        <f t="shared" si="88"/>
        <v>0</v>
      </c>
      <c r="V111" s="31">
        <f t="shared" si="88"/>
        <v>0</v>
      </c>
      <c r="W111" s="31">
        <f t="shared" si="88"/>
        <v>0</v>
      </c>
    </row>
    <row r="112" spans="3:14" ht="12">
      <c r="C112" s="11"/>
      <c r="D112" s="47"/>
      <c r="E112" s="47"/>
      <c r="F112" s="47"/>
      <c r="G112" s="11"/>
      <c r="H112" s="11"/>
      <c r="I112" s="11"/>
      <c r="J112" s="11"/>
      <c r="K112" s="11"/>
      <c r="M112" s="47"/>
      <c r="N112" s="47"/>
    </row>
    <row r="113" spans="2:23" ht="18">
      <c r="B113" s="62" t="s">
        <v>59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377"/>
      <c r="N113" s="377"/>
      <c r="O113" s="5"/>
      <c r="P113" s="5"/>
      <c r="Q113" s="5"/>
      <c r="R113" s="5"/>
      <c r="S113" s="5"/>
      <c r="T113" s="5"/>
      <c r="U113" s="5"/>
      <c r="V113" s="5"/>
      <c r="W113" s="5"/>
    </row>
    <row r="114" spans="3:23" ht="18" customHeight="1">
      <c r="C114" s="8" t="s">
        <v>27</v>
      </c>
      <c r="D114" s="8"/>
      <c r="E114" s="8"/>
      <c r="F114" s="8"/>
      <c r="G114" s="8"/>
      <c r="H114" s="8"/>
      <c r="I114" s="8"/>
      <c r="J114" s="8"/>
      <c r="K114" s="8"/>
      <c r="L114" s="33"/>
      <c r="M114" s="378"/>
      <c r="N114" s="379"/>
      <c r="O114" s="8"/>
      <c r="P114" s="8" t="s">
        <v>28</v>
      </c>
      <c r="Q114" s="8"/>
      <c r="R114" s="8"/>
      <c r="S114" s="8"/>
      <c r="T114" s="8"/>
      <c r="U114" s="8"/>
      <c r="V114" s="8"/>
      <c r="W114" s="8"/>
    </row>
    <row r="115" spans="3:23" ht="18" customHeight="1">
      <c r="C115" s="110" t="str">
        <f>+G115</f>
        <v>12 mos</v>
      </c>
      <c r="D115" s="110" t="str">
        <f>+H115</f>
        <v>12 mos</v>
      </c>
      <c r="E115" s="110" t="str">
        <f>+I115</f>
        <v>12 mos</v>
      </c>
      <c r="F115" s="110" t="str">
        <f>+J115</f>
        <v>12 mos</v>
      </c>
      <c r="G115" s="110" t="str">
        <f>+H115</f>
        <v>12 mos</v>
      </c>
      <c r="H115" s="110" t="str">
        <f>+I115</f>
        <v>12 mos</v>
      </c>
      <c r="I115" s="110" t="s">
        <v>235</v>
      </c>
      <c r="J115" s="111" t="s">
        <v>235</v>
      </c>
      <c r="K115" s="360" t="s">
        <v>235</v>
      </c>
      <c r="L115" s="115"/>
      <c r="M115" s="378"/>
      <c r="N115" s="379"/>
      <c r="O115" s="8"/>
      <c r="P115" s="112" t="str">
        <f>+K115</f>
        <v>12 mos</v>
      </c>
      <c r="Q115" s="109" t="str">
        <f aca="true" t="shared" si="89" ref="Q115:V115">+P115</f>
        <v>12 mos</v>
      </c>
      <c r="R115" s="109" t="str">
        <f t="shared" si="89"/>
        <v>12 mos</v>
      </c>
      <c r="S115" s="109" t="str">
        <f t="shared" si="89"/>
        <v>12 mos</v>
      </c>
      <c r="T115" s="109" t="str">
        <f t="shared" si="89"/>
        <v>12 mos</v>
      </c>
      <c r="U115" s="109" t="str">
        <f t="shared" si="89"/>
        <v>12 mos</v>
      </c>
      <c r="V115" s="109" t="str">
        <f t="shared" si="89"/>
        <v>12 mos</v>
      </c>
      <c r="W115" s="109" t="str">
        <f>+V115</f>
        <v>12 mos</v>
      </c>
    </row>
    <row r="116" spans="3:23" ht="13.5" thickBot="1">
      <c r="C116" s="107">
        <f aca="true" t="shared" si="90" ref="C116:H116">+C59</f>
        <v>39447</v>
      </c>
      <c r="D116" s="107">
        <f t="shared" si="90"/>
        <v>39813</v>
      </c>
      <c r="E116" s="107">
        <f t="shared" si="90"/>
        <v>40178</v>
      </c>
      <c r="F116" s="107">
        <f t="shared" si="90"/>
        <v>40543</v>
      </c>
      <c r="G116" s="107">
        <f t="shared" si="90"/>
        <v>40908</v>
      </c>
      <c r="H116" s="107">
        <f t="shared" si="90"/>
        <v>41274</v>
      </c>
      <c r="I116" s="107">
        <f>+$I$59</f>
        <v>41639</v>
      </c>
      <c r="J116" s="108">
        <f>+$J$59</f>
        <v>42004</v>
      </c>
      <c r="K116" s="108">
        <f>+$K$59</f>
        <v>42004</v>
      </c>
      <c r="L116" s="116" t="s">
        <v>151</v>
      </c>
      <c r="M116" s="33"/>
      <c r="N116" s="8"/>
      <c r="O116" s="8"/>
      <c r="P116" s="108">
        <f aca="true" t="shared" si="91" ref="P116:V116">+P59</f>
        <v>42004</v>
      </c>
      <c r="Q116" s="107">
        <f t="shared" si="91"/>
        <v>42369</v>
      </c>
      <c r="R116" s="107">
        <f t="shared" si="91"/>
        <v>42734</v>
      </c>
      <c r="S116" s="107">
        <f t="shared" si="91"/>
        <v>43099</v>
      </c>
      <c r="T116" s="107">
        <f t="shared" si="91"/>
        <v>43464</v>
      </c>
      <c r="U116" s="107">
        <f t="shared" si="91"/>
        <v>43829</v>
      </c>
      <c r="V116" s="107">
        <f t="shared" si="91"/>
        <v>44194</v>
      </c>
      <c r="W116" s="107">
        <f>+W59</f>
        <v>44559</v>
      </c>
    </row>
    <row r="117" spans="1:23" ht="12.75">
      <c r="A117">
        <f>ROW()</f>
        <v>117</v>
      </c>
      <c r="B117" s="2" t="s">
        <v>86</v>
      </c>
      <c r="C117" s="292">
        <f>+Input!F6</f>
        <v>6153000</v>
      </c>
      <c r="D117" s="292">
        <f>+Input!G6</f>
        <v>5907000</v>
      </c>
      <c r="E117" s="292">
        <f>+Input!H6</f>
        <v>4696000</v>
      </c>
      <c r="F117" s="292">
        <f>+Input!I6</f>
        <v>5071000</v>
      </c>
      <c r="G117" s="292">
        <f>+Input!J6</f>
        <v>5624000</v>
      </c>
      <c r="H117" s="327">
        <f>+H231</f>
        <v>6321000</v>
      </c>
      <c r="I117" s="327">
        <f>+I231</f>
        <v>6115000</v>
      </c>
      <c r="J117" s="327">
        <f>+J231</f>
        <v>5983000</v>
      </c>
      <c r="K117" s="328">
        <f>+K231</f>
        <v>5983000</v>
      </c>
      <c r="M117" s="33"/>
      <c r="N117" s="8"/>
      <c r="O117" s="11"/>
      <c r="P117" s="299">
        <f aca="true" t="shared" si="92" ref="P117:V117">+P231</f>
        <v>5983000</v>
      </c>
      <c r="Q117" s="298">
        <f t="shared" si="92"/>
        <v>6098920</v>
      </c>
      <c r="R117" s="298">
        <f t="shared" si="92"/>
        <v>6344145.6</v>
      </c>
      <c r="S117" s="298">
        <f t="shared" si="92"/>
        <v>6650695.264</v>
      </c>
      <c r="T117" s="298">
        <f t="shared" si="92"/>
        <v>6967340.560160001</v>
      </c>
      <c r="U117" s="298">
        <f t="shared" si="92"/>
        <v>7256107.098366401</v>
      </c>
      <c r="V117" s="298">
        <f t="shared" si="92"/>
        <v>7559377.596250257</v>
      </c>
      <c r="W117" s="298">
        <f>+W231</f>
        <v>7877957.982210408</v>
      </c>
    </row>
    <row r="118" spans="1:23" ht="12.75">
      <c r="A118">
        <f>ROW()</f>
        <v>118</v>
      </c>
      <c r="B118" t="s">
        <v>60</v>
      </c>
      <c r="D118" s="14">
        <f>+D117/C117-1</f>
        <v>-0.03998049731838127</v>
      </c>
      <c r="E118" s="14">
        <f aca="true" t="shared" si="93" ref="E118:J118">+E117/D117-1</f>
        <v>-0.20501100389368543</v>
      </c>
      <c r="F118" s="14">
        <f t="shared" si="93"/>
        <v>0.07985519591141399</v>
      </c>
      <c r="G118" s="14">
        <f t="shared" si="93"/>
        <v>0.10905146913823693</v>
      </c>
      <c r="H118" s="14">
        <f t="shared" si="93"/>
        <v>0.12393314366998576</v>
      </c>
      <c r="I118" s="14">
        <f t="shared" si="93"/>
        <v>-0.032589780098085774</v>
      </c>
      <c r="J118" s="14">
        <f t="shared" si="93"/>
        <v>-0.021586263286999197</v>
      </c>
      <c r="K118" s="42">
        <f>+K117/I117-1</f>
        <v>-0.021586263286999197</v>
      </c>
      <c r="M118" s="33"/>
      <c r="N118" s="8"/>
      <c r="P118" s="42">
        <f>+P117/I117-1</f>
        <v>-0.021586263286999197</v>
      </c>
      <c r="Q118" s="14">
        <f aca="true" t="shared" si="94" ref="Q118:W118">+Q117/P117-1</f>
        <v>0.01937489553735583</v>
      </c>
      <c r="R118" s="14">
        <f t="shared" si="94"/>
        <v>0.04020803683275065</v>
      </c>
      <c r="S118" s="14">
        <f t="shared" si="94"/>
        <v>0.04832008647468644</v>
      </c>
      <c r="T118" s="14">
        <f t="shared" si="94"/>
        <v>0.04761085624746508</v>
      </c>
      <c r="U118" s="14">
        <f t="shared" si="94"/>
        <v>0.04144573323393974</v>
      </c>
      <c r="V118" s="14">
        <f t="shared" si="94"/>
        <v>0.04179520695775474</v>
      </c>
      <c r="W118" s="14">
        <f t="shared" si="94"/>
        <v>0.04214373232502355</v>
      </c>
    </row>
    <row r="119" spans="1:16" ht="12.75">
      <c r="A119">
        <f>ROW()</f>
        <v>119</v>
      </c>
      <c r="K119" s="43"/>
      <c r="M119" s="33"/>
      <c r="N119" s="8"/>
      <c r="P119" s="43"/>
    </row>
    <row r="120" spans="1:23" ht="12.75">
      <c r="A120">
        <f>ROW()</f>
        <v>120</v>
      </c>
      <c r="B120" s="2" t="s">
        <v>84</v>
      </c>
      <c r="C120" s="294">
        <f>+Input!F7-C133</f>
        <v>2006664.099646571</v>
      </c>
      <c r="D120" s="294">
        <f>+Input!G7-D133</f>
        <v>1939935.9028960816</v>
      </c>
      <c r="E120" s="294">
        <f>+Input!H7-E133</f>
        <v>1492000</v>
      </c>
      <c r="F120" s="294">
        <f>+Input!I7-F133</f>
        <v>1583000</v>
      </c>
      <c r="G120" s="294">
        <f>+Input!J7-G133</f>
        <v>1781000</v>
      </c>
      <c r="H120" s="294">
        <f>+Input!K7-H133</f>
        <v>2182000</v>
      </c>
      <c r="I120" s="294">
        <f>+Input!L7-I133</f>
        <v>1743000</v>
      </c>
      <c r="J120" s="294">
        <f>+Input!M7-J133</f>
        <v>1507000</v>
      </c>
      <c r="K120" s="297">
        <f>+J120</f>
        <v>1507000</v>
      </c>
      <c r="M120" s="11"/>
      <c r="N120" s="11"/>
      <c r="O120" s="11"/>
      <c r="P120" s="324">
        <f aca="true" t="shared" si="95" ref="P120:V120">+P238</f>
        <v>1507000</v>
      </c>
      <c r="Q120" s="50">
        <f t="shared" si="95"/>
        <v>1514535</v>
      </c>
      <c r="R120" s="50">
        <f t="shared" si="95"/>
        <v>1571273.55</v>
      </c>
      <c r="S120" s="50">
        <f t="shared" si="95"/>
        <v>1651650.9020000002</v>
      </c>
      <c r="T120" s="50">
        <f t="shared" si="95"/>
        <v>1732814.3654800002</v>
      </c>
      <c r="U120" s="50">
        <f t="shared" si="95"/>
        <v>1802824.6660292004</v>
      </c>
      <c r="V120" s="50">
        <f t="shared" si="95"/>
        <v>1876741.3178270683</v>
      </c>
      <c r="W120" s="50">
        <f>+W238</f>
        <v>1954802.645436768</v>
      </c>
    </row>
    <row r="121" spans="1:23" ht="12.75">
      <c r="A121">
        <f>ROW()</f>
        <v>121</v>
      </c>
      <c r="B121" s="2" t="s">
        <v>122</v>
      </c>
      <c r="C121" s="302">
        <f>+C117-C120</f>
        <v>4146335.900353429</v>
      </c>
      <c r="D121" s="302">
        <f aca="true" t="shared" si="96" ref="D121:J121">+D117-D120</f>
        <v>3967064.0971039184</v>
      </c>
      <c r="E121" s="302">
        <f t="shared" si="96"/>
        <v>3204000</v>
      </c>
      <c r="F121" s="302">
        <f t="shared" si="96"/>
        <v>3488000</v>
      </c>
      <c r="G121" s="302">
        <f t="shared" si="96"/>
        <v>3843000</v>
      </c>
      <c r="H121" s="302">
        <f t="shared" si="96"/>
        <v>4139000</v>
      </c>
      <c r="I121" s="302">
        <f t="shared" si="96"/>
        <v>4372000</v>
      </c>
      <c r="J121" s="302">
        <f t="shared" si="96"/>
        <v>4476000</v>
      </c>
      <c r="K121" s="44">
        <f>+K117-K120</f>
        <v>4476000</v>
      </c>
      <c r="P121" s="323">
        <f aca="true" t="shared" si="97" ref="P121:W121">+P117-P120</f>
        <v>4476000</v>
      </c>
      <c r="Q121" s="302">
        <f t="shared" si="97"/>
        <v>4584385</v>
      </c>
      <c r="R121" s="302">
        <f t="shared" si="97"/>
        <v>4772872.05</v>
      </c>
      <c r="S121" s="302">
        <f t="shared" si="97"/>
        <v>4999044.362</v>
      </c>
      <c r="T121" s="302">
        <f t="shared" si="97"/>
        <v>5234526.194680001</v>
      </c>
      <c r="U121" s="302">
        <f t="shared" si="97"/>
        <v>5453282.4323372</v>
      </c>
      <c r="V121" s="302">
        <f t="shared" si="97"/>
        <v>5682636.278423189</v>
      </c>
      <c r="W121" s="302">
        <f t="shared" si="97"/>
        <v>5923155.33677364</v>
      </c>
    </row>
    <row r="122" spans="1:23" ht="12">
      <c r="A122">
        <f>ROW()</f>
        <v>122</v>
      </c>
      <c r="B122" t="s">
        <v>61</v>
      </c>
      <c r="C122" s="14">
        <f>+C121/C117</f>
        <v>0.6738722412406027</v>
      </c>
      <c r="D122" s="14">
        <f aca="true" t="shared" si="98" ref="D122:J122">+D121/D117</f>
        <v>0.6715869471989028</v>
      </c>
      <c r="E122" s="14">
        <f t="shared" si="98"/>
        <v>0.682282793867121</v>
      </c>
      <c r="F122" s="14">
        <f t="shared" si="98"/>
        <v>0.6878327746006705</v>
      </c>
      <c r="G122" s="14">
        <f t="shared" si="98"/>
        <v>0.6833214793741109</v>
      </c>
      <c r="H122" s="14">
        <f t="shared" si="98"/>
        <v>0.6548014554659073</v>
      </c>
      <c r="I122" s="14">
        <f t="shared" si="98"/>
        <v>0.7149632052330335</v>
      </c>
      <c r="J122" s="14">
        <f t="shared" si="98"/>
        <v>0.7481196724051479</v>
      </c>
      <c r="K122" s="42">
        <f>+K121/K117</f>
        <v>0.7481196724051479</v>
      </c>
      <c r="P122" s="42">
        <f aca="true" t="shared" si="99" ref="P122:W122">+P121/P117</f>
        <v>0.7481196724051479</v>
      </c>
      <c r="Q122" s="14">
        <f t="shared" si="99"/>
        <v>0.7516716074321356</v>
      </c>
      <c r="R122" s="14">
        <f t="shared" si="99"/>
        <v>0.7523270036551494</v>
      </c>
      <c r="S122" s="14">
        <f t="shared" si="99"/>
        <v>0.7516574077690292</v>
      </c>
      <c r="T122" s="14">
        <f t="shared" si="99"/>
        <v>0.7512947227829772</v>
      </c>
      <c r="U122" s="14">
        <f t="shared" si="99"/>
        <v>0.7515438179743683</v>
      </c>
      <c r="V122" s="14">
        <f t="shared" si="99"/>
        <v>0.7517333545081801</v>
      </c>
      <c r="W122" s="14">
        <f t="shared" si="99"/>
        <v>0.7518642965790118</v>
      </c>
    </row>
    <row r="123" spans="1:16" ht="12">
      <c r="A123">
        <f>ROW()</f>
        <v>123</v>
      </c>
      <c r="K123" s="43"/>
      <c r="P123" s="43"/>
    </row>
    <row r="124" spans="1:24" ht="12.75">
      <c r="A124">
        <f>ROW()</f>
        <v>124</v>
      </c>
      <c r="B124" s="2" t="s">
        <v>85</v>
      </c>
      <c r="C124" s="294">
        <f>+Input!F15</f>
        <v>3059335.900353429</v>
      </c>
      <c r="D124" s="294">
        <f>+Input!G15</f>
        <v>3103064.0971039184</v>
      </c>
      <c r="E124" s="294">
        <f>+Input!H15</f>
        <v>2933000</v>
      </c>
      <c r="F124" s="294">
        <f>+Input!I15</f>
        <v>2671000</v>
      </c>
      <c r="G124" s="294">
        <f>+Input!J15</f>
        <v>3024000</v>
      </c>
      <c r="H124" s="294">
        <f>+Input!K15</f>
        <v>3057000</v>
      </c>
      <c r="I124" s="294">
        <f>+Input!L15</f>
        <v>3266000</v>
      </c>
      <c r="J124" s="294">
        <f>+Input!M15</f>
        <v>3392000</v>
      </c>
      <c r="K124" s="297">
        <f>+J124</f>
        <v>3392000</v>
      </c>
      <c r="M124" s="11"/>
      <c r="N124" s="11"/>
      <c r="O124" s="11"/>
      <c r="P124" s="324">
        <f>+K124</f>
        <v>3392000</v>
      </c>
      <c r="Q124" s="50">
        <f aca="true" t="shared" si="100" ref="Q124:W124">+Q333*Q117</f>
        <v>3457719.645662711</v>
      </c>
      <c r="R124" s="50">
        <f t="shared" si="100"/>
        <v>3596747.764532843</v>
      </c>
      <c r="S124" s="50">
        <f t="shared" si="100"/>
        <v>3770542.9275427046</v>
      </c>
      <c r="T124" s="50">
        <f t="shared" si="100"/>
        <v>3950061.704840836</v>
      </c>
      <c r="U124" s="50">
        <f t="shared" si="100"/>
        <v>4113774.9085172713</v>
      </c>
      <c r="V124" s="50">
        <f t="shared" si="100"/>
        <v>4285710.982196368</v>
      </c>
      <c r="W124" s="50">
        <f t="shared" si="100"/>
        <v>4466326.838652466</v>
      </c>
      <c r="X124" s="11"/>
    </row>
    <row r="125" spans="1:23" ht="12.75">
      <c r="A125">
        <f>ROW()</f>
        <v>125</v>
      </c>
      <c r="B125" s="2" t="s">
        <v>62</v>
      </c>
      <c r="C125" s="302">
        <f>+C121-C124</f>
        <v>1087000</v>
      </c>
      <c r="D125" s="302">
        <f aca="true" t="shared" si="101" ref="D125:J125">+D121-D124</f>
        <v>864000</v>
      </c>
      <c r="E125" s="302">
        <f t="shared" si="101"/>
        <v>271000</v>
      </c>
      <c r="F125" s="302">
        <f t="shared" si="101"/>
        <v>817000</v>
      </c>
      <c r="G125" s="302">
        <f t="shared" si="101"/>
        <v>819000</v>
      </c>
      <c r="H125" s="302">
        <f t="shared" si="101"/>
        <v>1082000</v>
      </c>
      <c r="I125" s="302">
        <f t="shared" si="101"/>
        <v>1106000</v>
      </c>
      <c r="J125" s="302">
        <f t="shared" si="101"/>
        <v>1084000</v>
      </c>
      <c r="K125" s="44">
        <f>+K121-K124</f>
        <v>1084000</v>
      </c>
      <c r="P125" s="323">
        <f aca="true" t="shared" si="102" ref="P125:W125">+P121-P124</f>
        <v>1084000</v>
      </c>
      <c r="Q125" s="302">
        <f t="shared" si="102"/>
        <v>1126665.354337289</v>
      </c>
      <c r="R125" s="302">
        <f t="shared" si="102"/>
        <v>1176124.2854671567</v>
      </c>
      <c r="S125" s="302">
        <f t="shared" si="102"/>
        <v>1228501.434457295</v>
      </c>
      <c r="T125" s="302">
        <f t="shared" si="102"/>
        <v>1284464.4898391645</v>
      </c>
      <c r="U125" s="302">
        <f t="shared" si="102"/>
        <v>1339507.523819929</v>
      </c>
      <c r="V125" s="302">
        <f t="shared" si="102"/>
        <v>1396925.296226821</v>
      </c>
      <c r="W125" s="302">
        <f t="shared" si="102"/>
        <v>1456828.4981211731</v>
      </c>
    </row>
    <row r="126" spans="1:23" ht="12">
      <c r="A126">
        <f>ROW()</f>
        <v>126</v>
      </c>
      <c r="B126" t="s">
        <v>63</v>
      </c>
      <c r="C126" s="14">
        <f>+C125/C117</f>
        <v>0.17666179099626197</v>
      </c>
      <c r="D126" s="14">
        <f aca="true" t="shared" si="103" ref="D126:J126">+D125/D117</f>
        <v>0.1462671406805485</v>
      </c>
      <c r="E126" s="14">
        <f t="shared" si="103"/>
        <v>0.057708688245315165</v>
      </c>
      <c r="F126" s="14">
        <f t="shared" si="103"/>
        <v>0.161112206665352</v>
      </c>
      <c r="G126" s="14">
        <f t="shared" si="103"/>
        <v>0.14562588904694168</v>
      </c>
      <c r="H126" s="14">
        <f t="shared" si="103"/>
        <v>0.17117544692295522</v>
      </c>
      <c r="I126" s="14">
        <f t="shared" si="103"/>
        <v>0.18086672117743255</v>
      </c>
      <c r="J126" s="14">
        <f t="shared" si="103"/>
        <v>0.18118001002841383</v>
      </c>
      <c r="K126" s="42">
        <f>+K125/K117</f>
        <v>0.18118001002841383</v>
      </c>
      <c r="P126" s="42">
        <f aca="true" t="shared" si="104" ref="P126:W126">+P125/P117</f>
        <v>0.18118001002841383</v>
      </c>
      <c r="Q126" s="14">
        <f t="shared" si="104"/>
        <v>0.18473194505540144</v>
      </c>
      <c r="R126" s="14">
        <f t="shared" si="104"/>
        <v>0.1853873412784153</v>
      </c>
      <c r="S126" s="14">
        <f t="shared" si="104"/>
        <v>0.18471774539229513</v>
      </c>
      <c r="T126" s="14">
        <f t="shared" si="104"/>
        <v>0.18435506040624308</v>
      </c>
      <c r="U126" s="14">
        <f t="shared" si="104"/>
        <v>0.18460415559763418</v>
      </c>
      <c r="V126" s="14">
        <f t="shared" si="104"/>
        <v>0.18479369213144606</v>
      </c>
      <c r="W126" s="14">
        <f t="shared" si="104"/>
        <v>0.18492463420227767</v>
      </c>
    </row>
    <row r="127" spans="1:16" ht="12">
      <c r="A127">
        <f>ROW()</f>
        <v>127</v>
      </c>
      <c r="C127" s="48"/>
      <c r="D127" s="48"/>
      <c r="E127" s="48"/>
      <c r="F127" s="48"/>
      <c r="G127" s="48"/>
      <c r="H127" s="48"/>
      <c r="I127" s="48"/>
      <c r="J127" s="48"/>
      <c r="K127" s="361"/>
      <c r="P127" s="42"/>
    </row>
    <row r="128" spans="1:23" ht="12">
      <c r="A128">
        <f>ROW()</f>
        <v>128</v>
      </c>
      <c r="B128" t="s">
        <v>149</v>
      </c>
      <c r="C128" s="12"/>
      <c r="D128" s="12"/>
      <c r="E128" s="12"/>
      <c r="F128" s="12"/>
      <c r="G128" s="12"/>
      <c r="H128" s="12"/>
      <c r="I128" s="12"/>
      <c r="J128" s="12"/>
      <c r="K128" s="362"/>
      <c r="P128" s="45">
        <f>+K128</f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</row>
    <row r="129" spans="1:23" ht="12">
      <c r="A129">
        <f>ROW()</f>
        <v>129</v>
      </c>
      <c r="B129" t="s">
        <v>150</v>
      </c>
      <c r="C129" s="295">
        <f>+Input!F18</f>
        <v>43000</v>
      </c>
      <c r="D129" s="295">
        <f>+Input!G18</f>
        <v>-79000</v>
      </c>
      <c r="E129" s="295">
        <f>+Input!H18</f>
        <v>-22000</v>
      </c>
      <c r="F129" s="295">
        <f>+Input!I18</f>
        <v>-22000</v>
      </c>
      <c r="G129" s="295">
        <f>+Input!J18</f>
        <v>-22000</v>
      </c>
      <c r="H129" s="295">
        <f>+Input!K18</f>
        <v>-22000</v>
      </c>
      <c r="I129" s="295">
        <f>+Input!L18</f>
        <v>-29000</v>
      </c>
      <c r="J129" s="295">
        <f>+Input!M18</f>
        <v>0</v>
      </c>
      <c r="K129" s="363">
        <f>+J129</f>
        <v>0</v>
      </c>
      <c r="P129" s="297">
        <f>+K129</f>
        <v>0</v>
      </c>
      <c r="Q129" s="295">
        <v>0</v>
      </c>
      <c r="R129" s="295">
        <v>0</v>
      </c>
      <c r="S129" s="295">
        <v>0</v>
      </c>
      <c r="T129" s="295">
        <v>0</v>
      </c>
      <c r="U129" s="295">
        <v>0</v>
      </c>
      <c r="V129" s="295">
        <v>0</v>
      </c>
      <c r="W129" s="295">
        <v>0</v>
      </c>
    </row>
    <row r="130" spans="1:23" ht="12.75">
      <c r="A130">
        <f>ROW()</f>
        <v>130</v>
      </c>
      <c r="B130" s="2" t="s">
        <v>64</v>
      </c>
      <c r="C130" s="302">
        <f>+C125-C128-C129</f>
        <v>1044000</v>
      </c>
      <c r="D130" s="302">
        <f aca="true" t="shared" si="105" ref="D130:J130">+D125-D128-D129</f>
        <v>943000</v>
      </c>
      <c r="E130" s="302">
        <f t="shared" si="105"/>
        <v>293000</v>
      </c>
      <c r="F130" s="302">
        <f t="shared" si="105"/>
        <v>839000</v>
      </c>
      <c r="G130" s="302">
        <f t="shared" si="105"/>
        <v>841000</v>
      </c>
      <c r="H130" s="302">
        <f t="shared" si="105"/>
        <v>1104000</v>
      </c>
      <c r="I130" s="302">
        <f t="shared" si="105"/>
        <v>1135000</v>
      </c>
      <c r="J130" s="302">
        <f t="shared" si="105"/>
        <v>1084000</v>
      </c>
      <c r="K130" s="323">
        <f>+K125-K128-K129</f>
        <v>1084000</v>
      </c>
      <c r="P130" s="323">
        <f aca="true" t="shared" si="106" ref="P130:W130">+P125-P128-P129</f>
        <v>1084000</v>
      </c>
      <c r="Q130" s="302">
        <f t="shared" si="106"/>
        <v>1126665.354337289</v>
      </c>
      <c r="R130" s="302">
        <f t="shared" si="106"/>
        <v>1176124.2854671567</v>
      </c>
      <c r="S130" s="302">
        <f t="shared" si="106"/>
        <v>1228501.434457295</v>
      </c>
      <c r="T130" s="302">
        <f t="shared" si="106"/>
        <v>1284464.4898391645</v>
      </c>
      <c r="U130" s="302">
        <f t="shared" si="106"/>
        <v>1339507.523819929</v>
      </c>
      <c r="V130" s="302">
        <f t="shared" si="106"/>
        <v>1396925.296226821</v>
      </c>
      <c r="W130" s="302">
        <f t="shared" si="106"/>
        <v>1456828.4981211731</v>
      </c>
    </row>
    <row r="131" spans="1:23" ht="12">
      <c r="A131">
        <f>ROW()</f>
        <v>131</v>
      </c>
      <c r="B131" t="s">
        <v>65</v>
      </c>
      <c r="C131" s="14">
        <f>+C130/C117</f>
        <v>0.1696733300828864</v>
      </c>
      <c r="D131" s="14">
        <f aca="true" t="shared" si="107" ref="D131:J131">+D130/D117</f>
        <v>0.15964110377518198</v>
      </c>
      <c r="E131" s="14">
        <f t="shared" si="107"/>
        <v>0.06239352640545145</v>
      </c>
      <c r="F131" s="14">
        <f t="shared" si="107"/>
        <v>0.16545060145927826</v>
      </c>
      <c r="G131" s="14">
        <f t="shared" si="107"/>
        <v>0.14953769559032717</v>
      </c>
      <c r="H131" s="14">
        <f t="shared" si="107"/>
        <v>0.17465590887517798</v>
      </c>
      <c r="I131" s="14">
        <f t="shared" si="107"/>
        <v>0.1856091578086672</v>
      </c>
      <c r="J131" s="14">
        <f t="shared" si="107"/>
        <v>0.18118001002841383</v>
      </c>
      <c r="K131" s="42">
        <f>+K130/K117</f>
        <v>0.18118001002841383</v>
      </c>
      <c r="P131" s="42">
        <f aca="true" t="shared" si="108" ref="P131:W131">+P130/P117</f>
        <v>0.18118001002841383</v>
      </c>
      <c r="Q131" s="14">
        <f t="shared" si="108"/>
        <v>0.18473194505540144</v>
      </c>
      <c r="R131" s="14">
        <f t="shared" si="108"/>
        <v>0.1853873412784153</v>
      </c>
      <c r="S131" s="14">
        <f t="shared" si="108"/>
        <v>0.18471774539229513</v>
      </c>
      <c r="T131" s="14">
        <f t="shared" si="108"/>
        <v>0.18435506040624308</v>
      </c>
      <c r="U131" s="14">
        <f t="shared" si="108"/>
        <v>0.18460415559763418</v>
      </c>
      <c r="V131" s="14">
        <f t="shared" si="108"/>
        <v>0.18479369213144606</v>
      </c>
      <c r="W131" s="14">
        <f t="shared" si="108"/>
        <v>0.18492463420227767</v>
      </c>
    </row>
    <row r="132" spans="1:16" ht="12">
      <c r="A132">
        <f>ROW()</f>
        <v>132</v>
      </c>
      <c r="K132" s="43"/>
      <c r="P132" s="43"/>
    </row>
    <row r="133" spans="1:23" ht="12">
      <c r="A133">
        <f>ROW()</f>
        <v>133</v>
      </c>
      <c r="B133" t="s">
        <v>66</v>
      </c>
      <c r="C133" s="294">
        <f>+Input!F95</f>
        <v>229000</v>
      </c>
      <c r="D133" s="294">
        <f>+Input!G95</f>
        <v>245000</v>
      </c>
      <c r="E133" s="294">
        <f>+Input!H95</f>
        <v>245000</v>
      </c>
      <c r="F133" s="294">
        <f>+Input!I95</f>
        <v>217000</v>
      </c>
      <c r="G133" s="294">
        <f>+Input!J95</f>
        <v>189000</v>
      </c>
      <c r="H133" s="294">
        <f>+Input!K95</f>
        <v>170000</v>
      </c>
      <c r="I133" s="294">
        <f>+Input!L95</f>
        <v>181000</v>
      </c>
      <c r="J133" s="294">
        <f>+Input!M95</f>
        <v>201000</v>
      </c>
      <c r="K133" s="297">
        <f>+J133</f>
        <v>201000</v>
      </c>
      <c r="P133" s="297">
        <f>+K133</f>
        <v>201000</v>
      </c>
      <c r="Q133" s="325">
        <f aca="true" t="shared" si="109" ref="Q133:W133">+Q117*Q335</f>
        <v>204894.35400300854</v>
      </c>
      <c r="R133" s="325">
        <f t="shared" si="109"/>
        <v>213132.75373558415</v>
      </c>
      <c r="S133" s="325">
        <f t="shared" si="109"/>
        <v>223431.3468266756</v>
      </c>
      <c r="T133" s="325">
        <f t="shared" si="109"/>
        <v>234069.10456161795</v>
      </c>
      <c r="U133" s="325">
        <f t="shared" si="109"/>
        <v>243770.27022758595</v>
      </c>
      <c r="V133" s="325">
        <f t="shared" si="109"/>
        <v>253958.69912189565</v>
      </c>
      <c r="W133" s="325">
        <f t="shared" si="109"/>
        <v>264661.4665593</v>
      </c>
    </row>
    <row r="134" spans="1:23" ht="12.75">
      <c r="A134">
        <f>ROW()</f>
        <v>134</v>
      </c>
      <c r="B134" s="2" t="s">
        <v>67</v>
      </c>
      <c r="C134" s="302">
        <f>+C130-C133</f>
        <v>815000</v>
      </c>
      <c r="D134" s="302">
        <f aca="true" t="shared" si="110" ref="D134:J134">+D130-D133</f>
        <v>698000</v>
      </c>
      <c r="E134" s="302">
        <f t="shared" si="110"/>
        <v>48000</v>
      </c>
      <c r="F134" s="302">
        <f t="shared" si="110"/>
        <v>622000</v>
      </c>
      <c r="G134" s="302">
        <f t="shared" si="110"/>
        <v>652000</v>
      </c>
      <c r="H134" s="302">
        <f t="shared" si="110"/>
        <v>934000</v>
      </c>
      <c r="I134" s="302">
        <f t="shared" si="110"/>
        <v>954000</v>
      </c>
      <c r="J134" s="302">
        <f t="shared" si="110"/>
        <v>883000</v>
      </c>
      <c r="K134" s="323">
        <f>+K130-K133</f>
        <v>883000</v>
      </c>
      <c r="P134" s="323">
        <f aca="true" t="shared" si="111" ref="P134:W134">+P130-P133</f>
        <v>883000</v>
      </c>
      <c r="Q134" s="302">
        <f t="shared" si="111"/>
        <v>921771.0003342804</v>
      </c>
      <c r="R134" s="302">
        <f t="shared" si="111"/>
        <v>962991.5317315725</v>
      </c>
      <c r="S134" s="302">
        <f t="shared" si="111"/>
        <v>1005070.0876306195</v>
      </c>
      <c r="T134" s="302">
        <f t="shared" si="111"/>
        <v>1050395.3852775465</v>
      </c>
      <c r="U134" s="302">
        <f t="shared" si="111"/>
        <v>1095737.253592343</v>
      </c>
      <c r="V134" s="302">
        <f t="shared" si="111"/>
        <v>1142966.5971049252</v>
      </c>
      <c r="W134" s="302">
        <f t="shared" si="111"/>
        <v>1192167.0315618732</v>
      </c>
    </row>
    <row r="135" spans="1:23" ht="12">
      <c r="A135">
        <f>ROW()</f>
        <v>135</v>
      </c>
      <c r="B135" t="s">
        <v>68</v>
      </c>
      <c r="C135" s="14">
        <f>+C134/C117</f>
        <v>0.1324557126604908</v>
      </c>
      <c r="D135" s="14">
        <f aca="true" t="shared" si="112" ref="D135:J135">+D134/D117</f>
        <v>0.11816488911460979</v>
      </c>
      <c r="E135" s="14">
        <f t="shared" si="112"/>
        <v>0.010221465076660987</v>
      </c>
      <c r="F135" s="14">
        <f t="shared" si="112"/>
        <v>0.12265825281009662</v>
      </c>
      <c r="G135" s="14">
        <f t="shared" si="112"/>
        <v>0.11593172119487909</v>
      </c>
      <c r="H135" s="14">
        <f t="shared" si="112"/>
        <v>0.14776143015345672</v>
      </c>
      <c r="I135" s="14">
        <f t="shared" si="112"/>
        <v>0.15600981193785773</v>
      </c>
      <c r="J135" s="14">
        <f t="shared" si="112"/>
        <v>0.14758482366705666</v>
      </c>
      <c r="K135" s="42">
        <f>+K134/K117</f>
        <v>0.14758482366705666</v>
      </c>
      <c r="P135" s="42">
        <f aca="true" t="shared" si="113" ref="P135:W135">+P134/P117</f>
        <v>0.14758482366705666</v>
      </c>
      <c r="Q135" s="14">
        <f t="shared" si="113"/>
        <v>0.15113675869404425</v>
      </c>
      <c r="R135" s="14">
        <f t="shared" si="113"/>
        <v>0.1517921549170581</v>
      </c>
      <c r="S135" s="14">
        <f t="shared" si="113"/>
        <v>0.15112255903093796</v>
      </c>
      <c r="T135" s="14">
        <f t="shared" si="113"/>
        <v>0.1507598740448859</v>
      </c>
      <c r="U135" s="14">
        <f t="shared" si="113"/>
        <v>0.151008969236277</v>
      </c>
      <c r="V135" s="14">
        <f t="shared" si="113"/>
        <v>0.1511985057700889</v>
      </c>
      <c r="W135" s="14">
        <f t="shared" si="113"/>
        <v>0.15132944784092048</v>
      </c>
    </row>
    <row r="136" spans="1:16" ht="12">
      <c r="A136">
        <f>ROW()</f>
        <v>136</v>
      </c>
      <c r="K136" s="43"/>
      <c r="P136" s="43"/>
    </row>
    <row r="137" spans="1:23" ht="12">
      <c r="A137">
        <f>ROW()</f>
        <v>137</v>
      </c>
      <c r="B137" t="s">
        <v>69</v>
      </c>
      <c r="C137" s="11"/>
      <c r="D137" s="11"/>
      <c r="E137" s="11"/>
      <c r="F137" s="11"/>
      <c r="G137" s="11"/>
      <c r="H137" s="11"/>
      <c r="I137" s="11"/>
      <c r="J137" s="11"/>
      <c r="K137" s="45"/>
      <c r="P137" s="45">
        <f>+K137</f>
        <v>0</v>
      </c>
      <c r="Q137" s="11">
        <f aca="true" t="shared" si="114" ref="Q137:V137">+Q378</f>
        <v>0</v>
      </c>
      <c r="R137" s="11">
        <f t="shared" si="114"/>
        <v>0</v>
      </c>
      <c r="S137" s="11">
        <f t="shared" si="114"/>
        <v>0</v>
      </c>
      <c r="T137" s="11">
        <f t="shared" si="114"/>
        <v>0</v>
      </c>
      <c r="U137" s="11">
        <f t="shared" si="114"/>
        <v>0</v>
      </c>
      <c r="V137" s="11">
        <f t="shared" si="114"/>
        <v>0</v>
      </c>
      <c r="W137" s="11">
        <f>+W378</f>
        <v>0</v>
      </c>
    </row>
    <row r="138" spans="1:23" ht="12">
      <c r="A138">
        <f>ROW()</f>
        <v>138</v>
      </c>
      <c r="B138" t="s">
        <v>70</v>
      </c>
      <c r="C138" s="12"/>
      <c r="D138" s="12"/>
      <c r="E138" s="12"/>
      <c r="F138" s="12"/>
      <c r="G138" s="12"/>
      <c r="H138" s="12"/>
      <c r="I138" s="12"/>
      <c r="J138" s="12"/>
      <c r="K138" s="362"/>
      <c r="P138" s="45">
        <f>+K138</f>
        <v>0</v>
      </c>
      <c r="Q138" s="47">
        <f>+P72-Q72</f>
        <v>80888.57142857142</v>
      </c>
      <c r="R138" s="47">
        <f aca="true" t="shared" si="115" ref="R138:W138">+Q72-R72</f>
        <v>80888.57142857142</v>
      </c>
      <c r="S138" s="47">
        <f t="shared" si="115"/>
        <v>80888.57142857142</v>
      </c>
      <c r="T138" s="47">
        <f t="shared" si="115"/>
        <v>80888.57142857142</v>
      </c>
      <c r="U138" s="47">
        <f t="shared" si="115"/>
        <v>80888.57142857142</v>
      </c>
      <c r="V138" s="47">
        <f t="shared" si="115"/>
        <v>80888.57142857143</v>
      </c>
      <c r="W138" s="47">
        <f t="shared" si="115"/>
        <v>80888.57142857146</v>
      </c>
    </row>
    <row r="139" spans="1:23" ht="12">
      <c r="A139">
        <f>ROW()</f>
        <v>139</v>
      </c>
      <c r="B139" t="s">
        <v>71</v>
      </c>
      <c r="C139" s="105"/>
      <c r="D139" s="105"/>
      <c r="E139" s="105"/>
      <c r="F139" s="105"/>
      <c r="G139" s="105"/>
      <c r="H139" s="105"/>
      <c r="I139" s="105"/>
      <c r="J139" s="105"/>
      <c r="K139" s="362"/>
      <c r="P139" s="45">
        <f aca="true" t="shared" si="116" ref="P139:V139">-P129</f>
        <v>0</v>
      </c>
      <c r="Q139" s="11">
        <f t="shared" si="116"/>
        <v>0</v>
      </c>
      <c r="R139" s="11">
        <f t="shared" si="116"/>
        <v>0</v>
      </c>
      <c r="S139" s="11">
        <f t="shared" si="116"/>
        <v>0</v>
      </c>
      <c r="T139" s="11">
        <f t="shared" si="116"/>
        <v>0</v>
      </c>
      <c r="U139" s="11">
        <f t="shared" si="116"/>
        <v>0</v>
      </c>
      <c r="V139" s="11">
        <f t="shared" si="116"/>
        <v>0</v>
      </c>
      <c r="W139" s="11">
        <f>-W129</f>
        <v>0</v>
      </c>
    </row>
    <row r="140" spans="1:23" ht="12">
      <c r="A140">
        <f>ROW()</f>
        <v>140</v>
      </c>
      <c r="B140" t="s">
        <v>72</v>
      </c>
      <c r="C140" s="106"/>
      <c r="D140" s="106"/>
      <c r="E140" s="106"/>
      <c r="F140" s="106"/>
      <c r="G140" s="106"/>
      <c r="H140" s="106"/>
      <c r="I140" s="106"/>
      <c r="J140" s="106"/>
      <c r="K140" s="363"/>
      <c r="P140" s="324">
        <f>+K140</f>
        <v>0</v>
      </c>
      <c r="Q140" s="295">
        <v>0</v>
      </c>
      <c r="R140" s="295">
        <v>0</v>
      </c>
      <c r="S140" s="295">
        <v>0</v>
      </c>
      <c r="T140" s="295">
        <v>0</v>
      </c>
      <c r="U140" s="295">
        <v>0</v>
      </c>
      <c r="V140" s="295">
        <v>0</v>
      </c>
      <c r="W140" s="295">
        <v>0</v>
      </c>
    </row>
    <row r="141" spans="1:23" ht="12.75">
      <c r="A141">
        <f>ROW()</f>
        <v>141</v>
      </c>
      <c r="B141" s="2" t="s">
        <v>73</v>
      </c>
      <c r="C141" s="302">
        <f>+C134-SUM(C137:C140)</f>
        <v>815000</v>
      </c>
      <c r="D141" s="302">
        <f aca="true" t="shared" si="117" ref="D141:J141">+D134-SUM(D137:D140)</f>
        <v>698000</v>
      </c>
      <c r="E141" s="302">
        <f t="shared" si="117"/>
        <v>48000</v>
      </c>
      <c r="F141" s="302">
        <f t="shared" si="117"/>
        <v>622000</v>
      </c>
      <c r="G141" s="302">
        <f t="shared" si="117"/>
        <v>652000</v>
      </c>
      <c r="H141" s="302">
        <f t="shared" si="117"/>
        <v>934000</v>
      </c>
      <c r="I141" s="302">
        <f t="shared" si="117"/>
        <v>954000</v>
      </c>
      <c r="J141" s="302">
        <f t="shared" si="117"/>
        <v>883000</v>
      </c>
      <c r="K141" s="323">
        <f>+K134-SUM(K137:K140)</f>
        <v>883000</v>
      </c>
      <c r="P141" s="323">
        <f aca="true" t="shared" si="118" ref="P141:W141">+P134-SUM(P137:P140)</f>
        <v>883000</v>
      </c>
      <c r="Q141" s="302">
        <f t="shared" si="118"/>
        <v>840882.428905709</v>
      </c>
      <c r="R141" s="302">
        <f t="shared" si="118"/>
        <v>882102.9603030011</v>
      </c>
      <c r="S141" s="302">
        <f t="shared" si="118"/>
        <v>924181.5162020482</v>
      </c>
      <c r="T141" s="302">
        <f t="shared" si="118"/>
        <v>969506.8138489751</v>
      </c>
      <c r="U141" s="302">
        <f t="shared" si="118"/>
        <v>1014848.6821637717</v>
      </c>
      <c r="V141" s="302">
        <f t="shared" si="118"/>
        <v>1062078.0256763538</v>
      </c>
      <c r="W141" s="302">
        <f t="shared" si="118"/>
        <v>1111278.4601333018</v>
      </c>
    </row>
    <row r="142" spans="1:16" ht="12">
      <c r="A142">
        <f>ROW()</f>
        <v>142</v>
      </c>
      <c r="C142" s="302"/>
      <c r="D142" s="302"/>
      <c r="E142" s="302"/>
      <c r="F142" s="302"/>
      <c r="G142" s="302"/>
      <c r="H142" s="302"/>
      <c r="I142" s="302"/>
      <c r="J142" s="302"/>
      <c r="K142" s="43"/>
      <c r="P142" s="43"/>
    </row>
    <row r="143" spans="1:11" ht="12.75">
      <c r="A143">
        <f>ROW()</f>
        <v>143</v>
      </c>
      <c r="B143" s="2" t="s">
        <v>74</v>
      </c>
      <c r="C143" s="302"/>
      <c r="D143" s="302"/>
      <c r="E143" s="302"/>
      <c r="F143" s="302"/>
      <c r="G143" s="302"/>
      <c r="H143" s="302"/>
      <c r="I143" s="302"/>
      <c r="J143" s="302"/>
      <c r="K143" s="43"/>
    </row>
    <row r="144" spans="1:23" ht="12">
      <c r="A144">
        <f>ROW()</f>
        <v>144</v>
      </c>
      <c r="B144" t="s">
        <v>228</v>
      </c>
      <c r="C144" s="302"/>
      <c r="D144" s="302"/>
      <c r="E144" s="302"/>
      <c r="F144" s="302"/>
      <c r="G144" s="302"/>
      <c r="H144" s="302"/>
      <c r="I144" s="302"/>
      <c r="J144" s="302"/>
      <c r="K144" s="43"/>
      <c r="Q144" s="47">
        <f aca="true" t="shared" si="119" ref="Q144:V144">-Q257</f>
        <v>0</v>
      </c>
      <c r="R144" s="47">
        <f t="shared" si="119"/>
        <v>-2074.3139618203977</v>
      </c>
      <c r="S144" s="47">
        <f t="shared" si="119"/>
        <v>-7177.5426487450695</v>
      </c>
      <c r="T144" s="47">
        <f t="shared" si="119"/>
        <v>-15648.809788991926</v>
      </c>
      <c r="U144" s="47">
        <f t="shared" si="119"/>
        <v>-33152.77308691362</v>
      </c>
      <c r="V144" s="47">
        <f t="shared" si="119"/>
        <v>-42991.05208274093</v>
      </c>
      <c r="W144" s="47">
        <f>-W257</f>
        <v>-53957.87914801352</v>
      </c>
    </row>
    <row r="145" spans="1:23" ht="12">
      <c r="A145">
        <f>ROW()</f>
        <v>145</v>
      </c>
      <c r="B145" t="str">
        <f>+B8</f>
        <v>Revolver</v>
      </c>
      <c r="C145" s="302"/>
      <c r="D145" s="302"/>
      <c r="E145" s="302"/>
      <c r="F145" s="302"/>
      <c r="G145" s="302"/>
      <c r="H145" s="302"/>
      <c r="I145" s="302"/>
      <c r="J145" s="302"/>
      <c r="K145" s="43"/>
      <c r="Q145" s="47">
        <f aca="true" t="shared" si="120" ref="Q145:V145">+Q265</f>
        <v>0</v>
      </c>
      <c r="R145" s="47">
        <f t="shared" si="120"/>
        <v>0</v>
      </c>
      <c r="S145" s="47">
        <f t="shared" si="120"/>
        <v>0</v>
      </c>
      <c r="T145" s="47">
        <f t="shared" si="120"/>
        <v>0</v>
      </c>
      <c r="U145" s="47">
        <f t="shared" si="120"/>
        <v>0</v>
      </c>
      <c r="V145" s="47">
        <f t="shared" si="120"/>
        <v>0</v>
      </c>
      <c r="W145" s="47">
        <f>+W265</f>
        <v>0</v>
      </c>
    </row>
    <row r="146" spans="1:23" ht="12">
      <c r="A146">
        <f>ROW()</f>
        <v>146</v>
      </c>
      <c r="B146" t="str">
        <f>+B9</f>
        <v>Term Loan A</v>
      </c>
      <c r="C146" s="302"/>
      <c r="D146" s="302"/>
      <c r="E146" s="302"/>
      <c r="F146" s="302"/>
      <c r="G146" s="302"/>
      <c r="H146" s="302"/>
      <c r="I146" s="302"/>
      <c r="J146" s="302"/>
      <c r="K146" s="43"/>
      <c r="Q146" s="47">
        <f aca="true" t="shared" si="121" ref="Q146:V146">+Q273</f>
        <v>0</v>
      </c>
      <c r="R146" s="47">
        <f t="shared" si="121"/>
        <v>0</v>
      </c>
      <c r="S146" s="47">
        <f t="shared" si="121"/>
        <v>0</v>
      </c>
      <c r="T146" s="47">
        <f t="shared" si="121"/>
        <v>0</v>
      </c>
      <c r="U146" s="47">
        <f t="shared" si="121"/>
        <v>0</v>
      </c>
      <c r="V146" s="47">
        <f t="shared" si="121"/>
        <v>0</v>
      </c>
      <c r="W146" s="47">
        <f>+W273</f>
        <v>0</v>
      </c>
    </row>
    <row r="147" spans="1:23" ht="12">
      <c r="A147">
        <f>ROW()</f>
        <v>147</v>
      </c>
      <c r="B147" t="str">
        <f>+B10</f>
        <v>Term Loan B</v>
      </c>
      <c r="C147" s="302"/>
      <c r="D147" s="302"/>
      <c r="E147" s="302"/>
      <c r="F147" s="302"/>
      <c r="G147" s="302"/>
      <c r="H147" s="302"/>
      <c r="I147" s="302"/>
      <c r="J147" s="302"/>
      <c r="K147" s="43"/>
      <c r="Q147" s="47">
        <f aca="true" t="shared" si="122" ref="Q147:V147">+Q281</f>
        <v>190000</v>
      </c>
      <c r="R147" s="47">
        <f t="shared" si="122"/>
        <v>188100</v>
      </c>
      <c r="S147" s="47">
        <f t="shared" si="122"/>
        <v>204820</v>
      </c>
      <c r="T147" s="47">
        <f t="shared" si="122"/>
        <v>221160</v>
      </c>
      <c r="U147" s="47">
        <f t="shared" si="122"/>
        <v>255360.00000000003</v>
      </c>
      <c r="V147" s="47">
        <f t="shared" si="122"/>
        <v>252700.00000000003</v>
      </c>
      <c r="W147" s="47">
        <f>+W281</f>
        <v>250040.00000000003</v>
      </c>
    </row>
    <row r="148" spans="1:23" ht="12">
      <c r="A148">
        <f>ROW()</f>
        <v>148</v>
      </c>
      <c r="B148" t="str">
        <f>+B11</f>
        <v>New Term Loan</v>
      </c>
      <c r="C148" s="302"/>
      <c r="D148" s="302"/>
      <c r="E148" s="302"/>
      <c r="F148" s="302"/>
      <c r="G148" s="302"/>
      <c r="H148" s="302"/>
      <c r="I148" s="302"/>
      <c r="J148" s="302"/>
      <c r="K148" s="43"/>
      <c r="Q148" s="47">
        <f aca="true" t="shared" si="123" ref="Q148:V148">+Q289</f>
        <v>0</v>
      </c>
      <c r="R148" s="47">
        <f t="shared" si="123"/>
        <v>0</v>
      </c>
      <c r="S148" s="47">
        <f t="shared" si="123"/>
        <v>0</v>
      </c>
      <c r="T148" s="47">
        <f t="shared" si="123"/>
        <v>0</v>
      </c>
      <c r="U148" s="47">
        <f t="shared" si="123"/>
        <v>0</v>
      </c>
      <c r="V148" s="47">
        <f t="shared" si="123"/>
        <v>0</v>
      </c>
      <c r="W148" s="47">
        <f>+W289</f>
        <v>0</v>
      </c>
    </row>
    <row r="149" spans="1:23" ht="12">
      <c r="A149">
        <f>ROW()</f>
        <v>149</v>
      </c>
      <c r="B149" t="str">
        <f>+B12</f>
        <v>Other Bank Debt / Exisiting</v>
      </c>
      <c r="C149" s="302"/>
      <c r="D149" s="302"/>
      <c r="E149" s="302"/>
      <c r="F149" s="302"/>
      <c r="G149" s="302"/>
      <c r="H149" s="302"/>
      <c r="I149" s="302"/>
      <c r="J149" s="302"/>
      <c r="K149" s="43"/>
      <c r="Q149" s="47">
        <f aca="true" t="shared" si="124" ref="Q149:V149">+Q297</f>
        <v>0</v>
      </c>
      <c r="R149" s="47">
        <f t="shared" si="124"/>
        <v>0</v>
      </c>
      <c r="S149" s="47">
        <f t="shared" si="124"/>
        <v>0</v>
      </c>
      <c r="T149" s="47">
        <f t="shared" si="124"/>
        <v>0</v>
      </c>
      <c r="U149" s="47">
        <f t="shared" si="124"/>
        <v>0</v>
      </c>
      <c r="V149" s="47">
        <f t="shared" si="124"/>
        <v>0</v>
      </c>
      <c r="W149" s="47">
        <f>+W297</f>
        <v>0</v>
      </c>
    </row>
    <row r="150" spans="1:23" ht="12">
      <c r="A150">
        <f>ROW()</f>
        <v>150</v>
      </c>
      <c r="B150" t="str">
        <f>+B14</f>
        <v>Senior Secured Notes</v>
      </c>
      <c r="C150" s="302"/>
      <c r="D150" s="302"/>
      <c r="E150" s="302"/>
      <c r="F150" s="302"/>
      <c r="G150" s="302"/>
      <c r="H150" s="302"/>
      <c r="I150" s="302"/>
      <c r="J150" s="302"/>
      <c r="K150" s="43"/>
      <c r="Q150" s="47">
        <f aca="true" t="shared" si="125" ref="Q150:V150">+Q303</f>
        <v>0</v>
      </c>
      <c r="R150" s="47">
        <f t="shared" si="125"/>
        <v>0</v>
      </c>
      <c r="S150" s="47">
        <f t="shared" si="125"/>
        <v>0</v>
      </c>
      <c r="T150" s="47">
        <f t="shared" si="125"/>
        <v>0</v>
      </c>
      <c r="U150" s="47">
        <f t="shared" si="125"/>
        <v>0</v>
      </c>
      <c r="V150" s="47">
        <f t="shared" si="125"/>
        <v>0</v>
      </c>
      <c r="W150" s="47">
        <f>+W303</f>
        <v>0</v>
      </c>
    </row>
    <row r="151" spans="1:23" ht="12">
      <c r="A151">
        <f>ROW()</f>
        <v>151</v>
      </c>
      <c r="B151" t="str">
        <f>+B16</f>
        <v>Senior Unsecured / Subordinated Notes</v>
      </c>
      <c r="C151" s="302"/>
      <c r="D151" s="302"/>
      <c r="E151" s="302"/>
      <c r="F151" s="302"/>
      <c r="G151" s="302"/>
      <c r="H151" s="302"/>
      <c r="I151" s="302"/>
      <c r="J151" s="302"/>
      <c r="K151" s="43"/>
      <c r="Q151" s="47">
        <f aca="true" t="shared" si="126" ref="Q151:V151">+Q309</f>
        <v>216000</v>
      </c>
      <c r="R151" s="47">
        <f t="shared" si="126"/>
        <v>216000</v>
      </c>
      <c r="S151" s="47">
        <f t="shared" si="126"/>
        <v>216000</v>
      </c>
      <c r="T151" s="47">
        <f t="shared" si="126"/>
        <v>216000</v>
      </c>
      <c r="U151" s="47">
        <f t="shared" si="126"/>
        <v>216000</v>
      </c>
      <c r="V151" s="47">
        <f t="shared" si="126"/>
        <v>216000</v>
      </c>
      <c r="W151" s="47">
        <f>+W309</f>
        <v>216000</v>
      </c>
    </row>
    <row r="152" spans="1:23" ht="12">
      <c r="A152">
        <f>ROW()</f>
        <v>152</v>
      </c>
      <c r="B152" t="str">
        <f>+B17</f>
        <v>Junior Subordinated Notes</v>
      </c>
      <c r="C152" s="303"/>
      <c r="D152" s="303"/>
      <c r="E152" s="303"/>
      <c r="F152" s="303"/>
      <c r="G152" s="303"/>
      <c r="H152" s="303"/>
      <c r="I152" s="303"/>
      <c r="J152" s="303"/>
      <c r="K152" s="364"/>
      <c r="Q152" s="50">
        <f aca="true" t="shared" si="127" ref="Q152:V152">+Q316</f>
        <v>0</v>
      </c>
      <c r="R152" s="50">
        <f t="shared" si="127"/>
        <v>0</v>
      </c>
      <c r="S152" s="50">
        <f t="shared" si="127"/>
        <v>0</v>
      </c>
      <c r="T152" s="50">
        <f t="shared" si="127"/>
        <v>0</v>
      </c>
      <c r="U152" s="50">
        <f t="shared" si="127"/>
        <v>0</v>
      </c>
      <c r="V152" s="50">
        <f t="shared" si="127"/>
        <v>0</v>
      </c>
      <c r="W152" s="50">
        <f>+W316</f>
        <v>0</v>
      </c>
    </row>
    <row r="153" spans="1:23" ht="12">
      <c r="A153">
        <f>ROW()</f>
        <v>153</v>
      </c>
      <c r="B153" t="s">
        <v>75</v>
      </c>
      <c r="C153" s="292">
        <f>+Input!F20</f>
        <v>168000</v>
      </c>
      <c r="D153" s="292">
        <f>+Input!G20</f>
        <v>210000</v>
      </c>
      <c r="E153" s="292">
        <f>+Input!H20</f>
        <v>296000</v>
      </c>
      <c r="F153" s="292">
        <f>+Input!I20</f>
        <v>296000</v>
      </c>
      <c r="G153" s="292">
        <f>+Input!J20</f>
        <v>296000</v>
      </c>
      <c r="H153" s="292">
        <f>+Input!K20</f>
        <v>296000</v>
      </c>
      <c r="I153" s="292">
        <f>+Input!L20</f>
        <v>236000</v>
      </c>
      <c r="J153" s="292">
        <f>+Input!M20</f>
        <v>216000</v>
      </c>
      <c r="K153" s="380">
        <f>+J153</f>
        <v>216000</v>
      </c>
      <c r="Q153" s="47">
        <f aca="true" t="shared" si="128" ref="Q153:W153">SUM(Q144:Q152)</f>
        <v>406000</v>
      </c>
      <c r="R153" s="47">
        <f t="shared" si="128"/>
        <v>402025.6860381796</v>
      </c>
      <c r="S153" s="47">
        <f t="shared" si="128"/>
        <v>413642.45735125494</v>
      </c>
      <c r="T153" s="47">
        <f t="shared" si="128"/>
        <v>421511.19021100807</v>
      </c>
      <c r="U153" s="47">
        <f t="shared" si="128"/>
        <v>438207.2269130864</v>
      </c>
      <c r="V153" s="47">
        <f t="shared" si="128"/>
        <v>425708.94791725907</v>
      </c>
      <c r="W153" s="47">
        <f t="shared" si="128"/>
        <v>412082.1208519865</v>
      </c>
    </row>
    <row r="154" spans="1:23" ht="12">
      <c r="A154">
        <f>ROW()</f>
        <v>154</v>
      </c>
      <c r="C154" s="303"/>
      <c r="D154" s="303"/>
      <c r="E154" s="303"/>
      <c r="F154" s="303"/>
      <c r="G154" s="303"/>
      <c r="H154" s="303"/>
      <c r="I154" s="303"/>
      <c r="J154" s="303"/>
      <c r="K154" s="364"/>
      <c r="Q154" s="47"/>
      <c r="R154" s="47"/>
      <c r="S154" s="47"/>
      <c r="T154" s="47"/>
      <c r="U154" s="47"/>
      <c r="V154" s="47"/>
      <c r="W154" s="47"/>
    </row>
    <row r="155" spans="1:23" ht="12">
      <c r="A155">
        <f>ROW()</f>
        <v>155</v>
      </c>
      <c r="B155" t="s">
        <v>76</v>
      </c>
      <c r="C155" s="302">
        <f>+C141-C153</f>
        <v>647000</v>
      </c>
      <c r="D155" s="302">
        <f aca="true" t="shared" si="129" ref="D155:J155">+D141-D153</f>
        <v>488000</v>
      </c>
      <c r="E155" s="302">
        <f t="shared" si="129"/>
        <v>-248000</v>
      </c>
      <c r="F155" s="302">
        <f t="shared" si="129"/>
        <v>326000</v>
      </c>
      <c r="G155" s="302">
        <f t="shared" si="129"/>
        <v>356000</v>
      </c>
      <c r="H155" s="302">
        <f t="shared" si="129"/>
        <v>638000</v>
      </c>
      <c r="I155" s="302">
        <f t="shared" si="129"/>
        <v>718000</v>
      </c>
      <c r="J155" s="302">
        <f t="shared" si="129"/>
        <v>667000</v>
      </c>
      <c r="K155" s="323">
        <f>+K141-K153</f>
        <v>667000</v>
      </c>
      <c r="Q155" s="47">
        <f aca="true" t="shared" si="130" ref="Q155:V155">+Q141-Q153</f>
        <v>434882.42890570895</v>
      </c>
      <c r="R155" s="47">
        <f t="shared" si="130"/>
        <v>480077.2742648215</v>
      </c>
      <c r="S155" s="47">
        <f t="shared" si="130"/>
        <v>510539.0588507932</v>
      </c>
      <c r="T155" s="47">
        <f t="shared" si="130"/>
        <v>547995.623637967</v>
      </c>
      <c r="U155" s="47">
        <f t="shared" si="130"/>
        <v>576641.4552506853</v>
      </c>
      <c r="V155" s="47">
        <f t="shared" si="130"/>
        <v>636369.0777590948</v>
      </c>
      <c r="W155" s="47">
        <f>+W141-W153</f>
        <v>699196.3392813152</v>
      </c>
    </row>
    <row r="156" spans="1:23" ht="12">
      <c r="A156">
        <f>ROW()</f>
        <v>156</v>
      </c>
      <c r="B156" t="s">
        <v>77</v>
      </c>
      <c r="C156" s="293"/>
      <c r="D156" s="293"/>
      <c r="E156" s="293"/>
      <c r="F156" s="293"/>
      <c r="G156" s="293"/>
      <c r="H156" s="293"/>
      <c r="I156" s="293"/>
      <c r="J156" s="293"/>
      <c r="K156" s="44"/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</row>
    <row r="157" spans="1:23" ht="12">
      <c r="A157">
        <f>ROW()</f>
        <v>157</v>
      </c>
      <c r="C157" s="302"/>
      <c r="D157" s="302"/>
      <c r="E157" s="302"/>
      <c r="F157" s="302"/>
      <c r="G157" s="302"/>
      <c r="H157" s="302"/>
      <c r="I157" s="302"/>
      <c r="J157" s="302"/>
      <c r="K157" s="44"/>
      <c r="Q157" s="47"/>
      <c r="R157" s="47"/>
      <c r="S157" s="47"/>
      <c r="T157" s="47"/>
      <c r="U157" s="47"/>
      <c r="V157" s="47"/>
      <c r="W157" s="47"/>
    </row>
    <row r="158" spans="1:23" ht="12">
      <c r="A158">
        <f>ROW()</f>
        <v>158</v>
      </c>
      <c r="B158" t="s">
        <v>78</v>
      </c>
      <c r="C158" s="302">
        <f>+C155+C156</f>
        <v>647000</v>
      </c>
      <c r="D158" s="302">
        <f aca="true" t="shared" si="131" ref="D158:J158">+D155+D156</f>
        <v>488000</v>
      </c>
      <c r="E158" s="302">
        <f t="shared" si="131"/>
        <v>-248000</v>
      </c>
      <c r="F158" s="302">
        <f t="shared" si="131"/>
        <v>326000</v>
      </c>
      <c r="G158" s="302">
        <f t="shared" si="131"/>
        <v>356000</v>
      </c>
      <c r="H158" s="302">
        <f t="shared" si="131"/>
        <v>638000</v>
      </c>
      <c r="I158" s="302">
        <f t="shared" si="131"/>
        <v>718000</v>
      </c>
      <c r="J158" s="302">
        <f t="shared" si="131"/>
        <v>667000</v>
      </c>
      <c r="K158" s="323">
        <f>+K155+K156</f>
        <v>667000</v>
      </c>
      <c r="Q158" s="47">
        <f aca="true" t="shared" si="132" ref="Q158:V158">+Q155+Q156</f>
        <v>434882.42890570895</v>
      </c>
      <c r="R158" s="47">
        <f t="shared" si="132"/>
        <v>480077.2742648215</v>
      </c>
      <c r="S158" s="47">
        <f t="shared" si="132"/>
        <v>510539.0588507932</v>
      </c>
      <c r="T158" s="47">
        <f t="shared" si="132"/>
        <v>547995.623637967</v>
      </c>
      <c r="U158" s="47">
        <f t="shared" si="132"/>
        <v>576641.4552506853</v>
      </c>
      <c r="V158" s="47">
        <f t="shared" si="132"/>
        <v>636369.0777590948</v>
      </c>
      <c r="W158" s="47">
        <f>+W155+W156</f>
        <v>699196.3392813152</v>
      </c>
    </row>
    <row r="159" spans="1:23" ht="12">
      <c r="A159">
        <f>ROW()</f>
        <v>159</v>
      </c>
      <c r="B159" t="s">
        <v>79</v>
      </c>
      <c r="C159" s="14">
        <f>+C160/C158</f>
        <v>0.2921174652241113</v>
      </c>
      <c r="D159" s="14">
        <f aca="true" t="shared" si="133" ref="D159:J159">+D160/D158</f>
        <v>0.1557377049180328</v>
      </c>
      <c r="E159" s="14">
        <f t="shared" si="133"/>
        <v>1.1814516129032258</v>
      </c>
      <c r="F159" s="14">
        <f t="shared" si="133"/>
        <v>0.08282208588957055</v>
      </c>
      <c r="G159" s="14">
        <f t="shared" si="133"/>
        <v>-0.21067415730337077</v>
      </c>
      <c r="H159" s="14">
        <f t="shared" si="133"/>
        <v>0.23197492163009403</v>
      </c>
      <c r="I159" s="14">
        <f t="shared" si="133"/>
        <v>0.36629526462395545</v>
      </c>
      <c r="J159" s="14">
        <f t="shared" si="133"/>
        <v>0.20839580209895053</v>
      </c>
      <c r="K159" s="42">
        <f>+J159</f>
        <v>0.20839580209895053</v>
      </c>
      <c r="Q159" s="27">
        <v>0.3</v>
      </c>
      <c r="R159" s="27">
        <v>0.3</v>
      </c>
      <c r="S159" s="27">
        <v>0.3</v>
      </c>
      <c r="T159" s="27">
        <v>0.3</v>
      </c>
      <c r="U159" s="27">
        <v>0.3</v>
      </c>
      <c r="V159" s="27">
        <v>0.3</v>
      </c>
      <c r="W159" s="27">
        <v>0.3</v>
      </c>
    </row>
    <row r="160" spans="1:23" ht="12">
      <c r="A160">
        <f>ROW()</f>
        <v>160</v>
      </c>
      <c r="B160" t="s">
        <v>80</v>
      </c>
      <c r="C160" s="295">
        <f>+Input!F22</f>
        <v>189000</v>
      </c>
      <c r="D160" s="295">
        <f>+Input!G22</f>
        <v>76000</v>
      </c>
      <c r="E160" s="295">
        <f>+Input!H22</f>
        <v>-293000</v>
      </c>
      <c r="F160" s="295">
        <f>+Input!I22</f>
        <v>27000</v>
      </c>
      <c r="G160" s="295">
        <f>+Input!J22</f>
        <v>-75000</v>
      </c>
      <c r="H160" s="295">
        <f>+Input!K22</f>
        <v>148000</v>
      </c>
      <c r="I160" s="295">
        <f>+Input!L22</f>
        <v>263000</v>
      </c>
      <c r="J160" s="295">
        <f>+Input!M22</f>
        <v>139000</v>
      </c>
      <c r="K160" s="326">
        <f>+J160</f>
        <v>139000</v>
      </c>
      <c r="Q160" s="50">
        <f aca="true" t="shared" si="134" ref="Q160:W160">+Q159*Q158</f>
        <v>130464.72867171268</v>
      </c>
      <c r="R160" s="50">
        <f t="shared" si="134"/>
        <v>144023.18227944645</v>
      </c>
      <c r="S160" s="50">
        <f t="shared" si="134"/>
        <v>153161.71765523797</v>
      </c>
      <c r="T160" s="50">
        <f t="shared" si="134"/>
        <v>164398.6870913901</v>
      </c>
      <c r="U160" s="50">
        <f t="shared" si="134"/>
        <v>172992.4365752056</v>
      </c>
      <c r="V160" s="50">
        <f t="shared" si="134"/>
        <v>190910.72332772842</v>
      </c>
      <c r="W160" s="50">
        <f t="shared" si="134"/>
        <v>209758.90178439455</v>
      </c>
    </row>
    <row r="161" spans="1:23" ht="12">
      <c r="A161">
        <f>ROW()</f>
        <v>161</v>
      </c>
      <c r="B161" t="s">
        <v>81</v>
      </c>
      <c r="C161" s="304">
        <f>+C158-C160</f>
        <v>458000</v>
      </c>
      <c r="D161" s="304">
        <f aca="true" t="shared" si="135" ref="D161:J161">+D158-D160</f>
        <v>412000</v>
      </c>
      <c r="E161" s="304">
        <f t="shared" si="135"/>
        <v>45000</v>
      </c>
      <c r="F161" s="304">
        <f t="shared" si="135"/>
        <v>299000</v>
      </c>
      <c r="G161" s="304">
        <f t="shared" si="135"/>
        <v>431000</v>
      </c>
      <c r="H161" s="304">
        <f t="shared" si="135"/>
        <v>490000</v>
      </c>
      <c r="I161" s="304">
        <f t="shared" si="135"/>
        <v>455000</v>
      </c>
      <c r="J161" s="304">
        <f t="shared" si="135"/>
        <v>528000</v>
      </c>
      <c r="K161" s="323">
        <f>+K158-K160</f>
        <v>528000</v>
      </c>
      <c r="Q161" s="47">
        <f aca="true" t="shared" si="136" ref="Q161:W161">+Q158-Q160</f>
        <v>304417.70023399626</v>
      </c>
      <c r="R161" s="47">
        <f t="shared" si="136"/>
        <v>336054.09198537504</v>
      </c>
      <c r="S161" s="47">
        <f t="shared" si="136"/>
        <v>357377.3411955553</v>
      </c>
      <c r="T161" s="47">
        <f t="shared" si="136"/>
        <v>383596.9365465769</v>
      </c>
      <c r="U161" s="47">
        <f t="shared" si="136"/>
        <v>403649.01867547975</v>
      </c>
      <c r="V161" s="47">
        <f t="shared" si="136"/>
        <v>445458.3544313663</v>
      </c>
      <c r="W161" s="47">
        <f t="shared" si="136"/>
        <v>489437.4374969207</v>
      </c>
    </row>
    <row r="162" spans="1:23" ht="12">
      <c r="A162">
        <f>ROW()</f>
        <v>162</v>
      </c>
      <c r="B162" t="s">
        <v>82</v>
      </c>
      <c r="C162" s="294"/>
      <c r="D162" s="294"/>
      <c r="E162" s="294"/>
      <c r="F162" s="294"/>
      <c r="G162" s="294"/>
      <c r="H162" s="294"/>
      <c r="I162" s="294"/>
      <c r="J162" s="294"/>
      <c r="K162" s="323"/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</row>
    <row r="163" spans="1:23" ht="13.5" thickBot="1">
      <c r="A163">
        <f>ROW()</f>
        <v>163</v>
      </c>
      <c r="B163" s="2" t="s">
        <v>83</v>
      </c>
      <c r="C163" s="305">
        <f>+C161-C162</f>
        <v>458000</v>
      </c>
      <c r="D163" s="305">
        <f aca="true" t="shared" si="137" ref="D163:J163">+D161-D162</f>
        <v>412000</v>
      </c>
      <c r="E163" s="305">
        <f t="shared" si="137"/>
        <v>45000</v>
      </c>
      <c r="F163" s="305">
        <f t="shared" si="137"/>
        <v>299000</v>
      </c>
      <c r="G163" s="305">
        <f t="shared" si="137"/>
        <v>431000</v>
      </c>
      <c r="H163" s="305">
        <f t="shared" si="137"/>
        <v>490000</v>
      </c>
      <c r="I163" s="305">
        <f t="shared" si="137"/>
        <v>455000</v>
      </c>
      <c r="J163" s="305">
        <f t="shared" si="137"/>
        <v>528000</v>
      </c>
      <c r="K163" s="306">
        <f>+K161-K162</f>
        <v>528000</v>
      </c>
      <c r="Q163" s="300">
        <f aca="true" t="shared" si="138" ref="Q163:W163">+Q161-Q162</f>
        <v>304417.70023399626</v>
      </c>
      <c r="R163" s="300">
        <f t="shared" si="138"/>
        <v>336054.09198537504</v>
      </c>
      <c r="S163" s="300">
        <f t="shared" si="138"/>
        <v>357377.3411955553</v>
      </c>
      <c r="T163" s="300">
        <f t="shared" si="138"/>
        <v>383596.9365465769</v>
      </c>
      <c r="U163" s="300">
        <f t="shared" si="138"/>
        <v>403649.01867547975</v>
      </c>
      <c r="V163" s="300">
        <f t="shared" si="138"/>
        <v>445458.3544313663</v>
      </c>
      <c r="W163" s="300">
        <f t="shared" si="138"/>
        <v>489437.4374969207</v>
      </c>
    </row>
    <row r="164" ht="12.75" thickTop="1"/>
    <row r="166" spans="2:23" ht="18">
      <c r="B166" s="62" t="s">
        <v>87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3:23" ht="19.5" customHeight="1">
      <c r="C167" s="8" t="s">
        <v>27</v>
      </c>
      <c r="D167" s="8"/>
      <c r="E167" s="8"/>
      <c r="F167" s="8"/>
      <c r="G167" s="8"/>
      <c r="H167" s="8"/>
      <c r="I167" s="8"/>
      <c r="J167" s="8"/>
      <c r="K167" s="8"/>
      <c r="L167" s="33"/>
      <c r="M167" s="33"/>
      <c r="N167" s="8"/>
      <c r="O167" s="8"/>
      <c r="P167" s="8" t="s">
        <v>28</v>
      </c>
      <c r="Q167" s="8"/>
      <c r="R167" s="8"/>
      <c r="S167" s="8"/>
      <c r="T167" s="8"/>
      <c r="U167" s="8"/>
      <c r="V167" s="8"/>
      <c r="W167" s="8"/>
    </row>
    <row r="168" spans="3:23" ht="19.5" customHeight="1">
      <c r="C168" s="110" t="str">
        <f>+$C$115</f>
        <v>12 mos</v>
      </c>
      <c r="D168" s="110" t="str">
        <f>+$C$115</f>
        <v>12 mos</v>
      </c>
      <c r="E168" s="110" t="str">
        <f>+$C$115</f>
        <v>12 mos</v>
      </c>
      <c r="F168" s="110" t="str">
        <f>+$C$115</f>
        <v>12 mos</v>
      </c>
      <c r="G168" s="110" t="str">
        <f>+$G$115</f>
        <v>12 mos</v>
      </c>
      <c r="H168" s="110" t="str">
        <f>+$H$115</f>
        <v>12 mos</v>
      </c>
      <c r="I168" s="110" t="str">
        <f>+$I$115</f>
        <v>12 mos</v>
      </c>
      <c r="J168" s="111" t="str">
        <f>+$J$115</f>
        <v>12 mos</v>
      </c>
      <c r="K168" s="110" t="str">
        <f>+$K$115</f>
        <v>12 mos</v>
      </c>
      <c r="L168" s="115"/>
      <c r="M168" s="33"/>
      <c r="N168" s="8"/>
      <c r="O168" s="8"/>
      <c r="P168" s="210"/>
      <c r="Q168" s="109" t="str">
        <f>+K168</f>
        <v>12 mos</v>
      </c>
      <c r="R168" s="109" t="str">
        <f aca="true" t="shared" si="139" ref="R168:W168">+Q168</f>
        <v>12 mos</v>
      </c>
      <c r="S168" s="109" t="str">
        <f t="shared" si="139"/>
        <v>12 mos</v>
      </c>
      <c r="T168" s="109" t="str">
        <f t="shared" si="139"/>
        <v>12 mos</v>
      </c>
      <c r="U168" s="109" t="str">
        <f t="shared" si="139"/>
        <v>12 mos</v>
      </c>
      <c r="V168" s="109" t="str">
        <f t="shared" si="139"/>
        <v>12 mos</v>
      </c>
      <c r="W168" s="109" t="str">
        <f t="shared" si="139"/>
        <v>12 mos</v>
      </c>
    </row>
    <row r="169" spans="3:23" ht="13.5" thickBot="1">
      <c r="C169" s="107">
        <f aca="true" t="shared" si="140" ref="C169:H169">+C59</f>
        <v>39447</v>
      </c>
      <c r="D169" s="107">
        <f t="shared" si="140"/>
        <v>39813</v>
      </c>
      <c r="E169" s="107">
        <f t="shared" si="140"/>
        <v>40178</v>
      </c>
      <c r="F169" s="107">
        <f t="shared" si="140"/>
        <v>40543</v>
      </c>
      <c r="G169" s="107">
        <f t="shared" si="140"/>
        <v>40908</v>
      </c>
      <c r="H169" s="107">
        <f t="shared" si="140"/>
        <v>41274</v>
      </c>
      <c r="I169" s="107">
        <f>+$I$59</f>
        <v>41639</v>
      </c>
      <c r="J169" s="108">
        <f>+$J$59</f>
        <v>42004</v>
      </c>
      <c r="K169" s="107">
        <f>+$K$59</f>
        <v>42004</v>
      </c>
      <c r="L169" s="116" t="s">
        <v>151</v>
      </c>
      <c r="M169" s="33"/>
      <c r="N169" s="8"/>
      <c r="O169" s="8"/>
      <c r="P169" s="210"/>
      <c r="Q169" s="107">
        <f aca="true" t="shared" si="141" ref="Q169:V169">+Q116</f>
        <v>42369</v>
      </c>
      <c r="R169" s="107">
        <f t="shared" si="141"/>
        <v>42734</v>
      </c>
      <c r="S169" s="107">
        <f t="shared" si="141"/>
        <v>43099</v>
      </c>
      <c r="T169" s="107">
        <f t="shared" si="141"/>
        <v>43464</v>
      </c>
      <c r="U169" s="107">
        <f t="shared" si="141"/>
        <v>43829</v>
      </c>
      <c r="V169" s="107">
        <f t="shared" si="141"/>
        <v>44194</v>
      </c>
      <c r="W169" s="107">
        <f>+W116</f>
        <v>44559</v>
      </c>
    </row>
    <row r="170" spans="1:16" ht="12.75">
      <c r="A170">
        <f>ROW()</f>
        <v>170</v>
      </c>
      <c r="B170" s="2" t="s">
        <v>88</v>
      </c>
      <c r="J170" s="336"/>
      <c r="M170" s="33"/>
      <c r="N170" s="8"/>
      <c r="P170" s="210"/>
    </row>
    <row r="171" spans="1:23" ht="12.75">
      <c r="A171">
        <f>ROW()</f>
        <v>171</v>
      </c>
      <c r="B171" t="s">
        <v>89</v>
      </c>
      <c r="C171" s="309">
        <f aca="true" t="shared" si="142" ref="C171:K171">+C163</f>
        <v>458000</v>
      </c>
      <c r="D171" s="309">
        <f>+D163</f>
        <v>412000</v>
      </c>
      <c r="E171" s="309">
        <f>+E163</f>
        <v>45000</v>
      </c>
      <c r="F171" s="309">
        <f>+F163</f>
        <v>299000</v>
      </c>
      <c r="G171" s="309">
        <f t="shared" si="142"/>
        <v>431000</v>
      </c>
      <c r="H171" s="309">
        <f t="shared" si="142"/>
        <v>490000</v>
      </c>
      <c r="I171" s="309">
        <f t="shared" si="142"/>
        <v>455000</v>
      </c>
      <c r="J171" s="310">
        <f t="shared" si="142"/>
        <v>528000</v>
      </c>
      <c r="K171" s="311">
        <f t="shared" si="142"/>
        <v>528000</v>
      </c>
      <c r="M171" s="33"/>
      <c r="N171" s="8"/>
      <c r="P171" s="210"/>
      <c r="Q171" s="47">
        <f aca="true" t="shared" si="143" ref="Q171:V171">+Q163</f>
        <v>304417.70023399626</v>
      </c>
      <c r="R171" s="47">
        <f t="shared" si="143"/>
        <v>336054.09198537504</v>
      </c>
      <c r="S171" s="47">
        <f t="shared" si="143"/>
        <v>357377.3411955553</v>
      </c>
      <c r="T171" s="47">
        <f t="shared" si="143"/>
        <v>383596.9365465769</v>
      </c>
      <c r="U171" s="47">
        <f t="shared" si="143"/>
        <v>403649.01867547975</v>
      </c>
      <c r="V171" s="47">
        <f t="shared" si="143"/>
        <v>445458.3544313663</v>
      </c>
      <c r="W171" s="47">
        <f>+W163</f>
        <v>489437.4374969207</v>
      </c>
    </row>
    <row r="172" spans="1:23" ht="12.75">
      <c r="A172">
        <f>ROW()</f>
        <v>172</v>
      </c>
      <c r="B172" t="s">
        <v>66</v>
      </c>
      <c r="C172" s="312">
        <f aca="true" t="shared" si="144" ref="C172:K172">+C133</f>
        <v>229000</v>
      </c>
      <c r="D172" s="312">
        <f>+D133</f>
        <v>245000</v>
      </c>
      <c r="E172" s="312">
        <f>+E133</f>
        <v>245000</v>
      </c>
      <c r="F172" s="312">
        <f>+F133</f>
        <v>217000</v>
      </c>
      <c r="G172" s="312">
        <f t="shared" si="144"/>
        <v>189000</v>
      </c>
      <c r="H172" s="312">
        <f t="shared" si="144"/>
        <v>170000</v>
      </c>
      <c r="I172" s="312">
        <f t="shared" si="144"/>
        <v>181000</v>
      </c>
      <c r="J172" s="313">
        <f t="shared" si="144"/>
        <v>201000</v>
      </c>
      <c r="K172" s="311">
        <f t="shared" si="144"/>
        <v>201000</v>
      </c>
      <c r="M172" s="33"/>
      <c r="N172" s="8"/>
      <c r="O172" s="8"/>
      <c r="P172" s="210"/>
      <c r="Q172" s="47">
        <f aca="true" t="shared" si="145" ref="Q172:V172">+Q133</f>
        <v>204894.35400300854</v>
      </c>
      <c r="R172" s="47">
        <f t="shared" si="145"/>
        <v>213132.75373558415</v>
      </c>
      <c r="S172" s="47">
        <f t="shared" si="145"/>
        <v>223431.3468266756</v>
      </c>
      <c r="T172" s="47">
        <f t="shared" si="145"/>
        <v>234069.10456161795</v>
      </c>
      <c r="U172" s="47">
        <f t="shared" si="145"/>
        <v>243770.27022758595</v>
      </c>
      <c r="V172" s="47">
        <f t="shared" si="145"/>
        <v>253958.69912189565</v>
      </c>
      <c r="W172" s="47">
        <f>+W133</f>
        <v>264661.4665593</v>
      </c>
    </row>
    <row r="173" spans="1:23" ht="12.75">
      <c r="A173">
        <f>ROW()</f>
        <v>173</v>
      </c>
      <c r="B173" t="s">
        <v>90</v>
      </c>
      <c r="C173" s="312">
        <v>0</v>
      </c>
      <c r="D173" s="312"/>
      <c r="E173" s="312"/>
      <c r="F173" s="312"/>
      <c r="G173" s="312"/>
      <c r="H173" s="312">
        <v>0</v>
      </c>
      <c r="I173" s="312">
        <v>0</v>
      </c>
      <c r="J173" s="313">
        <v>0</v>
      </c>
      <c r="K173" s="311"/>
      <c r="M173" s="33"/>
      <c r="N173" s="8"/>
      <c r="P173" s="210"/>
      <c r="Q173" s="47">
        <f>+Q138</f>
        <v>80888.57142857142</v>
      </c>
      <c r="R173" s="47">
        <f aca="true" t="shared" si="146" ref="R173:W173">+R138</f>
        <v>80888.57142857142</v>
      </c>
      <c r="S173" s="47">
        <f t="shared" si="146"/>
        <v>80888.57142857142</v>
      </c>
      <c r="T173" s="47">
        <f t="shared" si="146"/>
        <v>80888.57142857142</v>
      </c>
      <c r="U173" s="47">
        <f t="shared" si="146"/>
        <v>80888.57142857142</v>
      </c>
      <c r="V173" s="47">
        <f t="shared" si="146"/>
        <v>80888.57142857143</v>
      </c>
      <c r="W173" s="47">
        <f t="shared" si="146"/>
        <v>80888.57142857146</v>
      </c>
    </row>
    <row r="174" spans="1:23" ht="12.75">
      <c r="A174">
        <f>ROW()</f>
        <v>174</v>
      </c>
      <c r="B174" t="s">
        <v>91</v>
      </c>
      <c r="C174" s="312">
        <f>+C129</f>
        <v>43000</v>
      </c>
      <c r="D174" s="312">
        <f>+D129</f>
        <v>-79000</v>
      </c>
      <c r="E174" s="312">
        <f aca="true" t="shared" si="147" ref="E174:J174">+E129</f>
        <v>-22000</v>
      </c>
      <c r="F174" s="312">
        <f t="shared" si="147"/>
        <v>-22000</v>
      </c>
      <c r="G174" s="312">
        <f t="shared" si="147"/>
        <v>-22000</v>
      </c>
      <c r="H174" s="312">
        <f t="shared" si="147"/>
        <v>-22000</v>
      </c>
      <c r="I174" s="312">
        <f t="shared" si="147"/>
        <v>-29000</v>
      </c>
      <c r="J174" s="337">
        <f t="shared" si="147"/>
        <v>0</v>
      </c>
      <c r="K174" s="312">
        <f>+J174</f>
        <v>0</v>
      </c>
      <c r="P174" s="210"/>
      <c r="Q174" s="47">
        <f aca="true" t="shared" si="148" ref="Q174:V174">(+Q139+Q140)</f>
        <v>0</v>
      </c>
      <c r="R174" s="47">
        <f t="shared" si="148"/>
        <v>0</v>
      </c>
      <c r="S174" s="47">
        <f t="shared" si="148"/>
        <v>0</v>
      </c>
      <c r="T174" s="47">
        <f t="shared" si="148"/>
        <v>0</v>
      </c>
      <c r="U174" s="47">
        <f t="shared" si="148"/>
        <v>0</v>
      </c>
      <c r="V174" s="47">
        <f t="shared" si="148"/>
        <v>0</v>
      </c>
      <c r="W174" s="47">
        <f>(+W139+W140)</f>
        <v>0</v>
      </c>
    </row>
    <row r="175" spans="1:23" ht="12.75">
      <c r="A175">
        <f>ROW()</f>
        <v>175</v>
      </c>
      <c r="B175" t="s">
        <v>92</v>
      </c>
      <c r="C175" s="312">
        <f aca="true" t="shared" si="149" ref="C175:K175">-C156</f>
        <v>0</v>
      </c>
      <c r="D175" s="312">
        <f>-D156</f>
        <v>0</v>
      </c>
      <c r="E175" s="312">
        <f>-E156</f>
        <v>0</v>
      </c>
      <c r="F175" s="312">
        <f>-F156</f>
        <v>0</v>
      </c>
      <c r="G175" s="312">
        <f t="shared" si="149"/>
        <v>0</v>
      </c>
      <c r="H175" s="312">
        <f t="shared" si="149"/>
        <v>0</v>
      </c>
      <c r="I175" s="312">
        <f t="shared" si="149"/>
        <v>0</v>
      </c>
      <c r="J175" s="313">
        <f t="shared" si="149"/>
        <v>0</v>
      </c>
      <c r="K175" s="311">
        <f t="shared" si="149"/>
        <v>0</v>
      </c>
      <c r="P175" s="210"/>
      <c r="Q175" s="47">
        <f aca="true" t="shared" si="150" ref="Q175:V175">-Q156</f>
        <v>0</v>
      </c>
      <c r="R175" s="47">
        <f t="shared" si="150"/>
        <v>0</v>
      </c>
      <c r="S175" s="47">
        <f t="shared" si="150"/>
        <v>0</v>
      </c>
      <c r="T175" s="47">
        <f t="shared" si="150"/>
        <v>0</v>
      </c>
      <c r="U175" s="47">
        <f t="shared" si="150"/>
        <v>0</v>
      </c>
      <c r="V175" s="47">
        <f t="shared" si="150"/>
        <v>0</v>
      </c>
      <c r="W175" s="47">
        <f>-W156</f>
        <v>0</v>
      </c>
    </row>
    <row r="176" spans="1:23" ht="12.75">
      <c r="A176">
        <f>ROW()</f>
        <v>176</v>
      </c>
      <c r="B176" t="s">
        <v>93</v>
      </c>
      <c r="C176" s="312">
        <f aca="true" t="shared" si="151" ref="C176:K176">C153</f>
        <v>168000</v>
      </c>
      <c r="D176" s="312">
        <f>D153</f>
        <v>210000</v>
      </c>
      <c r="E176" s="312">
        <f>E153</f>
        <v>296000</v>
      </c>
      <c r="F176" s="312">
        <f>F153</f>
        <v>296000</v>
      </c>
      <c r="G176" s="312">
        <f t="shared" si="151"/>
        <v>296000</v>
      </c>
      <c r="H176" s="312">
        <f t="shared" si="151"/>
        <v>296000</v>
      </c>
      <c r="I176" s="312">
        <f t="shared" si="151"/>
        <v>236000</v>
      </c>
      <c r="J176" s="313">
        <f t="shared" si="151"/>
        <v>216000</v>
      </c>
      <c r="K176" s="311">
        <f t="shared" si="151"/>
        <v>216000</v>
      </c>
      <c r="P176" s="210"/>
      <c r="Q176" s="47">
        <f aca="true" t="shared" si="152" ref="Q176:V176">Q153</f>
        <v>406000</v>
      </c>
      <c r="R176" s="47">
        <f t="shared" si="152"/>
        <v>402025.6860381796</v>
      </c>
      <c r="S176" s="47">
        <f t="shared" si="152"/>
        <v>413642.45735125494</v>
      </c>
      <c r="T176" s="47">
        <f t="shared" si="152"/>
        <v>421511.19021100807</v>
      </c>
      <c r="U176" s="47">
        <f t="shared" si="152"/>
        <v>438207.2269130864</v>
      </c>
      <c r="V176" s="47">
        <f t="shared" si="152"/>
        <v>425708.94791725907</v>
      </c>
      <c r="W176" s="47">
        <f>W153</f>
        <v>412082.1208519865</v>
      </c>
    </row>
    <row r="177" spans="1:23" ht="12.75">
      <c r="A177">
        <f>ROW()</f>
        <v>177</v>
      </c>
      <c r="B177" t="s">
        <v>94</v>
      </c>
      <c r="C177" s="314">
        <f aca="true" t="shared" si="153" ref="C177:K177">C160</f>
        <v>189000</v>
      </c>
      <c r="D177" s="314">
        <f>D160</f>
        <v>76000</v>
      </c>
      <c r="E177" s="314">
        <f>E160</f>
        <v>-293000</v>
      </c>
      <c r="F177" s="314">
        <f>F160</f>
        <v>27000</v>
      </c>
      <c r="G177" s="314">
        <f t="shared" si="153"/>
        <v>-75000</v>
      </c>
      <c r="H177" s="314">
        <f t="shared" si="153"/>
        <v>148000</v>
      </c>
      <c r="I177" s="314">
        <f t="shared" si="153"/>
        <v>263000</v>
      </c>
      <c r="J177" s="315">
        <f t="shared" si="153"/>
        <v>139000</v>
      </c>
      <c r="K177" s="316">
        <f t="shared" si="153"/>
        <v>139000</v>
      </c>
      <c r="P177" s="210"/>
      <c r="Q177" s="50">
        <f aca="true" t="shared" si="154" ref="Q177:V177">Q160</f>
        <v>130464.72867171268</v>
      </c>
      <c r="R177" s="50">
        <f t="shared" si="154"/>
        <v>144023.18227944645</v>
      </c>
      <c r="S177" s="50">
        <f t="shared" si="154"/>
        <v>153161.71765523797</v>
      </c>
      <c r="T177" s="50">
        <f t="shared" si="154"/>
        <v>164398.6870913901</v>
      </c>
      <c r="U177" s="50">
        <f t="shared" si="154"/>
        <v>172992.4365752056</v>
      </c>
      <c r="V177" s="50">
        <f t="shared" si="154"/>
        <v>190910.72332772842</v>
      </c>
      <c r="W177" s="50">
        <f>W160</f>
        <v>209758.90178439455</v>
      </c>
    </row>
    <row r="178" spans="1:23" ht="12.75">
      <c r="A178">
        <f>ROW()</f>
        <v>178</v>
      </c>
      <c r="B178" s="2" t="s">
        <v>95</v>
      </c>
      <c r="C178" s="312">
        <f aca="true" t="shared" si="155" ref="C178:K178">SUM(C170:C177)</f>
        <v>1087000</v>
      </c>
      <c r="D178" s="312">
        <f>SUM(D170:D177)</f>
        <v>864000</v>
      </c>
      <c r="E178" s="312">
        <f>SUM(E170:E177)</f>
        <v>271000</v>
      </c>
      <c r="F178" s="312">
        <f>SUM(F170:F177)</f>
        <v>817000</v>
      </c>
      <c r="G178" s="312">
        <f t="shared" si="155"/>
        <v>819000</v>
      </c>
      <c r="H178" s="312">
        <f t="shared" si="155"/>
        <v>1082000</v>
      </c>
      <c r="I178" s="312">
        <f t="shared" si="155"/>
        <v>1106000</v>
      </c>
      <c r="J178" s="313">
        <f t="shared" si="155"/>
        <v>1084000</v>
      </c>
      <c r="K178" s="311">
        <f t="shared" si="155"/>
        <v>1084000</v>
      </c>
      <c r="P178" s="210"/>
      <c r="Q178" s="47">
        <f aca="true" t="shared" si="156" ref="Q178:W178">SUM(Q170:Q177)</f>
        <v>1126665.354337289</v>
      </c>
      <c r="R178" s="47">
        <f t="shared" si="156"/>
        <v>1176124.2854671564</v>
      </c>
      <c r="S178" s="47">
        <f t="shared" si="156"/>
        <v>1228501.4344572953</v>
      </c>
      <c r="T178" s="47">
        <f t="shared" si="156"/>
        <v>1284464.4898391645</v>
      </c>
      <c r="U178" s="47">
        <f t="shared" si="156"/>
        <v>1339507.523819929</v>
      </c>
      <c r="V178" s="47">
        <f t="shared" si="156"/>
        <v>1396925.296226821</v>
      </c>
      <c r="W178" s="47">
        <f t="shared" si="156"/>
        <v>1456828.4981211734</v>
      </c>
    </row>
    <row r="179" spans="1:23" ht="12.75">
      <c r="A179">
        <f>ROW()</f>
        <v>179</v>
      </c>
      <c r="C179" s="312"/>
      <c r="D179" s="312"/>
      <c r="E179" s="312"/>
      <c r="F179" s="312"/>
      <c r="G179" s="312"/>
      <c r="H179" s="312"/>
      <c r="I179" s="312"/>
      <c r="J179" s="313"/>
      <c r="K179" s="311"/>
      <c r="P179" s="210"/>
      <c r="Q179" s="47"/>
      <c r="R179" s="47"/>
      <c r="S179" s="47"/>
      <c r="T179" s="47"/>
      <c r="U179" s="47"/>
      <c r="V179" s="47"/>
      <c r="W179" s="47"/>
    </row>
    <row r="180" spans="1:23" ht="12.75">
      <c r="A180">
        <f>ROW()</f>
        <v>180</v>
      </c>
      <c r="B180" t="s">
        <v>96</v>
      </c>
      <c r="C180" s="312">
        <f>-C177</f>
        <v>-189000</v>
      </c>
      <c r="D180" s="312">
        <f aca="true" t="shared" si="157" ref="D180:K180">-D177</f>
        <v>-76000</v>
      </c>
      <c r="E180" s="312">
        <f t="shared" si="157"/>
        <v>293000</v>
      </c>
      <c r="F180" s="312">
        <f t="shared" si="157"/>
        <v>-27000</v>
      </c>
      <c r="G180" s="312">
        <f t="shared" si="157"/>
        <v>75000</v>
      </c>
      <c r="H180" s="312">
        <f t="shared" si="157"/>
        <v>-148000</v>
      </c>
      <c r="I180" s="312">
        <f t="shared" si="157"/>
        <v>-263000</v>
      </c>
      <c r="J180" s="337">
        <f t="shared" si="157"/>
        <v>-139000</v>
      </c>
      <c r="K180" s="312">
        <f t="shared" si="157"/>
        <v>-139000</v>
      </c>
      <c r="P180" s="210"/>
      <c r="Q180" s="47">
        <f aca="true" t="shared" si="158" ref="Q180:V180">-Q177</f>
        <v>-130464.72867171268</v>
      </c>
      <c r="R180" s="47">
        <f t="shared" si="158"/>
        <v>-144023.18227944645</v>
      </c>
      <c r="S180" s="47">
        <f t="shared" si="158"/>
        <v>-153161.71765523797</v>
      </c>
      <c r="T180" s="47">
        <f t="shared" si="158"/>
        <v>-164398.6870913901</v>
      </c>
      <c r="U180" s="47">
        <f t="shared" si="158"/>
        <v>-172992.4365752056</v>
      </c>
      <c r="V180" s="47">
        <f t="shared" si="158"/>
        <v>-190910.72332772842</v>
      </c>
      <c r="W180" s="47">
        <f>-W177</f>
        <v>-209758.90178439455</v>
      </c>
    </row>
    <row r="181" spans="1:23" ht="12.75">
      <c r="A181">
        <f>ROW()</f>
        <v>181</v>
      </c>
      <c r="B181" t="s">
        <v>97</v>
      </c>
      <c r="C181" s="317">
        <f>+Input!F97+Input!F98+Input!F99+Input!F100</f>
        <v>55000</v>
      </c>
      <c r="D181" s="317">
        <f>+Input!G97+Input!G98+Input!G99+Input!G100</f>
        <v>-177000</v>
      </c>
      <c r="E181" s="317">
        <f>+Input!H97+Input!H98+Input!H99+Input!H100</f>
        <v>43000</v>
      </c>
      <c r="F181" s="317">
        <f>+Input!I97+Input!I98+Input!I99+Input!I100</f>
        <v>129000</v>
      </c>
      <c r="G181" s="317">
        <f>+Input!J97+Input!J98+Input!J99+Input!J100</f>
        <v>-226000</v>
      </c>
      <c r="H181" s="317">
        <f>+Input!K97+Input!K98+Input!K99+Input!K100</f>
        <v>396000</v>
      </c>
      <c r="I181" s="317">
        <f>+Input!L97+Input!L98+Input!L99+Input!L100</f>
        <v>257000</v>
      </c>
      <c r="J181" s="338">
        <f>+Input!M97+Input!M98+Input!M99+Input!M100</f>
        <v>64000</v>
      </c>
      <c r="K181" s="311">
        <f>+J181</f>
        <v>64000</v>
      </c>
      <c r="P181" s="210"/>
      <c r="Q181" s="47">
        <f aca="true" t="shared" si="159" ref="Q181:W181">+P63-Q63+P64-Q64+P65-Q65+Q79-P79+Q80-P80+Q81-P81</f>
        <v>-11433.638642821228</v>
      </c>
      <c r="R181" s="47">
        <f t="shared" si="159"/>
        <v>25734.39047300676</v>
      </c>
      <c r="S181" s="47">
        <f t="shared" si="159"/>
        <v>43733.174870132</v>
      </c>
      <c r="T181" s="47">
        <f t="shared" si="159"/>
        <v>42896.32524732081</v>
      </c>
      <c r="U181" s="47">
        <f t="shared" si="159"/>
        <v>34216.257262709085</v>
      </c>
      <c r="V181" s="47">
        <f t="shared" si="159"/>
        <v>36411.966810137965</v>
      </c>
      <c r="W181" s="47">
        <f t="shared" si="159"/>
        <v>38755.702336169314</v>
      </c>
    </row>
    <row r="182" spans="1:23" ht="12.75">
      <c r="A182">
        <f>ROW()</f>
        <v>182</v>
      </c>
      <c r="B182" t="s">
        <v>98</v>
      </c>
      <c r="C182" s="317"/>
      <c r="D182" s="317"/>
      <c r="E182" s="317"/>
      <c r="F182" s="317"/>
      <c r="G182" s="317"/>
      <c r="H182" s="317"/>
      <c r="I182" s="317"/>
      <c r="J182" s="319"/>
      <c r="K182" s="311"/>
      <c r="P182" s="210"/>
      <c r="Q182" s="47"/>
      <c r="R182" s="47"/>
      <c r="S182" s="47"/>
      <c r="T182" s="47"/>
      <c r="U182" s="47"/>
      <c r="V182" s="47"/>
      <c r="W182" s="47"/>
    </row>
    <row r="183" spans="1:23" ht="12.75">
      <c r="A183">
        <f>ROW()</f>
        <v>183</v>
      </c>
      <c r="B183" t="s">
        <v>99</v>
      </c>
      <c r="C183" s="317"/>
      <c r="D183" s="317"/>
      <c r="E183" s="317"/>
      <c r="F183" s="317"/>
      <c r="G183" s="317"/>
      <c r="H183" s="317"/>
      <c r="I183" s="317"/>
      <c r="J183" s="318"/>
      <c r="K183" s="311"/>
      <c r="P183" s="210"/>
      <c r="Q183" s="47">
        <f aca="true" t="shared" si="160" ref="Q183:W183">+P75-Q75</f>
        <v>0</v>
      </c>
      <c r="R183" s="47">
        <f t="shared" si="160"/>
        <v>0</v>
      </c>
      <c r="S183" s="47">
        <f t="shared" si="160"/>
        <v>0</v>
      </c>
      <c r="T183" s="47">
        <f t="shared" si="160"/>
        <v>0</v>
      </c>
      <c r="U183" s="47">
        <f t="shared" si="160"/>
        <v>0</v>
      </c>
      <c r="V183" s="47">
        <f t="shared" si="160"/>
        <v>0</v>
      </c>
      <c r="W183" s="47">
        <f t="shared" si="160"/>
        <v>0</v>
      </c>
    </row>
    <row r="184" spans="1:23" ht="12.75">
      <c r="A184">
        <f>ROW()</f>
        <v>184</v>
      </c>
      <c r="B184" t="s">
        <v>100</v>
      </c>
      <c r="C184" s="320"/>
      <c r="D184" s="320"/>
      <c r="E184" s="320"/>
      <c r="F184" s="320"/>
      <c r="G184" s="320"/>
      <c r="H184" s="320"/>
      <c r="I184" s="320"/>
      <c r="J184" s="321"/>
      <c r="K184" s="316"/>
      <c r="P184" s="210"/>
      <c r="Q184" s="50">
        <f aca="true" t="shared" si="161" ref="Q184:W184">+Q95-P95</f>
        <v>0</v>
      </c>
      <c r="R184" s="50">
        <f t="shared" si="161"/>
        <v>0</v>
      </c>
      <c r="S184" s="50">
        <f t="shared" si="161"/>
        <v>0</v>
      </c>
      <c r="T184" s="50">
        <f t="shared" si="161"/>
        <v>0</v>
      </c>
      <c r="U184" s="50">
        <f t="shared" si="161"/>
        <v>0</v>
      </c>
      <c r="V184" s="50">
        <f t="shared" si="161"/>
        <v>0</v>
      </c>
      <c r="W184" s="50">
        <f t="shared" si="161"/>
        <v>0</v>
      </c>
    </row>
    <row r="185" spans="1:23" ht="12.75">
      <c r="A185">
        <f>ROW()</f>
        <v>185</v>
      </c>
      <c r="B185" t="s">
        <v>101</v>
      </c>
      <c r="C185" s="312">
        <f aca="true" t="shared" si="162" ref="C185:K185">SUM(C178:C184)</f>
        <v>953000</v>
      </c>
      <c r="D185" s="312">
        <f>SUM(D178:D184)</f>
        <v>611000</v>
      </c>
      <c r="E185" s="312">
        <f>SUM(E178:E184)</f>
        <v>607000</v>
      </c>
      <c r="F185" s="312">
        <f>SUM(F178:F184)</f>
        <v>919000</v>
      </c>
      <c r="G185" s="312">
        <f t="shared" si="162"/>
        <v>668000</v>
      </c>
      <c r="H185" s="312">
        <f t="shared" si="162"/>
        <v>1330000</v>
      </c>
      <c r="I185" s="312">
        <f t="shared" si="162"/>
        <v>1100000</v>
      </c>
      <c r="J185" s="313">
        <f t="shared" si="162"/>
        <v>1009000</v>
      </c>
      <c r="K185" s="311">
        <f t="shared" si="162"/>
        <v>1009000</v>
      </c>
      <c r="P185" s="210"/>
      <c r="Q185" s="47">
        <f aca="true" t="shared" si="163" ref="Q185:W185">SUM(Q178:Q184)</f>
        <v>984766.9870227551</v>
      </c>
      <c r="R185" s="47">
        <f t="shared" si="163"/>
        <v>1057835.4936607168</v>
      </c>
      <c r="S185" s="47">
        <f t="shared" si="163"/>
        <v>1119072.8916721893</v>
      </c>
      <c r="T185" s="47">
        <f t="shared" si="163"/>
        <v>1162962.1279950952</v>
      </c>
      <c r="U185" s="47">
        <f t="shared" si="163"/>
        <v>1200731.3445074325</v>
      </c>
      <c r="V185" s="47">
        <f t="shared" si="163"/>
        <v>1242426.5397092304</v>
      </c>
      <c r="W185" s="47">
        <f t="shared" si="163"/>
        <v>1285825.298672948</v>
      </c>
    </row>
    <row r="186" spans="1:23" ht="12.75">
      <c r="A186">
        <f>ROW()</f>
        <v>186</v>
      </c>
      <c r="C186" s="312"/>
      <c r="D186" s="312"/>
      <c r="E186" s="312"/>
      <c r="F186" s="312"/>
      <c r="G186" s="312"/>
      <c r="H186" s="312"/>
      <c r="I186" s="312"/>
      <c r="J186" s="313"/>
      <c r="K186" s="311"/>
      <c r="P186" s="210"/>
      <c r="Q186" s="47"/>
      <c r="R186" s="47"/>
      <c r="S186" s="47"/>
      <c r="T186" s="47"/>
      <c r="U186" s="47"/>
      <c r="V186" s="47"/>
      <c r="W186" s="47"/>
    </row>
    <row r="187" spans="1:23" ht="12.75">
      <c r="A187">
        <f>ROW()</f>
        <v>187</v>
      </c>
      <c r="B187" s="2" t="s">
        <v>102</v>
      </c>
      <c r="C187" s="312"/>
      <c r="D187" s="312"/>
      <c r="E187" s="312"/>
      <c r="F187" s="312"/>
      <c r="G187" s="312"/>
      <c r="H187" s="312"/>
      <c r="I187" s="312"/>
      <c r="J187" s="313"/>
      <c r="K187" s="311"/>
      <c r="P187" s="210"/>
      <c r="Q187" s="47"/>
      <c r="R187" s="47"/>
      <c r="S187" s="47"/>
      <c r="T187" s="47"/>
      <c r="U187" s="47"/>
      <c r="V187" s="47"/>
      <c r="W187" s="47"/>
    </row>
    <row r="188" spans="1:23" ht="12.75">
      <c r="A188">
        <f>ROW()</f>
        <v>188</v>
      </c>
      <c r="B188" t="s">
        <v>234</v>
      </c>
      <c r="C188" s="317">
        <f>+Input!F104</f>
        <v>-384000</v>
      </c>
      <c r="D188" s="317">
        <f>+Input!G104</f>
        <v>-476000</v>
      </c>
      <c r="E188" s="317">
        <f>+Input!H104</f>
        <v>-196000</v>
      </c>
      <c r="F188" s="317">
        <f>+Input!I104</f>
        <v>-227000</v>
      </c>
      <c r="G188" s="317">
        <f>+Input!J104</f>
        <v>-385000</v>
      </c>
      <c r="H188" s="317">
        <f>+Input!K104</f>
        <v>-362000</v>
      </c>
      <c r="I188" s="317">
        <f>+Input!L104</f>
        <v>-364000</v>
      </c>
      <c r="J188" s="338">
        <f>+Input!M104</f>
        <v>-327000</v>
      </c>
      <c r="K188" s="331">
        <f>+J188</f>
        <v>-327000</v>
      </c>
      <c r="P188" s="210"/>
      <c r="Q188" s="47">
        <f aca="true" t="shared" si="164" ref="Q188:W188">-Q344*Q117</f>
        <v>-333335.5908407154</v>
      </c>
      <c r="R188" s="47">
        <f t="shared" si="164"/>
        <v>-346738.36055490555</v>
      </c>
      <c r="S188" s="47">
        <f t="shared" si="164"/>
        <v>-363492.78812100954</v>
      </c>
      <c r="T188" s="47">
        <f t="shared" si="164"/>
        <v>-380798.9910032292</v>
      </c>
      <c r="U188" s="47">
        <f t="shared" si="164"/>
        <v>-396581.4844001025</v>
      </c>
      <c r="V188" s="47">
        <f t="shared" si="164"/>
        <v>-413156.6896162183</v>
      </c>
      <c r="W188" s="47">
        <f t="shared" si="164"/>
        <v>-430568.6545516971</v>
      </c>
    </row>
    <row r="189" spans="1:23" ht="12.75">
      <c r="A189">
        <f>ROW()</f>
        <v>189</v>
      </c>
      <c r="B189" t="s">
        <v>233</v>
      </c>
      <c r="C189" s="317">
        <f>+Input!F105</f>
        <v>108000</v>
      </c>
      <c r="D189" s="317">
        <f>+Input!G105</f>
        <v>5000</v>
      </c>
      <c r="E189" s="317">
        <f>+Input!H105</f>
        <v>28000</v>
      </c>
      <c r="F189" s="317">
        <f>+Input!I105</f>
        <v>18000</v>
      </c>
      <c r="G189" s="317">
        <f>+Input!J105</f>
        <v>-7000</v>
      </c>
      <c r="H189" s="317">
        <f>+Input!K105</f>
        <v>2000</v>
      </c>
      <c r="I189" s="317">
        <f>+Input!L105</f>
        <v>6000</v>
      </c>
      <c r="J189" s="338">
        <f>+Input!M105</f>
        <v>4000</v>
      </c>
      <c r="K189" s="331">
        <f>+J189</f>
        <v>4000</v>
      </c>
      <c r="P189" s="210"/>
      <c r="Q189" s="47">
        <f aca="true" t="shared" si="165" ref="Q189:W189">-Q345*Q117</f>
        <v>0</v>
      </c>
      <c r="R189" s="47">
        <f t="shared" si="165"/>
        <v>0</v>
      </c>
      <c r="S189" s="47">
        <f t="shared" si="165"/>
        <v>0</v>
      </c>
      <c r="T189" s="47">
        <f t="shared" si="165"/>
        <v>0</v>
      </c>
      <c r="U189" s="47">
        <f t="shared" si="165"/>
        <v>0</v>
      </c>
      <c r="V189" s="47">
        <f t="shared" si="165"/>
        <v>0</v>
      </c>
      <c r="W189" s="47">
        <f t="shared" si="165"/>
        <v>0</v>
      </c>
    </row>
    <row r="190" spans="1:23" ht="12.75">
      <c r="A190">
        <f>ROW()</f>
        <v>190</v>
      </c>
      <c r="B190" t="s">
        <v>157</v>
      </c>
      <c r="C190" s="322"/>
      <c r="D190" s="322"/>
      <c r="E190" s="322"/>
      <c r="F190" s="322"/>
      <c r="G190" s="322"/>
      <c r="H190" s="322"/>
      <c r="I190" s="322"/>
      <c r="J190" s="339"/>
      <c r="K190" s="332"/>
      <c r="P190" s="210"/>
      <c r="Q190" s="295">
        <v>0</v>
      </c>
      <c r="R190" s="295">
        <v>0</v>
      </c>
      <c r="S190" s="295">
        <v>0</v>
      </c>
      <c r="T190" s="295">
        <v>0</v>
      </c>
      <c r="U190" s="295">
        <v>0</v>
      </c>
      <c r="V190" s="295">
        <v>0</v>
      </c>
      <c r="W190" s="295">
        <v>0</v>
      </c>
    </row>
    <row r="191" spans="1:23" ht="12.75">
      <c r="A191">
        <f>ROW()</f>
        <v>191</v>
      </c>
      <c r="B191" t="s">
        <v>158</v>
      </c>
      <c r="C191" s="312">
        <f aca="true" t="shared" si="166" ref="C191:K191">SUM(C188:C190)</f>
        <v>-276000</v>
      </c>
      <c r="D191" s="312">
        <f>SUM(D188:D190)</f>
        <v>-471000</v>
      </c>
      <c r="E191" s="312">
        <f>SUM(E188:E190)</f>
        <v>-168000</v>
      </c>
      <c r="F191" s="312">
        <f>SUM(F188:F190)</f>
        <v>-209000</v>
      </c>
      <c r="G191" s="312">
        <f t="shared" si="166"/>
        <v>-392000</v>
      </c>
      <c r="H191" s="312">
        <f t="shared" si="166"/>
        <v>-360000</v>
      </c>
      <c r="I191" s="312">
        <f t="shared" si="166"/>
        <v>-358000</v>
      </c>
      <c r="J191" s="313">
        <f t="shared" si="166"/>
        <v>-323000</v>
      </c>
      <c r="K191" s="311">
        <f t="shared" si="166"/>
        <v>-323000</v>
      </c>
      <c r="P191" s="210"/>
      <c r="Q191" s="47">
        <f aca="true" t="shared" si="167" ref="Q191:W191">SUM(Q188:Q190)</f>
        <v>-333335.5908407154</v>
      </c>
      <c r="R191" s="47">
        <f t="shared" si="167"/>
        <v>-346738.36055490555</v>
      </c>
      <c r="S191" s="47">
        <f t="shared" si="167"/>
        <v>-363492.78812100954</v>
      </c>
      <c r="T191" s="47">
        <f t="shared" si="167"/>
        <v>-380798.9910032292</v>
      </c>
      <c r="U191" s="47">
        <f t="shared" si="167"/>
        <v>-396581.4844001025</v>
      </c>
      <c r="V191" s="47">
        <f t="shared" si="167"/>
        <v>-413156.6896162183</v>
      </c>
      <c r="W191" s="47">
        <f t="shared" si="167"/>
        <v>-430568.6545516971</v>
      </c>
    </row>
    <row r="192" spans="1:23" ht="12.75">
      <c r="A192">
        <f>ROW()</f>
        <v>192</v>
      </c>
      <c r="B192" t="s">
        <v>2</v>
      </c>
      <c r="C192" s="317"/>
      <c r="D192" s="317"/>
      <c r="E192" s="317"/>
      <c r="F192" s="317"/>
      <c r="G192" s="317"/>
      <c r="H192" s="317"/>
      <c r="I192" s="317"/>
      <c r="J192" s="318"/>
      <c r="K192" s="311"/>
      <c r="P192" s="210"/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  <c r="W192" s="47">
        <v>0</v>
      </c>
    </row>
    <row r="193" spans="1:23" ht="12.75">
      <c r="A193">
        <f>ROW()</f>
        <v>193</v>
      </c>
      <c r="B193" t="s">
        <v>237</v>
      </c>
      <c r="C193" s="322">
        <f>+Input!F106</f>
        <v>61000</v>
      </c>
      <c r="D193" s="322">
        <f>+Input!G106</f>
        <v>299000</v>
      </c>
      <c r="E193" s="322">
        <f>+Input!H106</f>
        <v>284000</v>
      </c>
      <c r="F193" s="322">
        <f>+Input!I106</f>
        <v>138000</v>
      </c>
      <c r="G193" s="322">
        <f>+Input!J106</f>
        <v>216000</v>
      </c>
      <c r="H193" s="322">
        <f>+Input!K106</f>
        <v>486000</v>
      </c>
      <c r="I193" s="322">
        <f>+Input!L106</f>
        <v>200000</v>
      </c>
      <c r="J193" s="339">
        <f>+Input!M106</f>
        <v>744000</v>
      </c>
      <c r="K193" s="332">
        <f>+J193</f>
        <v>744000</v>
      </c>
      <c r="P193" s="210"/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</row>
    <row r="194" spans="1:23" ht="12.75">
      <c r="A194">
        <f>ROW()</f>
        <v>194</v>
      </c>
      <c r="B194" t="s">
        <v>101</v>
      </c>
      <c r="C194" s="312">
        <f aca="true" t="shared" si="168" ref="C194:K194">SUM(C191:C193)</f>
        <v>-215000</v>
      </c>
      <c r="D194" s="312">
        <f>SUM(D191:D193)</f>
        <v>-172000</v>
      </c>
      <c r="E194" s="312">
        <f>SUM(E191:E193)</f>
        <v>116000</v>
      </c>
      <c r="F194" s="312">
        <f>SUM(F191:F193)</f>
        <v>-71000</v>
      </c>
      <c r="G194" s="312">
        <f t="shared" si="168"/>
        <v>-176000</v>
      </c>
      <c r="H194" s="312">
        <f t="shared" si="168"/>
        <v>126000</v>
      </c>
      <c r="I194" s="312">
        <f t="shared" si="168"/>
        <v>-158000</v>
      </c>
      <c r="J194" s="313">
        <f t="shared" si="168"/>
        <v>421000</v>
      </c>
      <c r="K194" s="311">
        <f t="shared" si="168"/>
        <v>421000</v>
      </c>
      <c r="P194" s="210"/>
      <c r="Q194" s="47">
        <f aca="true" t="shared" si="169" ref="Q194:W194">SUM(Q191:Q193)</f>
        <v>-333335.5908407154</v>
      </c>
      <c r="R194" s="47">
        <f t="shared" si="169"/>
        <v>-346738.36055490555</v>
      </c>
      <c r="S194" s="47">
        <f t="shared" si="169"/>
        <v>-363492.78812100954</v>
      </c>
      <c r="T194" s="47">
        <f t="shared" si="169"/>
        <v>-380798.9910032292</v>
      </c>
      <c r="U194" s="47">
        <f t="shared" si="169"/>
        <v>-396581.4844001025</v>
      </c>
      <c r="V194" s="47">
        <f t="shared" si="169"/>
        <v>-413156.6896162183</v>
      </c>
      <c r="W194" s="47">
        <f t="shared" si="169"/>
        <v>-430568.6545516971</v>
      </c>
    </row>
    <row r="195" spans="1:23" ht="12.75">
      <c r="A195">
        <f>ROW()</f>
        <v>195</v>
      </c>
      <c r="C195" s="312"/>
      <c r="D195" s="312"/>
      <c r="E195" s="312"/>
      <c r="F195" s="312"/>
      <c r="G195" s="312"/>
      <c r="H195" s="312"/>
      <c r="I195" s="312"/>
      <c r="J195" s="313"/>
      <c r="K195" s="311"/>
      <c r="P195" s="210"/>
      <c r="Q195" s="47"/>
      <c r="R195" s="47"/>
      <c r="S195" s="47"/>
      <c r="T195" s="47"/>
      <c r="U195" s="47"/>
      <c r="V195" s="47"/>
      <c r="W195" s="47"/>
    </row>
    <row r="196" spans="1:23" ht="12.75">
      <c r="A196">
        <f>ROW()</f>
        <v>196</v>
      </c>
      <c r="B196" s="2" t="s">
        <v>104</v>
      </c>
      <c r="C196" s="312">
        <f aca="true" t="shared" si="170" ref="C196:K196">+C185+C194</f>
        <v>738000</v>
      </c>
      <c r="D196" s="312">
        <f>+D185+D194</f>
        <v>439000</v>
      </c>
      <c r="E196" s="312">
        <f>+E185+E194</f>
        <v>723000</v>
      </c>
      <c r="F196" s="312">
        <f>+F185+F194</f>
        <v>848000</v>
      </c>
      <c r="G196" s="312">
        <f t="shared" si="170"/>
        <v>492000</v>
      </c>
      <c r="H196" s="312">
        <f t="shared" si="170"/>
        <v>1456000</v>
      </c>
      <c r="I196" s="312">
        <f t="shared" si="170"/>
        <v>942000</v>
      </c>
      <c r="J196" s="313">
        <f t="shared" si="170"/>
        <v>1430000</v>
      </c>
      <c r="K196" s="311">
        <f t="shared" si="170"/>
        <v>1430000</v>
      </c>
      <c r="P196" s="210"/>
      <c r="Q196" s="47">
        <f aca="true" t="shared" si="171" ref="Q196:W196">+Q185+Q194</f>
        <v>651431.3961820398</v>
      </c>
      <c r="R196" s="47">
        <f t="shared" si="171"/>
        <v>711097.1331058112</v>
      </c>
      <c r="S196" s="47">
        <f t="shared" si="171"/>
        <v>755580.1035511799</v>
      </c>
      <c r="T196" s="47">
        <f t="shared" si="171"/>
        <v>782163.1369918659</v>
      </c>
      <c r="U196" s="47">
        <f t="shared" si="171"/>
        <v>804149.86010733</v>
      </c>
      <c r="V196" s="47">
        <f t="shared" si="171"/>
        <v>829269.8500930121</v>
      </c>
      <c r="W196" s="47">
        <f t="shared" si="171"/>
        <v>855256.644121251</v>
      </c>
    </row>
    <row r="197" spans="1:23" ht="12.75">
      <c r="A197">
        <f>ROW()</f>
        <v>197</v>
      </c>
      <c r="C197" s="312"/>
      <c r="D197" s="312"/>
      <c r="E197" s="312"/>
      <c r="F197" s="312"/>
      <c r="G197" s="312"/>
      <c r="H197" s="312"/>
      <c r="I197" s="312"/>
      <c r="J197" s="313"/>
      <c r="K197" s="311"/>
      <c r="P197" s="210"/>
      <c r="Q197" s="47"/>
      <c r="R197" s="47"/>
      <c r="S197" s="47"/>
      <c r="T197" s="47"/>
      <c r="U197" s="47"/>
      <c r="V197" s="47"/>
      <c r="W197" s="47"/>
    </row>
    <row r="198" spans="1:23" ht="12.75">
      <c r="A198">
        <f>ROW()</f>
        <v>198</v>
      </c>
      <c r="B198" s="2" t="s">
        <v>105</v>
      </c>
      <c r="C198" s="312"/>
      <c r="D198" s="312"/>
      <c r="E198" s="312"/>
      <c r="F198" s="312"/>
      <c r="G198" s="312"/>
      <c r="H198" s="312"/>
      <c r="I198" s="312"/>
      <c r="J198" s="313"/>
      <c r="K198" s="311"/>
      <c r="P198" s="210"/>
      <c r="Q198" s="47"/>
      <c r="R198" s="47"/>
      <c r="S198" s="47"/>
      <c r="T198" s="47"/>
      <c r="U198" s="47"/>
      <c r="V198" s="47"/>
      <c r="W198" s="47"/>
    </row>
    <row r="199" spans="1:23" ht="12.75">
      <c r="A199">
        <f>ROW()</f>
        <v>199</v>
      </c>
      <c r="B199" t="s">
        <v>106</v>
      </c>
      <c r="C199" s="312">
        <f aca="true" t="shared" si="172" ref="C199:K199">-C153</f>
        <v>-168000</v>
      </c>
      <c r="D199" s="312">
        <f>-D153</f>
        <v>-210000</v>
      </c>
      <c r="E199" s="312">
        <f>-E153</f>
        <v>-296000</v>
      </c>
      <c r="F199" s="312">
        <f>-F153</f>
        <v>-296000</v>
      </c>
      <c r="G199" s="312">
        <f t="shared" si="172"/>
        <v>-296000</v>
      </c>
      <c r="H199" s="312">
        <f t="shared" si="172"/>
        <v>-296000</v>
      </c>
      <c r="I199" s="312">
        <f t="shared" si="172"/>
        <v>-236000</v>
      </c>
      <c r="J199" s="313">
        <f t="shared" si="172"/>
        <v>-216000</v>
      </c>
      <c r="K199" s="311">
        <f t="shared" si="172"/>
        <v>-216000</v>
      </c>
      <c r="P199" s="210"/>
      <c r="Q199" s="47">
        <f aca="true" t="shared" si="173" ref="Q199:V199">-Q153</f>
        <v>-406000</v>
      </c>
      <c r="R199" s="47">
        <f t="shared" si="173"/>
        <v>-402025.6860381796</v>
      </c>
      <c r="S199" s="47">
        <f t="shared" si="173"/>
        <v>-413642.45735125494</v>
      </c>
      <c r="T199" s="47">
        <f t="shared" si="173"/>
        <v>-421511.19021100807</v>
      </c>
      <c r="U199" s="47">
        <f t="shared" si="173"/>
        <v>-438207.2269130864</v>
      </c>
      <c r="V199" s="47">
        <f t="shared" si="173"/>
        <v>-425708.94791725907</v>
      </c>
      <c r="W199" s="47">
        <f>-W153</f>
        <v>-412082.1208519865</v>
      </c>
    </row>
    <row r="200" spans="1:23" ht="12.75">
      <c r="A200">
        <f>ROW()</f>
        <v>200</v>
      </c>
      <c r="B200" t="s">
        <v>107</v>
      </c>
      <c r="C200" s="317">
        <f>+Input!F110</f>
        <v>-90000</v>
      </c>
      <c r="D200" s="317">
        <f>+Input!G110</f>
        <v>-172000</v>
      </c>
      <c r="E200" s="317">
        <f>+Input!H110</f>
        <v>-165000</v>
      </c>
      <c r="F200" s="317">
        <f>+Input!I110</f>
        <v>-93000</v>
      </c>
      <c r="G200" s="317">
        <f>+Input!J110</f>
        <v>-99000</v>
      </c>
      <c r="H200" s="317">
        <f>+Input!K110</f>
        <v>-242000</v>
      </c>
      <c r="I200" s="317">
        <f>+Input!L110</f>
        <v>-256000</v>
      </c>
      <c r="J200" s="338">
        <f>+Input!M110</f>
        <v>-735000</v>
      </c>
      <c r="K200" s="331">
        <f>+J200</f>
        <v>-735000</v>
      </c>
      <c r="P200" s="210"/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</row>
    <row r="201" spans="1:23" ht="12.75">
      <c r="A201">
        <f>ROW()</f>
        <v>201</v>
      </c>
      <c r="B201" t="s">
        <v>108</v>
      </c>
      <c r="C201" s="312"/>
      <c r="D201" s="312"/>
      <c r="E201" s="312"/>
      <c r="F201" s="312"/>
      <c r="G201" s="312"/>
      <c r="H201" s="312"/>
      <c r="I201" s="312"/>
      <c r="J201" s="337"/>
      <c r="K201" s="331">
        <f>+J201</f>
        <v>0</v>
      </c>
      <c r="P201" s="210"/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>
        <v>0</v>
      </c>
    </row>
    <row r="202" spans="1:23" ht="12.75">
      <c r="A202">
        <f>ROW()</f>
        <v>202</v>
      </c>
      <c r="B202" t="s">
        <v>109</v>
      </c>
      <c r="C202" s="312"/>
      <c r="D202" s="312"/>
      <c r="E202" s="312"/>
      <c r="F202" s="312"/>
      <c r="G202" s="312"/>
      <c r="H202" s="312"/>
      <c r="I202" s="312"/>
      <c r="J202" s="337"/>
      <c r="K202" s="331">
        <f>+J202</f>
        <v>0</v>
      </c>
      <c r="P202" s="210"/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>
        <v>0</v>
      </c>
    </row>
    <row r="203" spans="1:23" ht="12.75">
      <c r="A203">
        <f>ROW()</f>
        <v>203</v>
      </c>
      <c r="B203" t="s">
        <v>110</v>
      </c>
      <c r="C203" s="322">
        <f>+Input!F111</f>
        <v>-1597000</v>
      </c>
      <c r="D203" s="322">
        <f>+Input!G111</f>
        <v>-473000</v>
      </c>
      <c r="E203" s="322">
        <f>+Input!H111</f>
        <v>2000</v>
      </c>
      <c r="F203" s="322">
        <f>+Input!I111</f>
        <v>141000</v>
      </c>
      <c r="G203" s="322">
        <f>+Input!J111</f>
        <v>70000</v>
      </c>
      <c r="H203" s="322">
        <f>+Input!K111</f>
        <v>-246000</v>
      </c>
      <c r="I203" s="322">
        <f>+Input!L111</f>
        <v>-228000</v>
      </c>
      <c r="J203" s="339">
        <f>+Input!M111</f>
        <v>-1609000</v>
      </c>
      <c r="K203" s="332">
        <f>+J203</f>
        <v>-1609000</v>
      </c>
      <c r="P203" s="210"/>
      <c r="Q203" s="50">
        <v>0</v>
      </c>
      <c r="R203" s="50">
        <v>0</v>
      </c>
      <c r="S203" s="50">
        <v>0</v>
      </c>
      <c r="T203" s="50">
        <v>0</v>
      </c>
      <c r="U203" s="50">
        <v>0</v>
      </c>
      <c r="V203" s="50">
        <v>0</v>
      </c>
      <c r="W203" s="50">
        <v>0</v>
      </c>
    </row>
    <row r="204" spans="1:23" ht="12.75">
      <c r="A204">
        <f>ROW()</f>
        <v>204</v>
      </c>
      <c r="B204" t="s">
        <v>111</v>
      </c>
      <c r="C204" s="312">
        <f aca="true" t="shared" si="174" ref="C204:K204">SUM(C196:C203)</f>
        <v>-1117000</v>
      </c>
      <c r="D204" s="312">
        <f>SUM(D196:D203)</f>
        <v>-416000</v>
      </c>
      <c r="E204" s="312">
        <f>SUM(E196:E203)</f>
        <v>264000</v>
      </c>
      <c r="F204" s="312">
        <f>SUM(F196:F203)</f>
        <v>600000</v>
      </c>
      <c r="G204" s="312">
        <f t="shared" si="174"/>
        <v>167000</v>
      </c>
      <c r="H204" s="312">
        <f t="shared" si="174"/>
        <v>672000</v>
      </c>
      <c r="I204" s="312">
        <f t="shared" si="174"/>
        <v>222000</v>
      </c>
      <c r="J204" s="313">
        <f t="shared" si="174"/>
        <v>-1130000</v>
      </c>
      <c r="K204" s="311">
        <f t="shared" si="174"/>
        <v>-1130000</v>
      </c>
      <c r="P204" s="210"/>
      <c r="Q204" s="47">
        <f aca="true" t="shared" si="175" ref="Q204:W204">SUM(Q196:Q203)</f>
        <v>245431.39618203975</v>
      </c>
      <c r="R204" s="47">
        <f t="shared" si="175"/>
        <v>309071.4470676316</v>
      </c>
      <c r="S204" s="47">
        <f t="shared" si="175"/>
        <v>341937.64619992493</v>
      </c>
      <c r="T204" s="47">
        <f t="shared" si="175"/>
        <v>360651.94678085786</v>
      </c>
      <c r="U204" s="47">
        <f t="shared" si="175"/>
        <v>365942.63319424365</v>
      </c>
      <c r="V204" s="47">
        <f t="shared" si="175"/>
        <v>403560.902175753</v>
      </c>
      <c r="W204" s="47">
        <f t="shared" si="175"/>
        <v>443174.52326926443</v>
      </c>
    </row>
    <row r="205" spans="1:23" ht="12.75">
      <c r="A205">
        <f>ROW()</f>
        <v>205</v>
      </c>
      <c r="C205" s="312"/>
      <c r="D205" s="312"/>
      <c r="E205" s="312"/>
      <c r="F205" s="312"/>
      <c r="G205" s="312"/>
      <c r="H205" s="312"/>
      <c r="I205" s="312"/>
      <c r="J205" s="313"/>
      <c r="K205" s="311"/>
      <c r="P205" s="210"/>
      <c r="Q205" s="47"/>
      <c r="R205" s="47"/>
      <c r="S205" s="47"/>
      <c r="T205" s="47"/>
      <c r="U205" s="47"/>
      <c r="V205" s="47"/>
      <c r="W205" s="47"/>
    </row>
    <row r="206" spans="1:23" ht="12.75">
      <c r="A206">
        <f>ROW()</f>
        <v>206</v>
      </c>
      <c r="B206" t="str">
        <f>+B8</f>
        <v>Revolver</v>
      </c>
      <c r="C206" s="312"/>
      <c r="D206" s="312"/>
      <c r="E206" s="312"/>
      <c r="F206" s="312"/>
      <c r="G206" s="312"/>
      <c r="H206" s="312"/>
      <c r="I206" s="312"/>
      <c r="J206" s="313"/>
      <c r="K206" s="311"/>
      <c r="P206" s="210"/>
      <c r="Q206" s="47">
        <f aca="true" t="shared" si="176" ref="Q206:V206">+Q262</f>
        <v>0</v>
      </c>
      <c r="R206" s="47">
        <f t="shared" si="176"/>
        <v>0</v>
      </c>
      <c r="S206" s="47">
        <f t="shared" si="176"/>
        <v>0</v>
      </c>
      <c r="T206" s="47">
        <f t="shared" si="176"/>
        <v>0</v>
      </c>
      <c r="U206" s="47">
        <f t="shared" si="176"/>
        <v>0</v>
      </c>
      <c r="V206" s="47">
        <f t="shared" si="176"/>
        <v>0</v>
      </c>
      <c r="W206" s="47">
        <f>+W262</f>
        <v>0</v>
      </c>
    </row>
    <row r="207" spans="1:23" ht="12.75">
      <c r="A207">
        <f>ROW()</f>
        <v>207</v>
      </c>
      <c r="B207" t="str">
        <f>+B9</f>
        <v>Term Loan A</v>
      </c>
      <c r="C207" s="312"/>
      <c r="D207" s="312"/>
      <c r="E207" s="312"/>
      <c r="F207" s="312"/>
      <c r="G207" s="312"/>
      <c r="H207" s="312"/>
      <c r="I207" s="312"/>
      <c r="J207" s="313"/>
      <c r="K207" s="311"/>
      <c r="P207" s="210"/>
      <c r="Q207" s="47">
        <f aca="true" t="shared" si="177" ref="Q207:V207">+Q270</f>
        <v>0</v>
      </c>
      <c r="R207" s="47">
        <f t="shared" si="177"/>
        <v>0</v>
      </c>
      <c r="S207" s="47">
        <f t="shared" si="177"/>
        <v>0</v>
      </c>
      <c r="T207" s="47">
        <f t="shared" si="177"/>
        <v>0</v>
      </c>
      <c r="U207" s="47">
        <f t="shared" si="177"/>
        <v>0</v>
      </c>
      <c r="V207" s="47">
        <f t="shared" si="177"/>
        <v>0</v>
      </c>
      <c r="W207" s="47">
        <f>+W270</f>
        <v>0</v>
      </c>
    </row>
    <row r="208" spans="1:23" ht="12.75">
      <c r="A208">
        <f>ROW()</f>
        <v>208</v>
      </c>
      <c r="B208" t="str">
        <f>+B10</f>
        <v>Term Loan B</v>
      </c>
      <c r="C208" s="312"/>
      <c r="D208" s="312"/>
      <c r="E208" s="312"/>
      <c r="F208" s="312"/>
      <c r="G208" s="312"/>
      <c r="H208" s="312"/>
      <c r="I208" s="312"/>
      <c r="J208" s="313"/>
      <c r="K208" s="311"/>
      <c r="P208" s="210"/>
      <c r="Q208" s="47">
        <f aca="true" t="shared" si="178" ref="Q208:V208">+Q278</f>
        <v>-38000</v>
      </c>
      <c r="R208" s="47">
        <f t="shared" si="178"/>
        <v>-38000</v>
      </c>
      <c r="S208" s="47">
        <f t="shared" si="178"/>
        <v>-38000</v>
      </c>
      <c r="T208" s="47">
        <f t="shared" si="178"/>
        <v>-38000</v>
      </c>
      <c r="U208" s="47">
        <f t="shared" si="178"/>
        <v>-38000</v>
      </c>
      <c r="V208" s="47">
        <f t="shared" si="178"/>
        <v>-38000</v>
      </c>
      <c r="W208" s="47">
        <f>+W278</f>
        <v>-3572000</v>
      </c>
    </row>
    <row r="209" spans="1:23" ht="12.75">
      <c r="A209">
        <f>ROW()</f>
        <v>209</v>
      </c>
      <c r="B209" t="str">
        <f>+B11</f>
        <v>New Term Loan</v>
      </c>
      <c r="C209" s="312"/>
      <c r="D209" s="312"/>
      <c r="E209" s="312"/>
      <c r="F209" s="312"/>
      <c r="G209" s="312"/>
      <c r="H209" s="312"/>
      <c r="I209" s="312"/>
      <c r="J209" s="313"/>
      <c r="K209" s="311"/>
      <c r="P209" s="210"/>
      <c r="Q209" s="47">
        <f aca="true" t="shared" si="179" ref="Q209:V209">+Q286</f>
        <v>0</v>
      </c>
      <c r="R209" s="47">
        <f t="shared" si="179"/>
        <v>0</v>
      </c>
      <c r="S209" s="47">
        <f t="shared" si="179"/>
        <v>0</v>
      </c>
      <c r="T209" s="47">
        <f t="shared" si="179"/>
        <v>0</v>
      </c>
      <c r="U209" s="47">
        <f t="shared" si="179"/>
        <v>0</v>
      </c>
      <c r="V209" s="47">
        <f t="shared" si="179"/>
        <v>0</v>
      </c>
      <c r="W209" s="47">
        <f>+W286</f>
        <v>3000000</v>
      </c>
    </row>
    <row r="210" spans="1:23" ht="12.75">
      <c r="A210">
        <f>ROW()</f>
        <v>210</v>
      </c>
      <c r="B210" t="str">
        <f>+B12</f>
        <v>Other Bank Debt / Exisiting</v>
      </c>
      <c r="C210" s="317">
        <f>+Input!F112+Input!F113</f>
        <v>975000</v>
      </c>
      <c r="D210" s="317">
        <f>+Input!G112+Input!G113</f>
        <v>402000</v>
      </c>
      <c r="E210" s="317">
        <f>+Input!H112+Input!H113</f>
        <v>-830000</v>
      </c>
      <c r="F210" s="317">
        <f>+Input!I112+Input!I113</f>
        <v>-102000</v>
      </c>
      <c r="G210" s="317">
        <f>+Input!J112+Input!J113</f>
        <v>-748000</v>
      </c>
      <c r="H210" s="317">
        <f>+Input!K112+Input!K113</f>
        <v>-1040000</v>
      </c>
      <c r="I210" s="317">
        <f>+Input!L112+Input!L113</f>
        <v>-220000</v>
      </c>
      <c r="J210" s="338">
        <f>+Input!M112+Input!M113</f>
        <v>1248000</v>
      </c>
      <c r="K210" s="311">
        <f>+J210</f>
        <v>1248000</v>
      </c>
      <c r="P210" s="210"/>
      <c r="Q210" s="47">
        <f aca="true" t="shared" si="180" ref="Q210:V210">+Q294</f>
        <v>0</v>
      </c>
      <c r="R210" s="47">
        <f t="shared" si="180"/>
        <v>0</v>
      </c>
      <c r="S210" s="47">
        <f t="shared" si="180"/>
        <v>0</v>
      </c>
      <c r="T210" s="47">
        <f t="shared" si="180"/>
        <v>0</v>
      </c>
      <c r="U210" s="47">
        <f t="shared" si="180"/>
        <v>0</v>
      </c>
      <c r="V210" s="47">
        <f t="shared" si="180"/>
        <v>0</v>
      </c>
      <c r="W210" s="47">
        <f>+W294</f>
        <v>0</v>
      </c>
    </row>
    <row r="211" spans="1:23" ht="12.75">
      <c r="A211">
        <f>ROW()</f>
        <v>211</v>
      </c>
      <c r="B211" t="str">
        <f>+B14</f>
        <v>Senior Secured Notes</v>
      </c>
      <c r="C211" s="312"/>
      <c r="D211" s="312"/>
      <c r="E211" s="312"/>
      <c r="F211" s="312"/>
      <c r="G211" s="312"/>
      <c r="H211" s="312"/>
      <c r="I211" s="312"/>
      <c r="J211" s="313"/>
      <c r="K211" s="311"/>
      <c r="P211" s="210"/>
      <c r="Q211" s="47">
        <f aca="true" t="shared" si="181" ref="Q211:V211">+Q302</f>
        <v>0</v>
      </c>
      <c r="R211" s="47">
        <f t="shared" si="181"/>
        <v>0</v>
      </c>
      <c r="S211" s="47">
        <f t="shared" si="181"/>
        <v>0</v>
      </c>
      <c r="T211" s="47">
        <f t="shared" si="181"/>
        <v>0</v>
      </c>
      <c r="U211" s="47">
        <f t="shared" si="181"/>
        <v>0</v>
      </c>
      <c r="V211" s="47">
        <f t="shared" si="181"/>
        <v>0</v>
      </c>
      <c r="W211" s="47">
        <f>+W302</f>
        <v>0</v>
      </c>
    </row>
    <row r="212" spans="1:23" ht="12.75">
      <c r="A212">
        <f>ROW()</f>
        <v>212</v>
      </c>
      <c r="B212" t="str">
        <f>+B16</f>
        <v>Senior Unsecured / Subordinated Notes</v>
      </c>
      <c r="C212" s="312"/>
      <c r="D212" s="312"/>
      <c r="E212" s="312"/>
      <c r="F212" s="312"/>
      <c r="G212" s="312"/>
      <c r="H212" s="312"/>
      <c r="I212" s="312"/>
      <c r="J212" s="313"/>
      <c r="K212" s="311"/>
      <c r="P212" s="210"/>
      <c r="Q212" s="47">
        <f aca="true" t="shared" si="182" ref="Q212:V212">+Q308</f>
        <v>0</v>
      </c>
      <c r="R212" s="47">
        <f t="shared" si="182"/>
        <v>0</v>
      </c>
      <c r="S212" s="47">
        <f t="shared" si="182"/>
        <v>0</v>
      </c>
      <c r="T212" s="47">
        <f t="shared" si="182"/>
        <v>0</v>
      </c>
      <c r="U212" s="47">
        <f t="shared" si="182"/>
        <v>0</v>
      </c>
      <c r="V212" s="47">
        <f t="shared" si="182"/>
        <v>0</v>
      </c>
      <c r="W212" s="47">
        <f>+W308</f>
        <v>0</v>
      </c>
    </row>
    <row r="213" spans="1:23" ht="12.75">
      <c r="A213">
        <f>ROW()</f>
        <v>213</v>
      </c>
      <c r="B213" t="str">
        <f>+B17</f>
        <v>Junior Subordinated Notes</v>
      </c>
      <c r="C213" s="314"/>
      <c r="D213" s="314"/>
      <c r="E213" s="314"/>
      <c r="F213" s="314"/>
      <c r="G213" s="314"/>
      <c r="H213" s="314"/>
      <c r="I213" s="314"/>
      <c r="J213" s="315"/>
      <c r="K213" s="316"/>
      <c r="P213" s="210"/>
      <c r="Q213" s="50">
        <f aca="true" t="shared" si="183" ref="Q213:V213">+Q314</f>
        <v>0</v>
      </c>
      <c r="R213" s="50">
        <f t="shared" si="183"/>
        <v>0</v>
      </c>
      <c r="S213" s="50">
        <f t="shared" si="183"/>
        <v>0</v>
      </c>
      <c r="T213" s="50">
        <f t="shared" si="183"/>
        <v>0</v>
      </c>
      <c r="U213" s="50">
        <f t="shared" si="183"/>
        <v>0</v>
      </c>
      <c r="V213" s="50">
        <f t="shared" si="183"/>
        <v>0</v>
      </c>
      <c r="W213" s="50">
        <f>+W314</f>
        <v>0</v>
      </c>
    </row>
    <row r="214" spans="1:23" ht="12.75">
      <c r="A214">
        <f>ROW()</f>
        <v>214</v>
      </c>
      <c r="B214" t="s">
        <v>115</v>
      </c>
      <c r="C214" s="312">
        <f aca="true" t="shared" si="184" ref="C214:K214">SUM(C206:C213)</f>
        <v>975000</v>
      </c>
      <c r="D214" s="312">
        <f>SUM(D206:D213)</f>
        <v>402000</v>
      </c>
      <c r="E214" s="312">
        <f>SUM(E206:E213)</f>
        <v>-830000</v>
      </c>
      <c r="F214" s="312">
        <f>SUM(F206:F213)</f>
        <v>-102000</v>
      </c>
      <c r="G214" s="312">
        <f t="shared" si="184"/>
        <v>-748000</v>
      </c>
      <c r="H214" s="312">
        <f t="shared" si="184"/>
        <v>-1040000</v>
      </c>
      <c r="I214" s="312">
        <f t="shared" si="184"/>
        <v>-220000</v>
      </c>
      <c r="J214" s="313">
        <f t="shared" si="184"/>
        <v>1248000</v>
      </c>
      <c r="K214" s="311">
        <f t="shared" si="184"/>
        <v>1248000</v>
      </c>
      <c r="P214" s="210"/>
      <c r="Q214" s="47">
        <f aca="true" t="shared" si="185" ref="Q214:W214">SUM(Q206:Q213)</f>
        <v>-38000</v>
      </c>
      <c r="R214" s="47">
        <f t="shared" si="185"/>
        <v>-38000</v>
      </c>
      <c r="S214" s="47">
        <f t="shared" si="185"/>
        <v>-38000</v>
      </c>
      <c r="T214" s="47">
        <f t="shared" si="185"/>
        <v>-38000</v>
      </c>
      <c r="U214" s="47">
        <f t="shared" si="185"/>
        <v>-38000</v>
      </c>
      <c r="V214" s="47">
        <f t="shared" si="185"/>
        <v>-38000</v>
      </c>
      <c r="W214" s="47">
        <f t="shared" si="185"/>
        <v>-572000</v>
      </c>
    </row>
    <row r="215" spans="1:23" ht="12.75">
      <c r="A215">
        <f>ROW()</f>
        <v>215</v>
      </c>
      <c r="B215" t="s">
        <v>206</v>
      </c>
      <c r="C215" s="317">
        <f>+Input!F115</f>
        <v>11000</v>
      </c>
      <c r="D215" s="317">
        <f>+Input!G115</f>
        <v>7000</v>
      </c>
      <c r="E215" s="317">
        <f>+Input!H115</f>
        <v>4000</v>
      </c>
      <c r="F215" s="317">
        <f>+Input!I115</f>
        <v>-1000</v>
      </c>
      <c r="G215" s="317">
        <f>+Input!J115</f>
        <v>-9000</v>
      </c>
      <c r="H215" s="317">
        <f>+Input!K115</f>
        <v>-3000</v>
      </c>
      <c r="I215" s="317">
        <f>+Input!L115</f>
        <v>-4000</v>
      </c>
      <c r="J215" s="338">
        <f>+Input!M115</f>
        <v>-9000</v>
      </c>
      <c r="K215" s="311">
        <f>+J215</f>
        <v>-9000</v>
      </c>
      <c r="P215" s="210"/>
      <c r="Q215" s="47"/>
      <c r="R215" s="47"/>
      <c r="S215" s="47"/>
      <c r="T215" s="47"/>
      <c r="U215" s="47"/>
      <c r="V215" s="47"/>
      <c r="W215" s="47"/>
    </row>
    <row r="216" spans="1:23" ht="12.75">
      <c r="A216">
        <f>ROW()</f>
        <v>216</v>
      </c>
      <c r="B216" t="s">
        <v>116</v>
      </c>
      <c r="C216" s="312">
        <f aca="true" t="shared" si="186" ref="C216:K216">+C204+C214+C215</f>
        <v>-131000</v>
      </c>
      <c r="D216" s="312">
        <f t="shared" si="186"/>
        <v>-7000</v>
      </c>
      <c r="E216" s="312">
        <f t="shared" si="186"/>
        <v>-562000</v>
      </c>
      <c r="F216" s="312">
        <f t="shared" si="186"/>
        <v>497000</v>
      </c>
      <c r="G216" s="312">
        <f t="shared" si="186"/>
        <v>-590000</v>
      </c>
      <c r="H216" s="312">
        <f t="shared" si="186"/>
        <v>-371000</v>
      </c>
      <c r="I216" s="312">
        <f t="shared" si="186"/>
        <v>-2000</v>
      </c>
      <c r="J216" s="313">
        <f t="shared" si="186"/>
        <v>109000</v>
      </c>
      <c r="K216" s="340">
        <f t="shared" si="186"/>
        <v>109000</v>
      </c>
      <c r="P216" s="210"/>
      <c r="Q216" s="47">
        <f aca="true" t="shared" si="187" ref="Q216:V216">+Q204+Q214</f>
        <v>207431.39618203975</v>
      </c>
      <c r="R216" s="47">
        <f t="shared" si="187"/>
        <v>271071.4470676316</v>
      </c>
      <c r="S216" s="47">
        <f t="shared" si="187"/>
        <v>303937.64619992493</v>
      </c>
      <c r="T216" s="47">
        <f t="shared" si="187"/>
        <v>322651.94678085786</v>
      </c>
      <c r="U216" s="47">
        <f t="shared" si="187"/>
        <v>327942.63319424365</v>
      </c>
      <c r="V216" s="47">
        <f t="shared" si="187"/>
        <v>365560.902175753</v>
      </c>
      <c r="W216" s="47">
        <f>+W204+W214</f>
        <v>-128825.47673073557</v>
      </c>
    </row>
    <row r="217" spans="1:23" ht="12.75">
      <c r="A217">
        <f>ROW()</f>
        <v>217</v>
      </c>
      <c r="C217" s="11"/>
      <c r="D217" s="11"/>
      <c r="E217" s="11"/>
      <c r="F217" s="11"/>
      <c r="G217" s="11"/>
      <c r="H217" s="11"/>
      <c r="I217" s="11"/>
      <c r="J217" s="45"/>
      <c r="K217" s="11"/>
      <c r="P217" s="210"/>
      <c r="Q217" s="47"/>
      <c r="R217" s="47"/>
      <c r="S217" s="47"/>
      <c r="T217" s="47"/>
      <c r="U217" s="47"/>
      <c r="V217" s="47"/>
      <c r="W217" s="47"/>
    </row>
    <row r="218" spans="1:23" ht="12.75">
      <c r="A218">
        <f>ROW()</f>
        <v>218</v>
      </c>
      <c r="B218" t="s">
        <v>112</v>
      </c>
      <c r="C218" s="11"/>
      <c r="D218" s="11"/>
      <c r="E218" s="11"/>
      <c r="F218" s="11"/>
      <c r="G218" s="11"/>
      <c r="H218" s="11"/>
      <c r="I218" s="11"/>
      <c r="J218" s="11"/>
      <c r="K218" s="11"/>
      <c r="P218" s="210"/>
      <c r="Q218" s="47">
        <f aca="true" t="shared" si="188" ref="Q218:W218">+P62</f>
        <v>0</v>
      </c>
      <c r="R218" s="47">
        <f t="shared" si="188"/>
        <v>207431.39618203975</v>
      </c>
      <c r="S218" s="47">
        <f t="shared" si="188"/>
        <v>478502.84324967134</v>
      </c>
      <c r="T218" s="47">
        <f t="shared" si="188"/>
        <v>782440.4894495963</v>
      </c>
      <c r="U218" s="47">
        <f t="shared" si="188"/>
        <v>1105092.4362304541</v>
      </c>
      <c r="V218" s="47">
        <f t="shared" si="188"/>
        <v>1433035.0694246977</v>
      </c>
      <c r="W218" s="47">
        <f t="shared" si="188"/>
        <v>1798595.9716004506</v>
      </c>
    </row>
    <row r="219" spans="1:23" ht="12.75">
      <c r="A219">
        <f>ROW()</f>
        <v>219</v>
      </c>
      <c r="B219" t="s">
        <v>113</v>
      </c>
      <c r="C219" s="11"/>
      <c r="D219" s="11"/>
      <c r="E219" s="11"/>
      <c r="F219" s="11"/>
      <c r="G219" s="11"/>
      <c r="H219" s="11"/>
      <c r="I219" s="11"/>
      <c r="J219" s="11"/>
      <c r="K219" s="11"/>
      <c r="P219" s="210"/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>
        <v>0</v>
      </c>
    </row>
    <row r="220" spans="1:23" ht="12.75">
      <c r="A220">
        <f>ROW()</f>
        <v>220</v>
      </c>
      <c r="C220" s="11"/>
      <c r="D220" s="11"/>
      <c r="E220" s="11"/>
      <c r="F220" s="11"/>
      <c r="G220" s="11"/>
      <c r="H220" s="11"/>
      <c r="I220" s="11"/>
      <c r="J220" s="11"/>
      <c r="K220" s="11"/>
      <c r="P220" s="210"/>
      <c r="Q220" s="47"/>
      <c r="R220" s="47"/>
      <c r="S220" s="47"/>
      <c r="T220" s="47"/>
      <c r="U220" s="47"/>
      <c r="V220" s="47"/>
      <c r="W220" s="47"/>
    </row>
    <row r="221" spans="1:23" ht="13.5" thickBot="1">
      <c r="A221">
        <f>ROW()</f>
        <v>221</v>
      </c>
      <c r="B221" s="2" t="s">
        <v>114</v>
      </c>
      <c r="C221" s="11"/>
      <c r="D221" s="11"/>
      <c r="E221" s="11"/>
      <c r="F221" s="11"/>
      <c r="G221" s="11"/>
      <c r="H221" s="11"/>
      <c r="I221" s="11"/>
      <c r="J221" s="11"/>
      <c r="K221" s="11"/>
      <c r="P221" s="210"/>
      <c r="Q221" s="300">
        <f aca="true" t="shared" si="189" ref="Q221:V221">+Q216+Q218-Q219</f>
        <v>207431.39618203975</v>
      </c>
      <c r="R221" s="300">
        <f t="shared" si="189"/>
        <v>478502.84324967134</v>
      </c>
      <c r="S221" s="300">
        <f t="shared" si="189"/>
        <v>782440.4894495963</v>
      </c>
      <c r="T221" s="300">
        <f t="shared" si="189"/>
        <v>1105092.4362304541</v>
      </c>
      <c r="U221" s="300">
        <f t="shared" si="189"/>
        <v>1433035.0694246977</v>
      </c>
      <c r="V221" s="300">
        <f t="shared" si="189"/>
        <v>1798595.9716004506</v>
      </c>
      <c r="W221" s="300">
        <f>+W216+W218-W219</f>
        <v>1669770.494869715</v>
      </c>
    </row>
    <row r="222" spans="2:23" ht="18" thickTop="1">
      <c r="B222" s="62" t="s">
        <v>117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3:23" ht="12.75">
      <c r="C223" s="8" t="s">
        <v>27</v>
      </c>
      <c r="D223" s="8"/>
      <c r="E223" s="8"/>
      <c r="F223" s="8"/>
      <c r="G223" s="8"/>
      <c r="H223" s="8"/>
      <c r="I223" s="8"/>
      <c r="J223" s="8"/>
      <c r="K223" s="8"/>
      <c r="L223" s="33"/>
      <c r="M223" s="33"/>
      <c r="N223" s="8"/>
      <c r="O223" s="8"/>
      <c r="P223" s="8" t="s">
        <v>28</v>
      </c>
      <c r="Q223" s="8"/>
      <c r="R223" s="8"/>
      <c r="S223" s="8"/>
      <c r="T223" s="8"/>
      <c r="U223" s="8"/>
      <c r="V223" s="8"/>
      <c r="W223" s="8"/>
    </row>
    <row r="224" spans="3:23" ht="19.5" customHeight="1">
      <c r="C224" s="110" t="str">
        <f>+$C$115</f>
        <v>12 mos</v>
      </c>
      <c r="D224" s="110" t="str">
        <f>+$C$115</f>
        <v>12 mos</v>
      </c>
      <c r="E224" s="110" t="str">
        <f>+$C$115</f>
        <v>12 mos</v>
      </c>
      <c r="F224" s="110" t="str">
        <f>+$C$115</f>
        <v>12 mos</v>
      </c>
      <c r="G224" s="110" t="str">
        <f>+$G$115</f>
        <v>12 mos</v>
      </c>
      <c r="H224" s="110" t="str">
        <f>+$H$115</f>
        <v>12 mos</v>
      </c>
      <c r="I224" s="110" t="str">
        <f>+$I$115</f>
        <v>12 mos</v>
      </c>
      <c r="J224" s="111" t="str">
        <f>+$J$115</f>
        <v>12 mos</v>
      </c>
      <c r="K224" s="110" t="str">
        <f>+$K$115</f>
        <v>12 mos</v>
      </c>
      <c r="L224" s="115"/>
      <c r="M224" s="33"/>
      <c r="N224" s="8"/>
      <c r="O224" s="8"/>
      <c r="P224" s="112" t="str">
        <f>+K224</f>
        <v>12 mos</v>
      </c>
      <c r="Q224" s="109" t="str">
        <f aca="true" t="shared" si="190" ref="Q224:V224">+P224</f>
        <v>12 mos</v>
      </c>
      <c r="R224" s="109" t="str">
        <f t="shared" si="190"/>
        <v>12 mos</v>
      </c>
      <c r="S224" s="109" t="str">
        <f t="shared" si="190"/>
        <v>12 mos</v>
      </c>
      <c r="T224" s="109" t="str">
        <f t="shared" si="190"/>
        <v>12 mos</v>
      </c>
      <c r="U224" s="109" t="str">
        <f t="shared" si="190"/>
        <v>12 mos</v>
      </c>
      <c r="V224" s="109" t="str">
        <f t="shared" si="190"/>
        <v>12 mos</v>
      </c>
      <c r="W224" s="109" t="str">
        <f>+V224</f>
        <v>12 mos</v>
      </c>
    </row>
    <row r="225" spans="3:23" ht="13.5" thickBot="1">
      <c r="C225" s="107">
        <f aca="true" t="shared" si="191" ref="C225:H225">+C59</f>
        <v>39447</v>
      </c>
      <c r="D225" s="107">
        <f t="shared" si="191"/>
        <v>39813</v>
      </c>
      <c r="E225" s="107">
        <f t="shared" si="191"/>
        <v>40178</v>
      </c>
      <c r="F225" s="107">
        <f t="shared" si="191"/>
        <v>40543</v>
      </c>
      <c r="G225" s="107">
        <f t="shared" si="191"/>
        <v>40908</v>
      </c>
      <c r="H225" s="107">
        <f t="shared" si="191"/>
        <v>41274</v>
      </c>
      <c r="I225" s="107">
        <f>+$I$59</f>
        <v>41639</v>
      </c>
      <c r="J225" s="108">
        <f>+$J$59</f>
        <v>42004</v>
      </c>
      <c r="K225" s="107">
        <f>+$K$59</f>
        <v>42004</v>
      </c>
      <c r="L225" s="116" t="s">
        <v>151</v>
      </c>
      <c r="M225" s="33"/>
      <c r="N225" s="8"/>
      <c r="O225" s="8"/>
      <c r="P225" s="108">
        <f>+K225</f>
        <v>42004</v>
      </c>
      <c r="Q225" s="107">
        <f aca="true" t="shared" si="192" ref="Q225:V225">+Q169</f>
        <v>42369</v>
      </c>
      <c r="R225" s="107">
        <f t="shared" si="192"/>
        <v>42734</v>
      </c>
      <c r="S225" s="107">
        <f t="shared" si="192"/>
        <v>43099</v>
      </c>
      <c r="T225" s="107">
        <f t="shared" si="192"/>
        <v>43464</v>
      </c>
      <c r="U225" s="107">
        <f t="shared" si="192"/>
        <v>43829</v>
      </c>
      <c r="V225" s="107">
        <f t="shared" si="192"/>
        <v>44194</v>
      </c>
      <c r="W225" s="107">
        <f>+W169</f>
        <v>44559</v>
      </c>
    </row>
    <row r="226" spans="1:16" ht="12.75">
      <c r="A226">
        <f>ROW()</f>
        <v>226</v>
      </c>
      <c r="B226" s="2" t="s">
        <v>0</v>
      </c>
      <c r="J226" s="43"/>
      <c r="M226" s="33"/>
      <c r="N226" s="8"/>
      <c r="P226" s="43"/>
    </row>
    <row r="227" spans="1:23" ht="12.75">
      <c r="A227">
        <f>ROW()</f>
        <v>227</v>
      </c>
      <c r="B227" s="9" t="str">
        <f>+B430</f>
        <v>Owned, Leased and Consolidated Joint Venture Hotels</v>
      </c>
      <c r="C227" s="390"/>
      <c r="D227" s="390"/>
      <c r="E227" s="390"/>
      <c r="F227" s="390"/>
      <c r="G227" s="390"/>
      <c r="H227" s="390">
        <v>1698000</v>
      </c>
      <c r="I227" s="390">
        <v>1612000</v>
      </c>
      <c r="J227" s="391">
        <v>1541000</v>
      </c>
      <c r="K227" s="327">
        <f>+J227</f>
        <v>1541000</v>
      </c>
      <c r="M227" s="33"/>
      <c r="N227" s="8"/>
      <c r="P227" s="328">
        <f>+K227</f>
        <v>1541000</v>
      </c>
      <c r="Q227" s="47">
        <f aca="true" t="shared" si="193" ref="Q227:V230">+P227*(1+Q322)</f>
        <v>1510180</v>
      </c>
      <c r="R227" s="47">
        <f t="shared" si="193"/>
        <v>1510180</v>
      </c>
      <c r="S227" s="47">
        <f t="shared" si="193"/>
        <v>1540383.6</v>
      </c>
      <c r="T227" s="47">
        <f t="shared" si="193"/>
        <v>1586595.1080000002</v>
      </c>
      <c r="U227" s="47">
        <f t="shared" si="193"/>
        <v>1634192.9612400003</v>
      </c>
      <c r="V227" s="47">
        <f t="shared" si="193"/>
        <v>1683218.7500772004</v>
      </c>
      <c r="W227" s="47">
        <f>+V227*(1+W322)</f>
        <v>1733715.3125795163</v>
      </c>
    </row>
    <row r="228" spans="1:23" ht="12.75">
      <c r="A228">
        <f>ROW()</f>
        <v>228</v>
      </c>
      <c r="B228" s="9" t="str">
        <f>+B431</f>
        <v>Management Fees, Franchise Fees and Other Income</v>
      </c>
      <c r="C228" s="390"/>
      <c r="D228" s="390"/>
      <c r="E228" s="390"/>
      <c r="F228" s="390"/>
      <c r="G228" s="390"/>
      <c r="H228" s="390">
        <v>888000</v>
      </c>
      <c r="I228" s="390">
        <v>965000</v>
      </c>
      <c r="J228" s="391">
        <v>1057000</v>
      </c>
      <c r="K228" s="327">
        <f>+J228</f>
        <v>1057000</v>
      </c>
      <c r="M228" s="33"/>
      <c r="N228" s="8"/>
      <c r="P228" s="328">
        <f>+K228</f>
        <v>1057000</v>
      </c>
      <c r="Q228" s="47">
        <f t="shared" si="193"/>
        <v>1162700</v>
      </c>
      <c r="R228" s="47">
        <f t="shared" si="193"/>
        <v>1325478.0000000002</v>
      </c>
      <c r="S228" s="47">
        <f t="shared" si="193"/>
        <v>1484535.3600000003</v>
      </c>
      <c r="T228" s="47">
        <f t="shared" si="193"/>
        <v>1632988.8960000004</v>
      </c>
      <c r="U228" s="47">
        <f t="shared" si="193"/>
        <v>1747298.1187200006</v>
      </c>
      <c r="V228" s="47">
        <f t="shared" si="193"/>
        <v>1869608.9870304007</v>
      </c>
      <c r="W228" s="47">
        <f>+V228*(1+W323)</f>
        <v>2000481.616122529</v>
      </c>
    </row>
    <row r="229" spans="1:23" ht="12.75">
      <c r="A229">
        <f>ROW()</f>
        <v>229</v>
      </c>
      <c r="B229" s="9" t="str">
        <f>+B432</f>
        <v>Vacation Ownership and Residential</v>
      </c>
      <c r="C229" s="390"/>
      <c r="D229" s="390"/>
      <c r="E229" s="390"/>
      <c r="F229" s="390"/>
      <c r="G229" s="390"/>
      <c r="H229" s="390">
        <v>1287000</v>
      </c>
      <c r="I229" s="390">
        <v>924000</v>
      </c>
      <c r="J229" s="391">
        <v>674000</v>
      </c>
      <c r="K229" s="327">
        <f>+J229</f>
        <v>674000</v>
      </c>
      <c r="M229" s="33"/>
      <c r="N229" s="8"/>
      <c r="P229" s="328">
        <f>+K229</f>
        <v>674000</v>
      </c>
      <c r="Q229" s="47">
        <f t="shared" si="193"/>
        <v>606600</v>
      </c>
      <c r="R229" s="47">
        <f t="shared" si="193"/>
        <v>576270</v>
      </c>
      <c r="S229" s="47">
        <f t="shared" si="193"/>
        <v>576270</v>
      </c>
      <c r="T229" s="47">
        <f t="shared" si="193"/>
        <v>576270</v>
      </c>
      <c r="U229" s="47">
        <f t="shared" si="193"/>
        <v>576270</v>
      </c>
      <c r="V229" s="47">
        <f t="shared" si="193"/>
        <v>576270</v>
      </c>
      <c r="W229" s="47">
        <f>+V229*(1+W324)</f>
        <v>576270</v>
      </c>
    </row>
    <row r="230" spans="1:23" ht="12.75">
      <c r="A230">
        <f>ROW()</f>
        <v>230</v>
      </c>
      <c r="B230" s="9" t="str">
        <f>+B433</f>
        <v>Other Revenues from Managed and Franchised Properties</v>
      </c>
      <c r="C230" s="390"/>
      <c r="D230" s="390"/>
      <c r="E230" s="390"/>
      <c r="F230" s="390"/>
      <c r="G230" s="390"/>
      <c r="H230" s="390">
        <v>2448000</v>
      </c>
      <c r="I230" s="390">
        <v>2614000</v>
      </c>
      <c r="J230" s="391">
        <v>2711000</v>
      </c>
      <c r="K230" s="327">
        <f>+J230</f>
        <v>2711000</v>
      </c>
      <c r="M230" s="33"/>
      <c r="N230" s="8"/>
      <c r="P230" s="328">
        <f>+K230</f>
        <v>2711000</v>
      </c>
      <c r="Q230" s="47">
        <f t="shared" si="193"/>
        <v>2819440</v>
      </c>
      <c r="R230" s="47">
        <f t="shared" si="193"/>
        <v>2932217.6</v>
      </c>
      <c r="S230" s="47">
        <f t="shared" si="193"/>
        <v>3049506.304</v>
      </c>
      <c r="T230" s="47">
        <f t="shared" si="193"/>
        <v>3171486.55616</v>
      </c>
      <c r="U230" s="47">
        <f t="shared" si="193"/>
        <v>3298346.0184064005</v>
      </c>
      <c r="V230" s="47">
        <f t="shared" si="193"/>
        <v>3430279.8591426564</v>
      </c>
      <c r="W230" s="47">
        <f>+V230*(1+W325)</f>
        <v>3567491.0535083627</v>
      </c>
    </row>
    <row r="231" spans="1:23" ht="13.5" thickBot="1">
      <c r="A231">
        <f>ROW()</f>
        <v>231</v>
      </c>
      <c r="B231" s="9" t="s">
        <v>118</v>
      </c>
      <c r="C231" s="305">
        <f>+C117</f>
        <v>6153000</v>
      </c>
      <c r="D231" s="305">
        <f>+D117</f>
        <v>5907000</v>
      </c>
      <c r="E231" s="305">
        <f>+E117</f>
        <v>4696000</v>
      </c>
      <c r="F231" s="305">
        <f>+F117</f>
        <v>5071000</v>
      </c>
      <c r="G231" s="305">
        <f>+G117</f>
        <v>5624000</v>
      </c>
      <c r="H231" s="305">
        <f>SUM(H226:H230)</f>
        <v>6321000</v>
      </c>
      <c r="I231" s="305">
        <f>SUM(I226:I230)</f>
        <v>6115000</v>
      </c>
      <c r="J231" s="306">
        <f>SUM(J227:J230)</f>
        <v>5983000</v>
      </c>
      <c r="K231" s="305">
        <f>SUM(K226:K230)</f>
        <v>5983000</v>
      </c>
      <c r="M231" s="33"/>
      <c r="N231" s="8"/>
      <c r="P231" s="306">
        <f>SUM(P227:P230)</f>
        <v>5983000</v>
      </c>
      <c r="Q231" s="305">
        <f aca="true" t="shared" si="194" ref="Q231:W231">SUM(Q227:Q230)</f>
        <v>6098920</v>
      </c>
      <c r="R231" s="305">
        <f t="shared" si="194"/>
        <v>6344145.6</v>
      </c>
      <c r="S231" s="305">
        <f t="shared" si="194"/>
        <v>6650695.264</v>
      </c>
      <c r="T231" s="305">
        <f t="shared" si="194"/>
        <v>6967340.560160001</v>
      </c>
      <c r="U231" s="305">
        <f t="shared" si="194"/>
        <v>7256107.098366401</v>
      </c>
      <c r="V231" s="305">
        <f t="shared" si="194"/>
        <v>7559377.596250257</v>
      </c>
      <c r="W231" s="305">
        <f t="shared" si="194"/>
        <v>7877957.982210408</v>
      </c>
    </row>
    <row r="232" spans="1:16" ht="12.75" thickTop="1">
      <c r="A232">
        <f>ROW()</f>
        <v>232</v>
      </c>
      <c r="B232" s="9"/>
      <c r="J232" s="43"/>
      <c r="P232" s="43"/>
    </row>
    <row r="233" spans="1:16" ht="12.75">
      <c r="A233">
        <f>ROW()</f>
        <v>233</v>
      </c>
      <c r="B233" s="2" t="s">
        <v>119</v>
      </c>
      <c r="J233" s="43"/>
      <c r="P233" s="43"/>
    </row>
    <row r="234" spans="1:23" ht="12">
      <c r="A234">
        <f>ROW()</f>
        <v>234</v>
      </c>
      <c r="B234" s="9" t="str">
        <f>+B227</f>
        <v>Owned, Leased and Consolidated Joint Venture Hotels</v>
      </c>
      <c r="J234" s="43"/>
      <c r="P234" s="323">
        <f>+$P$238/4</f>
        <v>376750</v>
      </c>
      <c r="Q234" s="302">
        <f aca="true" t="shared" si="195" ref="Q234:V237">+Q328*Q227</f>
        <v>369215</v>
      </c>
      <c r="R234" s="302">
        <f t="shared" si="195"/>
        <v>369215</v>
      </c>
      <c r="S234" s="302">
        <f t="shared" si="195"/>
        <v>376599.3</v>
      </c>
      <c r="T234" s="302">
        <f t="shared" si="195"/>
        <v>387897.27900000004</v>
      </c>
      <c r="U234" s="302">
        <f t="shared" si="195"/>
        <v>399534.19737000007</v>
      </c>
      <c r="V234" s="302">
        <f t="shared" si="195"/>
        <v>411520.22329110006</v>
      </c>
      <c r="W234" s="302">
        <f>+W328*W227</f>
        <v>423865.82998983306</v>
      </c>
    </row>
    <row r="235" spans="1:23" ht="12">
      <c r="A235">
        <f>ROW()</f>
        <v>235</v>
      </c>
      <c r="B235" s="9" t="str">
        <f>+B228</f>
        <v>Management Fees, Franchise Fees and Other Income</v>
      </c>
      <c r="J235" s="43"/>
      <c r="P235" s="323">
        <f>+$P$238/4</f>
        <v>376750</v>
      </c>
      <c r="Q235" s="302">
        <f t="shared" si="195"/>
        <v>414424.99999999994</v>
      </c>
      <c r="R235" s="302">
        <f t="shared" si="195"/>
        <v>472444.50000000006</v>
      </c>
      <c r="S235" s="302">
        <f t="shared" si="195"/>
        <v>529137.8400000001</v>
      </c>
      <c r="T235" s="302">
        <f t="shared" si="195"/>
        <v>582051.6240000001</v>
      </c>
      <c r="U235" s="302">
        <f t="shared" si="195"/>
        <v>622795.2376800001</v>
      </c>
      <c r="V235" s="302">
        <f t="shared" si="195"/>
        <v>666390.9043176002</v>
      </c>
      <c r="W235" s="302">
        <f>+W329*W228</f>
        <v>713038.2676198323</v>
      </c>
    </row>
    <row r="236" spans="1:23" ht="12">
      <c r="A236">
        <f>ROW()</f>
        <v>236</v>
      </c>
      <c r="B236" s="9" t="str">
        <f>+B229</f>
        <v>Vacation Ownership and Residential</v>
      </c>
      <c r="J236" s="43"/>
      <c r="P236" s="323">
        <f>+$P$238/4</f>
        <v>376750</v>
      </c>
      <c r="Q236" s="302">
        <f t="shared" si="195"/>
        <v>339075</v>
      </c>
      <c r="R236" s="302">
        <f t="shared" si="195"/>
        <v>322121.25</v>
      </c>
      <c r="S236" s="302">
        <f t="shared" si="195"/>
        <v>322121.25</v>
      </c>
      <c r="T236" s="302">
        <f t="shared" si="195"/>
        <v>322121.25</v>
      </c>
      <c r="U236" s="302">
        <f t="shared" si="195"/>
        <v>322121.25</v>
      </c>
      <c r="V236" s="302">
        <f t="shared" si="195"/>
        <v>322121.25</v>
      </c>
      <c r="W236" s="302">
        <f>+W330*W229</f>
        <v>322121.25</v>
      </c>
    </row>
    <row r="237" spans="1:23" ht="12">
      <c r="A237">
        <f>ROW()</f>
        <v>237</v>
      </c>
      <c r="B237" s="9" t="str">
        <f>+B230</f>
        <v>Other Revenues from Managed and Franchised Properties</v>
      </c>
      <c r="J237" s="43"/>
      <c r="P237" s="323">
        <f>+$P$238/4</f>
        <v>376750</v>
      </c>
      <c r="Q237" s="302">
        <f t="shared" si="195"/>
        <v>391820.00000000006</v>
      </c>
      <c r="R237" s="302">
        <f t="shared" si="195"/>
        <v>407492.80000000005</v>
      </c>
      <c r="S237" s="302">
        <f t="shared" si="195"/>
        <v>423792.51200000005</v>
      </c>
      <c r="T237" s="302">
        <f t="shared" si="195"/>
        <v>440744.21248000005</v>
      </c>
      <c r="U237" s="302">
        <f t="shared" si="195"/>
        <v>458373.9809792001</v>
      </c>
      <c r="V237" s="302">
        <f t="shared" si="195"/>
        <v>476708.9402183681</v>
      </c>
      <c r="W237" s="302">
        <f>+W331*W230</f>
        <v>495777.2978271028</v>
      </c>
    </row>
    <row r="238" spans="1:23" ht="12.75" thickBot="1">
      <c r="A238">
        <f>ROW()</f>
        <v>238</v>
      </c>
      <c r="B238" s="9" t="s">
        <v>120</v>
      </c>
      <c r="C238" s="305">
        <f aca="true" t="shared" si="196" ref="C238:K238">+C120</f>
        <v>2006664.099646571</v>
      </c>
      <c r="D238" s="305">
        <f>+D120</f>
        <v>1939935.9028960816</v>
      </c>
      <c r="E238" s="305">
        <f>+E120</f>
        <v>1492000</v>
      </c>
      <c r="F238" s="305">
        <f>+F120</f>
        <v>1583000</v>
      </c>
      <c r="G238" s="305">
        <f t="shared" si="196"/>
        <v>1781000</v>
      </c>
      <c r="H238" s="305">
        <f t="shared" si="196"/>
        <v>2182000</v>
      </c>
      <c r="I238" s="305">
        <f t="shared" si="196"/>
        <v>1743000</v>
      </c>
      <c r="J238" s="306">
        <f t="shared" si="196"/>
        <v>1507000</v>
      </c>
      <c r="K238" s="305">
        <f t="shared" si="196"/>
        <v>1507000</v>
      </c>
      <c r="P238" s="306">
        <f>+K238</f>
        <v>1507000</v>
      </c>
      <c r="Q238" s="305">
        <f aca="true" t="shared" si="197" ref="Q238:W238">SUM(Q234:Q237)</f>
        <v>1514535</v>
      </c>
      <c r="R238" s="305">
        <f t="shared" si="197"/>
        <v>1571273.55</v>
      </c>
      <c r="S238" s="305">
        <f t="shared" si="197"/>
        <v>1651650.9020000002</v>
      </c>
      <c r="T238" s="305">
        <f t="shared" si="197"/>
        <v>1732814.3654800002</v>
      </c>
      <c r="U238" s="305">
        <f t="shared" si="197"/>
        <v>1802824.6660292004</v>
      </c>
      <c r="V238" s="305">
        <f t="shared" si="197"/>
        <v>1876741.3178270683</v>
      </c>
      <c r="W238" s="305">
        <f t="shared" si="197"/>
        <v>1954802.645436768</v>
      </c>
    </row>
    <row r="239" spans="1:23" ht="12.75" thickTop="1">
      <c r="A239">
        <f>ROW()</f>
        <v>239</v>
      </c>
      <c r="B239" s="9"/>
      <c r="J239" s="43"/>
      <c r="P239" s="323"/>
      <c r="Q239" s="302"/>
      <c r="R239" s="302"/>
      <c r="S239" s="302"/>
      <c r="T239" s="302"/>
      <c r="U239" s="302"/>
      <c r="V239" s="302"/>
      <c r="W239" s="302"/>
    </row>
    <row r="240" spans="1:23" ht="12.75">
      <c r="A240">
        <f>ROW()</f>
        <v>240</v>
      </c>
      <c r="B240" s="2" t="s">
        <v>122</v>
      </c>
      <c r="J240" s="43"/>
      <c r="P240" s="323"/>
      <c r="Q240" s="302"/>
      <c r="R240" s="302"/>
      <c r="S240" s="302"/>
      <c r="T240" s="302"/>
      <c r="U240" s="302"/>
      <c r="V240" s="302"/>
      <c r="W240" s="302"/>
    </row>
    <row r="241" spans="1:23" ht="12">
      <c r="A241">
        <f>ROW()</f>
        <v>241</v>
      </c>
      <c r="B241" s="9" t="str">
        <f>+B227</f>
        <v>Owned, Leased and Consolidated Joint Venture Hotels</v>
      </c>
      <c r="J241" s="43"/>
      <c r="P241" s="296">
        <f aca="true" t="shared" si="198" ref="P241:V244">+P227-P234</f>
        <v>1164250</v>
      </c>
      <c r="Q241" s="47">
        <f t="shared" si="198"/>
        <v>1140965</v>
      </c>
      <c r="R241" s="47">
        <f t="shared" si="198"/>
        <v>1140965</v>
      </c>
      <c r="S241" s="47">
        <f t="shared" si="198"/>
        <v>1163784.3</v>
      </c>
      <c r="T241" s="47">
        <f t="shared" si="198"/>
        <v>1198697.8290000001</v>
      </c>
      <c r="U241" s="47">
        <f t="shared" si="198"/>
        <v>1234658.7638700004</v>
      </c>
      <c r="V241" s="47">
        <f t="shared" si="198"/>
        <v>1271698.5267861004</v>
      </c>
      <c r="W241" s="47">
        <f>+W227-W234</f>
        <v>1309849.4825896833</v>
      </c>
    </row>
    <row r="242" spans="1:23" ht="12">
      <c r="A242">
        <f>ROW()</f>
        <v>242</v>
      </c>
      <c r="B242" s="9" t="str">
        <f>+B228</f>
        <v>Management Fees, Franchise Fees and Other Income</v>
      </c>
      <c r="J242" s="43"/>
      <c r="P242" s="296">
        <f t="shared" si="198"/>
        <v>680250</v>
      </c>
      <c r="Q242" s="47">
        <f t="shared" si="198"/>
        <v>748275</v>
      </c>
      <c r="R242" s="47">
        <f t="shared" si="198"/>
        <v>853033.5000000002</v>
      </c>
      <c r="S242" s="47">
        <f t="shared" si="198"/>
        <v>955397.5200000003</v>
      </c>
      <c r="T242" s="47">
        <f t="shared" si="198"/>
        <v>1050937.2720000003</v>
      </c>
      <c r="U242" s="47">
        <f t="shared" si="198"/>
        <v>1124502.8810400004</v>
      </c>
      <c r="V242" s="47">
        <f t="shared" si="198"/>
        <v>1203218.0827128005</v>
      </c>
      <c r="W242" s="47">
        <f>+W228-W235</f>
        <v>1287443.3485026965</v>
      </c>
    </row>
    <row r="243" spans="1:23" ht="12">
      <c r="A243">
        <f>ROW()</f>
        <v>243</v>
      </c>
      <c r="B243" s="9" t="str">
        <f>+B229</f>
        <v>Vacation Ownership and Residential</v>
      </c>
      <c r="J243" s="43"/>
      <c r="P243" s="296">
        <f t="shared" si="198"/>
        <v>297250</v>
      </c>
      <c r="Q243" s="47">
        <f t="shared" si="198"/>
        <v>267525</v>
      </c>
      <c r="R243" s="47">
        <f t="shared" si="198"/>
        <v>254148.75</v>
      </c>
      <c r="S243" s="47">
        <f t="shared" si="198"/>
        <v>254148.75</v>
      </c>
      <c r="T243" s="47">
        <f t="shared" si="198"/>
        <v>254148.75</v>
      </c>
      <c r="U243" s="47">
        <f t="shared" si="198"/>
        <v>254148.75</v>
      </c>
      <c r="V243" s="47">
        <f t="shared" si="198"/>
        <v>254148.75</v>
      </c>
      <c r="W243" s="47">
        <f>+W229-W236</f>
        <v>254148.75</v>
      </c>
    </row>
    <row r="244" spans="1:23" ht="12">
      <c r="A244">
        <f>ROW()</f>
        <v>244</v>
      </c>
      <c r="B244" s="9" t="str">
        <f>+B230</f>
        <v>Other Revenues from Managed and Franchised Properties</v>
      </c>
      <c r="J244" s="43"/>
      <c r="P244" s="296">
        <f t="shared" si="198"/>
        <v>2334250</v>
      </c>
      <c r="Q244" s="47">
        <f t="shared" si="198"/>
        <v>2427620</v>
      </c>
      <c r="R244" s="47">
        <f t="shared" si="198"/>
        <v>2524724.8</v>
      </c>
      <c r="S244" s="47">
        <f t="shared" si="198"/>
        <v>2625713.792</v>
      </c>
      <c r="T244" s="47">
        <f t="shared" si="198"/>
        <v>2730742.34368</v>
      </c>
      <c r="U244" s="47">
        <f t="shared" si="198"/>
        <v>2839972.0374272005</v>
      </c>
      <c r="V244" s="47">
        <f t="shared" si="198"/>
        <v>2953570.9189242884</v>
      </c>
      <c r="W244" s="47">
        <f>+W230-W237</f>
        <v>3071713.75568126</v>
      </c>
    </row>
    <row r="245" spans="1:23" ht="12.75" thickBot="1">
      <c r="A245">
        <f>ROW()</f>
        <v>245</v>
      </c>
      <c r="B245" s="9" t="s">
        <v>121</v>
      </c>
      <c r="C245" s="305">
        <f aca="true" t="shared" si="199" ref="C245:K245">+C231-C238</f>
        <v>4146335.900353429</v>
      </c>
      <c r="D245" s="305">
        <f>+D231-D238</f>
        <v>3967064.0971039184</v>
      </c>
      <c r="E245" s="305">
        <f>+E231-E238</f>
        <v>3204000</v>
      </c>
      <c r="F245" s="305">
        <f>+F231-F238</f>
        <v>3488000</v>
      </c>
      <c r="G245" s="305">
        <f t="shared" si="199"/>
        <v>3843000</v>
      </c>
      <c r="H245" s="305">
        <f t="shared" si="199"/>
        <v>4139000</v>
      </c>
      <c r="I245" s="305">
        <f t="shared" si="199"/>
        <v>4372000</v>
      </c>
      <c r="J245" s="306">
        <f t="shared" si="199"/>
        <v>4476000</v>
      </c>
      <c r="K245" s="305">
        <f t="shared" si="199"/>
        <v>4476000</v>
      </c>
      <c r="P245" s="306">
        <f aca="true" t="shared" si="200" ref="P245:W245">SUM(P241:P244)</f>
        <v>4476000</v>
      </c>
      <c r="Q245" s="305">
        <f t="shared" si="200"/>
        <v>4584385</v>
      </c>
      <c r="R245" s="305">
        <f t="shared" si="200"/>
        <v>4772872.05</v>
      </c>
      <c r="S245" s="305">
        <f t="shared" si="200"/>
        <v>4999044.362</v>
      </c>
      <c r="T245" s="305">
        <f t="shared" si="200"/>
        <v>5234526.194680001</v>
      </c>
      <c r="U245" s="305">
        <f t="shared" si="200"/>
        <v>5453282.432337201</v>
      </c>
      <c r="V245" s="305">
        <f t="shared" si="200"/>
        <v>5682636.278423189</v>
      </c>
      <c r="W245" s="305">
        <f t="shared" si="200"/>
        <v>5923155.33677364</v>
      </c>
    </row>
    <row r="246" ht="12.75" thickTop="1"/>
    <row r="247" spans="2:23" ht="18">
      <c r="B247" s="62" t="s">
        <v>135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3:23" ht="12.75">
      <c r="C248" s="8" t="s">
        <v>27</v>
      </c>
      <c r="D248" s="8"/>
      <c r="E248" s="8"/>
      <c r="F248" s="8"/>
      <c r="G248" s="8"/>
      <c r="H248" s="8"/>
      <c r="I248" s="8"/>
      <c r="J248" s="8"/>
      <c r="K248" s="8"/>
      <c r="L248" s="33"/>
      <c r="M248" s="33"/>
      <c r="N248" s="8"/>
      <c r="O248" s="8"/>
      <c r="P248" s="8" t="s">
        <v>28</v>
      </c>
      <c r="Q248" s="8"/>
      <c r="R248" s="8"/>
      <c r="S248" s="8"/>
      <c r="T248" s="8"/>
      <c r="U248" s="8"/>
      <c r="V248" s="8"/>
      <c r="W248" s="8"/>
    </row>
    <row r="249" spans="3:23" ht="13.5" thickBot="1">
      <c r="C249" s="107">
        <f>+C59</f>
        <v>39447</v>
      </c>
      <c r="D249" s="107">
        <f aca="true" t="shared" si="201" ref="D249:I249">+D59</f>
        <v>39813</v>
      </c>
      <c r="E249" s="107">
        <f t="shared" si="201"/>
        <v>40178</v>
      </c>
      <c r="F249" s="107">
        <f t="shared" si="201"/>
        <v>40543</v>
      </c>
      <c r="G249" s="107">
        <f t="shared" si="201"/>
        <v>40908</v>
      </c>
      <c r="H249" s="107">
        <f t="shared" si="201"/>
        <v>41274</v>
      </c>
      <c r="I249" s="107">
        <f t="shared" si="201"/>
        <v>41639</v>
      </c>
      <c r="J249" s="107">
        <f>+$J$59</f>
        <v>42004</v>
      </c>
      <c r="K249" s="107">
        <f>+$K$59</f>
        <v>42004</v>
      </c>
      <c r="L249" s="8"/>
      <c r="M249" s="33"/>
      <c r="N249" s="8"/>
      <c r="O249" s="8"/>
      <c r="P249" s="108">
        <f>+K249</f>
        <v>42004</v>
      </c>
      <c r="Q249" s="107">
        <f aca="true" t="shared" si="202" ref="Q249:V249">+Q225</f>
        <v>42369</v>
      </c>
      <c r="R249" s="107">
        <f t="shared" si="202"/>
        <v>42734</v>
      </c>
      <c r="S249" s="107">
        <f t="shared" si="202"/>
        <v>43099</v>
      </c>
      <c r="T249" s="107">
        <f t="shared" si="202"/>
        <v>43464</v>
      </c>
      <c r="U249" s="107">
        <f t="shared" si="202"/>
        <v>43829</v>
      </c>
      <c r="V249" s="107">
        <f t="shared" si="202"/>
        <v>44194</v>
      </c>
      <c r="W249" s="107">
        <f>+W225</f>
        <v>44559</v>
      </c>
    </row>
    <row r="250" spans="1:16" ht="12.75">
      <c r="A250">
        <f>ROW()</f>
        <v>250</v>
      </c>
      <c r="B250" s="2" t="s">
        <v>139</v>
      </c>
      <c r="M250" s="33"/>
      <c r="N250" s="8"/>
      <c r="P250" s="43"/>
    </row>
    <row r="251" spans="1:23" ht="12.75">
      <c r="A251">
        <f>ROW()</f>
        <v>251</v>
      </c>
      <c r="B251" t="s">
        <v>140</v>
      </c>
      <c r="M251" s="33"/>
      <c r="N251" s="8"/>
      <c r="P251" s="225">
        <f>+C24</f>
        <v>0.01</v>
      </c>
      <c r="Q251" s="46">
        <f aca="true" t="shared" si="203" ref="Q251:V251">+P251+Q252</f>
        <v>0.01</v>
      </c>
      <c r="R251" s="46">
        <f t="shared" si="203"/>
        <v>0.01</v>
      </c>
      <c r="S251" s="46">
        <f t="shared" si="203"/>
        <v>0.015</v>
      </c>
      <c r="T251" s="46">
        <f t="shared" si="203"/>
        <v>0.02</v>
      </c>
      <c r="U251" s="46">
        <f t="shared" si="203"/>
        <v>0.03</v>
      </c>
      <c r="V251" s="46">
        <f t="shared" si="203"/>
        <v>0.03</v>
      </c>
      <c r="W251" s="46">
        <f>+V251+W252</f>
        <v>0.03</v>
      </c>
    </row>
    <row r="252" spans="1:23" ht="12.75">
      <c r="A252">
        <f>ROW()</f>
        <v>252</v>
      </c>
      <c r="B252" t="s">
        <v>141</v>
      </c>
      <c r="M252" s="33"/>
      <c r="N252" s="8"/>
      <c r="P252" s="43"/>
      <c r="Q252" s="41">
        <v>0</v>
      </c>
      <c r="R252" s="41">
        <v>0</v>
      </c>
      <c r="S252" s="41">
        <v>0.005</v>
      </c>
      <c r="T252" s="41">
        <v>0.005</v>
      </c>
      <c r="U252" s="41">
        <v>0.01</v>
      </c>
      <c r="V252" s="41">
        <v>0</v>
      </c>
      <c r="W252" s="41">
        <v>0</v>
      </c>
    </row>
    <row r="253" spans="1:16" ht="9" customHeight="1">
      <c r="A253">
        <f>ROW()</f>
        <v>253</v>
      </c>
      <c r="M253" s="33"/>
      <c r="N253" s="8"/>
      <c r="P253" s="43"/>
    </row>
    <row r="254" spans="1:16" ht="12.75">
      <c r="A254">
        <f>ROW()</f>
        <v>254</v>
      </c>
      <c r="B254" s="2" t="str">
        <f>+B62</f>
        <v>Short-Term Investments</v>
      </c>
      <c r="M254" s="33"/>
      <c r="N254" s="8"/>
      <c r="P254" s="43"/>
    </row>
    <row r="255" spans="1:23" ht="12.75">
      <c r="A255">
        <f>ROW()</f>
        <v>255</v>
      </c>
      <c r="B255" t="s">
        <v>136</v>
      </c>
      <c r="M255" s="33"/>
      <c r="N255" s="8"/>
      <c r="P255" s="296">
        <f>+P62</f>
        <v>0</v>
      </c>
      <c r="Q255" s="47">
        <f aca="true" t="shared" si="204" ref="Q255:V255">+P255+Q256</f>
        <v>207431.39618203975</v>
      </c>
      <c r="R255" s="47">
        <f t="shared" si="204"/>
        <v>478502.84324967134</v>
      </c>
      <c r="S255" s="47">
        <f t="shared" si="204"/>
        <v>782440.4894495963</v>
      </c>
      <c r="T255" s="47">
        <f t="shared" si="204"/>
        <v>1105092.4362304541</v>
      </c>
      <c r="U255" s="47">
        <f t="shared" si="204"/>
        <v>1433035.0694246977</v>
      </c>
      <c r="V255" s="47">
        <f t="shared" si="204"/>
        <v>1798595.9716004506</v>
      </c>
      <c r="W255" s="47">
        <f>+V255+W256</f>
        <v>1669770.494869715</v>
      </c>
    </row>
    <row r="256" spans="1:23" ht="12">
      <c r="A256">
        <f>ROW()</f>
        <v>256</v>
      </c>
      <c r="B256" t="s">
        <v>220</v>
      </c>
      <c r="P256" s="296"/>
      <c r="Q256" s="293">
        <f aca="true" t="shared" si="205" ref="Q256:V256">+Q216</f>
        <v>207431.39618203975</v>
      </c>
      <c r="R256" s="293">
        <f t="shared" si="205"/>
        <v>271071.4470676316</v>
      </c>
      <c r="S256" s="293">
        <f t="shared" si="205"/>
        <v>303937.64619992493</v>
      </c>
      <c r="T256" s="293">
        <f t="shared" si="205"/>
        <v>322651.94678085786</v>
      </c>
      <c r="U256" s="293">
        <f t="shared" si="205"/>
        <v>327942.63319424365</v>
      </c>
      <c r="V256" s="293">
        <f t="shared" si="205"/>
        <v>365560.902175753</v>
      </c>
      <c r="W256" s="293">
        <f>+W216</f>
        <v>-128825.47673073557</v>
      </c>
    </row>
    <row r="257" spans="1:23" ht="12">
      <c r="A257">
        <f>ROW()</f>
        <v>257</v>
      </c>
      <c r="B257" t="s">
        <v>137</v>
      </c>
      <c r="P257" s="296"/>
      <c r="Q257" s="47">
        <f aca="true" t="shared" si="206" ref="Q257:W257">+P255*Q258</f>
        <v>0</v>
      </c>
      <c r="R257" s="47">
        <f t="shared" si="206"/>
        <v>2074.3139618203977</v>
      </c>
      <c r="S257" s="47">
        <f t="shared" si="206"/>
        <v>7177.5426487450695</v>
      </c>
      <c r="T257" s="47">
        <f t="shared" si="206"/>
        <v>15648.809788991926</v>
      </c>
      <c r="U257" s="47">
        <f t="shared" si="206"/>
        <v>33152.77308691362</v>
      </c>
      <c r="V257" s="47">
        <f t="shared" si="206"/>
        <v>42991.05208274093</v>
      </c>
      <c r="W257" s="47">
        <f t="shared" si="206"/>
        <v>53957.87914801352</v>
      </c>
    </row>
    <row r="258" spans="1:23" ht="12">
      <c r="A258">
        <f>ROW()</f>
        <v>258</v>
      </c>
      <c r="B258" t="s">
        <v>138</v>
      </c>
      <c r="P258" s="43"/>
      <c r="Q258" s="46">
        <f aca="true" t="shared" si="207" ref="Q258:V258">+Q251</f>
        <v>0.01</v>
      </c>
      <c r="R258" s="46">
        <f t="shared" si="207"/>
        <v>0.01</v>
      </c>
      <c r="S258" s="46">
        <f t="shared" si="207"/>
        <v>0.015</v>
      </c>
      <c r="T258" s="46">
        <f t="shared" si="207"/>
        <v>0.02</v>
      </c>
      <c r="U258" s="46">
        <f t="shared" si="207"/>
        <v>0.03</v>
      </c>
      <c r="V258" s="46">
        <f t="shared" si="207"/>
        <v>0.03</v>
      </c>
      <c r="W258" s="46">
        <f>+W251</f>
        <v>0.03</v>
      </c>
    </row>
    <row r="259" spans="1:16" ht="9" customHeight="1">
      <c r="A259">
        <f>ROW()</f>
        <v>259</v>
      </c>
      <c r="P259" s="43"/>
    </row>
    <row r="260" spans="1:16" ht="12.75">
      <c r="A260">
        <f>ROW()</f>
        <v>260</v>
      </c>
      <c r="B260" s="2" t="str">
        <f>+B8</f>
        <v>Revolver</v>
      </c>
      <c r="P260" s="43"/>
    </row>
    <row r="261" spans="1:23" ht="12">
      <c r="A261">
        <f>ROW()</f>
        <v>261</v>
      </c>
      <c r="B261" t="s">
        <v>136</v>
      </c>
      <c r="P261" s="45">
        <f>+P84</f>
        <v>0</v>
      </c>
      <c r="Q261" s="11">
        <f aca="true" t="shared" si="208" ref="Q261:V261">+P261+Q262</f>
        <v>0</v>
      </c>
      <c r="R261" s="11">
        <f t="shared" si="208"/>
        <v>0</v>
      </c>
      <c r="S261" s="11">
        <f t="shared" si="208"/>
        <v>0</v>
      </c>
      <c r="T261" s="11">
        <f t="shared" si="208"/>
        <v>0</v>
      </c>
      <c r="U261" s="11">
        <f t="shared" si="208"/>
        <v>0</v>
      </c>
      <c r="V261" s="11">
        <f t="shared" si="208"/>
        <v>0</v>
      </c>
      <c r="W261" s="11">
        <f>+V261+W262</f>
        <v>0</v>
      </c>
    </row>
    <row r="262" spans="1:23" ht="12">
      <c r="A262">
        <f>ROW()</f>
        <v>262</v>
      </c>
      <c r="B262" t="s">
        <v>220</v>
      </c>
      <c r="P262" s="45"/>
      <c r="Q262" s="13">
        <f aca="true" t="shared" si="209" ref="Q262:V262">IF($K$460="Yes",+Q264,Q263)</f>
        <v>0</v>
      </c>
      <c r="R262" s="13">
        <f t="shared" si="209"/>
        <v>0</v>
      </c>
      <c r="S262" s="13">
        <f t="shared" si="209"/>
        <v>0</v>
      </c>
      <c r="T262" s="13">
        <f t="shared" si="209"/>
        <v>0</v>
      </c>
      <c r="U262" s="13">
        <f t="shared" si="209"/>
        <v>0</v>
      </c>
      <c r="V262" s="13">
        <f t="shared" si="209"/>
        <v>0</v>
      </c>
      <c r="W262" s="13">
        <f>IF($K$460="Yes",+W264,W263)</f>
        <v>0</v>
      </c>
    </row>
    <row r="263" spans="1:23" ht="12">
      <c r="A263">
        <f>ROW()</f>
        <v>263</v>
      </c>
      <c r="B263" t="s">
        <v>229</v>
      </c>
      <c r="P263" s="45"/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</row>
    <row r="264" spans="1:23" ht="12">
      <c r="A264">
        <f>ROW()</f>
        <v>264</v>
      </c>
      <c r="B264" t="s">
        <v>227</v>
      </c>
      <c r="P264" s="45"/>
      <c r="Q264" s="12">
        <f aca="true" t="shared" si="210" ref="Q264:V264">+Q462</f>
        <v>0</v>
      </c>
      <c r="R264" s="12">
        <f t="shared" si="210"/>
        <v>0</v>
      </c>
      <c r="S264" s="12">
        <f t="shared" si="210"/>
        <v>0</v>
      </c>
      <c r="T264" s="12">
        <f t="shared" si="210"/>
        <v>0</v>
      </c>
      <c r="U264" s="12">
        <f t="shared" si="210"/>
        <v>0</v>
      </c>
      <c r="V264" s="12">
        <f t="shared" si="210"/>
        <v>0</v>
      </c>
      <c r="W264" s="12">
        <f>+W462</f>
        <v>0</v>
      </c>
    </row>
    <row r="265" spans="1:23" ht="12">
      <c r="A265">
        <f>ROW()</f>
        <v>265</v>
      </c>
      <c r="B265" t="s">
        <v>137</v>
      </c>
      <c r="P265" s="45"/>
      <c r="Q265" s="11">
        <f aca="true" t="shared" si="211" ref="Q265:W265">+P261*Q266</f>
        <v>0</v>
      </c>
      <c r="R265" s="11">
        <f t="shared" si="211"/>
        <v>0</v>
      </c>
      <c r="S265" s="11">
        <f t="shared" si="211"/>
        <v>0</v>
      </c>
      <c r="T265" s="11">
        <f t="shared" si="211"/>
        <v>0</v>
      </c>
      <c r="U265" s="11">
        <f t="shared" si="211"/>
        <v>0</v>
      </c>
      <c r="V265" s="11">
        <f t="shared" si="211"/>
        <v>0</v>
      </c>
      <c r="W265" s="11">
        <f t="shared" si="211"/>
        <v>0</v>
      </c>
    </row>
    <row r="266" spans="1:23" ht="12">
      <c r="A266">
        <f>ROW()</f>
        <v>266</v>
      </c>
      <c r="B266" t="s">
        <v>138</v>
      </c>
      <c r="P266" s="43"/>
      <c r="Q266" s="46">
        <f aca="true" t="shared" si="212" ref="Q266:V266">+Q251+($J$8/10000)</f>
        <v>0.05</v>
      </c>
      <c r="R266" s="46">
        <f t="shared" si="212"/>
        <v>0.05</v>
      </c>
      <c r="S266" s="46">
        <f t="shared" si="212"/>
        <v>0.055</v>
      </c>
      <c r="T266" s="46">
        <f t="shared" si="212"/>
        <v>0.06</v>
      </c>
      <c r="U266" s="46">
        <f t="shared" si="212"/>
        <v>0.07</v>
      </c>
      <c r="V266" s="46">
        <f t="shared" si="212"/>
        <v>0.07</v>
      </c>
      <c r="W266" s="46">
        <f>+W251+($J$8/10000)</f>
        <v>0.07</v>
      </c>
    </row>
    <row r="267" spans="1:16" ht="7.5" customHeight="1">
      <c r="A267">
        <f>ROW()</f>
        <v>267</v>
      </c>
      <c r="P267" s="43"/>
    </row>
    <row r="268" spans="1:16" ht="12.75">
      <c r="A268">
        <f>ROW()</f>
        <v>268</v>
      </c>
      <c r="B268" s="2" t="str">
        <f>+B9</f>
        <v>Term Loan A</v>
      </c>
      <c r="P268" s="43"/>
    </row>
    <row r="269" spans="1:23" ht="12">
      <c r="A269">
        <f>ROW()</f>
        <v>269</v>
      </c>
      <c r="B269" t="s">
        <v>136</v>
      </c>
      <c r="P269" s="45">
        <f>+P85</f>
        <v>0</v>
      </c>
      <c r="Q269" s="11">
        <f aca="true" t="shared" si="213" ref="Q269:V269">+P269+Q270</f>
        <v>0</v>
      </c>
      <c r="R269" s="11">
        <f t="shared" si="213"/>
        <v>0</v>
      </c>
      <c r="S269" s="11">
        <f t="shared" si="213"/>
        <v>0</v>
      </c>
      <c r="T269" s="11">
        <f t="shared" si="213"/>
        <v>0</v>
      </c>
      <c r="U269" s="11">
        <f t="shared" si="213"/>
        <v>0</v>
      </c>
      <c r="V269" s="11">
        <f t="shared" si="213"/>
        <v>0</v>
      </c>
      <c r="W269" s="11">
        <f>+V269+W270</f>
        <v>0</v>
      </c>
    </row>
    <row r="270" spans="1:23" ht="12">
      <c r="A270">
        <f>ROW()</f>
        <v>270</v>
      </c>
      <c r="B270" t="s">
        <v>220</v>
      </c>
      <c r="P270" s="45"/>
      <c r="Q270" s="13">
        <f aca="true" t="shared" si="214" ref="Q270:V270">IF($K$460="Yes",+Q272,Q271)</f>
        <v>0</v>
      </c>
      <c r="R270" s="13">
        <f t="shared" si="214"/>
        <v>0</v>
      </c>
      <c r="S270" s="13">
        <f t="shared" si="214"/>
        <v>0</v>
      </c>
      <c r="T270" s="13">
        <f t="shared" si="214"/>
        <v>0</v>
      </c>
      <c r="U270" s="13">
        <f t="shared" si="214"/>
        <v>0</v>
      </c>
      <c r="V270" s="13">
        <f t="shared" si="214"/>
        <v>0</v>
      </c>
      <c r="W270" s="13">
        <f>IF($K$460="Yes",+W272,W271)</f>
        <v>0</v>
      </c>
    </row>
    <row r="271" spans="1:23" ht="12">
      <c r="A271">
        <f>ROW()</f>
        <v>271</v>
      </c>
      <c r="B271" t="s">
        <v>229</v>
      </c>
      <c r="P271" s="45"/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</row>
    <row r="272" spans="1:23" ht="12">
      <c r="A272">
        <f>ROW()</f>
        <v>272</v>
      </c>
      <c r="B272" t="s">
        <v>227</v>
      </c>
      <c r="P272" s="45"/>
      <c r="Q272" s="13">
        <f aca="true" t="shared" si="215" ref="Q272:V272">+Q463</f>
        <v>0</v>
      </c>
      <c r="R272" s="13">
        <f t="shared" si="215"/>
        <v>0</v>
      </c>
      <c r="S272" s="13">
        <f t="shared" si="215"/>
        <v>0</v>
      </c>
      <c r="T272" s="13">
        <f t="shared" si="215"/>
        <v>0</v>
      </c>
      <c r="U272" s="13">
        <f t="shared" si="215"/>
        <v>0</v>
      </c>
      <c r="V272" s="13">
        <f t="shared" si="215"/>
        <v>0</v>
      </c>
      <c r="W272" s="13">
        <f>+W463</f>
        <v>0</v>
      </c>
    </row>
    <row r="273" spans="1:23" ht="12">
      <c r="A273">
        <f>ROW()</f>
        <v>273</v>
      </c>
      <c r="B273" t="s">
        <v>137</v>
      </c>
      <c r="P273" s="45"/>
      <c r="Q273" s="11">
        <f aca="true" t="shared" si="216" ref="Q273:W273">+P269*Q274</f>
        <v>0</v>
      </c>
      <c r="R273" s="11">
        <f t="shared" si="216"/>
        <v>0</v>
      </c>
      <c r="S273" s="11">
        <f t="shared" si="216"/>
        <v>0</v>
      </c>
      <c r="T273" s="11">
        <f t="shared" si="216"/>
        <v>0</v>
      </c>
      <c r="U273" s="11">
        <f t="shared" si="216"/>
        <v>0</v>
      </c>
      <c r="V273" s="11">
        <f t="shared" si="216"/>
        <v>0</v>
      </c>
      <c r="W273" s="11">
        <f t="shared" si="216"/>
        <v>0</v>
      </c>
    </row>
    <row r="274" spans="1:23" ht="12">
      <c r="A274">
        <f>ROW()</f>
        <v>274</v>
      </c>
      <c r="B274" t="s">
        <v>138</v>
      </c>
      <c r="P274" s="43"/>
      <c r="Q274" s="46">
        <f aca="true" t="shared" si="217" ref="Q274:V274">+Q251+($J$9/10000)</f>
        <v>0.01</v>
      </c>
      <c r="R274" s="46">
        <f t="shared" si="217"/>
        <v>0.01</v>
      </c>
      <c r="S274" s="46">
        <f t="shared" si="217"/>
        <v>0.015</v>
      </c>
      <c r="T274" s="46">
        <f t="shared" si="217"/>
        <v>0.02</v>
      </c>
      <c r="U274" s="46">
        <f t="shared" si="217"/>
        <v>0.03</v>
      </c>
      <c r="V274" s="46">
        <f t="shared" si="217"/>
        <v>0.03</v>
      </c>
      <c r="W274" s="46">
        <f>+W251+($J$9/10000)</f>
        <v>0.03</v>
      </c>
    </row>
    <row r="275" spans="1:16" ht="7.5" customHeight="1">
      <c r="A275">
        <f>ROW()</f>
        <v>275</v>
      </c>
      <c r="P275" s="43"/>
    </row>
    <row r="276" spans="1:16" ht="12.75">
      <c r="A276">
        <f>ROW()</f>
        <v>276</v>
      </c>
      <c r="B276" s="2" t="str">
        <f>+B10</f>
        <v>Term Loan B</v>
      </c>
      <c r="P276" s="43"/>
    </row>
    <row r="277" spans="1:23" ht="12">
      <c r="A277">
        <f>ROW()</f>
        <v>277</v>
      </c>
      <c r="B277" t="s">
        <v>136</v>
      </c>
      <c r="P277" s="296">
        <f>+P86</f>
        <v>3800000</v>
      </c>
      <c r="Q277" s="47">
        <f aca="true" t="shared" si="218" ref="Q277:V277">+P277+Q278</f>
        <v>3762000</v>
      </c>
      <c r="R277" s="47">
        <f t="shared" si="218"/>
        <v>3724000</v>
      </c>
      <c r="S277" s="47">
        <f t="shared" si="218"/>
        <v>3686000</v>
      </c>
      <c r="T277" s="47">
        <f t="shared" si="218"/>
        <v>3648000</v>
      </c>
      <c r="U277" s="47">
        <f t="shared" si="218"/>
        <v>3610000</v>
      </c>
      <c r="V277" s="47">
        <f t="shared" si="218"/>
        <v>3572000</v>
      </c>
      <c r="W277" s="47">
        <f>+V277+W278</f>
        <v>0</v>
      </c>
    </row>
    <row r="278" spans="1:29" ht="12">
      <c r="A278">
        <f>ROW()</f>
        <v>278</v>
      </c>
      <c r="B278" t="s">
        <v>220</v>
      </c>
      <c r="P278" s="296"/>
      <c r="Q278" s="298">
        <f aca="true" t="shared" si="219" ref="Q278:V278">IF($K$460="Yes",+Q280,Q279)</f>
        <v>-38000</v>
      </c>
      <c r="R278" s="298">
        <f t="shared" si="219"/>
        <v>-38000</v>
      </c>
      <c r="S278" s="298">
        <f t="shared" si="219"/>
        <v>-38000</v>
      </c>
      <c r="T278" s="298">
        <f t="shared" si="219"/>
        <v>-38000</v>
      </c>
      <c r="U278" s="298">
        <f t="shared" si="219"/>
        <v>-38000</v>
      </c>
      <c r="V278" s="298">
        <f t="shared" si="219"/>
        <v>-38000</v>
      </c>
      <c r="W278" s="298">
        <f>IF($K$460="Yes",+W280,W279)</f>
        <v>-3572000</v>
      </c>
      <c r="X278" s="12"/>
      <c r="Y278" s="12"/>
      <c r="Z278" s="12"/>
      <c r="AA278" s="12"/>
      <c r="AB278" s="12"/>
      <c r="AC278" s="12"/>
    </row>
    <row r="279" spans="1:29" ht="12">
      <c r="A279">
        <f>ROW()</f>
        <v>279</v>
      </c>
      <c r="B279" t="s">
        <v>229</v>
      </c>
      <c r="P279" s="296"/>
      <c r="Q279" s="293">
        <f>-0.01*$P$277</f>
        <v>-38000</v>
      </c>
      <c r="R279" s="293">
        <f>-0.01*$P$277</f>
        <v>-38000</v>
      </c>
      <c r="S279" s="293">
        <f>-0.01*$P$277</f>
        <v>-38000</v>
      </c>
      <c r="T279" s="293">
        <f>-0.01*$P$277</f>
        <v>-38000</v>
      </c>
      <c r="U279" s="293">
        <f>-0.01*$P$277</f>
        <v>-38000</v>
      </c>
      <c r="V279" s="293">
        <f>-0.01*$P$277</f>
        <v>-38000</v>
      </c>
      <c r="W279" s="293">
        <f>-V277</f>
        <v>-3572000</v>
      </c>
      <c r="X279" s="12"/>
      <c r="Y279" s="12"/>
      <c r="Z279" s="12"/>
      <c r="AA279" s="12"/>
      <c r="AB279" s="12"/>
      <c r="AC279" s="12"/>
    </row>
    <row r="280" spans="1:29" ht="12">
      <c r="A280">
        <f>ROW()</f>
        <v>280</v>
      </c>
      <c r="B280" t="s">
        <v>227</v>
      </c>
      <c r="P280" s="296"/>
      <c r="Q280" s="298">
        <f aca="true" t="shared" si="220" ref="Q280:V280">+Q464</f>
        <v>-245431.39618203975</v>
      </c>
      <c r="R280" s="298">
        <f t="shared" si="220"/>
        <v>-309071.4470676316</v>
      </c>
      <c r="S280" s="298">
        <f t="shared" si="220"/>
        <v>-341937.64619992493</v>
      </c>
      <c r="T280" s="298">
        <f t="shared" si="220"/>
        <v>-360651.94678085786</v>
      </c>
      <c r="U280" s="298">
        <f t="shared" si="220"/>
        <v>-365942.63319424365</v>
      </c>
      <c r="V280" s="298">
        <f t="shared" si="220"/>
        <v>-403560.902175753</v>
      </c>
      <c r="W280" s="298">
        <f>+W464</f>
        <v>-443174.52326926443</v>
      </c>
      <c r="X280" s="12"/>
      <c r="Y280" s="12"/>
      <c r="Z280" s="12"/>
      <c r="AA280" s="12"/>
      <c r="AB280" s="12"/>
      <c r="AC280" s="12"/>
    </row>
    <row r="281" spans="1:23" ht="12">
      <c r="A281">
        <f>ROW()</f>
        <v>281</v>
      </c>
      <c r="B281" t="s">
        <v>137</v>
      </c>
      <c r="P281" s="296"/>
      <c r="Q281" s="47">
        <f aca="true" t="shared" si="221" ref="Q281:W281">+P277*Q282</f>
        <v>190000</v>
      </c>
      <c r="R281" s="47">
        <f t="shared" si="221"/>
        <v>188100</v>
      </c>
      <c r="S281" s="47">
        <f t="shared" si="221"/>
        <v>204820</v>
      </c>
      <c r="T281" s="47">
        <f t="shared" si="221"/>
        <v>221160</v>
      </c>
      <c r="U281" s="47">
        <f t="shared" si="221"/>
        <v>255360.00000000003</v>
      </c>
      <c r="V281" s="47">
        <f t="shared" si="221"/>
        <v>252700.00000000003</v>
      </c>
      <c r="W281" s="47">
        <f t="shared" si="221"/>
        <v>250040.00000000003</v>
      </c>
    </row>
    <row r="282" spans="1:23" ht="12">
      <c r="A282">
        <f>ROW()</f>
        <v>282</v>
      </c>
      <c r="B282" t="s">
        <v>138</v>
      </c>
      <c r="P282" s="43"/>
      <c r="Q282" s="46">
        <f aca="true" t="shared" si="222" ref="Q282:V282">+Q251+($J$10/10000)</f>
        <v>0.05</v>
      </c>
      <c r="R282" s="46">
        <f t="shared" si="222"/>
        <v>0.05</v>
      </c>
      <c r="S282" s="46">
        <f t="shared" si="222"/>
        <v>0.055</v>
      </c>
      <c r="T282" s="46">
        <f t="shared" si="222"/>
        <v>0.06</v>
      </c>
      <c r="U282" s="46">
        <f t="shared" si="222"/>
        <v>0.07</v>
      </c>
      <c r="V282" s="46">
        <f t="shared" si="222"/>
        <v>0.07</v>
      </c>
      <c r="W282" s="46">
        <f>+W251+($J$10/10000)</f>
        <v>0.07</v>
      </c>
    </row>
    <row r="283" spans="1:16" ht="5.25" customHeight="1">
      <c r="A283">
        <f>ROW()</f>
        <v>283</v>
      </c>
      <c r="P283" s="43"/>
    </row>
    <row r="284" spans="1:16" ht="12.75">
      <c r="A284">
        <f>ROW()</f>
        <v>284</v>
      </c>
      <c r="B284" s="2" t="str">
        <f>+B11</f>
        <v>New Term Loan</v>
      </c>
      <c r="P284" s="43"/>
    </row>
    <row r="285" spans="1:23" ht="12">
      <c r="A285">
        <f>ROW()</f>
        <v>285</v>
      </c>
      <c r="B285" t="s">
        <v>136</v>
      </c>
      <c r="P285" s="45">
        <f>+P87</f>
        <v>0</v>
      </c>
      <c r="Q285" s="47">
        <f aca="true" t="shared" si="223" ref="Q285:V285">+P285+Q286</f>
        <v>0</v>
      </c>
      <c r="R285" s="47">
        <f t="shared" si="223"/>
        <v>0</v>
      </c>
      <c r="S285" s="47">
        <f t="shared" si="223"/>
        <v>0</v>
      </c>
      <c r="T285" s="47">
        <f t="shared" si="223"/>
        <v>0</v>
      </c>
      <c r="U285" s="47">
        <f t="shared" si="223"/>
        <v>0</v>
      </c>
      <c r="V285" s="47">
        <f t="shared" si="223"/>
        <v>0</v>
      </c>
      <c r="W285" s="47">
        <f>+V285+W286</f>
        <v>3000000</v>
      </c>
    </row>
    <row r="286" spans="1:23" ht="12">
      <c r="A286">
        <f>ROW()</f>
        <v>286</v>
      </c>
      <c r="B286" t="s">
        <v>220</v>
      </c>
      <c r="P286" s="45"/>
      <c r="Q286" s="298">
        <f aca="true" t="shared" si="224" ref="Q286:V286">IF($K$460="Yes",+Q288,Q287)</f>
        <v>0</v>
      </c>
      <c r="R286" s="298">
        <f t="shared" si="224"/>
        <v>0</v>
      </c>
      <c r="S286" s="298">
        <f t="shared" si="224"/>
        <v>0</v>
      </c>
      <c r="T286" s="298">
        <f t="shared" si="224"/>
        <v>0</v>
      </c>
      <c r="U286" s="298">
        <f t="shared" si="224"/>
        <v>0</v>
      </c>
      <c r="V286" s="298">
        <f t="shared" si="224"/>
        <v>0</v>
      </c>
      <c r="W286" s="298">
        <v>3000000</v>
      </c>
    </row>
    <row r="287" spans="1:23" ht="12">
      <c r="A287">
        <f>ROW()</f>
        <v>287</v>
      </c>
      <c r="B287" t="s">
        <v>229</v>
      </c>
      <c r="P287" s="45"/>
      <c r="Q287" s="293">
        <v>0</v>
      </c>
      <c r="R287" s="293">
        <v>0</v>
      </c>
      <c r="S287" s="293">
        <v>0</v>
      </c>
      <c r="T287" s="293">
        <v>0</v>
      </c>
      <c r="U287" s="293">
        <v>0</v>
      </c>
      <c r="V287" s="293">
        <v>0</v>
      </c>
      <c r="W287" s="293">
        <v>0</v>
      </c>
    </row>
    <row r="288" spans="1:23" ht="12">
      <c r="A288">
        <f>ROW()</f>
        <v>288</v>
      </c>
      <c r="B288" t="s">
        <v>227</v>
      </c>
      <c r="P288" s="45"/>
      <c r="Q288" s="298">
        <f aca="true" t="shared" si="225" ref="Q288:V288">+Q465</f>
        <v>0</v>
      </c>
      <c r="R288" s="298">
        <f t="shared" si="225"/>
        <v>0</v>
      </c>
      <c r="S288" s="298">
        <f t="shared" si="225"/>
        <v>0</v>
      </c>
      <c r="T288" s="298">
        <f t="shared" si="225"/>
        <v>0</v>
      </c>
      <c r="U288" s="298">
        <f t="shared" si="225"/>
        <v>0</v>
      </c>
      <c r="V288" s="298">
        <f t="shared" si="225"/>
        <v>0</v>
      </c>
      <c r="W288" s="298">
        <f>+W465</f>
        <v>0</v>
      </c>
    </row>
    <row r="289" spans="1:23" ht="12">
      <c r="A289">
        <f>ROW()</f>
        <v>289</v>
      </c>
      <c r="B289" t="s">
        <v>137</v>
      </c>
      <c r="P289" s="45"/>
      <c r="Q289" s="47">
        <f aca="true" t="shared" si="226" ref="Q289:W289">+P285*Q290</f>
        <v>0</v>
      </c>
      <c r="R289" s="47">
        <f t="shared" si="226"/>
        <v>0</v>
      </c>
      <c r="S289" s="47">
        <f t="shared" si="226"/>
        <v>0</v>
      </c>
      <c r="T289" s="47">
        <f t="shared" si="226"/>
        <v>0</v>
      </c>
      <c r="U289" s="47">
        <f t="shared" si="226"/>
        <v>0</v>
      </c>
      <c r="V289" s="47">
        <f t="shared" si="226"/>
        <v>0</v>
      </c>
      <c r="W289" s="47">
        <f t="shared" si="226"/>
        <v>0</v>
      </c>
    </row>
    <row r="290" spans="1:23" ht="12">
      <c r="A290">
        <f>ROW()</f>
        <v>290</v>
      </c>
      <c r="B290" t="s">
        <v>138</v>
      </c>
      <c r="P290" s="43"/>
      <c r="Q290" s="46">
        <f aca="true" t="shared" si="227" ref="Q290:V290">+Q251+($J$11/10000)</f>
        <v>0.01</v>
      </c>
      <c r="R290" s="46">
        <f t="shared" si="227"/>
        <v>0.01</v>
      </c>
      <c r="S290" s="46">
        <f t="shared" si="227"/>
        <v>0.015</v>
      </c>
      <c r="T290" s="46">
        <f t="shared" si="227"/>
        <v>0.02</v>
      </c>
      <c r="U290" s="46">
        <f t="shared" si="227"/>
        <v>0.03</v>
      </c>
      <c r="V290" s="46">
        <f t="shared" si="227"/>
        <v>0.03</v>
      </c>
      <c r="W290" s="46">
        <f>+W251+($J$11/10000)</f>
        <v>0.03</v>
      </c>
    </row>
    <row r="291" spans="1:16" ht="7.5" customHeight="1">
      <c r="A291">
        <f>ROW()</f>
        <v>291</v>
      </c>
      <c r="P291" s="43"/>
    </row>
    <row r="292" spans="1:16" ht="12.75">
      <c r="A292">
        <f>ROW()</f>
        <v>292</v>
      </c>
      <c r="B292" s="2" t="str">
        <f>+B12</f>
        <v>Other Bank Debt / Exisiting</v>
      </c>
      <c r="P292" s="43"/>
    </row>
    <row r="293" spans="1:23" ht="12">
      <c r="A293">
        <f>ROW()</f>
        <v>293</v>
      </c>
      <c r="B293" t="s">
        <v>136</v>
      </c>
      <c r="P293" s="44">
        <f>+P88</f>
        <v>0</v>
      </c>
      <c r="Q293" s="11">
        <f aca="true" t="shared" si="228" ref="Q293:V293">+P293+Q294</f>
        <v>0</v>
      </c>
      <c r="R293" s="11">
        <f t="shared" si="228"/>
        <v>0</v>
      </c>
      <c r="S293" s="11">
        <f t="shared" si="228"/>
        <v>0</v>
      </c>
      <c r="T293" s="11">
        <f t="shared" si="228"/>
        <v>0</v>
      </c>
      <c r="U293" s="11">
        <f t="shared" si="228"/>
        <v>0</v>
      </c>
      <c r="V293" s="11">
        <f t="shared" si="228"/>
        <v>0</v>
      </c>
      <c r="W293" s="11">
        <f>+V293+W294</f>
        <v>0</v>
      </c>
    </row>
    <row r="294" spans="1:23" ht="12">
      <c r="A294">
        <f>ROW()</f>
        <v>294</v>
      </c>
      <c r="B294" t="s">
        <v>220</v>
      </c>
      <c r="P294" s="43"/>
      <c r="Q294" s="13">
        <f aca="true" t="shared" si="229" ref="Q294:V294">IF($K$460="Yes",+Q296,Q295)</f>
        <v>0</v>
      </c>
      <c r="R294" s="13">
        <f t="shared" si="229"/>
        <v>0</v>
      </c>
      <c r="S294" s="13">
        <f t="shared" si="229"/>
        <v>0</v>
      </c>
      <c r="T294" s="13">
        <f t="shared" si="229"/>
        <v>0</v>
      </c>
      <c r="U294" s="13">
        <f t="shared" si="229"/>
        <v>0</v>
      </c>
      <c r="V294" s="13">
        <f t="shared" si="229"/>
        <v>0</v>
      </c>
      <c r="W294" s="13">
        <f>IF($K$460="Yes",+W296,W295)</f>
        <v>0</v>
      </c>
    </row>
    <row r="295" spans="1:23" ht="12">
      <c r="A295">
        <f>ROW()</f>
        <v>295</v>
      </c>
      <c r="B295" t="s">
        <v>229</v>
      </c>
      <c r="P295" s="43"/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</row>
    <row r="296" spans="1:23" ht="12">
      <c r="A296">
        <f>ROW()</f>
        <v>296</v>
      </c>
      <c r="B296" t="s">
        <v>227</v>
      </c>
      <c r="P296" s="43"/>
      <c r="Q296" s="13">
        <f aca="true" t="shared" si="230" ref="Q296:V296">+Q466</f>
        <v>0</v>
      </c>
      <c r="R296" s="13">
        <f t="shared" si="230"/>
        <v>0</v>
      </c>
      <c r="S296" s="13">
        <f t="shared" si="230"/>
        <v>0</v>
      </c>
      <c r="T296" s="13">
        <f t="shared" si="230"/>
        <v>0</v>
      </c>
      <c r="U296" s="13">
        <f t="shared" si="230"/>
        <v>0</v>
      </c>
      <c r="V296" s="13">
        <f t="shared" si="230"/>
        <v>0</v>
      </c>
      <c r="W296" s="13">
        <f>+W466</f>
        <v>0</v>
      </c>
    </row>
    <row r="297" spans="1:23" ht="12">
      <c r="A297">
        <f>ROW()</f>
        <v>297</v>
      </c>
      <c r="B297" t="s">
        <v>137</v>
      </c>
      <c r="P297" s="43"/>
      <c r="Q297" s="11">
        <f aca="true" t="shared" si="231" ref="Q297:W297">+P293*Q298</f>
        <v>0</v>
      </c>
      <c r="R297" s="11">
        <f t="shared" si="231"/>
        <v>0</v>
      </c>
      <c r="S297" s="11">
        <f t="shared" si="231"/>
        <v>0</v>
      </c>
      <c r="T297" s="11">
        <f t="shared" si="231"/>
        <v>0</v>
      </c>
      <c r="U297" s="11">
        <f t="shared" si="231"/>
        <v>0</v>
      </c>
      <c r="V297" s="11">
        <f t="shared" si="231"/>
        <v>0</v>
      </c>
      <c r="W297" s="11">
        <f t="shared" si="231"/>
        <v>0</v>
      </c>
    </row>
    <row r="298" spans="1:23" ht="12">
      <c r="A298">
        <f>ROW()</f>
        <v>298</v>
      </c>
      <c r="B298" t="s">
        <v>138</v>
      </c>
      <c r="P298" s="43"/>
      <c r="Q298" s="46">
        <f aca="true" t="shared" si="232" ref="Q298:V298">+Q251+($J$12/10000)</f>
        <v>0.01</v>
      </c>
      <c r="R298" s="46">
        <f t="shared" si="232"/>
        <v>0.01</v>
      </c>
      <c r="S298" s="46">
        <f t="shared" si="232"/>
        <v>0.015</v>
      </c>
      <c r="T298" s="46">
        <f t="shared" si="232"/>
        <v>0.02</v>
      </c>
      <c r="U298" s="46">
        <f t="shared" si="232"/>
        <v>0.03</v>
      </c>
      <c r="V298" s="46">
        <f t="shared" si="232"/>
        <v>0.03</v>
      </c>
      <c r="W298" s="46">
        <f>+W251+($J$12/10000)</f>
        <v>0.03</v>
      </c>
    </row>
    <row r="299" spans="1:16" ht="6.75" customHeight="1">
      <c r="A299">
        <f>ROW()</f>
        <v>299</v>
      </c>
      <c r="P299" s="43"/>
    </row>
    <row r="300" spans="1:16" ht="12.75">
      <c r="A300">
        <f>ROW()</f>
        <v>300</v>
      </c>
      <c r="B300" s="2" t="str">
        <f>+B14</f>
        <v>Senior Secured Notes</v>
      </c>
      <c r="P300" s="43"/>
    </row>
    <row r="301" spans="1:23" ht="12">
      <c r="A301">
        <f>ROW()</f>
        <v>301</v>
      </c>
      <c r="B301" t="s">
        <v>136</v>
      </c>
      <c r="P301" s="45">
        <f>+P89</f>
        <v>0</v>
      </c>
      <c r="Q301" s="11">
        <f aca="true" t="shared" si="233" ref="Q301:V301">+P301+Q302</f>
        <v>0</v>
      </c>
      <c r="R301" s="11">
        <f t="shared" si="233"/>
        <v>0</v>
      </c>
      <c r="S301" s="11">
        <f t="shared" si="233"/>
        <v>0</v>
      </c>
      <c r="T301" s="11">
        <f t="shared" si="233"/>
        <v>0</v>
      </c>
      <c r="U301" s="11">
        <f t="shared" si="233"/>
        <v>0</v>
      </c>
      <c r="V301" s="11">
        <f t="shared" si="233"/>
        <v>0</v>
      </c>
      <c r="W301" s="11">
        <f>+V301+W302</f>
        <v>0</v>
      </c>
    </row>
    <row r="302" spans="1:23" ht="12">
      <c r="A302">
        <f>ROW()</f>
        <v>302</v>
      </c>
      <c r="B302" t="s">
        <v>220</v>
      </c>
      <c r="P302" s="45"/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</row>
    <row r="303" spans="1:23" ht="12">
      <c r="A303">
        <f>ROW()</f>
        <v>303</v>
      </c>
      <c r="B303" t="s">
        <v>137</v>
      </c>
      <c r="P303" s="45"/>
      <c r="Q303" s="11">
        <f aca="true" t="shared" si="234" ref="Q303:W303">+P301*Q304</f>
        <v>0</v>
      </c>
      <c r="R303" s="11">
        <f t="shared" si="234"/>
        <v>0</v>
      </c>
      <c r="S303" s="11">
        <f t="shared" si="234"/>
        <v>0</v>
      </c>
      <c r="T303" s="11">
        <f t="shared" si="234"/>
        <v>0</v>
      </c>
      <c r="U303" s="11">
        <f t="shared" si="234"/>
        <v>0</v>
      </c>
      <c r="V303" s="11">
        <f t="shared" si="234"/>
        <v>0</v>
      </c>
      <c r="W303" s="11">
        <f t="shared" si="234"/>
        <v>0</v>
      </c>
    </row>
    <row r="304" spans="1:16" ht="12">
      <c r="A304">
        <f>ROW()</f>
        <v>304</v>
      </c>
      <c r="B304" t="s">
        <v>138</v>
      </c>
      <c r="P304" s="43"/>
    </row>
    <row r="305" spans="1:16" ht="4.5" customHeight="1">
      <c r="A305">
        <f>ROW()</f>
        <v>305</v>
      </c>
      <c r="P305" s="43"/>
    </row>
    <row r="306" spans="1:16" ht="12.75">
      <c r="A306">
        <f>ROW()</f>
        <v>306</v>
      </c>
      <c r="B306" s="2" t="str">
        <f>+B16</f>
        <v>Senior Unsecured / Subordinated Notes</v>
      </c>
      <c r="P306" s="43"/>
    </row>
    <row r="307" spans="1:23" ht="12">
      <c r="A307">
        <f>ROW()</f>
        <v>307</v>
      </c>
      <c r="B307" t="s">
        <v>136</v>
      </c>
      <c r="P307" s="296">
        <f>+P90</f>
        <v>2700000</v>
      </c>
      <c r="Q307" s="47">
        <f aca="true" t="shared" si="235" ref="Q307:V307">+P307+Q308</f>
        <v>2700000</v>
      </c>
      <c r="R307" s="47">
        <f t="shared" si="235"/>
        <v>2700000</v>
      </c>
      <c r="S307" s="47">
        <f t="shared" si="235"/>
        <v>2700000</v>
      </c>
      <c r="T307" s="47">
        <f t="shared" si="235"/>
        <v>2700000</v>
      </c>
      <c r="U307" s="47">
        <f t="shared" si="235"/>
        <v>2700000</v>
      </c>
      <c r="V307" s="47">
        <f t="shared" si="235"/>
        <v>2700000</v>
      </c>
      <c r="W307" s="47">
        <f>+V307+W308</f>
        <v>2700000</v>
      </c>
    </row>
    <row r="308" spans="1:23" ht="12">
      <c r="A308">
        <f>ROW()</f>
        <v>308</v>
      </c>
      <c r="B308" t="s">
        <v>220</v>
      </c>
      <c r="P308" s="296"/>
      <c r="Q308" s="293">
        <v>0</v>
      </c>
      <c r="R308" s="293">
        <v>0</v>
      </c>
      <c r="S308" s="293">
        <v>0</v>
      </c>
      <c r="T308" s="293">
        <v>0</v>
      </c>
      <c r="U308" s="293">
        <v>0</v>
      </c>
      <c r="V308" s="293">
        <v>0</v>
      </c>
      <c r="W308" s="293">
        <v>0</v>
      </c>
    </row>
    <row r="309" spans="1:23" ht="12">
      <c r="A309">
        <f>ROW()</f>
        <v>309</v>
      </c>
      <c r="B309" t="s">
        <v>137</v>
      </c>
      <c r="P309" s="296"/>
      <c r="Q309" s="47">
        <f aca="true" t="shared" si="236" ref="Q309:W309">+P307*Q310</f>
        <v>216000</v>
      </c>
      <c r="R309" s="47">
        <f t="shared" si="236"/>
        <v>216000</v>
      </c>
      <c r="S309" s="47">
        <f t="shared" si="236"/>
        <v>216000</v>
      </c>
      <c r="T309" s="47">
        <f t="shared" si="236"/>
        <v>216000</v>
      </c>
      <c r="U309" s="47">
        <f t="shared" si="236"/>
        <v>216000</v>
      </c>
      <c r="V309" s="47">
        <f t="shared" si="236"/>
        <v>216000</v>
      </c>
      <c r="W309" s="47">
        <f t="shared" si="236"/>
        <v>216000</v>
      </c>
    </row>
    <row r="310" spans="1:23" ht="12">
      <c r="A310">
        <f>ROW()</f>
        <v>310</v>
      </c>
      <c r="B310" t="s">
        <v>138</v>
      </c>
      <c r="P310" s="43"/>
      <c r="Q310" s="40">
        <f aca="true" t="shared" si="237" ref="Q310:W310">+$J$16</f>
        <v>0.08</v>
      </c>
      <c r="R310" s="40">
        <f t="shared" si="237"/>
        <v>0.08</v>
      </c>
      <c r="S310" s="40">
        <f t="shared" si="237"/>
        <v>0.08</v>
      </c>
      <c r="T310" s="40">
        <f t="shared" si="237"/>
        <v>0.08</v>
      </c>
      <c r="U310" s="40">
        <f t="shared" si="237"/>
        <v>0.08</v>
      </c>
      <c r="V310" s="40">
        <f t="shared" si="237"/>
        <v>0.08</v>
      </c>
      <c r="W310" s="40">
        <f t="shared" si="237"/>
        <v>0.08</v>
      </c>
    </row>
    <row r="311" spans="1:16" ht="6" customHeight="1">
      <c r="A311">
        <f>ROW()</f>
        <v>311</v>
      </c>
      <c r="P311" s="43"/>
    </row>
    <row r="312" spans="1:16" ht="12.75">
      <c r="A312">
        <f>ROW()</f>
        <v>312</v>
      </c>
      <c r="B312" s="2" t="str">
        <f>+B17</f>
        <v>Junior Subordinated Notes</v>
      </c>
      <c r="P312" s="43"/>
    </row>
    <row r="313" spans="1:23" ht="12">
      <c r="A313">
        <f>ROW()</f>
        <v>313</v>
      </c>
      <c r="B313" t="s">
        <v>136</v>
      </c>
      <c r="P313" s="45">
        <f>+P91</f>
        <v>0</v>
      </c>
      <c r="Q313" s="11">
        <f aca="true" t="shared" si="238" ref="Q313:V313">+P313+Q314</f>
        <v>0</v>
      </c>
      <c r="R313" s="11">
        <f t="shared" si="238"/>
        <v>0</v>
      </c>
      <c r="S313" s="11">
        <f t="shared" si="238"/>
        <v>0</v>
      </c>
      <c r="T313" s="11">
        <f t="shared" si="238"/>
        <v>0</v>
      </c>
      <c r="U313" s="11">
        <f t="shared" si="238"/>
        <v>0</v>
      </c>
      <c r="V313" s="11">
        <f t="shared" si="238"/>
        <v>0</v>
      </c>
      <c r="W313" s="11">
        <f>+V313+W314</f>
        <v>0</v>
      </c>
    </row>
    <row r="314" spans="1:23" ht="12">
      <c r="A314">
        <f>ROW()</f>
        <v>314</v>
      </c>
      <c r="B314" t="s">
        <v>220</v>
      </c>
      <c r="P314" s="45"/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</row>
    <row r="315" spans="1:23" ht="12">
      <c r="A315">
        <f>ROW()</f>
        <v>315</v>
      </c>
      <c r="B315" t="s">
        <v>137</v>
      </c>
      <c r="P315" s="45"/>
      <c r="Q315" s="11">
        <f aca="true" t="shared" si="239" ref="Q315:W315">+P313*Q316</f>
        <v>0</v>
      </c>
      <c r="R315" s="11">
        <f t="shared" si="239"/>
        <v>0</v>
      </c>
      <c r="S315" s="11">
        <f t="shared" si="239"/>
        <v>0</v>
      </c>
      <c r="T315" s="11">
        <f t="shared" si="239"/>
        <v>0</v>
      </c>
      <c r="U315" s="11">
        <f t="shared" si="239"/>
        <v>0</v>
      </c>
      <c r="V315" s="11">
        <f t="shared" si="239"/>
        <v>0</v>
      </c>
      <c r="W315" s="11">
        <f t="shared" si="239"/>
        <v>0</v>
      </c>
    </row>
    <row r="316" spans="1:23" ht="12">
      <c r="A316">
        <f>ROW()</f>
        <v>316</v>
      </c>
      <c r="B316" t="s">
        <v>138</v>
      </c>
      <c r="P316" s="43"/>
      <c r="Q316" s="31">
        <f aca="true" t="shared" si="240" ref="Q316:W316">+$J$17</f>
        <v>0</v>
      </c>
      <c r="R316" s="31">
        <f t="shared" si="240"/>
        <v>0</v>
      </c>
      <c r="S316" s="31">
        <f t="shared" si="240"/>
        <v>0</v>
      </c>
      <c r="T316" s="31">
        <f t="shared" si="240"/>
        <v>0</v>
      </c>
      <c r="U316" s="31">
        <f t="shared" si="240"/>
        <v>0</v>
      </c>
      <c r="V316" s="31">
        <f t="shared" si="240"/>
        <v>0</v>
      </c>
      <c r="W316" s="31">
        <f t="shared" si="240"/>
        <v>0</v>
      </c>
    </row>
    <row r="318" spans="2:23" ht="18">
      <c r="B318" s="62" t="s">
        <v>184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3:23" ht="12.75">
      <c r="C319" s="8" t="s">
        <v>27</v>
      </c>
      <c r="D319" s="8"/>
      <c r="E319" s="8"/>
      <c r="F319" s="8"/>
      <c r="G319" s="8"/>
      <c r="H319" s="8"/>
      <c r="I319" s="8"/>
      <c r="J319" s="8"/>
      <c r="K319" s="8"/>
      <c r="L319" s="33"/>
      <c r="M319" s="33"/>
      <c r="N319" s="8"/>
      <c r="O319" s="8"/>
      <c r="P319" s="8" t="s">
        <v>28</v>
      </c>
      <c r="Q319" s="8"/>
      <c r="R319" s="8"/>
      <c r="S319" s="8"/>
      <c r="T319" s="8"/>
      <c r="U319" s="8"/>
      <c r="V319" s="8"/>
      <c r="W319" s="8"/>
    </row>
    <row r="320" spans="3:23" ht="13.5" thickBot="1">
      <c r="C320" s="107">
        <f>+C59</f>
        <v>39447</v>
      </c>
      <c r="D320" s="107">
        <f aca="true" t="shared" si="241" ref="D320:I320">+D59</f>
        <v>39813</v>
      </c>
      <c r="E320" s="107">
        <f t="shared" si="241"/>
        <v>40178</v>
      </c>
      <c r="F320" s="107">
        <f t="shared" si="241"/>
        <v>40543</v>
      </c>
      <c r="G320" s="107">
        <f t="shared" si="241"/>
        <v>40908</v>
      </c>
      <c r="H320" s="107">
        <f t="shared" si="241"/>
        <v>41274</v>
      </c>
      <c r="I320" s="107">
        <f t="shared" si="241"/>
        <v>41639</v>
      </c>
      <c r="J320" s="107">
        <f>+$J$59</f>
        <v>42004</v>
      </c>
      <c r="K320" s="107">
        <f>+$K$59</f>
        <v>42004</v>
      </c>
      <c r="L320" s="8"/>
      <c r="M320" s="33"/>
      <c r="N320" s="8"/>
      <c r="O320" s="8"/>
      <c r="P320" s="108">
        <f>+K320</f>
        <v>42004</v>
      </c>
      <c r="Q320" s="107">
        <f aca="true" t="shared" si="242" ref="Q320:V320">+Q249</f>
        <v>42369</v>
      </c>
      <c r="R320" s="107">
        <f t="shared" si="242"/>
        <v>42734</v>
      </c>
      <c r="S320" s="107">
        <f t="shared" si="242"/>
        <v>43099</v>
      </c>
      <c r="T320" s="107">
        <f t="shared" si="242"/>
        <v>43464</v>
      </c>
      <c r="U320" s="107">
        <f t="shared" si="242"/>
        <v>43829</v>
      </c>
      <c r="V320" s="107">
        <f t="shared" si="242"/>
        <v>44194</v>
      </c>
      <c r="W320" s="107">
        <f>+W249</f>
        <v>44559</v>
      </c>
    </row>
    <row r="321" spans="1:16" ht="12.75">
      <c r="A321">
        <f>ROW()</f>
        <v>321</v>
      </c>
      <c r="B321" s="2" t="s">
        <v>123</v>
      </c>
      <c r="M321" s="33"/>
      <c r="N321" s="8"/>
      <c r="P321" s="43"/>
    </row>
    <row r="322" spans="1:23" ht="12.75">
      <c r="A322">
        <f>ROW()</f>
        <v>322</v>
      </c>
      <c r="B322" t="str">
        <f>+B227</f>
        <v>Owned, Leased and Consolidated Joint Venture Hotels</v>
      </c>
      <c r="H322" s="14"/>
      <c r="I322" s="14">
        <f>+I227/H227-1</f>
        <v>-0.050647820965842194</v>
      </c>
      <c r="J322" s="14">
        <f>+J227/I227-1</f>
        <v>-0.044044665012407</v>
      </c>
      <c r="K322" s="40">
        <f>+J322</f>
        <v>-0.044044665012407</v>
      </c>
      <c r="M322" s="33"/>
      <c r="N322" s="8"/>
      <c r="P322" s="392">
        <f>+K322</f>
        <v>-0.044044665012407</v>
      </c>
      <c r="Q322" s="14">
        <f aca="true" t="shared" si="243" ref="Q322:V323">IF(CC=1,Q359,IF(CC=2,Q395,0))</f>
        <v>-0.02</v>
      </c>
      <c r="R322" s="14">
        <f t="shared" si="243"/>
        <v>0</v>
      </c>
      <c r="S322" s="14">
        <f t="shared" si="243"/>
        <v>0.02</v>
      </c>
      <c r="T322" s="14">
        <f t="shared" si="243"/>
        <v>0.03</v>
      </c>
      <c r="U322" s="14">
        <f t="shared" si="243"/>
        <v>0.03</v>
      </c>
      <c r="V322" s="14">
        <f t="shared" si="243"/>
        <v>0.03</v>
      </c>
      <c r="W322" s="14">
        <f>IF(CC=1,W359,IF(CC=2,W395,0))</f>
        <v>0.03</v>
      </c>
    </row>
    <row r="323" spans="1:23" ht="12.75">
      <c r="A323">
        <f>ROW()</f>
        <v>323</v>
      </c>
      <c r="B323" t="str">
        <f>+B228</f>
        <v>Management Fees, Franchise Fees and Other Income</v>
      </c>
      <c r="H323" s="14"/>
      <c r="I323" s="14">
        <f>+I228/H228-1</f>
        <v>0.08671171171171177</v>
      </c>
      <c r="J323" s="14">
        <f aca="true" t="shared" si="244" ref="I323:J325">+J228/I228-1</f>
        <v>0.09533678756476682</v>
      </c>
      <c r="K323" s="40">
        <f>+J323</f>
        <v>0.09533678756476682</v>
      </c>
      <c r="M323" s="33"/>
      <c r="N323" s="8"/>
      <c r="P323" s="392">
        <f>+K323</f>
        <v>0.09533678756476682</v>
      </c>
      <c r="Q323" s="14">
        <f t="shared" si="243"/>
        <v>0.1</v>
      </c>
      <c r="R323" s="14">
        <f t="shared" si="243"/>
        <v>0.14</v>
      </c>
      <c r="S323" s="14">
        <f t="shared" si="243"/>
        <v>0.12</v>
      </c>
      <c r="T323" s="14">
        <f t="shared" si="243"/>
        <v>0.1</v>
      </c>
      <c r="U323" s="14">
        <f t="shared" si="243"/>
        <v>0.07</v>
      </c>
      <c r="V323" s="14">
        <f t="shared" si="243"/>
        <v>0.07</v>
      </c>
      <c r="W323" s="14">
        <f>IF(CC=1,W360,IF(CC=2,W396,0))</f>
        <v>0.07</v>
      </c>
    </row>
    <row r="324" spans="1:23" ht="12.75">
      <c r="A324">
        <f>ROW()</f>
        <v>324</v>
      </c>
      <c r="B324" t="str">
        <f>+B229</f>
        <v>Vacation Ownership and Residential</v>
      </c>
      <c r="H324" s="14"/>
      <c r="I324" s="14">
        <f>+I229/H229-1</f>
        <v>-0.28205128205128205</v>
      </c>
      <c r="J324" s="14">
        <f t="shared" si="244"/>
        <v>-0.27056277056277056</v>
      </c>
      <c r="K324" s="40">
        <f>+J324</f>
        <v>-0.27056277056277056</v>
      </c>
      <c r="M324" s="33"/>
      <c r="N324" s="8"/>
      <c r="P324" s="392">
        <f>+K324</f>
        <v>-0.27056277056277056</v>
      </c>
      <c r="Q324" s="14">
        <f>IF(CC=1,Q361,IF(CC=2,Q397,0))</f>
        <v>-0.1</v>
      </c>
      <c r="R324" s="14">
        <f aca="true" t="shared" si="245" ref="R324:V325">IF(CC=1,R361,IF(CC=2,R397,0))</f>
        <v>-0.05</v>
      </c>
      <c r="S324" s="14">
        <f t="shared" si="245"/>
        <v>0</v>
      </c>
      <c r="T324" s="14">
        <f t="shared" si="245"/>
        <v>0</v>
      </c>
      <c r="U324" s="14">
        <f t="shared" si="245"/>
        <v>0</v>
      </c>
      <c r="V324" s="14">
        <f t="shared" si="245"/>
        <v>0</v>
      </c>
      <c r="W324" s="14">
        <f>IF(CC=1,W361,IF(CC=2,W397,0))</f>
        <v>0</v>
      </c>
    </row>
    <row r="325" spans="1:23" ht="12.75">
      <c r="A325">
        <f>ROW()</f>
        <v>325</v>
      </c>
      <c r="B325" t="str">
        <f>+B230</f>
        <v>Other Revenues from Managed and Franchised Properties</v>
      </c>
      <c r="H325" s="14"/>
      <c r="I325" s="14">
        <f>+I230/H230-1</f>
        <v>0.06781045751633985</v>
      </c>
      <c r="J325" s="14">
        <f t="shared" si="244"/>
        <v>0.037107880642693214</v>
      </c>
      <c r="K325" s="40">
        <f>+J325</f>
        <v>0.037107880642693214</v>
      </c>
      <c r="M325" s="33"/>
      <c r="N325" s="8"/>
      <c r="P325" s="392">
        <f>+K325</f>
        <v>0.037107880642693214</v>
      </c>
      <c r="Q325" s="14">
        <f>IF(CC=1,Q362,IF(CC=2,Q398,0))</f>
        <v>0.04</v>
      </c>
      <c r="R325" s="14">
        <f t="shared" si="245"/>
        <v>0.04</v>
      </c>
      <c r="S325" s="14">
        <f t="shared" si="245"/>
        <v>0.04</v>
      </c>
      <c r="T325" s="14">
        <f t="shared" si="245"/>
        <v>0.04</v>
      </c>
      <c r="U325" s="14">
        <f t="shared" si="245"/>
        <v>0.04</v>
      </c>
      <c r="V325" s="14">
        <f t="shared" si="245"/>
        <v>0.04</v>
      </c>
      <c r="W325" s="14">
        <f>IF(CC=1,W362,IF(CC=2,W398,0))</f>
        <v>0.04</v>
      </c>
    </row>
    <row r="326" spans="1:16" ht="12">
      <c r="A326">
        <f>ROW()</f>
        <v>326</v>
      </c>
      <c r="P326" s="43"/>
    </row>
    <row r="327" spans="1:16" ht="12.75">
      <c r="A327">
        <f>ROW()</f>
        <v>327</v>
      </c>
      <c r="B327" s="2" t="s">
        <v>124</v>
      </c>
      <c r="P327" s="43"/>
    </row>
    <row r="328" spans="1:23" ht="12">
      <c r="A328">
        <f>ROW()</f>
        <v>328</v>
      </c>
      <c r="B328" t="str">
        <f>+B227</f>
        <v>Owned, Leased and Consolidated Joint Venture Hotels</v>
      </c>
      <c r="P328" s="42">
        <f>+P234/P227</f>
        <v>0.2444841012329656</v>
      </c>
      <c r="Q328" s="14">
        <f aca="true" t="shared" si="246" ref="Q328:W328">+P328</f>
        <v>0.2444841012329656</v>
      </c>
      <c r="R328" s="14">
        <f t="shared" si="246"/>
        <v>0.2444841012329656</v>
      </c>
      <c r="S328" s="14">
        <f t="shared" si="246"/>
        <v>0.2444841012329656</v>
      </c>
      <c r="T328" s="14">
        <f t="shared" si="246"/>
        <v>0.2444841012329656</v>
      </c>
      <c r="U328" s="14">
        <f t="shared" si="246"/>
        <v>0.2444841012329656</v>
      </c>
      <c r="V328" s="14">
        <f t="shared" si="246"/>
        <v>0.2444841012329656</v>
      </c>
      <c r="W328" s="14">
        <f t="shared" si="246"/>
        <v>0.2444841012329656</v>
      </c>
    </row>
    <row r="329" spans="1:23" ht="12">
      <c r="A329">
        <f>ROW()</f>
        <v>329</v>
      </c>
      <c r="B329" t="str">
        <f>+B228</f>
        <v>Management Fees, Franchise Fees and Other Income</v>
      </c>
      <c r="P329" s="42">
        <f>+P235/P228</f>
        <v>0.3564333017975402</v>
      </c>
      <c r="Q329" s="14">
        <f aca="true" t="shared" si="247" ref="Q329:W329">+P329</f>
        <v>0.3564333017975402</v>
      </c>
      <c r="R329" s="14">
        <f t="shared" si="247"/>
        <v>0.3564333017975402</v>
      </c>
      <c r="S329" s="14">
        <f t="shared" si="247"/>
        <v>0.3564333017975402</v>
      </c>
      <c r="T329" s="14">
        <f t="shared" si="247"/>
        <v>0.3564333017975402</v>
      </c>
      <c r="U329" s="14">
        <f t="shared" si="247"/>
        <v>0.3564333017975402</v>
      </c>
      <c r="V329" s="14">
        <f t="shared" si="247"/>
        <v>0.3564333017975402</v>
      </c>
      <c r="W329" s="14">
        <f t="shared" si="247"/>
        <v>0.3564333017975402</v>
      </c>
    </row>
    <row r="330" spans="1:23" ht="12">
      <c r="A330">
        <f>ROW()</f>
        <v>330</v>
      </c>
      <c r="B330" t="str">
        <f>+B229</f>
        <v>Vacation Ownership and Residential</v>
      </c>
      <c r="P330" s="42">
        <f>+P236/P229</f>
        <v>0.5589762611275965</v>
      </c>
      <c r="Q330" s="14">
        <f aca="true" t="shared" si="248" ref="Q330:W330">+P330</f>
        <v>0.5589762611275965</v>
      </c>
      <c r="R330" s="14">
        <f t="shared" si="248"/>
        <v>0.5589762611275965</v>
      </c>
      <c r="S330" s="14">
        <f t="shared" si="248"/>
        <v>0.5589762611275965</v>
      </c>
      <c r="T330" s="14">
        <f t="shared" si="248"/>
        <v>0.5589762611275965</v>
      </c>
      <c r="U330" s="14">
        <f t="shared" si="248"/>
        <v>0.5589762611275965</v>
      </c>
      <c r="V330" s="14">
        <f t="shared" si="248"/>
        <v>0.5589762611275965</v>
      </c>
      <c r="W330" s="14">
        <f t="shared" si="248"/>
        <v>0.5589762611275965</v>
      </c>
    </row>
    <row r="331" spans="1:23" ht="12">
      <c r="A331">
        <f>ROW()</f>
        <v>331</v>
      </c>
      <c r="B331" t="str">
        <f>+B230</f>
        <v>Other Revenues from Managed and Franchised Properties</v>
      </c>
      <c r="P331" s="42">
        <f>+P237/P230</f>
        <v>0.13897085946145335</v>
      </c>
      <c r="Q331" s="14">
        <f aca="true" t="shared" si="249" ref="Q331:W331">+P331</f>
        <v>0.13897085946145335</v>
      </c>
      <c r="R331" s="14">
        <f t="shared" si="249"/>
        <v>0.13897085946145335</v>
      </c>
      <c r="S331" s="14">
        <f t="shared" si="249"/>
        <v>0.13897085946145335</v>
      </c>
      <c r="T331" s="14">
        <f t="shared" si="249"/>
        <v>0.13897085946145335</v>
      </c>
      <c r="U331" s="14">
        <f t="shared" si="249"/>
        <v>0.13897085946145335</v>
      </c>
      <c r="V331" s="14">
        <f t="shared" si="249"/>
        <v>0.13897085946145335</v>
      </c>
      <c r="W331" s="14">
        <f t="shared" si="249"/>
        <v>0.13897085946145335</v>
      </c>
    </row>
    <row r="332" spans="1:23" ht="12">
      <c r="A332">
        <f>ROW()</f>
        <v>332</v>
      </c>
      <c r="P332" s="42"/>
      <c r="Q332" s="14"/>
      <c r="R332" s="14"/>
      <c r="S332" s="14"/>
      <c r="T332" s="14"/>
      <c r="U332" s="14"/>
      <c r="V332" s="14"/>
      <c r="W332" s="14"/>
    </row>
    <row r="333" spans="1:23" ht="12.75">
      <c r="A333">
        <f>ROW()</f>
        <v>333</v>
      </c>
      <c r="B333" s="2" t="s">
        <v>125</v>
      </c>
      <c r="C333" s="48">
        <f>+C124/C117</f>
        <v>0.4972104502443408</v>
      </c>
      <c r="D333" s="48">
        <f aca="true" t="shared" si="250" ref="D333:K333">+D124/D117</f>
        <v>0.5253198065183542</v>
      </c>
      <c r="E333" s="48">
        <f t="shared" si="250"/>
        <v>0.6245741056218058</v>
      </c>
      <c r="F333" s="48">
        <f t="shared" si="250"/>
        <v>0.5267205679353185</v>
      </c>
      <c r="G333" s="48">
        <f t="shared" si="250"/>
        <v>0.5376955903271693</v>
      </c>
      <c r="H333" s="48">
        <f t="shared" si="250"/>
        <v>0.48362600854295207</v>
      </c>
      <c r="I333" s="48">
        <f t="shared" si="250"/>
        <v>0.534096484055601</v>
      </c>
      <c r="J333" s="48">
        <f t="shared" si="250"/>
        <v>0.5669396623767341</v>
      </c>
      <c r="K333" s="48">
        <f t="shared" si="250"/>
        <v>0.5669396623767341</v>
      </c>
      <c r="P333" s="42">
        <f>+P124/P117</f>
        <v>0.5669396623767341</v>
      </c>
      <c r="Q333" s="14">
        <f aca="true" t="shared" si="251" ref="Q333:W333">+P333</f>
        <v>0.5669396623767341</v>
      </c>
      <c r="R333" s="14">
        <f t="shared" si="251"/>
        <v>0.5669396623767341</v>
      </c>
      <c r="S333" s="14">
        <f t="shared" si="251"/>
        <v>0.5669396623767341</v>
      </c>
      <c r="T333" s="14">
        <f t="shared" si="251"/>
        <v>0.5669396623767341</v>
      </c>
      <c r="U333" s="14">
        <f t="shared" si="251"/>
        <v>0.5669396623767341</v>
      </c>
      <c r="V333" s="14">
        <f t="shared" si="251"/>
        <v>0.5669396623767341</v>
      </c>
      <c r="W333" s="14">
        <f t="shared" si="251"/>
        <v>0.5669396623767341</v>
      </c>
    </row>
    <row r="334" spans="1:23" ht="12">
      <c r="A334">
        <f>ROW()</f>
        <v>334</v>
      </c>
      <c r="P334" s="42"/>
      <c r="Q334" s="14"/>
      <c r="R334" s="14"/>
      <c r="S334" s="14"/>
      <c r="T334" s="14"/>
      <c r="U334" s="14"/>
      <c r="V334" s="14"/>
      <c r="W334" s="14"/>
    </row>
    <row r="335" spans="1:23" ht="12">
      <c r="A335">
        <f>ROW()</f>
        <v>335</v>
      </c>
      <c r="B335" t="s">
        <v>126</v>
      </c>
      <c r="C335" s="48">
        <f>+C172/C117</f>
        <v>0.03721761742239558</v>
      </c>
      <c r="D335" s="48">
        <f aca="true" t="shared" si="252" ref="D335:K335">+D172/D117</f>
        <v>0.041476214660572205</v>
      </c>
      <c r="E335" s="48">
        <f t="shared" si="252"/>
        <v>0.05217206132879046</v>
      </c>
      <c r="F335" s="48">
        <f t="shared" si="252"/>
        <v>0.04279234864918162</v>
      </c>
      <c r="G335" s="48">
        <f t="shared" si="252"/>
        <v>0.03360597439544808</v>
      </c>
      <c r="H335" s="48">
        <f t="shared" si="252"/>
        <v>0.026894478721721248</v>
      </c>
      <c r="I335" s="48">
        <f t="shared" si="252"/>
        <v>0.029599345870809486</v>
      </c>
      <c r="J335" s="48">
        <f t="shared" si="252"/>
        <v>0.03359518636135718</v>
      </c>
      <c r="K335" s="48">
        <f t="shared" si="252"/>
        <v>0.03359518636135718</v>
      </c>
      <c r="P335" s="42">
        <f>+K172/K117</f>
        <v>0.03359518636135718</v>
      </c>
      <c r="Q335" s="14">
        <f aca="true" t="shared" si="253" ref="Q335:W335">+P335</f>
        <v>0.03359518636135718</v>
      </c>
      <c r="R335" s="14">
        <f t="shared" si="253"/>
        <v>0.03359518636135718</v>
      </c>
      <c r="S335" s="14">
        <f t="shared" si="253"/>
        <v>0.03359518636135718</v>
      </c>
      <c r="T335" s="14">
        <f t="shared" si="253"/>
        <v>0.03359518636135718</v>
      </c>
      <c r="U335" s="14">
        <f t="shared" si="253"/>
        <v>0.03359518636135718</v>
      </c>
      <c r="V335" s="14">
        <f t="shared" si="253"/>
        <v>0.03359518636135718</v>
      </c>
      <c r="W335" s="14">
        <f t="shared" si="253"/>
        <v>0.03359518636135718</v>
      </c>
    </row>
    <row r="336" spans="1:23" ht="12">
      <c r="A336">
        <f>ROW()</f>
        <v>336</v>
      </c>
      <c r="B336" t="s">
        <v>128</v>
      </c>
      <c r="C336" s="48">
        <f>+C128/C117</f>
        <v>0</v>
      </c>
      <c r="D336" s="48">
        <f aca="true" t="shared" si="254" ref="D336:K336">+D128/D117</f>
        <v>0</v>
      </c>
      <c r="E336" s="48">
        <f t="shared" si="254"/>
        <v>0</v>
      </c>
      <c r="F336" s="48">
        <f t="shared" si="254"/>
        <v>0</v>
      </c>
      <c r="G336" s="48">
        <f t="shared" si="254"/>
        <v>0</v>
      </c>
      <c r="H336" s="48">
        <f t="shared" si="254"/>
        <v>0</v>
      </c>
      <c r="I336" s="48">
        <f t="shared" si="254"/>
        <v>0</v>
      </c>
      <c r="J336" s="48">
        <f t="shared" si="254"/>
        <v>0</v>
      </c>
      <c r="K336" s="48">
        <f t="shared" si="254"/>
        <v>0</v>
      </c>
      <c r="P336" s="43"/>
      <c r="Q336" s="14">
        <f aca="true" t="shared" si="255" ref="Q336:V339">IF(CC=1,Q373,IF(CC=2,Q409,0))</f>
        <v>0</v>
      </c>
      <c r="R336" s="14">
        <f t="shared" si="255"/>
        <v>0</v>
      </c>
      <c r="S336" s="14">
        <f t="shared" si="255"/>
        <v>0</v>
      </c>
      <c r="T336" s="14">
        <f t="shared" si="255"/>
        <v>0</v>
      </c>
      <c r="U336" s="14">
        <f t="shared" si="255"/>
        <v>0</v>
      </c>
      <c r="V336" s="14">
        <f t="shared" si="255"/>
        <v>0</v>
      </c>
      <c r="W336" s="14">
        <f>IF(CC=1,W373,IF(CC=2,W409,0))</f>
        <v>0</v>
      </c>
    </row>
    <row r="337" spans="1:23" ht="12">
      <c r="A337">
        <f>ROW()</f>
        <v>337</v>
      </c>
      <c r="B337" t="s">
        <v>165</v>
      </c>
      <c r="C337" s="48">
        <f>+C129/C117</f>
        <v>0.006988460913375589</v>
      </c>
      <c r="D337" s="48">
        <f aca="true" t="shared" si="256" ref="D337:K337">+D129/D117</f>
        <v>-0.013373963094633486</v>
      </c>
      <c r="E337" s="48">
        <f t="shared" si="256"/>
        <v>-0.004684838160136286</v>
      </c>
      <c r="F337" s="48">
        <f t="shared" si="256"/>
        <v>-0.004338394793926247</v>
      </c>
      <c r="G337" s="48">
        <f t="shared" si="256"/>
        <v>-0.0039118065433854906</v>
      </c>
      <c r="H337" s="48">
        <f t="shared" si="256"/>
        <v>-0.0034804619522227497</v>
      </c>
      <c r="I337" s="48">
        <f t="shared" si="256"/>
        <v>-0.004742436631234669</v>
      </c>
      <c r="J337" s="48">
        <f t="shared" si="256"/>
        <v>0</v>
      </c>
      <c r="K337" s="48">
        <f t="shared" si="256"/>
        <v>0</v>
      </c>
      <c r="P337" s="43"/>
      <c r="Q337" s="14">
        <f t="shared" si="255"/>
        <v>0</v>
      </c>
      <c r="R337" s="14">
        <f t="shared" si="255"/>
        <v>0</v>
      </c>
      <c r="S337" s="14">
        <f t="shared" si="255"/>
        <v>0</v>
      </c>
      <c r="T337" s="14">
        <f t="shared" si="255"/>
        <v>0</v>
      </c>
      <c r="U337" s="14">
        <f t="shared" si="255"/>
        <v>0</v>
      </c>
      <c r="V337" s="14">
        <f t="shared" si="255"/>
        <v>0</v>
      </c>
      <c r="W337" s="14">
        <f>IF(CC=1,W374,IF(CC=2,W410,0))</f>
        <v>0</v>
      </c>
    </row>
    <row r="338" spans="1:23" ht="12">
      <c r="A338">
        <f>ROW()</f>
        <v>338</v>
      </c>
      <c r="B338" t="s">
        <v>129</v>
      </c>
      <c r="C338" s="48">
        <f>+C139/C117</f>
        <v>0</v>
      </c>
      <c r="D338" s="48">
        <f aca="true" t="shared" si="257" ref="D338:K338">+D139/D117</f>
        <v>0</v>
      </c>
      <c r="E338" s="48">
        <f t="shared" si="257"/>
        <v>0</v>
      </c>
      <c r="F338" s="48">
        <f t="shared" si="257"/>
        <v>0</v>
      </c>
      <c r="G338" s="48">
        <f t="shared" si="257"/>
        <v>0</v>
      </c>
      <c r="H338" s="48">
        <f t="shared" si="257"/>
        <v>0</v>
      </c>
      <c r="I338" s="48">
        <f t="shared" si="257"/>
        <v>0</v>
      </c>
      <c r="J338" s="48">
        <f t="shared" si="257"/>
        <v>0</v>
      </c>
      <c r="K338" s="48">
        <f t="shared" si="257"/>
        <v>0</v>
      </c>
      <c r="P338" s="43"/>
      <c r="Q338" s="14">
        <f t="shared" si="255"/>
        <v>0</v>
      </c>
      <c r="R338" s="14">
        <f t="shared" si="255"/>
        <v>0</v>
      </c>
      <c r="S338" s="14">
        <f t="shared" si="255"/>
        <v>0</v>
      </c>
      <c r="T338" s="14">
        <f t="shared" si="255"/>
        <v>0</v>
      </c>
      <c r="U338" s="14">
        <f t="shared" si="255"/>
        <v>0</v>
      </c>
      <c r="V338" s="14">
        <f t="shared" si="255"/>
        <v>0</v>
      </c>
      <c r="W338" s="14">
        <f>IF(CC=1,W375,IF(CC=2,W411,0))</f>
        <v>0</v>
      </c>
    </row>
    <row r="339" spans="1:23" ht="12">
      <c r="A339">
        <f>ROW()</f>
        <v>339</v>
      </c>
      <c r="B339" t="s">
        <v>130</v>
      </c>
      <c r="C339" s="48">
        <f>+C140/C117</f>
        <v>0</v>
      </c>
      <c r="D339" s="48">
        <f aca="true" t="shared" si="258" ref="D339:K339">+D140/D117</f>
        <v>0</v>
      </c>
      <c r="E339" s="48">
        <f t="shared" si="258"/>
        <v>0</v>
      </c>
      <c r="F339" s="48">
        <f t="shared" si="258"/>
        <v>0</v>
      </c>
      <c r="G339" s="48">
        <f t="shared" si="258"/>
        <v>0</v>
      </c>
      <c r="H339" s="48">
        <f t="shared" si="258"/>
        <v>0</v>
      </c>
      <c r="I339" s="48">
        <f t="shared" si="258"/>
        <v>0</v>
      </c>
      <c r="J339" s="48">
        <f t="shared" si="258"/>
        <v>0</v>
      </c>
      <c r="K339" s="48">
        <f t="shared" si="258"/>
        <v>0</v>
      </c>
      <c r="P339" s="43"/>
      <c r="Q339" s="14">
        <f t="shared" si="255"/>
        <v>0</v>
      </c>
      <c r="R339" s="14">
        <f t="shared" si="255"/>
        <v>0</v>
      </c>
      <c r="S339" s="14">
        <f t="shared" si="255"/>
        <v>0</v>
      </c>
      <c r="T339" s="14">
        <f t="shared" si="255"/>
        <v>0</v>
      </c>
      <c r="U339" s="14">
        <f t="shared" si="255"/>
        <v>0</v>
      </c>
      <c r="V339" s="14">
        <f t="shared" si="255"/>
        <v>0</v>
      </c>
      <c r="W339" s="14">
        <f>IF(CC=1,W376,IF(CC=2,W412,0))</f>
        <v>0</v>
      </c>
    </row>
    <row r="340" spans="1:16" ht="12">
      <c r="A340">
        <f>ROW()</f>
        <v>340</v>
      </c>
      <c r="P340" s="43"/>
    </row>
    <row r="341" spans="1:23" ht="12">
      <c r="A341">
        <f>ROW()</f>
        <v>341</v>
      </c>
      <c r="B341" t="s">
        <v>204</v>
      </c>
      <c r="P341" s="43"/>
      <c r="Q341" s="11">
        <f aca="true" t="shared" si="259" ref="Q341:V342">IF(CC=1,Q378,IF(CC=2,Q414,0))</f>
        <v>0</v>
      </c>
      <c r="R341" s="11">
        <f t="shared" si="259"/>
        <v>0</v>
      </c>
      <c r="S341" s="11">
        <f t="shared" si="259"/>
        <v>0</v>
      </c>
      <c r="T341" s="11">
        <f t="shared" si="259"/>
        <v>0</v>
      </c>
      <c r="U341" s="11">
        <f t="shared" si="259"/>
        <v>0</v>
      </c>
      <c r="V341" s="11">
        <f t="shared" si="259"/>
        <v>0</v>
      </c>
      <c r="W341" s="11">
        <f>IF(CC=1,W378,IF(CC=2,W414,0))</f>
        <v>0</v>
      </c>
    </row>
    <row r="342" spans="1:23" ht="12">
      <c r="A342">
        <f>ROW()</f>
        <v>342</v>
      </c>
      <c r="B342" t="s">
        <v>205</v>
      </c>
      <c r="P342" s="43"/>
      <c r="Q342" s="11">
        <f t="shared" si="259"/>
        <v>0</v>
      </c>
      <c r="R342" s="11">
        <f t="shared" si="259"/>
        <v>0</v>
      </c>
      <c r="S342" s="11">
        <f t="shared" si="259"/>
        <v>0</v>
      </c>
      <c r="T342" s="11">
        <f t="shared" si="259"/>
        <v>0</v>
      </c>
      <c r="U342" s="11">
        <f t="shared" si="259"/>
        <v>0</v>
      </c>
      <c r="V342" s="11">
        <f t="shared" si="259"/>
        <v>0</v>
      </c>
      <c r="W342" s="11">
        <f>IF(CC=1,W379,IF(CC=2,W415,0))</f>
        <v>0</v>
      </c>
    </row>
    <row r="343" spans="1:16" ht="12">
      <c r="A343">
        <f>ROW()</f>
        <v>343</v>
      </c>
      <c r="P343" s="43"/>
    </row>
    <row r="344" spans="1:23" ht="12.75">
      <c r="A344">
        <f>ROW()</f>
        <v>344</v>
      </c>
      <c r="B344" s="2" t="s">
        <v>127</v>
      </c>
      <c r="C344" s="48">
        <f>-C188/C117</f>
        <v>0.062408581179912236</v>
      </c>
      <c r="D344" s="48">
        <f aca="true" t="shared" si="260" ref="D344:K344">-D188/D117</f>
        <v>0.08058235991196885</v>
      </c>
      <c r="E344" s="48">
        <f t="shared" si="260"/>
        <v>0.041737649063032366</v>
      </c>
      <c r="F344" s="48">
        <f t="shared" si="260"/>
        <v>0.04476434628278446</v>
      </c>
      <c r="G344" s="48">
        <f t="shared" si="260"/>
        <v>0.06845661450924609</v>
      </c>
      <c r="H344" s="48">
        <f t="shared" si="260"/>
        <v>0.057269419395665246</v>
      </c>
      <c r="I344" s="48">
        <f t="shared" si="260"/>
        <v>0.05952575633687653</v>
      </c>
      <c r="J344" s="48">
        <f t="shared" si="260"/>
        <v>0.05465485542370049</v>
      </c>
      <c r="K344" s="48">
        <f t="shared" si="260"/>
        <v>0.05465485542370049</v>
      </c>
      <c r="P344" s="42">
        <f>-K188/K117</f>
        <v>0.05465485542370049</v>
      </c>
      <c r="Q344" s="14">
        <f aca="true" t="shared" si="261" ref="Q344:V345">IF(CC=1,Q381,IF(CC=2,Q417,0))</f>
        <v>0.05465485542370049</v>
      </c>
      <c r="R344" s="14">
        <f t="shared" si="261"/>
        <v>0.05465485542370049</v>
      </c>
      <c r="S344" s="14">
        <f t="shared" si="261"/>
        <v>0.05465485542370049</v>
      </c>
      <c r="T344" s="14">
        <f t="shared" si="261"/>
        <v>0.05465485542370049</v>
      </c>
      <c r="U344" s="14">
        <f t="shared" si="261"/>
        <v>0.05465485542370049</v>
      </c>
      <c r="V344" s="14">
        <f t="shared" si="261"/>
        <v>0.05465485542370049</v>
      </c>
      <c r="W344" s="14">
        <f>IF(CC=1,W381,IF(CC=2,W417,0))</f>
        <v>0.05465485542370049</v>
      </c>
    </row>
    <row r="345" spans="1:23" ht="12.75">
      <c r="A345">
        <f>ROW()</f>
        <v>345</v>
      </c>
      <c r="B345" s="2" t="s">
        <v>232</v>
      </c>
      <c r="C345" s="48">
        <f>-C189/C117</f>
        <v>-0.017552413456850317</v>
      </c>
      <c r="D345" s="48">
        <f aca="true" t="shared" si="262" ref="D345:K345">-D189/D117</f>
        <v>-0.0008464533604198408</v>
      </c>
      <c r="E345" s="48">
        <f t="shared" si="262"/>
        <v>-0.00596252129471891</v>
      </c>
      <c r="F345" s="48">
        <f t="shared" si="262"/>
        <v>-0.0035495957404851116</v>
      </c>
      <c r="G345" s="48">
        <f t="shared" si="262"/>
        <v>0.0012446657183499289</v>
      </c>
      <c r="H345" s="48">
        <f t="shared" si="262"/>
        <v>-0.00031640563202024995</v>
      </c>
      <c r="I345" s="48">
        <f t="shared" si="262"/>
        <v>-0.0009811937857726902</v>
      </c>
      <c r="J345" s="48">
        <f t="shared" si="262"/>
        <v>-0.0006685609226140733</v>
      </c>
      <c r="K345" s="48">
        <f t="shared" si="262"/>
        <v>-0.0006685609226140733</v>
      </c>
      <c r="P345" s="42">
        <f>-K189/K117</f>
        <v>-0.0006685609226140733</v>
      </c>
      <c r="Q345" s="14">
        <f t="shared" si="261"/>
        <v>0</v>
      </c>
      <c r="R345" s="14">
        <f t="shared" si="261"/>
        <v>0</v>
      </c>
      <c r="S345" s="14">
        <f t="shared" si="261"/>
        <v>0</v>
      </c>
      <c r="T345" s="14">
        <f t="shared" si="261"/>
        <v>0</v>
      </c>
      <c r="U345" s="14">
        <f t="shared" si="261"/>
        <v>0</v>
      </c>
      <c r="V345" s="14">
        <f t="shared" si="261"/>
        <v>0</v>
      </c>
      <c r="W345" s="14">
        <f>IF(CC=1,W382,IF(CC=2,W418,0))</f>
        <v>0</v>
      </c>
    </row>
    <row r="346" spans="1:23" ht="12">
      <c r="A346">
        <f>ROW()</f>
        <v>346</v>
      </c>
      <c r="P346" s="42"/>
      <c r="Q346" s="14"/>
      <c r="R346" s="14"/>
      <c r="S346" s="14"/>
      <c r="T346" s="14"/>
      <c r="U346" s="14"/>
      <c r="V346" s="14"/>
      <c r="W346" s="14"/>
    </row>
    <row r="347" spans="1:23" ht="12">
      <c r="A347">
        <f>ROW()</f>
        <v>347</v>
      </c>
      <c r="B347" t="s">
        <v>131</v>
      </c>
      <c r="C347" s="357">
        <f>+C384</f>
        <v>36.5415244596132</v>
      </c>
      <c r="D347" s="357">
        <f aca="true" t="shared" si="263" ref="D347:K347">+D384</f>
        <v>34.108684611477905</v>
      </c>
      <c r="E347" s="357">
        <f t="shared" si="263"/>
        <v>34.58794718909711</v>
      </c>
      <c r="F347" s="357">
        <f t="shared" si="263"/>
        <v>63.84440938670874</v>
      </c>
      <c r="G347" s="357">
        <f t="shared" si="263"/>
        <v>59.12428876244665</v>
      </c>
      <c r="H347" s="357">
        <f t="shared" si="263"/>
        <v>54.33713020091758</v>
      </c>
      <c r="I347" s="357">
        <f t="shared" si="263"/>
        <v>54.19787408013083</v>
      </c>
      <c r="J347" s="357">
        <f t="shared" si="263"/>
        <v>55.3326090590005</v>
      </c>
      <c r="K347" s="357">
        <f t="shared" si="263"/>
        <v>55.3326090590005</v>
      </c>
      <c r="P347" s="42"/>
      <c r="Q347" s="11">
        <f aca="true" t="shared" si="264" ref="Q347:V352">IF(CC=1,Q384,IF(CC=2,Q420,0))</f>
        <v>55.3326090590005</v>
      </c>
      <c r="R347" s="11">
        <f t="shared" si="264"/>
        <v>55.3326090590005</v>
      </c>
      <c r="S347" s="11">
        <f t="shared" si="264"/>
        <v>55.3326090590005</v>
      </c>
      <c r="T347" s="11">
        <f t="shared" si="264"/>
        <v>55.3326090590005</v>
      </c>
      <c r="U347" s="11">
        <f t="shared" si="264"/>
        <v>55.3326090590005</v>
      </c>
      <c r="V347" s="11">
        <f t="shared" si="264"/>
        <v>55.3326090590005</v>
      </c>
      <c r="W347" s="11">
        <f aca="true" t="shared" si="265" ref="W347:W352">IF(CC=1,W384,IF(CC=2,W420,0))</f>
        <v>55.3326090590005</v>
      </c>
    </row>
    <row r="348" spans="1:23" ht="12">
      <c r="A348">
        <f>ROW()</f>
        <v>348</v>
      </c>
      <c r="B348" t="s">
        <v>132</v>
      </c>
      <c r="C348" s="357">
        <f aca="true" t="shared" si="266" ref="C348:K352">+C385</f>
        <v>2.810453921073629</v>
      </c>
      <c r="D348" s="357">
        <f t="shared" si="266"/>
        <v>1.9674806317404478</v>
      </c>
      <c r="E348" s="357">
        <f t="shared" si="266"/>
        <v>1.9054916985951469</v>
      </c>
      <c r="F348" s="357">
        <f t="shared" si="266"/>
        <v>1.9738154613466334</v>
      </c>
      <c r="G348" s="357">
        <f t="shared" si="266"/>
        <v>2.1933497536945814</v>
      </c>
      <c r="H348" s="357">
        <f t="shared" si="266"/>
        <v>6.044321329639889</v>
      </c>
      <c r="I348" s="357">
        <f t="shared" si="266"/>
        <v>8.03225806451613</v>
      </c>
      <c r="J348" s="357">
        <f t="shared" si="266"/>
        <v>6.385593220338983</v>
      </c>
      <c r="K348" s="357">
        <f t="shared" si="266"/>
        <v>6.385593220338983</v>
      </c>
      <c r="P348" s="42"/>
      <c r="Q348" s="10">
        <f t="shared" si="264"/>
        <v>6.385593220338983</v>
      </c>
      <c r="R348" s="10">
        <f t="shared" si="264"/>
        <v>6.385593220338983</v>
      </c>
      <c r="S348" s="10">
        <f t="shared" si="264"/>
        <v>6.385593220338983</v>
      </c>
      <c r="T348" s="10">
        <f t="shared" si="264"/>
        <v>6.385593220338983</v>
      </c>
      <c r="U348" s="10">
        <f t="shared" si="264"/>
        <v>6.385593220338983</v>
      </c>
      <c r="V348" s="10">
        <f t="shared" si="264"/>
        <v>6.385593220338983</v>
      </c>
      <c r="W348" s="10">
        <f t="shared" si="265"/>
        <v>6.385593220338983</v>
      </c>
    </row>
    <row r="349" spans="1:23" ht="12">
      <c r="A349">
        <f>ROW()</f>
        <v>349</v>
      </c>
      <c r="B349" t="s">
        <v>166</v>
      </c>
      <c r="C349" s="48">
        <f t="shared" si="266"/>
        <v>0.022103039167885585</v>
      </c>
      <c r="D349" s="48">
        <f t="shared" si="266"/>
        <v>0.024208566108007448</v>
      </c>
      <c r="E349" s="48">
        <f t="shared" si="266"/>
        <v>0.027044293015332198</v>
      </c>
      <c r="F349" s="48">
        <f t="shared" si="266"/>
        <v>0.02484717018339578</v>
      </c>
      <c r="G349" s="48">
        <f t="shared" si="266"/>
        <v>0.022226173541963015</v>
      </c>
      <c r="H349" s="48">
        <f t="shared" si="266"/>
        <v>0.0196171491852555</v>
      </c>
      <c r="I349" s="48">
        <f t="shared" si="266"/>
        <v>0.019787408013082583</v>
      </c>
      <c r="J349" s="48">
        <f t="shared" si="266"/>
        <v>0.02657529667390941</v>
      </c>
      <c r="K349" s="48">
        <f t="shared" si="266"/>
        <v>0.02657529667390941</v>
      </c>
      <c r="P349" s="42"/>
      <c r="Q349" s="14">
        <f t="shared" si="264"/>
        <v>0.02657529667390941</v>
      </c>
      <c r="R349" s="14">
        <f t="shared" si="264"/>
        <v>0.02657529667390941</v>
      </c>
      <c r="S349" s="14">
        <f t="shared" si="264"/>
        <v>0.02657529667390941</v>
      </c>
      <c r="T349" s="14">
        <f t="shared" si="264"/>
        <v>0.02657529667390941</v>
      </c>
      <c r="U349" s="14">
        <f t="shared" si="264"/>
        <v>0.02657529667390941</v>
      </c>
      <c r="V349" s="14">
        <f t="shared" si="264"/>
        <v>0.02657529667390941</v>
      </c>
      <c r="W349" s="14">
        <f t="shared" si="265"/>
        <v>0.02657529667390941</v>
      </c>
    </row>
    <row r="350" spans="1:23" ht="12">
      <c r="A350">
        <f>ROW()</f>
        <v>350</v>
      </c>
      <c r="B350" t="s">
        <v>167</v>
      </c>
      <c r="C350" s="357">
        <f t="shared" si="266"/>
        <v>381.2496571472747</v>
      </c>
      <c r="D350" s="357">
        <f t="shared" si="266"/>
        <v>410.54449212008996</v>
      </c>
      <c r="E350" s="357">
        <f t="shared" si="266"/>
        <v>494.6581769436997</v>
      </c>
      <c r="F350" s="357">
        <f t="shared" si="266"/>
        <v>467.8363866077069</v>
      </c>
      <c r="G350" s="357">
        <f t="shared" si="266"/>
        <v>380.985401459854</v>
      </c>
      <c r="H350" s="357">
        <f t="shared" si="266"/>
        <v>311.8056828597617</v>
      </c>
      <c r="I350" s="357">
        <f t="shared" si="266"/>
        <v>382.1715433161216</v>
      </c>
      <c r="J350" s="357">
        <f t="shared" si="266"/>
        <v>503.7823490378235</v>
      </c>
      <c r="K350" s="357">
        <f t="shared" si="266"/>
        <v>503.7823490378235</v>
      </c>
      <c r="P350" s="42"/>
      <c r="Q350" s="11">
        <f t="shared" si="264"/>
        <v>503.7823490378235</v>
      </c>
      <c r="R350" s="11">
        <f t="shared" si="264"/>
        <v>503.7823490378235</v>
      </c>
      <c r="S350" s="11">
        <f t="shared" si="264"/>
        <v>503.7823490378235</v>
      </c>
      <c r="T350" s="11">
        <f t="shared" si="264"/>
        <v>503.7823490378235</v>
      </c>
      <c r="U350" s="11">
        <f t="shared" si="264"/>
        <v>503.7823490378235</v>
      </c>
      <c r="V350" s="11">
        <f t="shared" si="264"/>
        <v>503.7823490378235</v>
      </c>
      <c r="W350" s="11">
        <f t="shared" si="265"/>
        <v>503.7823490378235</v>
      </c>
    </row>
    <row r="351" spans="1:23" ht="12">
      <c r="A351">
        <f>ROW()</f>
        <v>351</v>
      </c>
      <c r="B351" t="s">
        <v>133</v>
      </c>
      <c r="C351" s="48">
        <f t="shared" si="266"/>
        <v>0</v>
      </c>
      <c r="D351" s="48">
        <f t="shared" si="266"/>
        <v>0</v>
      </c>
      <c r="E351" s="48">
        <f t="shared" si="266"/>
        <v>0</v>
      </c>
      <c r="F351" s="48">
        <f t="shared" si="266"/>
        <v>0</v>
      </c>
      <c r="G351" s="48">
        <f t="shared" si="266"/>
        <v>0</v>
      </c>
      <c r="H351" s="48">
        <f t="shared" si="266"/>
        <v>0</v>
      </c>
      <c r="I351" s="48">
        <f t="shared" si="266"/>
        <v>0</v>
      </c>
      <c r="J351" s="48">
        <f t="shared" si="266"/>
        <v>0</v>
      </c>
      <c r="K351" s="48">
        <f t="shared" si="266"/>
        <v>0</v>
      </c>
      <c r="P351" s="42"/>
      <c r="Q351" s="14">
        <f t="shared" si="264"/>
        <v>0</v>
      </c>
      <c r="R351" s="14">
        <f t="shared" si="264"/>
        <v>0</v>
      </c>
      <c r="S351" s="14">
        <f t="shared" si="264"/>
        <v>0</v>
      </c>
      <c r="T351" s="14">
        <f t="shared" si="264"/>
        <v>0</v>
      </c>
      <c r="U351" s="14">
        <f t="shared" si="264"/>
        <v>0</v>
      </c>
      <c r="V351" s="14">
        <f t="shared" si="264"/>
        <v>0</v>
      </c>
      <c r="W351" s="14">
        <f t="shared" si="265"/>
        <v>0</v>
      </c>
    </row>
    <row r="352" spans="1:23" ht="12">
      <c r="A352">
        <f>ROW()</f>
        <v>352</v>
      </c>
      <c r="B352" t="s">
        <v>134</v>
      </c>
      <c r="C352" s="48">
        <f t="shared" si="266"/>
        <v>0</v>
      </c>
      <c r="D352" s="48">
        <f t="shared" si="266"/>
        <v>0</v>
      </c>
      <c r="E352" s="48">
        <f t="shared" si="266"/>
        <v>0</v>
      </c>
      <c r="F352" s="48">
        <f t="shared" si="266"/>
        <v>0</v>
      </c>
      <c r="G352" s="48">
        <f t="shared" si="266"/>
        <v>0</v>
      </c>
      <c r="H352" s="48">
        <f t="shared" si="266"/>
        <v>0</v>
      </c>
      <c r="I352" s="48">
        <f t="shared" si="266"/>
        <v>0</v>
      </c>
      <c r="J352" s="48">
        <f t="shared" si="266"/>
        <v>0</v>
      </c>
      <c r="K352" s="48">
        <f t="shared" si="266"/>
        <v>0</v>
      </c>
      <c r="P352" s="42"/>
      <c r="Q352" s="14">
        <f t="shared" si="264"/>
        <v>0</v>
      </c>
      <c r="R352" s="14">
        <f t="shared" si="264"/>
        <v>0</v>
      </c>
      <c r="S352" s="14">
        <f t="shared" si="264"/>
        <v>0</v>
      </c>
      <c r="T352" s="14">
        <f t="shared" si="264"/>
        <v>0</v>
      </c>
      <c r="U352" s="14">
        <f t="shared" si="264"/>
        <v>0</v>
      </c>
      <c r="V352" s="14">
        <f t="shared" si="264"/>
        <v>0</v>
      </c>
      <c r="W352" s="14">
        <f t="shared" si="265"/>
        <v>0</v>
      </c>
    </row>
    <row r="354" ht="12.75" thickBot="1"/>
    <row r="355" spans="2:23" ht="18">
      <c r="B355" s="137" t="s">
        <v>184</v>
      </c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9"/>
      <c r="W355" s="139"/>
    </row>
    <row r="356" spans="2:23" ht="24.75">
      <c r="B356" s="140" t="str">
        <f>+Y4</f>
        <v>Base Case</v>
      </c>
      <c r="C356" s="141" t="s">
        <v>27</v>
      </c>
      <c r="D356" s="141"/>
      <c r="E356" s="141"/>
      <c r="F356" s="141"/>
      <c r="G356" s="141"/>
      <c r="H356" s="141"/>
      <c r="I356" s="141"/>
      <c r="J356" s="141"/>
      <c r="K356" s="141"/>
      <c r="L356" s="142"/>
      <c r="M356" s="142"/>
      <c r="N356" s="141"/>
      <c r="O356" s="141"/>
      <c r="P356" s="141" t="s">
        <v>28</v>
      </c>
      <c r="Q356" s="141"/>
      <c r="R356" s="141"/>
      <c r="S356" s="141"/>
      <c r="T356" s="141"/>
      <c r="U356" s="141"/>
      <c r="V356" s="141"/>
      <c r="W356" s="381"/>
    </row>
    <row r="357" spans="2:23" ht="13.5" thickBot="1">
      <c r="B357" s="143"/>
      <c r="C357" s="130">
        <f>+C59</f>
        <v>39447</v>
      </c>
      <c r="D357" s="130">
        <f aca="true" t="shared" si="267" ref="D357:I357">+D59</f>
        <v>39813</v>
      </c>
      <c r="E357" s="130">
        <f t="shared" si="267"/>
        <v>40178</v>
      </c>
      <c r="F357" s="130">
        <f t="shared" si="267"/>
        <v>40543</v>
      </c>
      <c r="G357" s="130">
        <f t="shared" si="267"/>
        <v>40908</v>
      </c>
      <c r="H357" s="130">
        <f t="shared" si="267"/>
        <v>41274</v>
      </c>
      <c r="I357" s="130">
        <f t="shared" si="267"/>
        <v>41639</v>
      </c>
      <c r="J357" s="130">
        <f>+$J$59</f>
        <v>42004</v>
      </c>
      <c r="K357" s="130">
        <f>+$K$59</f>
        <v>42004</v>
      </c>
      <c r="L357" s="141"/>
      <c r="M357" s="142"/>
      <c r="N357" s="141"/>
      <c r="O357" s="141"/>
      <c r="P357" s="131">
        <f>+K357</f>
        <v>42004</v>
      </c>
      <c r="Q357" s="130">
        <f aca="true" t="shared" si="268" ref="Q357:V357">+Q320</f>
        <v>42369</v>
      </c>
      <c r="R357" s="130">
        <f t="shared" si="268"/>
        <v>42734</v>
      </c>
      <c r="S357" s="130">
        <f t="shared" si="268"/>
        <v>43099</v>
      </c>
      <c r="T357" s="130">
        <f t="shared" si="268"/>
        <v>43464</v>
      </c>
      <c r="U357" s="130">
        <f t="shared" si="268"/>
        <v>43829</v>
      </c>
      <c r="V357" s="130">
        <f t="shared" si="268"/>
        <v>44194</v>
      </c>
      <c r="W357" s="131">
        <f>+W320</f>
        <v>44559</v>
      </c>
    </row>
    <row r="358" spans="1:23" ht="12.75">
      <c r="A358">
        <f>ROW()</f>
        <v>358</v>
      </c>
      <c r="B358" s="143" t="str">
        <f>+B321</f>
        <v>Revenue Growth</v>
      </c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2"/>
      <c r="N358" s="141"/>
      <c r="O358" s="144"/>
      <c r="P358" s="201"/>
      <c r="Q358" s="144"/>
      <c r="R358" s="144"/>
      <c r="S358" s="144"/>
      <c r="T358" s="144"/>
      <c r="U358" s="144"/>
      <c r="V358" s="144"/>
      <c r="W358" s="201"/>
    </row>
    <row r="359" spans="1:23" ht="12.75">
      <c r="A359">
        <f>ROW()</f>
        <v>359</v>
      </c>
      <c r="B359" s="143" t="str">
        <f>+B322</f>
        <v>Owned, Leased and Consolidated Joint Venture Hotels</v>
      </c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2"/>
      <c r="N359" s="141"/>
      <c r="O359" s="144"/>
      <c r="P359" s="203">
        <f>+P322</f>
        <v>-0.044044665012407</v>
      </c>
      <c r="Q359" s="145">
        <v>-0.02</v>
      </c>
      <c r="R359" s="145">
        <v>0</v>
      </c>
      <c r="S359" s="145">
        <v>0.02</v>
      </c>
      <c r="T359" s="145">
        <v>0.03</v>
      </c>
      <c r="U359" s="145">
        <f aca="true" t="shared" si="269" ref="R359:W362">+T359</f>
        <v>0.03</v>
      </c>
      <c r="V359" s="145">
        <f t="shared" si="269"/>
        <v>0.03</v>
      </c>
      <c r="W359" s="202">
        <f t="shared" si="269"/>
        <v>0.03</v>
      </c>
    </row>
    <row r="360" spans="1:23" ht="12.75">
      <c r="A360">
        <f>ROW()</f>
        <v>360</v>
      </c>
      <c r="B360" s="143" t="str">
        <f>+B323</f>
        <v>Management Fees, Franchise Fees and Other Income</v>
      </c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2"/>
      <c r="N360" s="141"/>
      <c r="O360" s="144"/>
      <c r="P360" s="203">
        <f>+P323</f>
        <v>0.09533678756476682</v>
      </c>
      <c r="Q360" s="145">
        <v>0.1</v>
      </c>
      <c r="R360" s="145">
        <v>0.14</v>
      </c>
      <c r="S360" s="145">
        <v>0.12</v>
      </c>
      <c r="T360" s="145">
        <v>0.1</v>
      </c>
      <c r="U360" s="145">
        <v>0.07</v>
      </c>
      <c r="V360" s="145">
        <f t="shared" si="269"/>
        <v>0.07</v>
      </c>
      <c r="W360" s="202">
        <f t="shared" si="269"/>
        <v>0.07</v>
      </c>
    </row>
    <row r="361" spans="1:23" ht="12.75">
      <c r="A361">
        <f>ROW()</f>
        <v>361</v>
      </c>
      <c r="B361" s="143" t="str">
        <f>+B324</f>
        <v>Vacation Ownership and Residential</v>
      </c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2"/>
      <c r="N361" s="141"/>
      <c r="O361" s="144"/>
      <c r="P361" s="203">
        <f>+P324</f>
        <v>-0.27056277056277056</v>
      </c>
      <c r="Q361" s="145">
        <v>-0.1</v>
      </c>
      <c r="R361" s="145">
        <v>-0.05</v>
      </c>
      <c r="S361" s="145">
        <v>0</v>
      </c>
      <c r="T361" s="145">
        <f t="shared" si="269"/>
        <v>0</v>
      </c>
      <c r="U361" s="145">
        <f t="shared" si="269"/>
        <v>0</v>
      </c>
      <c r="V361" s="145">
        <f t="shared" si="269"/>
        <v>0</v>
      </c>
      <c r="W361" s="202">
        <f t="shared" si="269"/>
        <v>0</v>
      </c>
    </row>
    <row r="362" spans="1:23" ht="12.75">
      <c r="A362">
        <f>ROW()</f>
        <v>362</v>
      </c>
      <c r="B362" s="143" t="str">
        <f>+B325</f>
        <v>Other Revenues from Managed and Franchised Properties</v>
      </c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2"/>
      <c r="N362" s="141"/>
      <c r="O362" s="144"/>
      <c r="P362" s="203">
        <f>+P325</f>
        <v>0.037107880642693214</v>
      </c>
      <c r="Q362" s="145">
        <v>0.04</v>
      </c>
      <c r="R362" s="145">
        <f t="shared" si="269"/>
        <v>0.04</v>
      </c>
      <c r="S362" s="145">
        <f t="shared" si="269"/>
        <v>0.04</v>
      </c>
      <c r="T362" s="145">
        <f t="shared" si="269"/>
        <v>0.04</v>
      </c>
      <c r="U362" s="145">
        <f t="shared" si="269"/>
        <v>0.04</v>
      </c>
      <c r="V362" s="145">
        <f t="shared" si="269"/>
        <v>0.04</v>
      </c>
      <c r="W362" s="202">
        <f t="shared" si="269"/>
        <v>0.04</v>
      </c>
    </row>
    <row r="363" spans="1:23" ht="12.75">
      <c r="A363">
        <f>ROW()</f>
        <v>363</v>
      </c>
      <c r="B363" s="143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203"/>
      <c r="Q363" s="232"/>
      <c r="R363" s="232"/>
      <c r="S363" s="232"/>
      <c r="T363" s="232"/>
      <c r="U363" s="232"/>
      <c r="V363" s="232"/>
      <c r="W363" s="203"/>
    </row>
    <row r="364" spans="1:23" ht="12.75">
      <c r="A364">
        <f>ROW()</f>
        <v>364</v>
      </c>
      <c r="B364" s="143" t="str">
        <f>+B327</f>
        <v>Cost of Good as % of Sales</v>
      </c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203"/>
      <c r="Q364" s="232"/>
      <c r="R364" s="232"/>
      <c r="S364" s="232"/>
      <c r="T364" s="232"/>
      <c r="U364" s="232"/>
      <c r="V364" s="232"/>
      <c r="W364" s="203"/>
    </row>
    <row r="365" spans="1:23" ht="12.75">
      <c r="A365">
        <f>ROW()</f>
        <v>365</v>
      </c>
      <c r="B365" s="143" t="str">
        <f>+B328</f>
        <v>Owned, Leased and Consolidated Joint Venture Hotels</v>
      </c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202">
        <f>+P234/P227</f>
        <v>0.2444841012329656</v>
      </c>
      <c r="Q365" s="145">
        <f>+P365</f>
        <v>0.2444841012329656</v>
      </c>
      <c r="R365" s="145">
        <f aca="true" t="shared" si="270" ref="R365:W365">+Q365</f>
        <v>0.2444841012329656</v>
      </c>
      <c r="S365" s="145">
        <f t="shared" si="270"/>
        <v>0.2444841012329656</v>
      </c>
      <c r="T365" s="145">
        <f t="shared" si="270"/>
        <v>0.2444841012329656</v>
      </c>
      <c r="U365" s="145">
        <f t="shared" si="270"/>
        <v>0.2444841012329656</v>
      </c>
      <c r="V365" s="145">
        <f t="shared" si="270"/>
        <v>0.2444841012329656</v>
      </c>
      <c r="W365" s="202">
        <f t="shared" si="270"/>
        <v>0.2444841012329656</v>
      </c>
    </row>
    <row r="366" spans="1:23" ht="12.75">
      <c r="A366">
        <f>ROW()</f>
        <v>366</v>
      </c>
      <c r="B366" s="143" t="str">
        <f>+B329</f>
        <v>Management Fees, Franchise Fees and Other Income</v>
      </c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202">
        <f>+P365</f>
        <v>0.2444841012329656</v>
      </c>
      <c r="Q366" s="145">
        <f aca="true" t="shared" si="271" ref="Q366:W368">+P366</f>
        <v>0.2444841012329656</v>
      </c>
      <c r="R366" s="145">
        <f t="shared" si="271"/>
        <v>0.2444841012329656</v>
      </c>
      <c r="S366" s="145">
        <f t="shared" si="271"/>
        <v>0.2444841012329656</v>
      </c>
      <c r="T366" s="145">
        <f t="shared" si="271"/>
        <v>0.2444841012329656</v>
      </c>
      <c r="U366" s="145">
        <f t="shared" si="271"/>
        <v>0.2444841012329656</v>
      </c>
      <c r="V366" s="145">
        <f t="shared" si="271"/>
        <v>0.2444841012329656</v>
      </c>
      <c r="W366" s="202">
        <f t="shared" si="271"/>
        <v>0.2444841012329656</v>
      </c>
    </row>
    <row r="367" spans="1:23" ht="12.75">
      <c r="A367">
        <f>ROW()</f>
        <v>367</v>
      </c>
      <c r="B367" s="143" t="str">
        <f>+B330</f>
        <v>Vacation Ownership and Residential</v>
      </c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203">
        <f>+P366</f>
        <v>0.2444841012329656</v>
      </c>
      <c r="Q367" s="145">
        <f t="shared" si="271"/>
        <v>0.2444841012329656</v>
      </c>
      <c r="R367" s="145">
        <f t="shared" si="271"/>
        <v>0.2444841012329656</v>
      </c>
      <c r="S367" s="145">
        <f t="shared" si="271"/>
        <v>0.2444841012329656</v>
      </c>
      <c r="T367" s="145">
        <f t="shared" si="271"/>
        <v>0.2444841012329656</v>
      </c>
      <c r="U367" s="145">
        <f t="shared" si="271"/>
        <v>0.2444841012329656</v>
      </c>
      <c r="V367" s="145">
        <f t="shared" si="271"/>
        <v>0.2444841012329656</v>
      </c>
      <c r="W367" s="202">
        <f t="shared" si="271"/>
        <v>0.2444841012329656</v>
      </c>
    </row>
    <row r="368" spans="1:23" ht="12.75">
      <c r="A368">
        <f>ROW()</f>
        <v>368</v>
      </c>
      <c r="B368" s="143" t="str">
        <f>+B331</f>
        <v>Other Revenues from Managed and Franchised Properties</v>
      </c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203">
        <f>+P367</f>
        <v>0.2444841012329656</v>
      </c>
      <c r="Q368" s="145">
        <f t="shared" si="271"/>
        <v>0.2444841012329656</v>
      </c>
      <c r="R368" s="145">
        <f t="shared" si="271"/>
        <v>0.2444841012329656</v>
      </c>
      <c r="S368" s="145">
        <f t="shared" si="271"/>
        <v>0.2444841012329656</v>
      </c>
      <c r="T368" s="145">
        <f t="shared" si="271"/>
        <v>0.2444841012329656</v>
      </c>
      <c r="U368" s="145">
        <f t="shared" si="271"/>
        <v>0.2444841012329656</v>
      </c>
      <c r="V368" s="145">
        <f t="shared" si="271"/>
        <v>0.2444841012329656</v>
      </c>
      <c r="W368" s="202">
        <f t="shared" si="271"/>
        <v>0.2444841012329656</v>
      </c>
    </row>
    <row r="369" spans="1:23" ht="12.75">
      <c r="A369">
        <f>ROW()</f>
        <v>369</v>
      </c>
      <c r="B369" s="143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203"/>
      <c r="Q369" s="232"/>
      <c r="R369" s="232"/>
      <c r="S369" s="232"/>
      <c r="T369" s="232"/>
      <c r="U369" s="232"/>
      <c r="V369" s="232"/>
      <c r="W369" s="203"/>
    </row>
    <row r="370" spans="1:23" ht="12.75">
      <c r="A370">
        <f>ROW()</f>
        <v>370</v>
      </c>
      <c r="B370" s="143" t="str">
        <f>+B333</f>
        <v>Operating Expense as % of Total Revenue</v>
      </c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203">
        <f>+P124/P117</f>
        <v>0.5669396623767341</v>
      </c>
      <c r="Q370" s="145">
        <f>+P370</f>
        <v>0.5669396623767341</v>
      </c>
      <c r="R370" s="145">
        <f aca="true" t="shared" si="272" ref="R370:W370">+Q370</f>
        <v>0.5669396623767341</v>
      </c>
      <c r="S370" s="145">
        <f t="shared" si="272"/>
        <v>0.5669396623767341</v>
      </c>
      <c r="T370" s="145">
        <f t="shared" si="272"/>
        <v>0.5669396623767341</v>
      </c>
      <c r="U370" s="145">
        <f t="shared" si="272"/>
        <v>0.5669396623767341</v>
      </c>
      <c r="V370" s="145">
        <f t="shared" si="272"/>
        <v>0.5669396623767341</v>
      </c>
      <c r="W370" s="202">
        <f t="shared" si="272"/>
        <v>0.5669396623767341</v>
      </c>
    </row>
    <row r="371" spans="1:23" ht="12.75">
      <c r="A371">
        <f>ROW()</f>
        <v>371</v>
      </c>
      <c r="B371" s="143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203"/>
      <c r="Q371" s="232"/>
      <c r="R371" s="232"/>
      <c r="S371" s="232"/>
      <c r="T371" s="232"/>
      <c r="U371" s="232"/>
      <c r="V371" s="232"/>
      <c r="W371" s="203"/>
    </row>
    <row r="372" spans="1:23" ht="12.75">
      <c r="A372">
        <f>ROW()</f>
        <v>372</v>
      </c>
      <c r="B372" s="143" t="str">
        <f>+B335</f>
        <v>Depreciation % of Revenue</v>
      </c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203">
        <f>+K172/K117</f>
        <v>0.03359518636135718</v>
      </c>
      <c r="Q372" s="145">
        <f>+P372</f>
        <v>0.03359518636135718</v>
      </c>
      <c r="R372" s="145">
        <f aca="true" t="shared" si="273" ref="R372:W372">+Q372</f>
        <v>0.03359518636135718</v>
      </c>
      <c r="S372" s="145">
        <f t="shared" si="273"/>
        <v>0.03359518636135718</v>
      </c>
      <c r="T372" s="145">
        <f t="shared" si="273"/>
        <v>0.03359518636135718</v>
      </c>
      <c r="U372" s="145">
        <f t="shared" si="273"/>
        <v>0.03359518636135718</v>
      </c>
      <c r="V372" s="145">
        <f t="shared" si="273"/>
        <v>0.03359518636135718</v>
      </c>
      <c r="W372" s="202">
        <f t="shared" si="273"/>
        <v>0.03359518636135718</v>
      </c>
    </row>
    <row r="373" spans="1:23" ht="12.75">
      <c r="A373">
        <f>ROW()</f>
        <v>373</v>
      </c>
      <c r="B373" s="143" t="str">
        <f>+B336</f>
        <v>Other Expenses % of Revenue</v>
      </c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201"/>
      <c r="Q373" s="145">
        <v>0</v>
      </c>
      <c r="R373" s="145">
        <v>0</v>
      </c>
      <c r="S373" s="145">
        <v>0</v>
      </c>
      <c r="T373" s="145">
        <v>0</v>
      </c>
      <c r="U373" s="145">
        <v>0</v>
      </c>
      <c r="V373" s="145">
        <v>0</v>
      </c>
      <c r="W373" s="202">
        <v>0</v>
      </c>
    </row>
    <row r="374" spans="1:23" ht="12.75">
      <c r="A374">
        <f>ROW()</f>
        <v>374</v>
      </c>
      <c r="B374" s="143" t="str">
        <f>+B337</f>
        <v>Other Income % of Revenue</v>
      </c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201"/>
      <c r="Q374" s="145">
        <v>0</v>
      </c>
      <c r="R374" s="145">
        <v>0</v>
      </c>
      <c r="S374" s="145">
        <v>0</v>
      </c>
      <c r="T374" s="145">
        <v>0</v>
      </c>
      <c r="U374" s="145">
        <v>0</v>
      </c>
      <c r="V374" s="145">
        <v>0</v>
      </c>
      <c r="W374" s="202">
        <v>0</v>
      </c>
    </row>
    <row r="375" spans="1:23" ht="12.75">
      <c r="A375">
        <f>ROW()</f>
        <v>375</v>
      </c>
      <c r="B375" s="143" t="str">
        <f>+B338</f>
        <v>Other Non-Oper. Expenses % of Revenue</v>
      </c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201"/>
      <c r="Q375" s="145">
        <v>0</v>
      </c>
      <c r="R375" s="145">
        <v>0</v>
      </c>
      <c r="S375" s="145">
        <v>0</v>
      </c>
      <c r="T375" s="145">
        <v>0</v>
      </c>
      <c r="U375" s="145">
        <v>0</v>
      </c>
      <c r="V375" s="145">
        <v>0</v>
      </c>
      <c r="W375" s="202">
        <v>0</v>
      </c>
    </row>
    <row r="376" spans="1:23" ht="12.75">
      <c r="A376">
        <f>ROW()</f>
        <v>376</v>
      </c>
      <c r="B376" s="143" t="str">
        <f>+B339</f>
        <v>Other Non-Operating Income % of Revenue</v>
      </c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201"/>
      <c r="Q376" s="145">
        <v>0</v>
      </c>
      <c r="R376" s="145">
        <v>0</v>
      </c>
      <c r="S376" s="145">
        <v>0</v>
      </c>
      <c r="T376" s="145">
        <v>0</v>
      </c>
      <c r="U376" s="145">
        <v>0</v>
      </c>
      <c r="V376" s="145">
        <v>0</v>
      </c>
      <c r="W376" s="202">
        <v>0</v>
      </c>
    </row>
    <row r="377" spans="1:23" ht="12.75">
      <c r="A377">
        <f>ROW()</f>
        <v>377</v>
      </c>
      <c r="B377" s="143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201"/>
      <c r="Q377" s="145"/>
      <c r="R377" s="145"/>
      <c r="S377" s="145"/>
      <c r="T377" s="145"/>
      <c r="U377" s="145"/>
      <c r="V377" s="145"/>
      <c r="W377" s="202"/>
    </row>
    <row r="378" spans="1:23" ht="12.75">
      <c r="A378">
        <f>ROW()</f>
        <v>378</v>
      </c>
      <c r="B378" s="143" t="str">
        <f>+B341</f>
        <v>Amort. of Goodwill / Intagibles</v>
      </c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201"/>
      <c r="Q378" s="146">
        <v>0</v>
      </c>
      <c r="R378" s="146">
        <v>0</v>
      </c>
      <c r="S378" s="146">
        <v>0</v>
      </c>
      <c r="T378" s="146">
        <v>0</v>
      </c>
      <c r="U378" s="146">
        <v>0</v>
      </c>
      <c r="V378" s="146">
        <v>0</v>
      </c>
      <c r="W378" s="382">
        <v>0</v>
      </c>
    </row>
    <row r="379" spans="1:23" ht="12.75">
      <c r="A379">
        <f>ROW()</f>
        <v>379</v>
      </c>
      <c r="B379" s="143" t="str">
        <f>+B342</f>
        <v>Amort. of Fees</v>
      </c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201"/>
      <c r="Q379" s="146">
        <v>0</v>
      </c>
      <c r="R379" s="146">
        <v>0</v>
      </c>
      <c r="S379" s="146">
        <v>0</v>
      </c>
      <c r="T379" s="146">
        <v>0</v>
      </c>
      <c r="U379" s="146">
        <v>0</v>
      </c>
      <c r="V379" s="146">
        <v>0</v>
      </c>
      <c r="W379" s="382">
        <v>0</v>
      </c>
    </row>
    <row r="380" spans="1:23" ht="12.75">
      <c r="A380">
        <f>ROW()</f>
        <v>380</v>
      </c>
      <c r="B380" s="143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201"/>
      <c r="Q380" s="144"/>
      <c r="R380" s="144"/>
      <c r="S380" s="144"/>
      <c r="T380" s="144"/>
      <c r="U380" s="144"/>
      <c r="V380" s="144"/>
      <c r="W380" s="201"/>
    </row>
    <row r="381" spans="1:23" ht="12.75">
      <c r="A381">
        <f>ROW()</f>
        <v>381</v>
      </c>
      <c r="B381" s="143" t="str">
        <f aca="true" t="shared" si="274" ref="B381:B389">+B344</f>
        <v>Capex % of Revenue</v>
      </c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202">
        <f>+P344</f>
        <v>0.05465485542370049</v>
      </c>
      <c r="Q381" s="145">
        <f aca="true" t="shared" si="275" ref="Q381:W381">+P381</f>
        <v>0.05465485542370049</v>
      </c>
      <c r="R381" s="145">
        <f t="shared" si="275"/>
        <v>0.05465485542370049</v>
      </c>
      <c r="S381" s="145">
        <f t="shared" si="275"/>
        <v>0.05465485542370049</v>
      </c>
      <c r="T381" s="145">
        <f t="shared" si="275"/>
        <v>0.05465485542370049</v>
      </c>
      <c r="U381" s="145">
        <f t="shared" si="275"/>
        <v>0.05465485542370049</v>
      </c>
      <c r="V381" s="145">
        <f t="shared" si="275"/>
        <v>0.05465485542370049</v>
      </c>
      <c r="W381" s="202">
        <f t="shared" si="275"/>
        <v>0.05465485542370049</v>
      </c>
    </row>
    <row r="382" spans="1:23" ht="12.75">
      <c r="A382">
        <f>ROW()</f>
        <v>382</v>
      </c>
      <c r="B382" s="143" t="str">
        <f t="shared" si="274"/>
        <v>Other Investments % of Revenue</v>
      </c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202">
        <f>+P345</f>
        <v>-0.0006685609226140733</v>
      </c>
      <c r="Q382" s="145">
        <v>0</v>
      </c>
      <c r="R382" s="145">
        <v>0</v>
      </c>
      <c r="S382" s="145">
        <v>0</v>
      </c>
      <c r="T382" s="145">
        <v>0</v>
      </c>
      <c r="U382" s="145">
        <v>0</v>
      </c>
      <c r="V382" s="145">
        <v>0</v>
      </c>
      <c r="W382" s="202">
        <v>0</v>
      </c>
    </row>
    <row r="383" spans="1:23" ht="12.75">
      <c r="A383">
        <f>ROW()</f>
        <v>383</v>
      </c>
      <c r="B383" s="143"/>
      <c r="C383" s="144"/>
      <c r="D383" s="144"/>
      <c r="E383" s="144"/>
      <c r="F383" s="144"/>
      <c r="G383" s="146"/>
      <c r="H383" s="144"/>
      <c r="I383" s="144"/>
      <c r="J383" s="144"/>
      <c r="K383" s="144"/>
      <c r="L383" s="144"/>
      <c r="M383" s="144"/>
      <c r="N383" s="144"/>
      <c r="O383" s="144"/>
      <c r="P383" s="201"/>
      <c r="Q383" s="144"/>
      <c r="R383" s="144"/>
      <c r="S383" s="144"/>
      <c r="T383" s="144"/>
      <c r="U383" s="144"/>
      <c r="V383" s="144"/>
      <c r="W383" s="201"/>
    </row>
    <row r="384" spans="1:23" ht="12.75">
      <c r="A384">
        <f>ROW()</f>
        <v>384</v>
      </c>
      <c r="B384" s="143" t="str">
        <f t="shared" si="274"/>
        <v>Accounts Receivable Days</v>
      </c>
      <c r="C384" s="341">
        <f>+C63/C117*365</f>
        <v>36.5415244596132</v>
      </c>
      <c r="D384" s="341">
        <f aca="true" t="shared" si="276" ref="D384:K384">+D63/D117*365</f>
        <v>34.108684611477905</v>
      </c>
      <c r="E384" s="341">
        <f t="shared" si="276"/>
        <v>34.58794718909711</v>
      </c>
      <c r="F384" s="341">
        <f t="shared" si="276"/>
        <v>63.84440938670874</v>
      </c>
      <c r="G384" s="341">
        <f t="shared" si="276"/>
        <v>59.12428876244665</v>
      </c>
      <c r="H384" s="341">
        <f t="shared" si="276"/>
        <v>54.33713020091758</v>
      </c>
      <c r="I384" s="341">
        <f t="shared" si="276"/>
        <v>54.19787408013083</v>
      </c>
      <c r="J384" s="341">
        <f t="shared" si="276"/>
        <v>55.3326090590005</v>
      </c>
      <c r="K384" s="341">
        <f t="shared" si="276"/>
        <v>55.3326090590005</v>
      </c>
      <c r="L384" s="144"/>
      <c r="M384" s="144"/>
      <c r="N384" s="144"/>
      <c r="O384" s="144"/>
      <c r="P384" s="342">
        <f aca="true" t="shared" si="277" ref="P384:P389">+K384</f>
        <v>55.3326090590005</v>
      </c>
      <c r="Q384" s="146">
        <f>+P384</f>
        <v>55.3326090590005</v>
      </c>
      <c r="R384" s="146">
        <f aca="true" t="shared" si="278" ref="R384:W384">+Q384</f>
        <v>55.3326090590005</v>
      </c>
      <c r="S384" s="146">
        <f t="shared" si="278"/>
        <v>55.3326090590005</v>
      </c>
      <c r="T384" s="146">
        <f t="shared" si="278"/>
        <v>55.3326090590005</v>
      </c>
      <c r="U384" s="146">
        <f t="shared" si="278"/>
        <v>55.3326090590005</v>
      </c>
      <c r="V384" s="146">
        <f t="shared" si="278"/>
        <v>55.3326090590005</v>
      </c>
      <c r="W384" s="382">
        <f t="shared" si="278"/>
        <v>55.3326090590005</v>
      </c>
    </row>
    <row r="385" spans="1:23" ht="12.75">
      <c r="A385">
        <f>ROW()</f>
        <v>385</v>
      </c>
      <c r="B385" s="143" t="str">
        <f t="shared" si="274"/>
        <v>Inventory Turns</v>
      </c>
      <c r="C385" s="341">
        <f>+C120/C64</f>
        <v>2.810453921073629</v>
      </c>
      <c r="D385" s="341">
        <f aca="true" t="shared" si="279" ref="D385:K385">+D120/D64</f>
        <v>1.9674806317404478</v>
      </c>
      <c r="E385" s="341">
        <f t="shared" si="279"/>
        <v>1.9054916985951469</v>
      </c>
      <c r="F385" s="341">
        <f t="shared" si="279"/>
        <v>1.9738154613466334</v>
      </c>
      <c r="G385" s="341">
        <f t="shared" si="279"/>
        <v>2.1933497536945814</v>
      </c>
      <c r="H385" s="341">
        <f t="shared" si="279"/>
        <v>6.044321329639889</v>
      </c>
      <c r="I385" s="341">
        <f t="shared" si="279"/>
        <v>8.03225806451613</v>
      </c>
      <c r="J385" s="341">
        <f t="shared" si="279"/>
        <v>6.385593220338983</v>
      </c>
      <c r="K385" s="341">
        <f t="shared" si="279"/>
        <v>6.385593220338983</v>
      </c>
      <c r="L385" s="144"/>
      <c r="M385" s="144"/>
      <c r="N385" s="144"/>
      <c r="O385" s="144"/>
      <c r="P385" s="342">
        <f t="shared" si="277"/>
        <v>6.385593220338983</v>
      </c>
      <c r="Q385" s="231">
        <f>+P385</f>
        <v>6.385593220338983</v>
      </c>
      <c r="R385" s="231">
        <f aca="true" t="shared" si="280" ref="R385:W385">+Q385</f>
        <v>6.385593220338983</v>
      </c>
      <c r="S385" s="231">
        <f t="shared" si="280"/>
        <v>6.385593220338983</v>
      </c>
      <c r="T385" s="231">
        <f t="shared" si="280"/>
        <v>6.385593220338983</v>
      </c>
      <c r="U385" s="231">
        <f t="shared" si="280"/>
        <v>6.385593220338983</v>
      </c>
      <c r="V385" s="231">
        <f t="shared" si="280"/>
        <v>6.385593220338983</v>
      </c>
      <c r="W385" s="383">
        <f t="shared" si="280"/>
        <v>6.385593220338983</v>
      </c>
    </row>
    <row r="386" spans="1:23" ht="12.75">
      <c r="A386">
        <f>ROW()</f>
        <v>386</v>
      </c>
      <c r="B386" s="143" t="str">
        <f t="shared" si="274"/>
        <v>Other Current Assets % of Revenue</v>
      </c>
      <c r="C386" s="343">
        <f>+C65/C117</f>
        <v>0.022103039167885585</v>
      </c>
      <c r="D386" s="343">
        <f aca="true" t="shared" si="281" ref="D386:K386">+D65/D117</f>
        <v>0.024208566108007448</v>
      </c>
      <c r="E386" s="343">
        <f t="shared" si="281"/>
        <v>0.027044293015332198</v>
      </c>
      <c r="F386" s="343">
        <f t="shared" si="281"/>
        <v>0.02484717018339578</v>
      </c>
      <c r="G386" s="343">
        <f t="shared" si="281"/>
        <v>0.022226173541963015</v>
      </c>
      <c r="H386" s="343">
        <f t="shared" si="281"/>
        <v>0.0196171491852555</v>
      </c>
      <c r="I386" s="343">
        <f t="shared" si="281"/>
        <v>0.019787408013082583</v>
      </c>
      <c r="J386" s="343">
        <f t="shared" si="281"/>
        <v>0.02657529667390941</v>
      </c>
      <c r="K386" s="343">
        <f t="shared" si="281"/>
        <v>0.02657529667390941</v>
      </c>
      <c r="L386" s="144"/>
      <c r="M386" s="144"/>
      <c r="N386" s="144"/>
      <c r="O386" s="144"/>
      <c r="P386" s="344">
        <f t="shared" si="277"/>
        <v>0.02657529667390941</v>
      </c>
      <c r="Q386" s="145">
        <f>+P386</f>
        <v>0.02657529667390941</v>
      </c>
      <c r="R386" s="145">
        <f aca="true" t="shared" si="282" ref="R386:W386">+Q386</f>
        <v>0.02657529667390941</v>
      </c>
      <c r="S386" s="145">
        <f t="shared" si="282"/>
        <v>0.02657529667390941</v>
      </c>
      <c r="T386" s="145">
        <f t="shared" si="282"/>
        <v>0.02657529667390941</v>
      </c>
      <c r="U386" s="145">
        <f t="shared" si="282"/>
        <v>0.02657529667390941</v>
      </c>
      <c r="V386" s="145">
        <f t="shared" si="282"/>
        <v>0.02657529667390941</v>
      </c>
      <c r="W386" s="202">
        <f t="shared" si="282"/>
        <v>0.02657529667390941</v>
      </c>
    </row>
    <row r="387" spans="1:23" ht="12.75">
      <c r="A387">
        <f>ROW()</f>
        <v>387</v>
      </c>
      <c r="B387" s="143" t="str">
        <f t="shared" si="274"/>
        <v>Accounts Payable Days </v>
      </c>
      <c r="C387" s="341">
        <f>+C79/C120*365</f>
        <v>381.2496571472747</v>
      </c>
      <c r="D387" s="341">
        <f aca="true" t="shared" si="283" ref="D387:K387">+D79/D120*365</f>
        <v>410.54449212008996</v>
      </c>
      <c r="E387" s="341">
        <f t="shared" si="283"/>
        <v>494.6581769436997</v>
      </c>
      <c r="F387" s="341">
        <f t="shared" si="283"/>
        <v>467.8363866077069</v>
      </c>
      <c r="G387" s="341">
        <f t="shared" si="283"/>
        <v>380.985401459854</v>
      </c>
      <c r="H387" s="341">
        <f t="shared" si="283"/>
        <v>311.8056828597617</v>
      </c>
      <c r="I387" s="341">
        <f t="shared" si="283"/>
        <v>382.1715433161216</v>
      </c>
      <c r="J387" s="341">
        <f t="shared" si="283"/>
        <v>503.7823490378235</v>
      </c>
      <c r="K387" s="341">
        <f t="shared" si="283"/>
        <v>503.7823490378235</v>
      </c>
      <c r="L387" s="144"/>
      <c r="M387" s="144"/>
      <c r="N387" s="144"/>
      <c r="O387" s="144"/>
      <c r="P387" s="342">
        <f t="shared" si="277"/>
        <v>503.7823490378235</v>
      </c>
      <c r="Q387" s="345">
        <f>+P387</f>
        <v>503.7823490378235</v>
      </c>
      <c r="R387" s="345">
        <f aca="true" t="shared" si="284" ref="R387:W387">+Q387</f>
        <v>503.7823490378235</v>
      </c>
      <c r="S387" s="345">
        <f t="shared" si="284"/>
        <v>503.7823490378235</v>
      </c>
      <c r="T387" s="345">
        <f t="shared" si="284"/>
        <v>503.7823490378235</v>
      </c>
      <c r="U387" s="345">
        <f t="shared" si="284"/>
        <v>503.7823490378235</v>
      </c>
      <c r="V387" s="345">
        <f t="shared" si="284"/>
        <v>503.7823490378235</v>
      </c>
      <c r="W387" s="384">
        <f t="shared" si="284"/>
        <v>503.7823490378235</v>
      </c>
    </row>
    <row r="388" spans="1:23" ht="12.75">
      <c r="A388">
        <f>ROW()</f>
        <v>388</v>
      </c>
      <c r="B388" s="143" t="str">
        <f t="shared" si="274"/>
        <v>Acccrued Expenses % of Revenue</v>
      </c>
      <c r="C388" s="343">
        <f>+C80/C117</f>
        <v>0</v>
      </c>
      <c r="D388" s="343">
        <f aca="true" t="shared" si="285" ref="D388:K388">+D80/D117</f>
        <v>0</v>
      </c>
      <c r="E388" s="343">
        <f t="shared" si="285"/>
        <v>0</v>
      </c>
      <c r="F388" s="343">
        <f t="shared" si="285"/>
        <v>0</v>
      </c>
      <c r="G388" s="343">
        <f t="shared" si="285"/>
        <v>0</v>
      </c>
      <c r="H388" s="343">
        <f t="shared" si="285"/>
        <v>0</v>
      </c>
      <c r="I388" s="343">
        <f t="shared" si="285"/>
        <v>0</v>
      </c>
      <c r="J388" s="343">
        <f t="shared" si="285"/>
        <v>0</v>
      </c>
      <c r="K388" s="343">
        <f t="shared" si="285"/>
        <v>0</v>
      </c>
      <c r="L388" s="343"/>
      <c r="M388" s="343"/>
      <c r="N388" s="343"/>
      <c r="O388" s="343"/>
      <c r="P388" s="346">
        <f t="shared" si="277"/>
        <v>0</v>
      </c>
      <c r="Q388" s="348">
        <f aca="true" t="shared" si="286" ref="Q388:W389">+P388</f>
        <v>0</v>
      </c>
      <c r="R388" s="348">
        <f t="shared" si="286"/>
        <v>0</v>
      </c>
      <c r="S388" s="348">
        <f t="shared" si="286"/>
        <v>0</v>
      </c>
      <c r="T388" s="348">
        <f t="shared" si="286"/>
        <v>0</v>
      </c>
      <c r="U388" s="348">
        <f t="shared" si="286"/>
        <v>0</v>
      </c>
      <c r="V388" s="348">
        <f t="shared" si="286"/>
        <v>0</v>
      </c>
      <c r="W388" s="202">
        <f t="shared" si="286"/>
        <v>0</v>
      </c>
    </row>
    <row r="389" spans="1:23" ht="13.5" thickBot="1">
      <c r="A389">
        <f>ROW()</f>
        <v>389</v>
      </c>
      <c r="B389" s="147" t="str">
        <f t="shared" si="274"/>
        <v>Other Current Liabilities % of Revenues</v>
      </c>
      <c r="C389" s="347">
        <f>+C81/C117</f>
        <v>0</v>
      </c>
      <c r="D389" s="347">
        <f aca="true" t="shared" si="287" ref="D389:K389">+D81/D117</f>
        <v>0</v>
      </c>
      <c r="E389" s="347">
        <f t="shared" si="287"/>
        <v>0</v>
      </c>
      <c r="F389" s="347">
        <f t="shared" si="287"/>
        <v>0</v>
      </c>
      <c r="G389" s="347">
        <f t="shared" si="287"/>
        <v>0</v>
      </c>
      <c r="H389" s="347">
        <f t="shared" si="287"/>
        <v>0</v>
      </c>
      <c r="I389" s="347">
        <f t="shared" si="287"/>
        <v>0</v>
      </c>
      <c r="J389" s="347">
        <f t="shared" si="287"/>
        <v>0</v>
      </c>
      <c r="K389" s="347">
        <f t="shared" si="287"/>
        <v>0</v>
      </c>
      <c r="L389" s="347"/>
      <c r="M389" s="347"/>
      <c r="N389" s="347"/>
      <c r="O389" s="347"/>
      <c r="P389" s="346">
        <f t="shared" si="277"/>
        <v>0</v>
      </c>
      <c r="Q389" s="349">
        <f t="shared" si="286"/>
        <v>0</v>
      </c>
      <c r="R389" s="349">
        <f t="shared" si="286"/>
        <v>0</v>
      </c>
      <c r="S389" s="349">
        <f t="shared" si="286"/>
        <v>0</v>
      </c>
      <c r="T389" s="349">
        <f t="shared" si="286"/>
        <v>0</v>
      </c>
      <c r="U389" s="349">
        <f t="shared" si="286"/>
        <v>0</v>
      </c>
      <c r="V389" s="349">
        <f t="shared" si="286"/>
        <v>0</v>
      </c>
      <c r="W389" s="385">
        <f t="shared" si="286"/>
        <v>0</v>
      </c>
    </row>
    <row r="390" ht="12.75" thickBot="1"/>
    <row r="391" spans="2:23" ht="18">
      <c r="B391" s="137" t="s">
        <v>184</v>
      </c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9"/>
      <c r="W391" s="149"/>
    </row>
    <row r="392" spans="2:23" ht="24.75">
      <c r="B392" s="150" t="str">
        <f>+Y5</f>
        <v>Stress Case</v>
      </c>
      <c r="C392" s="151" t="s">
        <v>27</v>
      </c>
      <c r="D392" s="151"/>
      <c r="E392" s="151"/>
      <c r="F392" s="151"/>
      <c r="G392" s="151"/>
      <c r="H392" s="151"/>
      <c r="I392" s="151"/>
      <c r="J392" s="151"/>
      <c r="K392" s="151"/>
      <c r="L392" s="152"/>
      <c r="M392" s="152"/>
      <c r="N392" s="151"/>
      <c r="O392" s="151"/>
      <c r="P392" s="151"/>
      <c r="Q392" s="151"/>
      <c r="R392" s="151"/>
      <c r="S392" s="151"/>
      <c r="T392" s="151"/>
      <c r="U392" s="151"/>
      <c r="V392" s="153"/>
      <c r="W392" s="153"/>
    </row>
    <row r="393" spans="2:23" ht="13.5" thickBot="1">
      <c r="B393" s="154"/>
      <c r="C393" s="129">
        <f>+C59</f>
        <v>39447</v>
      </c>
      <c r="D393" s="129">
        <f aca="true" t="shared" si="288" ref="D393:J393">+D59</f>
        <v>39813</v>
      </c>
      <c r="E393" s="129">
        <f t="shared" si="288"/>
        <v>40178</v>
      </c>
      <c r="F393" s="129">
        <f t="shared" si="288"/>
        <v>40543</v>
      </c>
      <c r="G393" s="129">
        <f t="shared" si="288"/>
        <v>40908</v>
      </c>
      <c r="H393" s="129">
        <f t="shared" si="288"/>
        <v>41274</v>
      </c>
      <c r="I393" s="129">
        <f t="shared" si="288"/>
        <v>41639</v>
      </c>
      <c r="J393" s="129">
        <f t="shared" si="288"/>
        <v>42004</v>
      </c>
      <c r="K393" s="129">
        <f>+$K$59</f>
        <v>42004</v>
      </c>
      <c r="L393" s="151"/>
      <c r="M393" s="152"/>
      <c r="N393" s="151"/>
      <c r="O393" s="151"/>
      <c r="P393" s="128">
        <f>+K393</f>
        <v>42004</v>
      </c>
      <c r="Q393" s="129">
        <f aca="true" t="shared" si="289" ref="Q393:V393">+Q357</f>
        <v>42369</v>
      </c>
      <c r="R393" s="129">
        <f t="shared" si="289"/>
        <v>42734</v>
      </c>
      <c r="S393" s="129">
        <f t="shared" si="289"/>
        <v>43099</v>
      </c>
      <c r="T393" s="129">
        <f t="shared" si="289"/>
        <v>43464</v>
      </c>
      <c r="U393" s="129">
        <f t="shared" si="289"/>
        <v>43829</v>
      </c>
      <c r="V393" s="155">
        <f t="shared" si="289"/>
        <v>44194</v>
      </c>
      <c r="W393" s="155">
        <f>+W357</f>
        <v>44559</v>
      </c>
    </row>
    <row r="394" spans="1:23" ht="12.75">
      <c r="A394">
        <f>ROW()</f>
        <v>394</v>
      </c>
      <c r="B394" s="154" t="str">
        <f>+B321</f>
        <v>Revenue Growth</v>
      </c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52"/>
      <c r="N394" s="151"/>
      <c r="O394" s="156"/>
      <c r="P394" s="204"/>
      <c r="Q394" s="156"/>
      <c r="R394" s="156"/>
      <c r="S394" s="156"/>
      <c r="T394" s="156"/>
      <c r="U394" s="156"/>
      <c r="V394" s="157"/>
      <c r="W394" s="157"/>
    </row>
    <row r="395" spans="1:23" ht="12.75">
      <c r="A395">
        <f>ROW()</f>
        <v>395</v>
      </c>
      <c r="B395" s="154" t="str">
        <f>+B322</f>
        <v>Owned, Leased and Consolidated Joint Venture Hotels</v>
      </c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2"/>
      <c r="N395" s="151"/>
      <c r="O395" s="156"/>
      <c r="P395" s="206"/>
      <c r="Q395" s="158">
        <f>+Q359</f>
        <v>-0.02</v>
      </c>
      <c r="R395" s="158">
        <f aca="true" t="shared" si="290" ref="R395:W395">+R359</f>
        <v>0</v>
      </c>
      <c r="S395" s="158">
        <f t="shared" si="290"/>
        <v>0.02</v>
      </c>
      <c r="T395" s="158">
        <f t="shared" si="290"/>
        <v>0.03</v>
      </c>
      <c r="U395" s="158">
        <f t="shared" si="290"/>
        <v>0.03</v>
      </c>
      <c r="V395" s="158">
        <f t="shared" si="290"/>
        <v>0.03</v>
      </c>
      <c r="W395" s="158">
        <f t="shared" si="290"/>
        <v>0.03</v>
      </c>
    </row>
    <row r="396" spans="1:23" ht="12.75">
      <c r="A396">
        <f>ROW()</f>
        <v>396</v>
      </c>
      <c r="B396" s="154" t="str">
        <f>+B323</f>
        <v>Management Fees, Franchise Fees and Other Income</v>
      </c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2"/>
      <c r="N396" s="151"/>
      <c r="O396" s="156"/>
      <c r="P396" s="206"/>
      <c r="Q396" s="158">
        <f aca="true" t="shared" si="291" ref="Q396:W398">+Q360</f>
        <v>0.1</v>
      </c>
      <c r="R396" s="158">
        <f t="shared" si="291"/>
        <v>0.14</v>
      </c>
      <c r="S396" s="158">
        <f t="shared" si="291"/>
        <v>0.12</v>
      </c>
      <c r="T396" s="158">
        <f t="shared" si="291"/>
        <v>0.1</v>
      </c>
      <c r="U396" s="158">
        <f t="shared" si="291"/>
        <v>0.07</v>
      </c>
      <c r="V396" s="158">
        <f t="shared" si="291"/>
        <v>0.07</v>
      </c>
      <c r="W396" s="158">
        <f t="shared" si="291"/>
        <v>0.07</v>
      </c>
    </row>
    <row r="397" spans="1:23" ht="12.75">
      <c r="A397">
        <f>ROW()</f>
        <v>397</v>
      </c>
      <c r="B397" s="154" t="str">
        <f>+B324</f>
        <v>Vacation Ownership and Residential</v>
      </c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2"/>
      <c r="N397" s="151"/>
      <c r="O397" s="156"/>
      <c r="P397" s="206"/>
      <c r="Q397" s="158">
        <f t="shared" si="291"/>
        <v>-0.1</v>
      </c>
      <c r="R397" s="158">
        <f t="shared" si="291"/>
        <v>-0.05</v>
      </c>
      <c r="S397" s="158">
        <f t="shared" si="291"/>
        <v>0</v>
      </c>
      <c r="T397" s="158">
        <f t="shared" si="291"/>
        <v>0</v>
      </c>
      <c r="U397" s="158">
        <f t="shared" si="291"/>
        <v>0</v>
      </c>
      <c r="V397" s="158">
        <f t="shared" si="291"/>
        <v>0</v>
      </c>
      <c r="W397" s="158">
        <f t="shared" si="291"/>
        <v>0</v>
      </c>
    </row>
    <row r="398" spans="1:23" ht="12.75">
      <c r="A398">
        <f>ROW()</f>
        <v>398</v>
      </c>
      <c r="B398" s="154" t="str">
        <f>+B325</f>
        <v>Other Revenues from Managed and Franchised Properties</v>
      </c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2"/>
      <c r="N398" s="151"/>
      <c r="O398" s="156"/>
      <c r="P398" s="206"/>
      <c r="Q398" s="158">
        <f t="shared" si="291"/>
        <v>0.04</v>
      </c>
      <c r="R398" s="158">
        <f t="shared" si="291"/>
        <v>0.04</v>
      </c>
      <c r="S398" s="158">
        <f t="shared" si="291"/>
        <v>0.04</v>
      </c>
      <c r="T398" s="158">
        <f t="shared" si="291"/>
        <v>0.04</v>
      </c>
      <c r="U398" s="158">
        <f t="shared" si="291"/>
        <v>0.04</v>
      </c>
      <c r="V398" s="158">
        <f t="shared" si="291"/>
        <v>0.04</v>
      </c>
      <c r="W398" s="158">
        <f t="shared" si="291"/>
        <v>0.04</v>
      </c>
    </row>
    <row r="399" spans="1:23" ht="12.75">
      <c r="A399">
        <f>ROW()</f>
        <v>399</v>
      </c>
      <c r="B399" s="154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2"/>
      <c r="N399" s="151"/>
      <c r="O399" s="156"/>
      <c r="P399" s="206"/>
      <c r="Q399" s="233"/>
      <c r="R399" s="233"/>
      <c r="S399" s="233"/>
      <c r="T399" s="233"/>
      <c r="U399" s="233"/>
      <c r="V399" s="234"/>
      <c r="W399" s="234"/>
    </row>
    <row r="400" spans="1:23" ht="12.75">
      <c r="A400">
        <f>ROW()</f>
        <v>400</v>
      </c>
      <c r="B400" s="154" t="str">
        <f>+B327</f>
        <v>Cost of Good as % of Sales</v>
      </c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206"/>
      <c r="Q400" s="233"/>
      <c r="R400" s="233"/>
      <c r="S400" s="233"/>
      <c r="T400" s="233"/>
      <c r="U400" s="233"/>
      <c r="V400" s="234"/>
      <c r="W400" s="234"/>
    </row>
    <row r="401" spans="1:23" ht="12.75">
      <c r="A401">
        <f>ROW()</f>
        <v>401</v>
      </c>
      <c r="B401" s="154" t="str">
        <f>+B328</f>
        <v>Owned, Leased and Consolidated Joint Venture Hotels</v>
      </c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205">
        <f>+P365</f>
        <v>0.2444841012329656</v>
      </c>
      <c r="Q401" s="158">
        <f>+Q365</f>
        <v>0.2444841012329656</v>
      </c>
      <c r="R401" s="158">
        <f>+R365</f>
        <v>0.2444841012329656</v>
      </c>
      <c r="S401" s="158">
        <f>+S365</f>
        <v>0.2444841012329656</v>
      </c>
      <c r="T401" s="158">
        <f>+T365</f>
        <v>0.2444841012329656</v>
      </c>
      <c r="U401" s="158">
        <f>+U365</f>
        <v>0.2444841012329656</v>
      </c>
      <c r="V401" s="158">
        <f>+V365</f>
        <v>0.2444841012329656</v>
      </c>
      <c r="W401" s="158">
        <f>+W365</f>
        <v>0.2444841012329656</v>
      </c>
    </row>
    <row r="402" spans="1:23" ht="12.75">
      <c r="A402">
        <f>ROW()</f>
        <v>402</v>
      </c>
      <c r="B402" s="154" t="str">
        <f>+B329</f>
        <v>Management Fees, Franchise Fees and Other Income</v>
      </c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205">
        <f>+P366</f>
        <v>0.2444841012329656</v>
      </c>
      <c r="Q402" s="158">
        <f>+Q366</f>
        <v>0.2444841012329656</v>
      </c>
      <c r="R402" s="158">
        <f>+R366</f>
        <v>0.2444841012329656</v>
      </c>
      <c r="S402" s="158">
        <f>+S366</f>
        <v>0.2444841012329656</v>
      </c>
      <c r="T402" s="158">
        <f>+T366</f>
        <v>0.2444841012329656</v>
      </c>
      <c r="U402" s="158">
        <f>+U366</f>
        <v>0.2444841012329656</v>
      </c>
      <c r="V402" s="158">
        <f>+V366</f>
        <v>0.2444841012329656</v>
      </c>
      <c r="W402" s="158">
        <f>+W366</f>
        <v>0.2444841012329656</v>
      </c>
    </row>
    <row r="403" spans="1:23" ht="12.75">
      <c r="A403">
        <f>ROW()</f>
        <v>403</v>
      </c>
      <c r="B403" s="154" t="str">
        <f>+B330</f>
        <v>Vacation Ownership and Residential</v>
      </c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206"/>
      <c r="Q403" s="158">
        <f aca="true" t="shared" si="292" ref="Q403:W404">+Q367</f>
        <v>0.2444841012329656</v>
      </c>
      <c r="R403" s="158">
        <f t="shared" si="292"/>
        <v>0.2444841012329656</v>
      </c>
      <c r="S403" s="158">
        <f t="shared" si="292"/>
        <v>0.2444841012329656</v>
      </c>
      <c r="T403" s="158">
        <f t="shared" si="292"/>
        <v>0.2444841012329656</v>
      </c>
      <c r="U403" s="158">
        <f t="shared" si="292"/>
        <v>0.2444841012329656</v>
      </c>
      <c r="V403" s="158">
        <f t="shared" si="292"/>
        <v>0.2444841012329656</v>
      </c>
      <c r="W403" s="158">
        <f t="shared" si="292"/>
        <v>0.2444841012329656</v>
      </c>
    </row>
    <row r="404" spans="1:23" ht="12.75">
      <c r="A404">
        <f>ROW()</f>
        <v>404</v>
      </c>
      <c r="B404" s="154" t="str">
        <f>+B331</f>
        <v>Other Revenues from Managed and Franchised Properties</v>
      </c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206"/>
      <c r="Q404" s="158">
        <f aca="true" t="shared" si="293" ref="Q404:W404">+Q368</f>
        <v>0.2444841012329656</v>
      </c>
      <c r="R404" s="158">
        <f t="shared" si="293"/>
        <v>0.2444841012329656</v>
      </c>
      <c r="S404" s="158">
        <f t="shared" si="293"/>
        <v>0.2444841012329656</v>
      </c>
      <c r="T404" s="158">
        <f t="shared" si="293"/>
        <v>0.2444841012329656</v>
      </c>
      <c r="U404" s="158">
        <f t="shared" si="293"/>
        <v>0.2444841012329656</v>
      </c>
      <c r="V404" s="158">
        <f t="shared" si="293"/>
        <v>0.2444841012329656</v>
      </c>
      <c r="W404" s="158">
        <f t="shared" si="293"/>
        <v>0.2444841012329656</v>
      </c>
    </row>
    <row r="405" spans="1:23" ht="12.75">
      <c r="A405">
        <f>ROW()</f>
        <v>405</v>
      </c>
      <c r="B405" s="154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206"/>
      <c r="Q405" s="233"/>
      <c r="R405" s="233"/>
      <c r="S405" s="233"/>
      <c r="T405" s="233"/>
      <c r="U405" s="233"/>
      <c r="V405" s="234"/>
      <c r="W405" s="234"/>
    </row>
    <row r="406" spans="1:23" ht="12.75">
      <c r="A406">
        <f>ROW()</f>
        <v>406</v>
      </c>
      <c r="B406" s="154" t="str">
        <f>+B333</f>
        <v>Operating Expense as % of Total Revenue</v>
      </c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206"/>
      <c r="Q406" s="158">
        <f aca="true" t="shared" si="294" ref="Q406:W406">+Q370</f>
        <v>0.5669396623767341</v>
      </c>
      <c r="R406" s="158">
        <f t="shared" si="294"/>
        <v>0.5669396623767341</v>
      </c>
      <c r="S406" s="158">
        <f t="shared" si="294"/>
        <v>0.5669396623767341</v>
      </c>
      <c r="T406" s="158">
        <f t="shared" si="294"/>
        <v>0.5669396623767341</v>
      </c>
      <c r="U406" s="158">
        <f t="shared" si="294"/>
        <v>0.5669396623767341</v>
      </c>
      <c r="V406" s="158">
        <f t="shared" si="294"/>
        <v>0.5669396623767341</v>
      </c>
      <c r="W406" s="158">
        <f t="shared" si="294"/>
        <v>0.5669396623767341</v>
      </c>
    </row>
    <row r="407" spans="1:23" ht="12.75">
      <c r="A407">
        <f>ROW()</f>
        <v>407</v>
      </c>
      <c r="B407" s="154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206"/>
      <c r="Q407" s="233"/>
      <c r="R407" s="233"/>
      <c r="S407" s="233"/>
      <c r="T407" s="233"/>
      <c r="U407" s="233"/>
      <c r="V407" s="233"/>
      <c r="W407" s="233"/>
    </row>
    <row r="408" spans="1:23" ht="12.75">
      <c r="A408">
        <f>ROW()</f>
        <v>408</v>
      </c>
      <c r="B408" s="154" t="str">
        <f>+B335</f>
        <v>Depreciation % of Revenue</v>
      </c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206"/>
      <c r="Q408" s="158">
        <f aca="true" t="shared" si="295" ref="Q408:W408">+Q372</f>
        <v>0.03359518636135718</v>
      </c>
      <c r="R408" s="158">
        <f t="shared" si="295"/>
        <v>0.03359518636135718</v>
      </c>
      <c r="S408" s="158">
        <f t="shared" si="295"/>
        <v>0.03359518636135718</v>
      </c>
      <c r="T408" s="158">
        <f t="shared" si="295"/>
        <v>0.03359518636135718</v>
      </c>
      <c r="U408" s="158">
        <f t="shared" si="295"/>
        <v>0.03359518636135718</v>
      </c>
      <c r="V408" s="158">
        <f t="shared" si="295"/>
        <v>0.03359518636135718</v>
      </c>
      <c r="W408" s="158">
        <f t="shared" si="295"/>
        <v>0.03359518636135718</v>
      </c>
    </row>
    <row r="409" spans="1:23" ht="12.75">
      <c r="A409">
        <f>ROW()</f>
        <v>409</v>
      </c>
      <c r="B409" s="154" t="str">
        <f>+B336</f>
        <v>Other Expenses % of Revenue</v>
      </c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204"/>
      <c r="Q409" s="158">
        <f aca="true" t="shared" si="296" ref="Q409:W409">+Q373</f>
        <v>0</v>
      </c>
      <c r="R409" s="158">
        <f t="shared" si="296"/>
        <v>0</v>
      </c>
      <c r="S409" s="158">
        <f t="shared" si="296"/>
        <v>0</v>
      </c>
      <c r="T409" s="158">
        <f t="shared" si="296"/>
        <v>0</v>
      </c>
      <c r="U409" s="158">
        <f t="shared" si="296"/>
        <v>0</v>
      </c>
      <c r="V409" s="158">
        <f t="shared" si="296"/>
        <v>0</v>
      </c>
      <c r="W409" s="158">
        <f t="shared" si="296"/>
        <v>0</v>
      </c>
    </row>
    <row r="410" spans="1:23" ht="12.75">
      <c r="A410">
        <f>ROW()</f>
        <v>410</v>
      </c>
      <c r="B410" s="154" t="str">
        <f>+B337</f>
        <v>Other Income % of Revenue</v>
      </c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204"/>
      <c r="Q410" s="158">
        <f aca="true" t="shared" si="297" ref="Q410:W410">+Q374</f>
        <v>0</v>
      </c>
      <c r="R410" s="158">
        <f t="shared" si="297"/>
        <v>0</v>
      </c>
      <c r="S410" s="158">
        <f t="shared" si="297"/>
        <v>0</v>
      </c>
      <c r="T410" s="158">
        <f t="shared" si="297"/>
        <v>0</v>
      </c>
      <c r="U410" s="158">
        <f t="shared" si="297"/>
        <v>0</v>
      </c>
      <c r="V410" s="158">
        <f t="shared" si="297"/>
        <v>0</v>
      </c>
      <c r="W410" s="158">
        <f t="shared" si="297"/>
        <v>0</v>
      </c>
    </row>
    <row r="411" spans="1:23" ht="12.75">
      <c r="A411">
        <f>ROW()</f>
        <v>411</v>
      </c>
      <c r="B411" s="154" t="str">
        <f>+B338</f>
        <v>Other Non-Oper. Expenses % of Revenue</v>
      </c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204"/>
      <c r="Q411" s="158">
        <f aca="true" t="shared" si="298" ref="Q411:W411">+Q375</f>
        <v>0</v>
      </c>
      <c r="R411" s="158">
        <f t="shared" si="298"/>
        <v>0</v>
      </c>
      <c r="S411" s="158">
        <f t="shared" si="298"/>
        <v>0</v>
      </c>
      <c r="T411" s="158">
        <f t="shared" si="298"/>
        <v>0</v>
      </c>
      <c r="U411" s="158">
        <f t="shared" si="298"/>
        <v>0</v>
      </c>
      <c r="V411" s="158">
        <f t="shared" si="298"/>
        <v>0</v>
      </c>
      <c r="W411" s="158">
        <f t="shared" si="298"/>
        <v>0</v>
      </c>
    </row>
    <row r="412" spans="1:23" ht="12.75">
      <c r="A412">
        <f>ROW()</f>
        <v>412</v>
      </c>
      <c r="B412" s="154" t="str">
        <f>+B339</f>
        <v>Other Non-Operating Income % of Revenue</v>
      </c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204"/>
      <c r="Q412" s="158">
        <f aca="true" t="shared" si="299" ref="Q412:W412">+Q376</f>
        <v>0</v>
      </c>
      <c r="R412" s="158">
        <f t="shared" si="299"/>
        <v>0</v>
      </c>
      <c r="S412" s="158">
        <f t="shared" si="299"/>
        <v>0</v>
      </c>
      <c r="T412" s="158">
        <f t="shared" si="299"/>
        <v>0</v>
      </c>
      <c r="U412" s="158">
        <f t="shared" si="299"/>
        <v>0</v>
      </c>
      <c r="V412" s="158">
        <f t="shared" si="299"/>
        <v>0</v>
      </c>
      <c r="W412" s="158">
        <f t="shared" si="299"/>
        <v>0</v>
      </c>
    </row>
    <row r="413" spans="1:23" ht="12.75">
      <c r="A413">
        <f>ROW()</f>
        <v>413</v>
      </c>
      <c r="B413" s="154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204"/>
      <c r="Q413" s="158"/>
      <c r="R413" s="158"/>
      <c r="S413" s="158"/>
      <c r="T413" s="158"/>
      <c r="U413" s="158"/>
      <c r="V413" s="159"/>
      <c r="W413" s="159"/>
    </row>
    <row r="414" spans="1:23" ht="12.75">
      <c r="A414">
        <f>ROW()</f>
        <v>414</v>
      </c>
      <c r="B414" s="154" t="str">
        <f>+B341</f>
        <v>Amort. of Goodwill / Intagibles</v>
      </c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204"/>
      <c r="Q414" s="160">
        <v>0</v>
      </c>
      <c r="R414" s="160">
        <v>0</v>
      </c>
      <c r="S414" s="160">
        <v>0</v>
      </c>
      <c r="T414" s="160">
        <v>0</v>
      </c>
      <c r="U414" s="160">
        <v>0</v>
      </c>
      <c r="V414" s="161">
        <v>0</v>
      </c>
      <c r="W414" s="161">
        <v>0</v>
      </c>
    </row>
    <row r="415" spans="1:23" ht="12.75">
      <c r="A415">
        <f>ROW()</f>
        <v>415</v>
      </c>
      <c r="B415" s="154" t="str">
        <f>+B342</f>
        <v>Amort. of Fees</v>
      </c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204"/>
      <c r="Q415" s="160">
        <v>0</v>
      </c>
      <c r="R415" s="160">
        <v>0</v>
      </c>
      <c r="S415" s="160">
        <v>0</v>
      </c>
      <c r="T415" s="160">
        <v>0</v>
      </c>
      <c r="U415" s="160">
        <v>0</v>
      </c>
      <c r="V415" s="161">
        <v>0</v>
      </c>
      <c r="W415" s="161">
        <v>0</v>
      </c>
    </row>
    <row r="416" spans="1:23" ht="12.75">
      <c r="A416">
        <f>ROW()</f>
        <v>416</v>
      </c>
      <c r="B416" s="154"/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204"/>
      <c r="Q416" s="156"/>
      <c r="R416" s="156"/>
      <c r="S416" s="156"/>
      <c r="T416" s="156"/>
      <c r="U416" s="156"/>
      <c r="V416" s="157"/>
      <c r="W416" s="157"/>
    </row>
    <row r="417" spans="1:23" ht="12.75">
      <c r="A417">
        <f>ROW()</f>
        <v>417</v>
      </c>
      <c r="B417" s="154" t="str">
        <f aca="true" t="shared" si="300" ref="B417:B425">+B344</f>
        <v>Capex % of Revenue</v>
      </c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205">
        <f>+P381</f>
        <v>0.05465485542370049</v>
      </c>
      <c r="Q417" s="158">
        <f aca="true" t="shared" si="301" ref="Q417:W418">+Q381</f>
        <v>0.05465485542370049</v>
      </c>
      <c r="R417" s="158">
        <f t="shared" si="301"/>
        <v>0.05465485542370049</v>
      </c>
      <c r="S417" s="158">
        <f t="shared" si="301"/>
        <v>0.05465485542370049</v>
      </c>
      <c r="T417" s="158">
        <f t="shared" si="301"/>
        <v>0.05465485542370049</v>
      </c>
      <c r="U417" s="158">
        <f t="shared" si="301"/>
        <v>0.05465485542370049</v>
      </c>
      <c r="V417" s="158">
        <f t="shared" si="301"/>
        <v>0.05465485542370049</v>
      </c>
      <c r="W417" s="158">
        <f t="shared" si="301"/>
        <v>0.05465485542370049</v>
      </c>
    </row>
    <row r="418" spans="1:23" ht="12.75">
      <c r="A418">
        <f>ROW()</f>
        <v>418</v>
      </c>
      <c r="B418" s="154" t="str">
        <f t="shared" si="300"/>
        <v>Other Investments % of Revenue</v>
      </c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205">
        <f>+P382</f>
        <v>-0.0006685609226140733</v>
      </c>
      <c r="Q418" s="158">
        <f aca="true" t="shared" si="302" ref="Q418:W418">+Q382</f>
        <v>0</v>
      </c>
      <c r="R418" s="158">
        <f t="shared" si="302"/>
        <v>0</v>
      </c>
      <c r="S418" s="158">
        <f t="shared" si="302"/>
        <v>0</v>
      </c>
      <c r="T418" s="158">
        <f t="shared" si="302"/>
        <v>0</v>
      </c>
      <c r="U418" s="158">
        <f t="shared" si="302"/>
        <v>0</v>
      </c>
      <c r="V418" s="158">
        <f t="shared" si="302"/>
        <v>0</v>
      </c>
      <c r="W418" s="158">
        <f t="shared" si="302"/>
        <v>0</v>
      </c>
    </row>
    <row r="419" spans="1:23" ht="12.75">
      <c r="A419">
        <f>ROW()</f>
        <v>419</v>
      </c>
      <c r="B419" s="154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204"/>
      <c r="Q419" s="156"/>
      <c r="R419" s="156"/>
      <c r="S419" s="156"/>
      <c r="T419" s="156"/>
      <c r="U419" s="156"/>
      <c r="V419" s="157"/>
      <c r="W419" s="157"/>
    </row>
    <row r="420" spans="1:23" ht="12.75">
      <c r="A420">
        <f>ROW()</f>
        <v>420</v>
      </c>
      <c r="B420" s="154" t="str">
        <f t="shared" si="300"/>
        <v>Accounts Receivable Days</v>
      </c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204"/>
      <c r="Q420" s="160">
        <f>+Q384</f>
        <v>55.3326090590005</v>
      </c>
      <c r="R420" s="160">
        <f aca="true" t="shared" si="303" ref="R420:W420">+R384</f>
        <v>55.3326090590005</v>
      </c>
      <c r="S420" s="160">
        <f t="shared" si="303"/>
        <v>55.3326090590005</v>
      </c>
      <c r="T420" s="160">
        <f t="shared" si="303"/>
        <v>55.3326090590005</v>
      </c>
      <c r="U420" s="160">
        <f t="shared" si="303"/>
        <v>55.3326090590005</v>
      </c>
      <c r="V420" s="160">
        <f t="shared" si="303"/>
        <v>55.3326090590005</v>
      </c>
      <c r="W420" s="160">
        <f t="shared" si="303"/>
        <v>55.3326090590005</v>
      </c>
    </row>
    <row r="421" spans="1:23" ht="12.75">
      <c r="A421">
        <f>ROW()</f>
        <v>421</v>
      </c>
      <c r="B421" s="154" t="str">
        <f t="shared" si="300"/>
        <v>Inventory Turns</v>
      </c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204"/>
      <c r="Q421" s="160">
        <f>+Q385</f>
        <v>6.385593220338983</v>
      </c>
      <c r="R421" s="160">
        <f aca="true" t="shared" si="304" ref="R421:W421">+R385</f>
        <v>6.385593220338983</v>
      </c>
      <c r="S421" s="160">
        <f t="shared" si="304"/>
        <v>6.385593220338983</v>
      </c>
      <c r="T421" s="160">
        <f t="shared" si="304"/>
        <v>6.385593220338983</v>
      </c>
      <c r="U421" s="160">
        <f t="shared" si="304"/>
        <v>6.385593220338983</v>
      </c>
      <c r="V421" s="160">
        <f t="shared" si="304"/>
        <v>6.385593220338983</v>
      </c>
      <c r="W421" s="160">
        <f t="shared" si="304"/>
        <v>6.385593220338983</v>
      </c>
    </row>
    <row r="422" spans="1:23" ht="12.75">
      <c r="A422">
        <f>ROW()</f>
        <v>422</v>
      </c>
      <c r="B422" s="154" t="str">
        <f t="shared" si="300"/>
        <v>Other Current Assets % of Revenue</v>
      </c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204"/>
      <c r="Q422" s="158">
        <f aca="true" t="shared" si="305" ref="Q421:W425">+Q386</f>
        <v>0.02657529667390941</v>
      </c>
      <c r="R422" s="158">
        <f t="shared" si="305"/>
        <v>0.02657529667390941</v>
      </c>
      <c r="S422" s="158">
        <f t="shared" si="305"/>
        <v>0.02657529667390941</v>
      </c>
      <c r="T422" s="158">
        <f t="shared" si="305"/>
        <v>0.02657529667390941</v>
      </c>
      <c r="U422" s="158">
        <f t="shared" si="305"/>
        <v>0.02657529667390941</v>
      </c>
      <c r="V422" s="158">
        <f t="shared" si="305"/>
        <v>0.02657529667390941</v>
      </c>
      <c r="W422" s="158">
        <f t="shared" si="305"/>
        <v>0.02657529667390941</v>
      </c>
    </row>
    <row r="423" spans="1:23" ht="12.75">
      <c r="A423">
        <f>ROW()</f>
        <v>423</v>
      </c>
      <c r="B423" s="154" t="str">
        <f t="shared" si="300"/>
        <v>Accounts Payable Days </v>
      </c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204"/>
      <c r="Q423" s="160">
        <f>+Q387</f>
        <v>503.7823490378235</v>
      </c>
      <c r="R423" s="160">
        <f aca="true" t="shared" si="306" ref="R423:W423">+R387</f>
        <v>503.7823490378235</v>
      </c>
      <c r="S423" s="160">
        <f t="shared" si="306"/>
        <v>503.7823490378235</v>
      </c>
      <c r="T423" s="160">
        <f t="shared" si="306"/>
        <v>503.7823490378235</v>
      </c>
      <c r="U423" s="160">
        <f t="shared" si="306"/>
        <v>503.7823490378235</v>
      </c>
      <c r="V423" s="160">
        <f t="shared" si="306"/>
        <v>503.7823490378235</v>
      </c>
      <c r="W423" s="160">
        <f t="shared" si="306"/>
        <v>503.7823490378235</v>
      </c>
    </row>
    <row r="424" spans="1:23" ht="12.75">
      <c r="A424">
        <f>ROW()</f>
        <v>424</v>
      </c>
      <c r="B424" s="154" t="str">
        <f t="shared" si="300"/>
        <v>Acccrued Expenses % of Revenue</v>
      </c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204"/>
      <c r="Q424" s="162">
        <f t="shared" si="305"/>
        <v>0</v>
      </c>
      <c r="R424" s="162">
        <f t="shared" si="305"/>
        <v>0</v>
      </c>
      <c r="S424" s="162">
        <f t="shared" si="305"/>
        <v>0</v>
      </c>
      <c r="T424" s="162">
        <f t="shared" si="305"/>
        <v>0</v>
      </c>
      <c r="U424" s="162">
        <f t="shared" si="305"/>
        <v>0</v>
      </c>
      <c r="V424" s="162">
        <f t="shared" si="305"/>
        <v>0</v>
      </c>
      <c r="W424" s="162">
        <f t="shared" si="305"/>
        <v>0</v>
      </c>
    </row>
    <row r="425" spans="1:23" ht="13.5" thickBot="1">
      <c r="A425">
        <f>ROW()</f>
        <v>425</v>
      </c>
      <c r="B425" s="227" t="str">
        <f t="shared" si="300"/>
        <v>Other Current Liabilities % of Revenues</v>
      </c>
      <c r="C425" s="228"/>
      <c r="D425" s="228"/>
      <c r="E425" s="228"/>
      <c r="F425" s="228"/>
      <c r="G425" s="228"/>
      <c r="H425" s="228"/>
      <c r="I425" s="228"/>
      <c r="J425" s="228"/>
      <c r="K425" s="228"/>
      <c r="L425" s="228"/>
      <c r="M425" s="228"/>
      <c r="N425" s="228"/>
      <c r="O425" s="228"/>
      <c r="P425" s="229"/>
      <c r="Q425" s="230">
        <f t="shared" si="305"/>
        <v>0</v>
      </c>
      <c r="R425" s="230">
        <f t="shared" si="305"/>
        <v>0</v>
      </c>
      <c r="S425" s="230">
        <f t="shared" si="305"/>
        <v>0</v>
      </c>
      <c r="T425" s="230">
        <f t="shared" si="305"/>
        <v>0</v>
      </c>
      <c r="U425" s="230">
        <f t="shared" si="305"/>
        <v>0</v>
      </c>
      <c r="V425" s="230">
        <f t="shared" si="305"/>
        <v>0</v>
      </c>
      <c r="W425" s="230">
        <f t="shared" si="305"/>
        <v>0</v>
      </c>
    </row>
    <row r="426" spans="2:23" ht="12">
      <c r="B426" s="163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64"/>
      <c r="W426" s="164"/>
    </row>
    <row r="427" spans="1:23" ht="12.75" hidden="1">
      <c r="A427">
        <f>ROW()</f>
        <v>427</v>
      </c>
      <c r="B427" s="165" t="s">
        <v>160</v>
      </c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66"/>
      <c r="W427" s="166"/>
    </row>
    <row r="428" spans="1:23" ht="13.5" hidden="1" thickBot="1">
      <c r="A428">
        <f>ROW()</f>
        <v>428</v>
      </c>
      <c r="B428" s="165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211">
        <f aca="true" t="shared" si="307" ref="P428:V428">+P393</f>
        <v>42004</v>
      </c>
      <c r="Q428" s="212">
        <f t="shared" si="307"/>
        <v>42369</v>
      </c>
      <c r="R428" s="212">
        <f t="shared" si="307"/>
        <v>42734</v>
      </c>
      <c r="S428" s="212">
        <f t="shared" si="307"/>
        <v>43099</v>
      </c>
      <c r="T428" s="212">
        <f t="shared" si="307"/>
        <v>43464</v>
      </c>
      <c r="U428" s="212">
        <f t="shared" si="307"/>
        <v>43829</v>
      </c>
      <c r="V428" s="213">
        <f t="shared" si="307"/>
        <v>44194</v>
      </c>
      <c r="W428" s="213">
        <f>+W393</f>
        <v>44559</v>
      </c>
    </row>
    <row r="429" spans="1:23" ht="12.75" hidden="1">
      <c r="A429">
        <f>ROW()</f>
        <v>429</v>
      </c>
      <c r="B429" s="167" t="s">
        <v>161</v>
      </c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214"/>
      <c r="Q429" s="134"/>
      <c r="R429" s="134"/>
      <c r="S429" s="134"/>
      <c r="T429" s="134"/>
      <c r="U429" s="134"/>
      <c r="V429" s="166"/>
      <c r="W429" s="166"/>
    </row>
    <row r="430" spans="1:23" ht="12" hidden="1">
      <c r="A430">
        <f>ROW()</f>
        <v>430</v>
      </c>
      <c r="B430" s="168" t="s">
        <v>346</v>
      </c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308">
        <f>+$P$434/4</f>
        <v>1495750</v>
      </c>
      <c r="Q430" s="135"/>
      <c r="R430" s="135"/>
      <c r="S430" s="135"/>
      <c r="T430" s="135"/>
      <c r="U430" s="135"/>
      <c r="V430" s="170"/>
      <c r="W430" s="170"/>
    </row>
    <row r="431" spans="1:23" ht="12" hidden="1">
      <c r="A431">
        <f>ROW()</f>
        <v>431</v>
      </c>
      <c r="B431" s="168" t="s">
        <v>347</v>
      </c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308">
        <f>+$P$434/4</f>
        <v>1495750</v>
      </c>
      <c r="Q431" s="135"/>
      <c r="R431" s="135"/>
      <c r="S431" s="135"/>
      <c r="T431" s="135"/>
      <c r="U431" s="135"/>
      <c r="V431" s="170"/>
      <c r="W431" s="170"/>
    </row>
    <row r="432" spans="1:23" ht="12" hidden="1">
      <c r="A432">
        <f>ROW()</f>
        <v>432</v>
      </c>
      <c r="B432" s="168" t="s">
        <v>348</v>
      </c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308">
        <f>+$P$434/4</f>
        <v>1495750</v>
      </c>
      <c r="Q432" s="135"/>
      <c r="R432" s="135"/>
      <c r="S432" s="135"/>
      <c r="T432" s="135"/>
      <c r="U432" s="135"/>
      <c r="V432" s="170"/>
      <c r="W432" s="170"/>
    </row>
    <row r="433" spans="1:23" ht="12" hidden="1">
      <c r="A433">
        <f>ROW()</f>
        <v>433</v>
      </c>
      <c r="B433" s="168" t="s">
        <v>349</v>
      </c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308">
        <f>+$P$434/4</f>
        <v>1495750</v>
      </c>
      <c r="Q433" s="135"/>
      <c r="R433" s="135"/>
      <c r="S433" s="135"/>
      <c r="T433" s="135"/>
      <c r="U433" s="135"/>
      <c r="V433" s="170"/>
      <c r="W433" s="170"/>
    </row>
    <row r="434" spans="1:23" ht="12.75" hidden="1" thickBot="1">
      <c r="A434">
        <f>ROW()</f>
        <v>434</v>
      </c>
      <c r="B434" s="168" t="s">
        <v>164</v>
      </c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307">
        <f>+K231</f>
        <v>5983000</v>
      </c>
      <c r="Q434" s="132">
        <f aca="true" t="shared" si="308" ref="Q434:W434">SUM(Q430:Q433)</f>
        <v>0</v>
      </c>
      <c r="R434" s="132">
        <f t="shared" si="308"/>
        <v>0</v>
      </c>
      <c r="S434" s="132">
        <f t="shared" si="308"/>
        <v>0</v>
      </c>
      <c r="T434" s="132">
        <f t="shared" si="308"/>
        <v>0</v>
      </c>
      <c r="U434" s="132">
        <f t="shared" si="308"/>
        <v>0</v>
      </c>
      <c r="V434" s="171">
        <f t="shared" si="308"/>
        <v>0</v>
      </c>
      <c r="W434" s="171">
        <f t="shared" si="308"/>
        <v>0</v>
      </c>
    </row>
    <row r="435" spans="1:23" ht="12.75" hidden="1" thickTop="1">
      <c r="A435">
        <f>ROW()</f>
        <v>435</v>
      </c>
      <c r="B435" s="168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216"/>
      <c r="Q435" s="133"/>
      <c r="R435" s="133"/>
      <c r="S435" s="133"/>
      <c r="T435" s="133"/>
      <c r="U435" s="133"/>
      <c r="V435" s="172"/>
      <c r="W435" s="172"/>
    </row>
    <row r="436" spans="1:23" ht="12.75" hidden="1">
      <c r="A436">
        <f>ROW()</f>
        <v>436</v>
      </c>
      <c r="B436" s="167" t="s">
        <v>162</v>
      </c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214"/>
      <c r="Q436" s="134"/>
      <c r="R436" s="134"/>
      <c r="S436" s="134"/>
      <c r="T436" s="134"/>
      <c r="U436" s="134"/>
      <c r="V436" s="166"/>
      <c r="W436" s="166"/>
    </row>
    <row r="437" spans="1:23" ht="12" hidden="1">
      <c r="A437">
        <f>ROW()</f>
        <v>437</v>
      </c>
      <c r="B437" s="173" t="str">
        <f>+B430</f>
        <v>Owned, Leased and Consolidated Joint Venture Hotels</v>
      </c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217"/>
      <c r="Q437" s="174"/>
      <c r="R437" s="174"/>
      <c r="S437" s="174"/>
      <c r="T437" s="174"/>
      <c r="U437" s="174"/>
      <c r="V437" s="170"/>
      <c r="W437" s="170"/>
    </row>
    <row r="438" spans="1:23" ht="12" hidden="1">
      <c r="A438">
        <f>ROW()</f>
        <v>438</v>
      </c>
      <c r="B438" s="173" t="str">
        <f>+B431</f>
        <v>Management Fees, Franchise Fees and Other Income</v>
      </c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217"/>
      <c r="Q438" s="174"/>
      <c r="R438" s="174"/>
      <c r="S438" s="174"/>
      <c r="T438" s="174"/>
      <c r="U438" s="174"/>
      <c r="V438" s="170"/>
      <c r="W438" s="170"/>
    </row>
    <row r="439" spans="1:23" ht="12" hidden="1">
      <c r="A439">
        <f>ROW()</f>
        <v>439</v>
      </c>
      <c r="B439" s="173" t="str">
        <f>+B432</f>
        <v>Vacation Ownership and Residential</v>
      </c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217"/>
      <c r="Q439" s="174"/>
      <c r="R439" s="174"/>
      <c r="S439" s="174"/>
      <c r="T439" s="174"/>
      <c r="U439" s="174"/>
      <c r="V439" s="170"/>
      <c r="W439" s="170"/>
    </row>
    <row r="440" spans="1:23" ht="12" hidden="1">
      <c r="A440">
        <f>ROW()</f>
        <v>440</v>
      </c>
      <c r="B440" s="173" t="str">
        <f>+B433</f>
        <v>Other Revenues from Managed and Franchised Properties</v>
      </c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217"/>
      <c r="Q440" s="174"/>
      <c r="R440" s="174"/>
      <c r="S440" s="174"/>
      <c r="T440" s="174"/>
      <c r="U440" s="174"/>
      <c r="V440" s="170"/>
      <c r="W440" s="170"/>
    </row>
    <row r="441" spans="1:23" ht="12.75" hidden="1" thickBot="1">
      <c r="A441">
        <f>ROW()</f>
        <v>441</v>
      </c>
      <c r="B441" s="175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307">
        <f>+K238</f>
        <v>1507000</v>
      </c>
      <c r="Q441" s="132">
        <f aca="true" t="shared" si="309" ref="Q441:W441">SUM(Q437:Q440)</f>
        <v>0</v>
      </c>
      <c r="R441" s="132">
        <f t="shared" si="309"/>
        <v>0</v>
      </c>
      <c r="S441" s="132">
        <f t="shared" si="309"/>
        <v>0</v>
      </c>
      <c r="T441" s="132">
        <f t="shared" si="309"/>
        <v>0</v>
      </c>
      <c r="U441" s="132">
        <f t="shared" si="309"/>
        <v>0</v>
      </c>
      <c r="V441" s="171">
        <f t="shared" si="309"/>
        <v>0</v>
      </c>
      <c r="W441" s="171">
        <f t="shared" si="309"/>
        <v>0</v>
      </c>
    </row>
    <row r="442" spans="1:23" ht="12.75" hidden="1" thickTop="1">
      <c r="A442">
        <f>ROW()</f>
        <v>442</v>
      </c>
      <c r="B442" s="175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214"/>
      <c r="Q442" s="133"/>
      <c r="R442" s="133"/>
      <c r="S442" s="133"/>
      <c r="T442" s="133"/>
      <c r="U442" s="133"/>
      <c r="V442" s="172"/>
      <c r="W442" s="172"/>
    </row>
    <row r="443" spans="1:23" ht="12" hidden="1">
      <c r="A443">
        <f>ROW()</f>
        <v>443</v>
      </c>
      <c r="B443" s="175" t="s">
        <v>163</v>
      </c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218"/>
      <c r="Q443" s="135"/>
      <c r="R443" s="135"/>
      <c r="S443" s="135"/>
      <c r="T443" s="135"/>
      <c r="U443" s="135"/>
      <c r="V443" s="170"/>
      <c r="W443" s="170"/>
    </row>
    <row r="444" spans="1:23" ht="12" hidden="1">
      <c r="A444">
        <f>ROW()</f>
        <v>444</v>
      </c>
      <c r="B444" s="175" t="s">
        <v>188</v>
      </c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219"/>
      <c r="Q444" s="136"/>
      <c r="R444" s="136"/>
      <c r="S444" s="136"/>
      <c r="T444" s="136"/>
      <c r="U444" s="136"/>
      <c r="V444" s="176"/>
      <c r="W444" s="176"/>
    </row>
    <row r="445" spans="1:23" ht="12" hidden="1">
      <c r="A445">
        <f>ROW()</f>
        <v>445</v>
      </c>
      <c r="B445" s="175" t="s">
        <v>189</v>
      </c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219"/>
      <c r="Q445" s="136"/>
      <c r="R445" s="136"/>
      <c r="S445" s="136"/>
      <c r="T445" s="136"/>
      <c r="U445" s="136"/>
      <c r="V445" s="176"/>
      <c r="W445" s="176"/>
    </row>
    <row r="446" spans="1:23" ht="12" hidden="1">
      <c r="A446">
        <f>ROW()</f>
        <v>446</v>
      </c>
      <c r="B446" s="175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214"/>
      <c r="Q446" s="134"/>
      <c r="R446" s="134"/>
      <c r="S446" s="134"/>
      <c r="T446" s="134"/>
      <c r="U446" s="134"/>
      <c r="V446" s="166"/>
      <c r="W446" s="166"/>
    </row>
    <row r="447" spans="1:23" ht="12" hidden="1">
      <c r="A447">
        <f>ROW()</f>
        <v>447</v>
      </c>
      <c r="B447" s="175" t="s">
        <v>31</v>
      </c>
      <c r="C447" s="136"/>
      <c r="D447" s="136"/>
      <c r="E447" s="136"/>
      <c r="F447" s="136"/>
      <c r="G447" s="136"/>
      <c r="H447" s="136"/>
      <c r="I447" s="136"/>
      <c r="J447" s="136"/>
      <c r="K447" s="136"/>
      <c r="L447" s="134"/>
      <c r="M447" s="134"/>
      <c r="N447" s="134"/>
      <c r="O447" s="134"/>
      <c r="P447" s="215"/>
      <c r="Q447" s="135"/>
      <c r="R447" s="135"/>
      <c r="S447" s="135"/>
      <c r="T447" s="135"/>
      <c r="U447" s="135"/>
      <c r="V447" s="170"/>
      <c r="W447" s="170"/>
    </row>
    <row r="448" spans="1:23" ht="12" hidden="1">
      <c r="A448">
        <f>ROW()</f>
        <v>448</v>
      </c>
      <c r="B448" s="175" t="s">
        <v>32</v>
      </c>
      <c r="C448" s="136"/>
      <c r="D448" s="136"/>
      <c r="E448" s="136"/>
      <c r="F448" s="136"/>
      <c r="G448" s="136"/>
      <c r="H448" s="136"/>
      <c r="I448" s="136"/>
      <c r="J448" s="136"/>
      <c r="K448" s="136"/>
      <c r="L448" s="134"/>
      <c r="M448" s="134"/>
      <c r="N448" s="134"/>
      <c r="O448" s="134"/>
      <c r="P448" s="215"/>
      <c r="Q448" s="135"/>
      <c r="R448" s="135"/>
      <c r="S448" s="135"/>
      <c r="T448" s="135"/>
      <c r="U448" s="135"/>
      <c r="V448" s="170"/>
      <c r="W448" s="170"/>
    </row>
    <row r="449" spans="1:23" ht="12" hidden="1">
      <c r="A449">
        <f>ROW()</f>
        <v>449</v>
      </c>
      <c r="B449" s="175" t="s">
        <v>33</v>
      </c>
      <c r="C449" s="136"/>
      <c r="D449" s="136"/>
      <c r="E449" s="136"/>
      <c r="F449" s="136"/>
      <c r="G449" s="136"/>
      <c r="H449" s="136"/>
      <c r="I449" s="136"/>
      <c r="J449" s="136"/>
      <c r="K449" s="136"/>
      <c r="L449" s="134"/>
      <c r="M449" s="134"/>
      <c r="N449" s="134"/>
      <c r="O449" s="134"/>
      <c r="P449" s="215"/>
      <c r="Q449" s="135"/>
      <c r="R449" s="135"/>
      <c r="S449" s="135"/>
      <c r="T449" s="135"/>
      <c r="U449" s="135"/>
      <c r="V449" s="170"/>
      <c r="W449" s="170"/>
    </row>
    <row r="450" spans="1:23" ht="12" hidden="1">
      <c r="A450">
        <f>ROW()</f>
        <v>450</v>
      </c>
      <c r="B450" s="175" t="s">
        <v>41</v>
      </c>
      <c r="C450" s="136"/>
      <c r="D450" s="136"/>
      <c r="E450" s="136"/>
      <c r="F450" s="136"/>
      <c r="G450" s="136"/>
      <c r="H450" s="136"/>
      <c r="I450" s="136"/>
      <c r="J450" s="136"/>
      <c r="K450" s="136"/>
      <c r="L450" s="134"/>
      <c r="M450" s="134"/>
      <c r="N450" s="134"/>
      <c r="O450" s="134"/>
      <c r="P450" s="215"/>
      <c r="Q450" s="135"/>
      <c r="R450" s="135"/>
      <c r="S450" s="135"/>
      <c r="T450" s="135"/>
      <c r="U450" s="135"/>
      <c r="V450" s="170"/>
      <c r="W450" s="170"/>
    </row>
    <row r="451" spans="1:23" ht="12" hidden="1">
      <c r="A451">
        <f>ROW()</f>
        <v>451</v>
      </c>
      <c r="B451" s="175" t="s">
        <v>42</v>
      </c>
      <c r="C451" s="136"/>
      <c r="D451" s="136"/>
      <c r="E451" s="136"/>
      <c r="F451" s="136"/>
      <c r="G451" s="136"/>
      <c r="H451" s="136"/>
      <c r="I451" s="136"/>
      <c r="J451" s="136"/>
      <c r="K451" s="136"/>
      <c r="L451" s="134"/>
      <c r="M451" s="134"/>
      <c r="N451" s="134"/>
      <c r="O451" s="134"/>
      <c r="P451" s="215"/>
      <c r="Q451" s="135"/>
      <c r="R451" s="135"/>
      <c r="S451" s="135"/>
      <c r="T451" s="135"/>
      <c r="U451" s="135"/>
      <c r="V451" s="170"/>
      <c r="W451" s="170"/>
    </row>
    <row r="452" spans="1:23" ht="12" hidden="1">
      <c r="A452">
        <f>ROW()</f>
        <v>452</v>
      </c>
      <c r="B452" s="175" t="s">
        <v>43</v>
      </c>
      <c r="C452" s="136"/>
      <c r="D452" s="136"/>
      <c r="E452" s="136"/>
      <c r="F452" s="136"/>
      <c r="G452" s="136"/>
      <c r="H452" s="136"/>
      <c r="I452" s="136"/>
      <c r="J452" s="136"/>
      <c r="K452" s="136"/>
      <c r="L452" s="134"/>
      <c r="M452" s="134"/>
      <c r="N452" s="134"/>
      <c r="O452" s="134"/>
      <c r="P452" s="215"/>
      <c r="Q452" s="135"/>
      <c r="R452" s="135"/>
      <c r="S452" s="135"/>
      <c r="T452" s="135"/>
      <c r="U452" s="135"/>
      <c r="V452" s="170"/>
      <c r="W452" s="170"/>
    </row>
    <row r="453" spans="1:23" ht="12" hidden="1">
      <c r="A453">
        <f>ROW()</f>
        <v>453</v>
      </c>
      <c r="B453" s="175"/>
      <c r="C453" s="136"/>
      <c r="D453" s="136"/>
      <c r="E453" s="136"/>
      <c r="F453" s="136"/>
      <c r="G453" s="136"/>
      <c r="H453" s="136"/>
      <c r="I453" s="136"/>
      <c r="J453" s="136"/>
      <c r="K453" s="136"/>
      <c r="L453" s="134"/>
      <c r="M453" s="134"/>
      <c r="N453" s="134"/>
      <c r="O453" s="134"/>
      <c r="P453" s="220"/>
      <c r="Q453" s="169"/>
      <c r="R453" s="169"/>
      <c r="S453" s="169"/>
      <c r="T453" s="169"/>
      <c r="U453" s="169"/>
      <c r="V453" s="177"/>
      <c r="W453" s="177"/>
    </row>
    <row r="454" spans="1:23" ht="12" hidden="1">
      <c r="A454">
        <f>ROW()</f>
        <v>454</v>
      </c>
      <c r="B454" s="175" t="s">
        <v>103</v>
      </c>
      <c r="C454" s="136"/>
      <c r="D454" s="136"/>
      <c r="E454" s="136"/>
      <c r="F454" s="136"/>
      <c r="G454" s="136"/>
      <c r="H454" s="136"/>
      <c r="I454" s="136"/>
      <c r="J454" s="136"/>
      <c r="K454" s="136"/>
      <c r="L454" s="134"/>
      <c r="M454" s="134"/>
      <c r="N454" s="134"/>
      <c r="O454" s="134"/>
      <c r="P454" s="215"/>
      <c r="Q454" s="135"/>
      <c r="R454" s="135"/>
      <c r="S454" s="135"/>
      <c r="T454" s="135"/>
      <c r="U454" s="135"/>
      <c r="V454" s="170"/>
      <c r="W454" s="170"/>
    </row>
    <row r="455" spans="1:23" ht="12" hidden="1">
      <c r="A455">
        <f>ROW()</f>
        <v>455</v>
      </c>
      <c r="B455" s="175" t="str">
        <f>+B189</f>
        <v>   Other Investments</v>
      </c>
      <c r="C455" s="136"/>
      <c r="D455" s="136"/>
      <c r="E455" s="136"/>
      <c r="F455" s="136"/>
      <c r="G455" s="136"/>
      <c r="H455" s="136"/>
      <c r="I455" s="136"/>
      <c r="J455" s="136"/>
      <c r="K455" s="134"/>
      <c r="L455" s="134"/>
      <c r="M455" s="134"/>
      <c r="N455" s="134"/>
      <c r="O455" s="134"/>
      <c r="P455" s="215"/>
      <c r="Q455" s="135"/>
      <c r="R455" s="135"/>
      <c r="S455" s="135"/>
      <c r="T455" s="135"/>
      <c r="U455" s="135"/>
      <c r="V455" s="170"/>
      <c r="W455" s="170"/>
    </row>
    <row r="456" spans="1:23" ht="12" hidden="1">
      <c r="A456">
        <f>ROW()</f>
        <v>456</v>
      </c>
      <c r="B456" s="175"/>
      <c r="C456" s="136"/>
      <c r="D456" s="136"/>
      <c r="E456" s="136"/>
      <c r="F456" s="136"/>
      <c r="G456" s="136"/>
      <c r="H456" s="136"/>
      <c r="I456" s="136"/>
      <c r="J456" s="136"/>
      <c r="K456" s="134"/>
      <c r="L456" s="134"/>
      <c r="M456" s="134"/>
      <c r="N456" s="134"/>
      <c r="O456" s="134"/>
      <c r="P456" s="221"/>
      <c r="Q456" s="134"/>
      <c r="R456" s="134"/>
      <c r="S456" s="134"/>
      <c r="T456" s="134"/>
      <c r="U456" s="134"/>
      <c r="V456" s="166"/>
      <c r="W456" s="166"/>
    </row>
    <row r="457" spans="1:23" ht="12.75" hidden="1" thickBot="1">
      <c r="A457">
        <f>ROW()</f>
        <v>457</v>
      </c>
      <c r="B457" s="178"/>
      <c r="C457" s="179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222"/>
      <c r="Q457" s="179"/>
      <c r="R457" s="179"/>
      <c r="S457" s="179"/>
      <c r="T457" s="179"/>
      <c r="U457" s="179"/>
      <c r="V457" s="180"/>
      <c r="W457" s="180"/>
    </row>
    <row r="458" ht="12.75" thickBot="1"/>
    <row r="459" spans="1:23" ht="13.5" thickBot="1">
      <c r="A459">
        <f>ROW()</f>
        <v>459</v>
      </c>
      <c r="B459" s="181" t="s">
        <v>221</v>
      </c>
      <c r="C459" s="182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98">
        <f>+P320</f>
        <v>42004</v>
      </c>
      <c r="Q459" s="199">
        <f aca="true" t="shared" si="310" ref="Q459:V459">+Q428</f>
        <v>42369</v>
      </c>
      <c r="R459" s="199">
        <f t="shared" si="310"/>
        <v>42734</v>
      </c>
      <c r="S459" s="199">
        <f t="shared" si="310"/>
        <v>43099</v>
      </c>
      <c r="T459" s="199">
        <f t="shared" si="310"/>
        <v>43464</v>
      </c>
      <c r="U459" s="199">
        <f t="shared" si="310"/>
        <v>43829</v>
      </c>
      <c r="V459" s="200">
        <f t="shared" si="310"/>
        <v>44194</v>
      </c>
      <c r="W459" s="200">
        <f>+W428</f>
        <v>44559</v>
      </c>
    </row>
    <row r="460" spans="1:23" ht="13.5" thickBot="1">
      <c r="A460">
        <f>ROW()</f>
        <v>460</v>
      </c>
      <c r="B460" s="183" t="s">
        <v>222</v>
      </c>
      <c r="C460" s="184"/>
      <c r="D460" s="184"/>
      <c r="E460" s="184"/>
      <c r="F460" s="184"/>
      <c r="G460" s="184"/>
      <c r="H460" s="184"/>
      <c r="I460" s="194" t="s">
        <v>223</v>
      </c>
      <c r="J460" s="195"/>
      <c r="K460" s="197" t="s">
        <v>225</v>
      </c>
      <c r="L460" s="184"/>
      <c r="M460" s="184"/>
      <c r="N460" s="184"/>
      <c r="O460" s="184"/>
      <c r="P460" s="207"/>
      <c r="Q460" s="185">
        <f aca="true" t="shared" si="311" ref="Q460:V460">+Q204</f>
        <v>245431.39618203975</v>
      </c>
      <c r="R460" s="185">
        <f t="shared" si="311"/>
        <v>309071.4470676316</v>
      </c>
      <c r="S460" s="185">
        <f t="shared" si="311"/>
        <v>341937.64619992493</v>
      </c>
      <c r="T460" s="185">
        <f t="shared" si="311"/>
        <v>360651.94678085786</v>
      </c>
      <c r="U460" s="185">
        <f t="shared" si="311"/>
        <v>365942.63319424365</v>
      </c>
      <c r="V460" s="186">
        <f t="shared" si="311"/>
        <v>403560.902175753</v>
      </c>
      <c r="W460" s="186">
        <f>+W204</f>
        <v>443174.52326926443</v>
      </c>
    </row>
    <row r="461" spans="1:23" ht="12">
      <c r="A461">
        <f>ROW()</f>
        <v>461</v>
      </c>
      <c r="B461" s="183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207"/>
      <c r="Q461" s="184"/>
      <c r="R461" s="184"/>
      <c r="S461" s="184"/>
      <c r="T461" s="184"/>
      <c r="U461" s="184"/>
      <c r="V461" s="187"/>
      <c r="W461" s="187"/>
    </row>
    <row r="462" spans="1:23" ht="12">
      <c r="A462">
        <f>ROW()</f>
        <v>462</v>
      </c>
      <c r="B462" s="183" t="str">
        <f>+B206</f>
        <v>Revolver</v>
      </c>
      <c r="C462" s="184"/>
      <c r="D462" s="184"/>
      <c r="E462" s="184"/>
      <c r="F462" s="184"/>
      <c r="G462" s="184"/>
      <c r="H462" s="184"/>
      <c r="I462" s="184"/>
      <c r="J462" s="184" t="s">
        <v>226</v>
      </c>
      <c r="K462" s="196" t="s">
        <v>224</v>
      </c>
      <c r="L462" s="184"/>
      <c r="M462" s="184"/>
      <c r="N462" s="184"/>
      <c r="O462" s="184"/>
      <c r="P462" s="207"/>
      <c r="Q462" s="188">
        <f>IF(SUM(Q$460:Q461)&lt;SUM(P$467:P468),-SUM(Q$460:Q461),-SUM(P$467:P468))</f>
        <v>0</v>
      </c>
      <c r="R462" s="188">
        <f>IF(SUM(R$460:R461)&lt;SUM(Q$467:Q468),-SUM(R$460:R461),-SUM(Q$467:Q468))</f>
        <v>0</v>
      </c>
      <c r="S462" s="188">
        <f>IF(SUM(S$460:S461)&lt;SUM(R$467:R468),-SUM(S$460:S461),-SUM(R$467:R468))</f>
        <v>0</v>
      </c>
      <c r="T462" s="188">
        <f>IF(SUM(T$460:T461)&lt;SUM(S$467:S468),-SUM(T$460:T461),-SUM(S$467:S468))</f>
        <v>0</v>
      </c>
      <c r="U462" s="188">
        <f>IF(SUM(U$460:U461)&lt;SUM(T$467:T468),-SUM(U$460:U461),-SUM(T$467:T468))</f>
        <v>0</v>
      </c>
      <c r="V462" s="189">
        <f>IF(SUM(V$460:V461)&lt;SUM(U$467:U468),-SUM(V$460:V461),-SUM(U$467:U468))</f>
        <v>0</v>
      </c>
      <c r="W462" s="189">
        <f>IF(SUM(W$460:W461)&lt;SUM(V$467:V468),-SUM(W$460:W461),-SUM(V$467:V468))</f>
        <v>0</v>
      </c>
    </row>
    <row r="463" spans="1:23" ht="12">
      <c r="A463">
        <f>ROW()</f>
        <v>463</v>
      </c>
      <c r="B463" s="183" t="str">
        <f>+B207</f>
        <v>Term Loan A</v>
      </c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207"/>
      <c r="Q463" s="188">
        <f>IF(SUM(Q$460:Q462)&lt;SUM(P$467:P469),-SUM(Q$460:Q462),-SUM(P$467:P469))</f>
        <v>0</v>
      </c>
      <c r="R463" s="188">
        <f>IF(SUM(R$460:R462)&lt;SUM(Q$467:Q469),-SUM(R$460:R462),-SUM(Q$467:Q469))</f>
        <v>0</v>
      </c>
      <c r="S463" s="188">
        <f>IF(SUM(S$460:S462)&lt;SUM(R$467:R469),-SUM(S$460:S462),-SUM(R$467:R469))</f>
        <v>0</v>
      </c>
      <c r="T463" s="188">
        <f>IF(SUM(T$460:T462)&lt;SUM(S$467:S469),-SUM(T$460:T462),-SUM(S$467:S469))</f>
        <v>0</v>
      </c>
      <c r="U463" s="188">
        <f>IF(SUM(U$460:U462)&lt;SUM(T$467:T469),-SUM(U$460:U462),-SUM(T$467:T469))</f>
        <v>0</v>
      </c>
      <c r="V463" s="189">
        <f>IF(SUM(V$460:V462)&lt;SUM(U$467:U469),-SUM(V$460:V462),-SUM(U$467:U469))</f>
        <v>0</v>
      </c>
      <c r="W463" s="189">
        <f>IF(SUM(W$460:W462)&lt;SUM(V$467:V469),-SUM(W$460:W462),-SUM(V$467:V469))</f>
        <v>0</v>
      </c>
    </row>
    <row r="464" spans="1:23" ht="12">
      <c r="A464">
        <f>ROW()</f>
        <v>464</v>
      </c>
      <c r="B464" s="183" t="str">
        <f>+B208</f>
        <v>Term Loan B</v>
      </c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207"/>
      <c r="Q464" s="188">
        <f>IF(SUM(Q$460:Q463)&lt;SUM(P$467:P470),-SUM(Q$460:Q463),-SUM(P$467:P470))</f>
        <v>-245431.39618203975</v>
      </c>
      <c r="R464" s="188">
        <f>IF(SUM(R$460:R463)&lt;SUM(Q$467:Q470),-SUM(R$460:R463),-SUM(Q$467:Q470))</f>
        <v>-309071.4470676316</v>
      </c>
      <c r="S464" s="188">
        <f>IF(SUM(S$460:S463)&lt;SUM(R$467:R470),-SUM(S$460:S463),-SUM(R$467:R470))</f>
        <v>-341937.64619992493</v>
      </c>
      <c r="T464" s="188">
        <f>IF(SUM(T$460:T463)&lt;SUM(S$467:S470),-SUM(T$460:T463),-SUM(S$467:S470))</f>
        <v>-360651.94678085786</v>
      </c>
      <c r="U464" s="188">
        <f>IF(SUM(U$460:U463)&lt;SUM(T$467:T470),-SUM(U$460:U463),-SUM(T$467:T470))</f>
        <v>-365942.63319424365</v>
      </c>
      <c r="V464" s="189">
        <f>IF(SUM(V$460:V463)&lt;SUM(U$467:U470),-SUM(V$460:V463),-SUM(U$467:U470))</f>
        <v>-403560.902175753</v>
      </c>
      <c r="W464" s="189">
        <f>IF(SUM(W$460:W463)&lt;SUM(V$467:V470),-SUM(W$460:W463),-SUM(V$467:V470))</f>
        <v>-443174.52326926443</v>
      </c>
    </row>
    <row r="465" spans="1:23" ht="12">
      <c r="A465">
        <f>ROW()</f>
        <v>465</v>
      </c>
      <c r="B465" s="183" t="str">
        <f>+B209</f>
        <v>New Term Loan</v>
      </c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207"/>
      <c r="Q465" s="188">
        <f>IF(SUM(Q$460:Q464)&lt;SUM(P$467:P471),-SUM(Q$460:Q464),-SUM(P$467:P471))</f>
        <v>0</v>
      </c>
      <c r="R465" s="188">
        <f>IF(SUM(R$460:R464)&lt;SUM(Q$467:Q471),-SUM(R$460:R464),-SUM(Q$467:Q471))</f>
        <v>0</v>
      </c>
      <c r="S465" s="188">
        <f>IF(SUM(S$460:S464)&lt;SUM(R$467:R471),-SUM(S$460:S464),-SUM(R$467:R471))</f>
        <v>0</v>
      </c>
      <c r="T465" s="188">
        <f>IF(SUM(T$460:T464)&lt;SUM(S$467:S471),-SUM(T$460:T464),-SUM(S$467:S471))</f>
        <v>0</v>
      </c>
      <c r="U465" s="188">
        <f>IF(SUM(U$460:U464)&lt;SUM(T$467:T471),-SUM(U$460:U464),-SUM(T$467:T471))</f>
        <v>0</v>
      </c>
      <c r="V465" s="189">
        <f>IF(SUM(V$460:V464)&lt;SUM(U$467:U471),-SUM(V$460:V464),-SUM(U$467:U471))</f>
        <v>0</v>
      </c>
      <c r="W465" s="189">
        <f>IF(SUM(W$460:W464)&lt;SUM(V$467:V471),-SUM(W$460:W464),-SUM(V$467:V471))</f>
        <v>0</v>
      </c>
    </row>
    <row r="466" spans="1:23" ht="12">
      <c r="A466">
        <f>ROW()</f>
        <v>466</v>
      </c>
      <c r="B466" s="183" t="str">
        <f>+B210</f>
        <v>Other Bank Debt / Exisiting</v>
      </c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207"/>
      <c r="Q466" s="188">
        <f>IF(SUM(Q$460:Q465)&lt;SUM(P$467:P472),-SUM(Q$460:Q465),-SUM(P$467:P472))</f>
        <v>0</v>
      </c>
      <c r="R466" s="188">
        <f>IF(SUM(R$460:R465)&lt;SUM(Q$467:Q472),-SUM(R$460:R465),-SUM(Q$467:Q472))</f>
        <v>0</v>
      </c>
      <c r="S466" s="188">
        <f>IF(SUM(S$460:S465)&lt;SUM(R$467:R472),-SUM(S$460:S465),-SUM(R$467:R472))</f>
        <v>0</v>
      </c>
      <c r="T466" s="188">
        <f>IF(SUM(T$460:T465)&lt;SUM(S$467:S472),-SUM(T$460:T465),-SUM(S$467:S472))</f>
        <v>0</v>
      </c>
      <c r="U466" s="188">
        <f>IF(SUM(U$460:U465)&lt;SUM(T$467:T472),-SUM(U$460:U465),-SUM(T$467:T472))</f>
        <v>0</v>
      </c>
      <c r="V466" s="189">
        <f>IF(SUM(V$460:V465)&lt;SUM(U$467:U472),-SUM(V$460:V465),-SUM(U$467:U472))</f>
        <v>0</v>
      </c>
      <c r="W466" s="189">
        <f>IF(SUM(W$460:W465)&lt;SUM(V$467:V472),-SUM(W$460:W465),-SUM(V$467:V472))</f>
        <v>0</v>
      </c>
    </row>
    <row r="467" spans="1:23" ht="12">
      <c r="A467">
        <f>ROW()</f>
        <v>467</v>
      </c>
      <c r="B467" s="183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207"/>
      <c r="Q467" s="188"/>
      <c r="R467" s="188"/>
      <c r="S467" s="188"/>
      <c r="T467" s="188"/>
      <c r="U467" s="188"/>
      <c r="V467" s="189"/>
      <c r="W467" s="189"/>
    </row>
    <row r="468" spans="1:23" ht="12">
      <c r="A468">
        <f>ROW()</f>
        <v>468</v>
      </c>
      <c r="B468" s="183" t="str">
        <f>+B462</f>
        <v>Revolver</v>
      </c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208">
        <f>+P84</f>
        <v>0</v>
      </c>
      <c r="Q468" s="185">
        <f aca="true" t="shared" si="312" ref="Q468:V468">+Q84</f>
        <v>0</v>
      </c>
      <c r="R468" s="185">
        <f t="shared" si="312"/>
        <v>0</v>
      </c>
      <c r="S468" s="185">
        <f t="shared" si="312"/>
        <v>0</v>
      </c>
      <c r="T468" s="185">
        <f t="shared" si="312"/>
        <v>0</v>
      </c>
      <c r="U468" s="185">
        <f t="shared" si="312"/>
        <v>0</v>
      </c>
      <c r="V468" s="186">
        <f t="shared" si="312"/>
        <v>0</v>
      </c>
      <c r="W468" s="186">
        <f>+W84</f>
        <v>0</v>
      </c>
    </row>
    <row r="469" spans="1:23" ht="12">
      <c r="A469">
        <f>ROW()</f>
        <v>469</v>
      </c>
      <c r="B469" s="183" t="str">
        <f>+B463</f>
        <v>Term Loan A</v>
      </c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208">
        <f>+P85</f>
        <v>0</v>
      </c>
      <c r="Q469" s="185">
        <f aca="true" t="shared" si="313" ref="Q469:V472">+Q85</f>
        <v>0</v>
      </c>
      <c r="R469" s="185">
        <f t="shared" si="313"/>
        <v>0</v>
      </c>
      <c r="S469" s="185">
        <f t="shared" si="313"/>
        <v>0</v>
      </c>
      <c r="T469" s="185">
        <f t="shared" si="313"/>
        <v>0</v>
      </c>
      <c r="U469" s="185">
        <f t="shared" si="313"/>
        <v>0</v>
      </c>
      <c r="V469" s="186">
        <f t="shared" si="313"/>
        <v>0</v>
      </c>
      <c r="W469" s="186">
        <f>+W85</f>
        <v>0</v>
      </c>
    </row>
    <row r="470" spans="1:23" ht="12">
      <c r="A470">
        <f>ROW()</f>
        <v>470</v>
      </c>
      <c r="B470" s="183" t="str">
        <f>+B464</f>
        <v>Term Loan B</v>
      </c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208">
        <f>+P86</f>
        <v>3800000</v>
      </c>
      <c r="Q470" s="185">
        <f t="shared" si="313"/>
        <v>3762000</v>
      </c>
      <c r="R470" s="185">
        <f t="shared" si="313"/>
        <v>3724000</v>
      </c>
      <c r="S470" s="185">
        <f t="shared" si="313"/>
        <v>3686000</v>
      </c>
      <c r="T470" s="185">
        <f t="shared" si="313"/>
        <v>3648000</v>
      </c>
      <c r="U470" s="185">
        <f t="shared" si="313"/>
        <v>3610000</v>
      </c>
      <c r="V470" s="186">
        <f t="shared" si="313"/>
        <v>3572000</v>
      </c>
      <c r="W470" s="186">
        <f>+W86</f>
        <v>0</v>
      </c>
    </row>
    <row r="471" spans="1:23" ht="12">
      <c r="A471">
        <f>ROW()</f>
        <v>471</v>
      </c>
      <c r="B471" s="183" t="str">
        <f>+B465</f>
        <v>New Term Loan</v>
      </c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208">
        <f>+P87</f>
        <v>0</v>
      </c>
      <c r="Q471" s="185">
        <f t="shared" si="313"/>
        <v>0</v>
      </c>
      <c r="R471" s="185">
        <f t="shared" si="313"/>
        <v>0</v>
      </c>
      <c r="S471" s="185">
        <f t="shared" si="313"/>
        <v>0</v>
      </c>
      <c r="T471" s="185">
        <f t="shared" si="313"/>
        <v>0</v>
      </c>
      <c r="U471" s="185">
        <f t="shared" si="313"/>
        <v>0</v>
      </c>
      <c r="V471" s="186">
        <f t="shared" si="313"/>
        <v>0</v>
      </c>
      <c r="W471" s="186">
        <f>+W87</f>
        <v>3000000</v>
      </c>
    </row>
    <row r="472" spans="1:23" ht="12">
      <c r="A472">
        <f>ROW()</f>
        <v>472</v>
      </c>
      <c r="B472" s="183" t="str">
        <f>+B466</f>
        <v>Other Bank Debt / Exisiting</v>
      </c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208">
        <f>+P88</f>
        <v>0</v>
      </c>
      <c r="Q472" s="185">
        <f t="shared" si="313"/>
        <v>0</v>
      </c>
      <c r="R472" s="185">
        <f t="shared" si="313"/>
        <v>0</v>
      </c>
      <c r="S472" s="185">
        <f t="shared" si="313"/>
        <v>0</v>
      </c>
      <c r="T472" s="185">
        <f t="shared" si="313"/>
        <v>0</v>
      </c>
      <c r="U472" s="185">
        <f t="shared" si="313"/>
        <v>0</v>
      </c>
      <c r="V472" s="186">
        <f t="shared" si="313"/>
        <v>0</v>
      </c>
      <c r="W472" s="186">
        <f>+W88</f>
        <v>0</v>
      </c>
    </row>
    <row r="473" spans="1:23" ht="12">
      <c r="A473">
        <f>ROW()</f>
        <v>473</v>
      </c>
      <c r="B473" s="183"/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207"/>
      <c r="Q473" s="188"/>
      <c r="R473" s="188"/>
      <c r="S473" s="188"/>
      <c r="T473" s="188"/>
      <c r="U473" s="188"/>
      <c r="V473" s="189"/>
      <c r="W473" s="189"/>
    </row>
    <row r="474" spans="1:23" ht="12.75" thickBot="1">
      <c r="A474">
        <f>ROW()</f>
        <v>474</v>
      </c>
      <c r="B474" s="190"/>
      <c r="C474" s="191"/>
      <c r="D474" s="191"/>
      <c r="E474" s="191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209"/>
      <c r="Q474" s="192"/>
      <c r="R474" s="192"/>
      <c r="S474" s="192"/>
      <c r="T474" s="192"/>
      <c r="U474" s="192"/>
      <c r="V474" s="193"/>
      <c r="W474" s="193"/>
    </row>
  </sheetData>
  <sheetProtection/>
  <printOptions/>
  <pageMargins left="0.35" right="0.32" top="0.27" bottom="0.32" header="0.17" footer="0.17"/>
  <pageSetup fitToHeight="0" fitToWidth="1" horizontalDpi="600" verticalDpi="600" orientation="landscape" scale="47" r:id="rId1"/>
  <headerFooter alignWithMargins="0">
    <oddFooter>&amp;L&amp;D&amp;C&amp;P&amp;R&amp;Z&amp;F</oddFooter>
  </headerFooter>
  <rowBreaks count="6" manualBreakCount="6">
    <brk id="56" max="255" man="1"/>
    <brk id="112" max="255" man="1"/>
    <brk id="165" max="255" man="1"/>
    <brk id="221" max="255" man="1"/>
    <brk id="246" max="255" man="1"/>
    <brk id="3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52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36.421875" style="0" customWidth="1"/>
    <col min="2" max="2" width="10.421875" style="0" customWidth="1"/>
    <col min="3" max="7" width="10.28125" style="0" customWidth="1"/>
    <col min="9" max="9" width="11.7109375" style="0" customWidth="1"/>
    <col min="10" max="11" width="9.00390625" style="0" customWidth="1"/>
    <col min="12" max="12" width="12.57421875" style="0" customWidth="1"/>
    <col min="13" max="13" width="9.00390625" style="0" customWidth="1"/>
    <col min="14" max="14" width="11.8515625" style="0" customWidth="1"/>
  </cols>
  <sheetData>
    <row r="1" spans="1:15" ht="22.5" customHeight="1" thickBot="1">
      <c r="A1" s="95" t="str">
        <f>+Model!B1</f>
        <v>Starwood Hotels &amp; Resorts Worldwide Inc. (HOT)</v>
      </c>
      <c r="B1" s="71"/>
      <c r="C1" s="72"/>
      <c r="D1" s="72"/>
      <c r="E1" s="72"/>
      <c r="F1" s="72"/>
      <c r="G1" s="72"/>
      <c r="H1" s="72"/>
      <c r="I1" s="119" t="s">
        <v>216</v>
      </c>
      <c r="J1" s="120" t="s">
        <v>217</v>
      </c>
      <c r="K1" s="121"/>
      <c r="L1" s="122" t="s">
        <v>219</v>
      </c>
      <c r="M1" s="123" t="str">
        <f>+Model!B2</f>
        <v>Base Case </v>
      </c>
      <c r="N1" s="124"/>
      <c r="O1" s="73"/>
    </row>
    <row r="2" spans="1:15" ht="18" customHeight="1" thickBot="1">
      <c r="A2" s="96" t="s">
        <v>203</v>
      </c>
      <c r="B2" s="74"/>
      <c r="C2" s="74"/>
      <c r="D2" s="74"/>
      <c r="E2" s="74"/>
      <c r="F2" s="74"/>
      <c r="G2" s="74"/>
      <c r="H2" s="73"/>
      <c r="I2" s="125" t="s">
        <v>218</v>
      </c>
      <c r="J2" s="126"/>
      <c r="K2" s="126"/>
      <c r="L2" s="126"/>
      <c r="M2" s="126"/>
      <c r="N2" s="127"/>
      <c r="O2" s="73"/>
    </row>
    <row r="3" spans="1:15" ht="9.75" customHeight="1" thickBot="1">
      <c r="A3" s="96"/>
      <c r="B3" s="74"/>
      <c r="C3" s="74"/>
      <c r="D3" s="74"/>
      <c r="E3" s="74"/>
      <c r="F3" s="74"/>
      <c r="G3" s="74"/>
      <c r="H3" s="73"/>
      <c r="I3" s="73"/>
      <c r="J3" s="75"/>
      <c r="K3" s="75"/>
      <c r="L3" s="75"/>
      <c r="M3" s="75"/>
      <c r="N3" s="75"/>
      <c r="O3" s="73"/>
    </row>
    <row r="4" spans="1:15" ht="18" customHeight="1" thickBot="1">
      <c r="A4" s="76" t="s">
        <v>190</v>
      </c>
      <c r="B4" s="114">
        <f>+Model!Q29</f>
        <v>42369</v>
      </c>
      <c r="C4" s="114">
        <f>+Model!R29</f>
        <v>42734</v>
      </c>
      <c r="D4" s="114">
        <f>+Model!S29</f>
        <v>43099</v>
      </c>
      <c r="E4" s="114">
        <f>+Model!T29</f>
        <v>43464</v>
      </c>
      <c r="F4" s="114">
        <f>+Model!U29</f>
        <v>43829</v>
      </c>
      <c r="G4" s="114">
        <f>+Model!V29</f>
        <v>44194</v>
      </c>
      <c r="H4" s="73"/>
      <c r="I4" s="114">
        <f aca="true" t="shared" si="0" ref="I4:N4">+B4</f>
        <v>42369</v>
      </c>
      <c r="J4" s="114">
        <f t="shared" si="0"/>
        <v>42734</v>
      </c>
      <c r="K4" s="114">
        <f t="shared" si="0"/>
        <v>43099</v>
      </c>
      <c r="L4" s="114">
        <f t="shared" si="0"/>
        <v>43464</v>
      </c>
      <c r="M4" s="114">
        <f t="shared" si="0"/>
        <v>43829</v>
      </c>
      <c r="N4" s="114">
        <f t="shared" si="0"/>
        <v>44194</v>
      </c>
      <c r="O4" s="73"/>
    </row>
    <row r="5" spans="1:15" ht="18" customHeight="1">
      <c r="A5" s="77" t="s">
        <v>191</v>
      </c>
      <c r="B5" s="78"/>
      <c r="C5" s="78"/>
      <c r="D5" s="78"/>
      <c r="E5" s="78"/>
      <c r="F5" s="78"/>
      <c r="G5" s="78"/>
      <c r="H5" s="73"/>
      <c r="I5" s="78"/>
      <c r="J5" s="78"/>
      <c r="K5" s="78"/>
      <c r="L5" s="78"/>
      <c r="M5" s="78"/>
      <c r="N5" s="78"/>
      <c r="O5" s="73"/>
    </row>
    <row r="6" spans="1:15" ht="18" customHeight="1">
      <c r="A6" s="79" t="str">
        <f>+Model!Y4</f>
        <v>Base Case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73"/>
      <c r="I6" s="80">
        <f>+Model!Q31*100</f>
        <v>1.937489553735583</v>
      </c>
      <c r="J6" s="80">
        <f>+Model!R31*100</f>
        <v>4.020803683275065</v>
      </c>
      <c r="K6" s="80">
        <f>+Model!S31*100</f>
        <v>4.832008647468644</v>
      </c>
      <c r="L6" s="80">
        <f>+Model!T31*100</f>
        <v>4.761085624746508</v>
      </c>
      <c r="M6" s="80">
        <f>+Model!U31*100</f>
        <v>4.144573323393974</v>
      </c>
      <c r="N6" s="80">
        <f>+Model!V31*100</f>
        <v>4.179520695775474</v>
      </c>
      <c r="O6" s="73"/>
    </row>
    <row r="7" spans="1:15" ht="18" customHeight="1">
      <c r="A7" s="79" t="str">
        <f>+Model!Y5</f>
        <v>Stress Case</v>
      </c>
      <c r="B7" s="80">
        <f aca="true" t="shared" si="1" ref="B7:G7">+I7</f>
        <v>1.937489553735583</v>
      </c>
      <c r="C7" s="80">
        <f t="shared" si="1"/>
        <v>4.020803683275065</v>
      </c>
      <c r="D7" s="80">
        <f t="shared" si="1"/>
        <v>4.832008647468644</v>
      </c>
      <c r="E7" s="80">
        <f t="shared" si="1"/>
        <v>4.761085624746508</v>
      </c>
      <c r="F7" s="80">
        <f t="shared" si="1"/>
        <v>4.144573323393974</v>
      </c>
      <c r="G7" s="80">
        <f t="shared" si="1"/>
        <v>4.179520695775474</v>
      </c>
      <c r="H7" s="73"/>
      <c r="I7" s="80">
        <f>+Model!Q31*100</f>
        <v>1.937489553735583</v>
      </c>
      <c r="J7" s="80">
        <f>+Model!R31*100</f>
        <v>4.020803683275065</v>
      </c>
      <c r="K7" s="80">
        <f>+Model!S31*100</f>
        <v>4.832008647468644</v>
      </c>
      <c r="L7" s="80">
        <f>+Model!T31*100</f>
        <v>4.761085624746508</v>
      </c>
      <c r="M7" s="80">
        <f>+Model!U31*100</f>
        <v>4.144573323393974</v>
      </c>
      <c r="N7" s="80">
        <f>+Model!V31*100</f>
        <v>4.179520695775474</v>
      </c>
      <c r="O7" s="73"/>
    </row>
    <row r="8" spans="1:15" ht="18" customHeight="1">
      <c r="A8" s="81" t="s">
        <v>192</v>
      </c>
      <c r="B8" s="82">
        <f aca="true" t="shared" si="2" ref="B8:G8">+B6-B7</f>
        <v>-1.937489553735583</v>
      </c>
      <c r="C8" s="82">
        <f t="shared" si="2"/>
        <v>-4.020803683275065</v>
      </c>
      <c r="D8" s="82">
        <f t="shared" si="2"/>
        <v>-4.832008647468644</v>
      </c>
      <c r="E8" s="82">
        <f t="shared" si="2"/>
        <v>-4.761085624746508</v>
      </c>
      <c r="F8" s="82">
        <f t="shared" si="2"/>
        <v>-4.144573323393974</v>
      </c>
      <c r="G8" s="82">
        <f t="shared" si="2"/>
        <v>-4.179520695775474</v>
      </c>
      <c r="H8" s="73"/>
      <c r="I8" s="80"/>
      <c r="J8" s="80"/>
      <c r="K8" s="80"/>
      <c r="L8" s="80"/>
      <c r="M8" s="80"/>
      <c r="N8" s="80"/>
      <c r="O8" s="73"/>
    </row>
    <row r="9" spans="1:15" ht="18" customHeight="1">
      <c r="A9" s="83" t="s">
        <v>193</v>
      </c>
      <c r="B9" s="84"/>
      <c r="C9" s="84"/>
      <c r="D9" s="84"/>
      <c r="E9" s="84"/>
      <c r="F9" s="84"/>
      <c r="G9" s="84"/>
      <c r="H9" s="73"/>
      <c r="I9" s="84"/>
      <c r="J9" s="84"/>
      <c r="K9" s="84"/>
      <c r="L9" s="84"/>
      <c r="M9" s="84"/>
      <c r="N9" s="84"/>
      <c r="O9" s="73"/>
    </row>
    <row r="10" spans="1:15" ht="18" customHeight="1">
      <c r="A10" s="78" t="str">
        <f>A$6</f>
        <v>Base Case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73"/>
      <c r="I10" s="85">
        <f>+Model!Q34*100</f>
        <v>18.473194505540143</v>
      </c>
      <c r="J10" s="85">
        <f>+Model!R34*100</f>
        <v>18.53873412784153</v>
      </c>
      <c r="K10" s="85">
        <f>+Model!S34*100</f>
        <v>18.471774539229514</v>
      </c>
      <c r="L10" s="85">
        <f>+Model!T34*100</f>
        <v>18.435506040624308</v>
      </c>
      <c r="M10" s="85">
        <f>+Model!U34*100</f>
        <v>18.46041555976342</v>
      </c>
      <c r="N10" s="85">
        <f>+Model!V34*100</f>
        <v>18.479369213144604</v>
      </c>
      <c r="O10" s="73"/>
    </row>
    <row r="11" spans="1:15" ht="18" customHeight="1">
      <c r="A11" s="78" t="str">
        <f>A$7</f>
        <v>Stress Case</v>
      </c>
      <c r="B11" s="80">
        <f aca="true" t="shared" si="3" ref="B11:G11">+I11</f>
        <v>18.473194505540143</v>
      </c>
      <c r="C11" s="80">
        <f t="shared" si="3"/>
        <v>18.53873412784153</v>
      </c>
      <c r="D11" s="80">
        <f t="shared" si="3"/>
        <v>18.471774539229514</v>
      </c>
      <c r="E11" s="80">
        <f t="shared" si="3"/>
        <v>18.435506040624308</v>
      </c>
      <c r="F11" s="80">
        <f t="shared" si="3"/>
        <v>18.46041555976342</v>
      </c>
      <c r="G11" s="80">
        <f t="shared" si="3"/>
        <v>18.479369213144604</v>
      </c>
      <c r="H11" s="73"/>
      <c r="I11" s="85">
        <f>+Model!Q34*100</f>
        <v>18.473194505540143</v>
      </c>
      <c r="J11" s="85">
        <f>+Model!R34*100</f>
        <v>18.53873412784153</v>
      </c>
      <c r="K11" s="85">
        <f>+Model!S34*100</f>
        <v>18.471774539229514</v>
      </c>
      <c r="L11" s="85">
        <f>+Model!T34*100</f>
        <v>18.435506040624308</v>
      </c>
      <c r="M11" s="85">
        <f>+Model!U34*100</f>
        <v>18.46041555976342</v>
      </c>
      <c r="N11" s="85">
        <f>+Model!V34*100</f>
        <v>18.479369213144604</v>
      </c>
      <c r="O11" s="73"/>
    </row>
    <row r="12" spans="1:15" ht="18" customHeight="1">
      <c r="A12" s="81" t="s">
        <v>192</v>
      </c>
      <c r="B12" s="82">
        <f aca="true" t="shared" si="4" ref="B12:G12">+B10-B11</f>
        <v>-18.473194505540143</v>
      </c>
      <c r="C12" s="82">
        <f t="shared" si="4"/>
        <v>-18.53873412784153</v>
      </c>
      <c r="D12" s="82">
        <f t="shared" si="4"/>
        <v>-18.471774539229514</v>
      </c>
      <c r="E12" s="82">
        <f t="shared" si="4"/>
        <v>-18.435506040624308</v>
      </c>
      <c r="F12" s="82">
        <f t="shared" si="4"/>
        <v>-18.46041555976342</v>
      </c>
      <c r="G12" s="82">
        <f t="shared" si="4"/>
        <v>-18.479369213144604</v>
      </c>
      <c r="H12" s="73"/>
      <c r="I12" s="85"/>
      <c r="J12" s="85"/>
      <c r="K12" s="85"/>
      <c r="L12" s="85"/>
      <c r="M12" s="85"/>
      <c r="N12" s="85"/>
      <c r="O12" s="73"/>
    </row>
    <row r="13" spans="1:15" ht="18" customHeight="1">
      <c r="A13" s="83" t="s">
        <v>194</v>
      </c>
      <c r="B13" s="84"/>
      <c r="C13" s="84"/>
      <c r="D13" s="84"/>
      <c r="E13" s="84"/>
      <c r="F13" s="84"/>
      <c r="G13" s="84"/>
      <c r="H13" s="73"/>
      <c r="I13" s="84"/>
      <c r="J13" s="84"/>
      <c r="K13" s="84"/>
      <c r="L13" s="84"/>
      <c r="M13" s="84"/>
      <c r="N13" s="84"/>
      <c r="O13" s="73"/>
    </row>
    <row r="14" spans="1:15" ht="18" customHeight="1">
      <c r="A14" s="78" t="str">
        <f>A$6</f>
        <v>Base Case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73"/>
      <c r="I14" s="80">
        <f>+Model!Q181</f>
        <v>-11433.638642821228</v>
      </c>
      <c r="J14" s="80">
        <f>+Model!R181</f>
        <v>25734.39047300676</v>
      </c>
      <c r="K14" s="80">
        <f>+Model!S181</f>
        <v>43733.174870132</v>
      </c>
      <c r="L14" s="80">
        <f>+Model!T181</f>
        <v>42896.32524732081</v>
      </c>
      <c r="M14" s="80">
        <f>+Model!U181</f>
        <v>34216.257262709085</v>
      </c>
      <c r="N14" s="80">
        <f>+Model!V181</f>
        <v>36411.966810137965</v>
      </c>
      <c r="O14" s="73"/>
    </row>
    <row r="15" spans="1:15" ht="18" customHeight="1">
      <c r="A15" s="78" t="str">
        <f>A$7</f>
        <v>Stress Case</v>
      </c>
      <c r="B15" s="80">
        <f aca="true" t="shared" si="5" ref="B15:G15">+I15</f>
        <v>-11433.638642821228</v>
      </c>
      <c r="C15" s="80">
        <f t="shared" si="5"/>
        <v>25734.39047300676</v>
      </c>
      <c r="D15" s="80">
        <f t="shared" si="5"/>
        <v>43733.174870132</v>
      </c>
      <c r="E15" s="80">
        <f t="shared" si="5"/>
        <v>42896.32524732081</v>
      </c>
      <c r="F15" s="80">
        <f t="shared" si="5"/>
        <v>34216.257262709085</v>
      </c>
      <c r="G15" s="80">
        <f t="shared" si="5"/>
        <v>36411.966810137965</v>
      </c>
      <c r="H15" s="73"/>
      <c r="I15" s="80">
        <f>+Model!Q181</f>
        <v>-11433.638642821228</v>
      </c>
      <c r="J15" s="80">
        <f>+Model!R181</f>
        <v>25734.39047300676</v>
      </c>
      <c r="K15" s="80">
        <f>+Model!S181</f>
        <v>43733.174870132</v>
      </c>
      <c r="L15" s="80">
        <f>+Model!T181</f>
        <v>42896.32524732081</v>
      </c>
      <c r="M15" s="80">
        <f>+Model!U181</f>
        <v>34216.257262709085</v>
      </c>
      <c r="N15" s="80">
        <f>+Model!V181</f>
        <v>36411.966810137965</v>
      </c>
      <c r="O15" s="73"/>
    </row>
    <row r="16" spans="1:15" ht="18" customHeight="1">
      <c r="A16" s="83" t="s">
        <v>195</v>
      </c>
      <c r="B16" s="84"/>
      <c r="C16" s="84"/>
      <c r="D16" s="84"/>
      <c r="E16" s="84"/>
      <c r="F16" s="84"/>
      <c r="G16" s="84"/>
      <c r="H16" s="73"/>
      <c r="I16" s="84"/>
      <c r="J16" s="84"/>
      <c r="K16" s="84"/>
      <c r="L16" s="84"/>
      <c r="M16" s="84"/>
      <c r="N16" s="84"/>
      <c r="O16" s="73"/>
    </row>
    <row r="17" spans="1:15" ht="18" customHeight="1">
      <c r="A17" s="78" t="str">
        <f>A$6</f>
        <v>Base Case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73"/>
      <c r="I17" s="80">
        <f>-Model!Q188-Model!Q189</f>
        <v>333335.5908407154</v>
      </c>
      <c r="J17" s="80">
        <f>-Model!R188-Model!R189</f>
        <v>346738.36055490555</v>
      </c>
      <c r="K17" s="80">
        <f>-Model!S188-Model!S189</f>
        <v>363492.78812100954</v>
      </c>
      <c r="L17" s="80">
        <f>-Model!T188-Model!T189</f>
        <v>380798.9910032292</v>
      </c>
      <c r="M17" s="80">
        <f>-Model!U188-Model!U189</f>
        <v>396581.4844001025</v>
      </c>
      <c r="N17" s="80">
        <f>-Model!V188-Model!V189</f>
        <v>413156.6896162183</v>
      </c>
      <c r="O17" s="73"/>
    </row>
    <row r="18" spans="1:15" ht="18" customHeight="1">
      <c r="A18" s="78" t="str">
        <f>A$7</f>
        <v>Stress Case</v>
      </c>
      <c r="B18" s="80">
        <f aca="true" t="shared" si="6" ref="B18:G18">+I18</f>
        <v>333335.5908407154</v>
      </c>
      <c r="C18" s="80">
        <f t="shared" si="6"/>
        <v>346738.36055490555</v>
      </c>
      <c r="D18" s="80">
        <f t="shared" si="6"/>
        <v>363492.78812100954</v>
      </c>
      <c r="E18" s="80">
        <f t="shared" si="6"/>
        <v>380798.9910032292</v>
      </c>
      <c r="F18" s="80">
        <f t="shared" si="6"/>
        <v>396581.4844001025</v>
      </c>
      <c r="G18" s="80">
        <f t="shared" si="6"/>
        <v>413156.6896162183</v>
      </c>
      <c r="H18" s="73"/>
      <c r="I18" s="80">
        <f>-Model!Q188-Model!Q189</f>
        <v>333335.5908407154</v>
      </c>
      <c r="J18" s="80">
        <f>-Model!R188-Model!R189</f>
        <v>346738.36055490555</v>
      </c>
      <c r="K18" s="80">
        <f>-Model!S188-Model!S189</f>
        <v>363492.78812100954</v>
      </c>
      <c r="L18" s="80">
        <f>-Model!T188-Model!T189</f>
        <v>380798.9910032292</v>
      </c>
      <c r="M18" s="80">
        <f>-Model!U188-Model!U189</f>
        <v>396581.4844001025</v>
      </c>
      <c r="N18" s="80">
        <f>-Model!V188-Model!V189</f>
        <v>413156.6896162183</v>
      </c>
      <c r="O18" s="73"/>
    </row>
    <row r="19" spans="1:15" ht="18" customHeight="1" thickBot="1">
      <c r="A19" s="78"/>
      <c r="B19" s="80"/>
      <c r="C19" s="80"/>
      <c r="D19" s="80"/>
      <c r="E19" s="80"/>
      <c r="F19" s="80"/>
      <c r="G19" s="80"/>
      <c r="H19" s="73"/>
      <c r="I19" s="80"/>
      <c r="J19" s="80"/>
      <c r="K19" s="80"/>
      <c r="L19" s="80"/>
      <c r="M19" s="80"/>
      <c r="N19" s="80"/>
      <c r="O19" s="73"/>
    </row>
    <row r="20" spans="1:15" ht="18" customHeight="1" thickBot="1">
      <c r="A20" s="86" t="s">
        <v>196</v>
      </c>
      <c r="B20" s="114">
        <f>+B4</f>
        <v>42369</v>
      </c>
      <c r="C20" s="114">
        <f aca="true" t="shared" si="7" ref="C20:N20">+C4</f>
        <v>42734</v>
      </c>
      <c r="D20" s="114">
        <f t="shared" si="7"/>
        <v>43099</v>
      </c>
      <c r="E20" s="114">
        <f t="shared" si="7"/>
        <v>43464</v>
      </c>
      <c r="F20" s="114">
        <f t="shared" si="7"/>
        <v>43829</v>
      </c>
      <c r="G20" s="114">
        <f t="shared" si="7"/>
        <v>44194</v>
      </c>
      <c r="H20" s="73"/>
      <c r="I20" s="114">
        <f t="shared" si="7"/>
        <v>42369</v>
      </c>
      <c r="J20" s="114">
        <f t="shared" si="7"/>
        <v>42734</v>
      </c>
      <c r="K20" s="114">
        <f t="shared" si="7"/>
        <v>43099</v>
      </c>
      <c r="L20" s="114">
        <f t="shared" si="7"/>
        <v>43464</v>
      </c>
      <c r="M20" s="114">
        <f t="shared" si="7"/>
        <v>43829</v>
      </c>
      <c r="N20" s="114">
        <f t="shared" si="7"/>
        <v>44194</v>
      </c>
      <c r="O20" s="73"/>
    </row>
    <row r="21" spans="1:15" ht="18" customHeight="1">
      <c r="A21" s="83" t="s">
        <v>197</v>
      </c>
      <c r="B21" s="87"/>
      <c r="C21" s="87"/>
      <c r="D21" s="87"/>
      <c r="E21" s="87"/>
      <c r="F21" s="87"/>
      <c r="G21" s="87"/>
      <c r="H21" s="73"/>
      <c r="I21" s="87"/>
      <c r="J21" s="87"/>
      <c r="K21" s="87"/>
      <c r="L21" s="87"/>
      <c r="M21" s="87"/>
      <c r="N21" s="87"/>
      <c r="O21" s="73"/>
    </row>
    <row r="22" spans="1:15" ht="18" customHeight="1">
      <c r="A22" s="78" t="str">
        <f>A$6</f>
        <v>Base Case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73"/>
      <c r="I22" s="88">
        <f>+Model!Q117</f>
        <v>6098920</v>
      </c>
      <c r="J22" s="88">
        <f>+Model!R117</f>
        <v>6344145.6</v>
      </c>
      <c r="K22" s="88">
        <f>+Model!S117</f>
        <v>6650695.264</v>
      </c>
      <c r="L22" s="88">
        <f>+Model!T117</f>
        <v>6967340.560160001</v>
      </c>
      <c r="M22" s="88">
        <f>+Model!U117</f>
        <v>7256107.098366401</v>
      </c>
      <c r="N22" s="88">
        <f>+Model!V117</f>
        <v>7559377.596250257</v>
      </c>
      <c r="O22" s="73"/>
    </row>
    <row r="23" spans="1:15" ht="18" customHeight="1">
      <c r="A23" s="78" t="str">
        <f>A$7</f>
        <v>Stress Case</v>
      </c>
      <c r="B23" s="80">
        <f aca="true" t="shared" si="8" ref="B23:G23">+I23</f>
        <v>6098920</v>
      </c>
      <c r="C23" s="80">
        <f t="shared" si="8"/>
        <v>6344145.6</v>
      </c>
      <c r="D23" s="80">
        <f t="shared" si="8"/>
        <v>6650695.264</v>
      </c>
      <c r="E23" s="80">
        <f t="shared" si="8"/>
        <v>6967340.560160001</v>
      </c>
      <c r="F23" s="80">
        <f t="shared" si="8"/>
        <v>7256107.098366401</v>
      </c>
      <c r="G23" s="80">
        <f t="shared" si="8"/>
        <v>7559377.596250257</v>
      </c>
      <c r="H23" s="73"/>
      <c r="I23" s="88">
        <f>+Model!Q117</f>
        <v>6098920</v>
      </c>
      <c r="J23" s="88">
        <f>+Model!R117</f>
        <v>6344145.6</v>
      </c>
      <c r="K23" s="88">
        <f>+Model!S117</f>
        <v>6650695.264</v>
      </c>
      <c r="L23" s="88">
        <f>+Model!T117</f>
        <v>6967340.560160001</v>
      </c>
      <c r="M23" s="88">
        <f>+Model!U117</f>
        <v>7256107.098366401</v>
      </c>
      <c r="N23" s="88">
        <f>+Model!V117</f>
        <v>7559377.596250257</v>
      </c>
      <c r="O23" s="73"/>
    </row>
    <row r="24" spans="1:15" ht="18" customHeight="1">
      <c r="A24" s="83" t="s">
        <v>198</v>
      </c>
      <c r="B24" s="89"/>
      <c r="C24" s="89"/>
      <c r="D24" s="89"/>
      <c r="E24" s="89"/>
      <c r="F24" s="89"/>
      <c r="G24" s="89"/>
      <c r="H24" s="73"/>
      <c r="I24" s="89"/>
      <c r="J24" s="89"/>
      <c r="K24" s="89"/>
      <c r="L24" s="89"/>
      <c r="M24" s="89"/>
      <c r="N24" s="89"/>
      <c r="O24" s="73"/>
    </row>
    <row r="25" spans="1:15" ht="18" customHeight="1">
      <c r="A25" s="78" t="str">
        <f>A$6</f>
        <v>Base Case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73"/>
      <c r="I25" s="88">
        <f>+Model!Q33</f>
        <v>1126665.354337289</v>
      </c>
      <c r="J25" s="88">
        <f>+Model!R33</f>
        <v>1176124.2854671567</v>
      </c>
      <c r="K25" s="88">
        <f>+Model!S33</f>
        <v>1228501.434457295</v>
      </c>
      <c r="L25" s="88">
        <f>+Model!T33</f>
        <v>1284464.4898391645</v>
      </c>
      <c r="M25" s="88">
        <f>+Model!U33</f>
        <v>1339507.523819929</v>
      </c>
      <c r="N25" s="88">
        <f>+Model!V33</f>
        <v>1396925.296226821</v>
      </c>
      <c r="O25" s="73"/>
    </row>
    <row r="26" spans="1:15" ht="18" customHeight="1">
      <c r="A26" s="78" t="str">
        <f>A$7</f>
        <v>Stress Case</v>
      </c>
      <c r="B26" s="80">
        <f aca="true" t="shared" si="9" ref="B26:G26">+I26</f>
        <v>1126665.354337289</v>
      </c>
      <c r="C26" s="80">
        <f t="shared" si="9"/>
        <v>1176124.2854671567</v>
      </c>
      <c r="D26" s="80">
        <f t="shared" si="9"/>
        <v>1228501.434457295</v>
      </c>
      <c r="E26" s="80">
        <f t="shared" si="9"/>
        <v>1284464.4898391645</v>
      </c>
      <c r="F26" s="80">
        <f t="shared" si="9"/>
        <v>1339507.523819929</v>
      </c>
      <c r="G26" s="80">
        <f t="shared" si="9"/>
        <v>1396925.296226821</v>
      </c>
      <c r="H26" s="73"/>
      <c r="I26" s="88">
        <f>+Model!Q33</f>
        <v>1126665.354337289</v>
      </c>
      <c r="J26" s="88">
        <f>+Model!R33</f>
        <v>1176124.2854671567</v>
      </c>
      <c r="K26" s="88">
        <f>+Model!S33</f>
        <v>1228501.434457295</v>
      </c>
      <c r="L26" s="88">
        <f>+Model!T33</f>
        <v>1284464.4898391645</v>
      </c>
      <c r="M26" s="88">
        <f>+Model!U33</f>
        <v>1339507.523819929</v>
      </c>
      <c r="N26" s="88">
        <f>+Model!V33</f>
        <v>1396925.296226821</v>
      </c>
      <c r="O26" s="73"/>
    </row>
    <row r="27" spans="1:15" ht="18" customHeight="1">
      <c r="A27" s="81" t="s">
        <v>192</v>
      </c>
      <c r="B27" s="82">
        <f aca="true" t="shared" si="10" ref="B27:G27">+B25-B26</f>
        <v>-1126665.354337289</v>
      </c>
      <c r="C27" s="82">
        <f t="shared" si="10"/>
        <v>-1176124.2854671567</v>
      </c>
      <c r="D27" s="82">
        <f t="shared" si="10"/>
        <v>-1228501.434457295</v>
      </c>
      <c r="E27" s="82">
        <f t="shared" si="10"/>
        <v>-1284464.4898391645</v>
      </c>
      <c r="F27" s="82">
        <f t="shared" si="10"/>
        <v>-1339507.523819929</v>
      </c>
      <c r="G27" s="82">
        <f t="shared" si="10"/>
        <v>-1396925.296226821</v>
      </c>
      <c r="H27" s="73"/>
      <c r="I27" s="88"/>
      <c r="J27" s="88"/>
      <c r="K27" s="88"/>
      <c r="L27" s="88"/>
      <c r="M27" s="88"/>
      <c r="N27" s="88"/>
      <c r="O27" s="73"/>
    </row>
    <row r="28" spans="1:15" ht="18" customHeight="1">
      <c r="A28" s="83" t="s">
        <v>199</v>
      </c>
      <c r="B28" s="89"/>
      <c r="C28" s="89"/>
      <c r="D28" s="89"/>
      <c r="E28" s="89"/>
      <c r="F28" s="89"/>
      <c r="G28" s="89"/>
      <c r="H28" s="73"/>
      <c r="I28" s="88"/>
      <c r="J28" s="88"/>
      <c r="K28" s="88"/>
      <c r="L28" s="88"/>
      <c r="M28" s="88"/>
      <c r="N28" s="88"/>
      <c r="O28" s="73"/>
    </row>
    <row r="29" spans="1:15" ht="18" customHeight="1">
      <c r="A29" s="78" t="str">
        <f>A$6</f>
        <v>Base Case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73"/>
      <c r="I29" s="88">
        <f>+I25</f>
        <v>1126665.354337289</v>
      </c>
      <c r="J29" s="88">
        <f>+I29+J25</f>
        <v>2302789.6398044457</v>
      </c>
      <c r="K29" s="88">
        <f aca="true" t="shared" si="11" ref="K29:N30">+J29+K25</f>
        <v>3531291.074261741</v>
      </c>
      <c r="L29" s="88">
        <f t="shared" si="11"/>
        <v>4815755.564100905</v>
      </c>
      <c r="M29" s="88">
        <f t="shared" si="11"/>
        <v>6155263.087920834</v>
      </c>
      <c r="N29" s="88">
        <f t="shared" si="11"/>
        <v>7552188.384147655</v>
      </c>
      <c r="O29" s="73"/>
    </row>
    <row r="30" spans="1:15" ht="18" customHeight="1">
      <c r="A30" s="78" t="str">
        <f>A$7</f>
        <v>Stress Case</v>
      </c>
      <c r="B30" s="118">
        <f>+B26</f>
        <v>1126665.354337289</v>
      </c>
      <c r="C30" s="118">
        <f>+B30+C26</f>
        <v>2302789.6398044457</v>
      </c>
      <c r="D30" s="118">
        <f>+C30+D26</f>
        <v>3531291.074261741</v>
      </c>
      <c r="E30" s="118">
        <f>+D30+E26</f>
        <v>4815755.564100905</v>
      </c>
      <c r="F30" s="118">
        <f>+E30+F26</f>
        <v>6155263.087920834</v>
      </c>
      <c r="G30" s="118">
        <f>+F30+G26</f>
        <v>7552188.384147655</v>
      </c>
      <c r="H30" s="73"/>
      <c r="I30" s="88">
        <f>+I26</f>
        <v>1126665.354337289</v>
      </c>
      <c r="J30" s="88">
        <f>+I30+J26</f>
        <v>2302789.6398044457</v>
      </c>
      <c r="K30" s="88">
        <f t="shared" si="11"/>
        <v>3531291.074261741</v>
      </c>
      <c r="L30" s="88">
        <f t="shared" si="11"/>
        <v>4815755.564100905</v>
      </c>
      <c r="M30" s="88">
        <f t="shared" si="11"/>
        <v>6155263.087920834</v>
      </c>
      <c r="N30" s="88">
        <f t="shared" si="11"/>
        <v>7552188.384147655</v>
      </c>
      <c r="O30" s="73"/>
    </row>
    <row r="31" spans="1:15" ht="18" customHeight="1">
      <c r="A31" s="81" t="s">
        <v>192</v>
      </c>
      <c r="B31" s="82">
        <f aca="true" t="shared" si="12" ref="B31:G31">+B29-B30</f>
        <v>-1126665.354337289</v>
      </c>
      <c r="C31" s="82">
        <f t="shared" si="12"/>
        <v>-2302789.6398044457</v>
      </c>
      <c r="D31" s="82">
        <f t="shared" si="12"/>
        <v>-3531291.074261741</v>
      </c>
      <c r="E31" s="82">
        <f t="shared" si="12"/>
        <v>-4815755.564100905</v>
      </c>
      <c r="F31" s="82">
        <f t="shared" si="12"/>
        <v>-6155263.087920834</v>
      </c>
      <c r="G31" s="82">
        <f t="shared" si="12"/>
        <v>-7552188.384147655</v>
      </c>
      <c r="H31" s="73"/>
      <c r="I31" s="88"/>
      <c r="J31" s="88"/>
      <c r="K31" s="88"/>
      <c r="L31" s="88"/>
      <c r="M31" s="88"/>
      <c r="N31" s="88"/>
      <c r="O31" s="73"/>
    </row>
    <row r="32" spans="1:15" ht="18" customHeight="1">
      <c r="A32" s="90" t="s">
        <v>212</v>
      </c>
      <c r="B32" s="91"/>
      <c r="C32" s="91"/>
      <c r="D32" s="91"/>
      <c r="E32" s="91"/>
      <c r="F32" s="91"/>
      <c r="G32" s="91"/>
      <c r="H32" s="73"/>
      <c r="I32" s="88"/>
      <c r="J32" s="88"/>
      <c r="K32" s="88"/>
      <c r="L32" s="88"/>
      <c r="M32" s="88"/>
      <c r="N32" s="88"/>
      <c r="O32" s="73"/>
    </row>
    <row r="33" spans="1:15" ht="18" customHeight="1">
      <c r="A33" s="78" t="str">
        <f>A$6</f>
        <v>Base Case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73"/>
      <c r="I33" s="88">
        <f>IF(+Model!Q42-Model!Q41&gt;=0,Model!Q42-Model!Q41,0)</f>
        <v>3054568.6038179602</v>
      </c>
      <c r="J33" s="88">
        <f>IF(+Model!R42-Model!R41&gt;=0,Model!R42-Model!R41,0)</f>
        <v>2745497.156750329</v>
      </c>
      <c r="K33" s="88">
        <f>IF(+Model!S42-Model!S41&gt;=0,Model!S42-Model!S41,0)</f>
        <v>2403559.510550404</v>
      </c>
      <c r="L33" s="88">
        <f>IF(+Model!T42-Model!T41&gt;=0,Model!T42-Model!T41,0)</f>
        <v>2042907.5637695459</v>
      </c>
      <c r="M33" s="88">
        <f>IF(+Model!U42-Model!U41&gt;=0,Model!U42-Model!U41,0)</f>
        <v>1676964.9305753023</v>
      </c>
      <c r="N33" s="88">
        <f>IF(+Model!V42-Model!V41&gt;=0,Model!V42-Model!V41,0)</f>
        <v>1273404.0283995494</v>
      </c>
      <c r="O33" s="73"/>
    </row>
    <row r="34" spans="1:15" ht="18" customHeight="1">
      <c r="A34" s="92" t="str">
        <f>A$7</f>
        <v>Stress Case</v>
      </c>
      <c r="B34" s="100">
        <f aca="true" t="shared" si="13" ref="B34:G34">+I34</f>
        <v>3054568.6038179602</v>
      </c>
      <c r="C34" s="100">
        <f t="shared" si="13"/>
        <v>2745497.156750329</v>
      </c>
      <c r="D34" s="100">
        <f t="shared" si="13"/>
        <v>2403559.510550404</v>
      </c>
      <c r="E34" s="100">
        <f t="shared" si="13"/>
        <v>2042907.5637695459</v>
      </c>
      <c r="F34" s="100">
        <f t="shared" si="13"/>
        <v>1676964.9305753023</v>
      </c>
      <c r="G34" s="100">
        <f t="shared" si="13"/>
        <v>1273404.0283995494</v>
      </c>
      <c r="H34" s="73"/>
      <c r="I34" s="88">
        <f>IF(+Model!Q42-Model!Q41&gt;=0,Model!Q42-Model!Q41,0)</f>
        <v>3054568.6038179602</v>
      </c>
      <c r="J34" s="88">
        <f>IF(+Model!R42-Model!R41&gt;=0,Model!R42-Model!R41,0)</f>
        <v>2745497.156750329</v>
      </c>
      <c r="K34" s="88">
        <f>IF(+Model!S42-Model!S41&gt;=0,Model!S42-Model!S41,0)</f>
        <v>2403559.510550404</v>
      </c>
      <c r="L34" s="88">
        <f>IF(+Model!T42-Model!T41&gt;=0,Model!T42-Model!T41,0)</f>
        <v>2042907.5637695459</v>
      </c>
      <c r="M34" s="88">
        <f>IF(+Model!U42-Model!U41&gt;=0,Model!U42-Model!U41,0)</f>
        <v>1676964.9305753023</v>
      </c>
      <c r="N34" s="88">
        <f>IF(+Model!V42-Model!V41&gt;=0,Model!V42-Model!V41,0)</f>
        <v>1273404.0283995494</v>
      </c>
      <c r="O34" s="73"/>
    </row>
    <row r="35" spans="1:15" ht="18" customHeight="1">
      <c r="A35" s="77" t="s">
        <v>213</v>
      </c>
      <c r="B35" s="88"/>
      <c r="C35" s="88"/>
      <c r="D35" s="88"/>
      <c r="E35" s="88"/>
      <c r="F35" s="88"/>
      <c r="G35" s="88"/>
      <c r="H35" s="73"/>
      <c r="I35" s="89"/>
      <c r="J35" s="89"/>
      <c r="K35" s="89"/>
      <c r="L35" s="89"/>
      <c r="M35" s="89"/>
      <c r="N35" s="89"/>
      <c r="O35" s="73"/>
    </row>
    <row r="36" spans="1:15" ht="18" customHeight="1">
      <c r="A36" s="78" t="str">
        <f>A$6</f>
        <v>Base Case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73"/>
      <c r="I36" s="88">
        <f>IF(+Model!Q43-Model!Q41&gt;=0,Model!Q43-Model!Q41,0)</f>
        <v>5754568.60381796</v>
      </c>
      <c r="J36" s="88">
        <f>IF(+Model!R43-Model!R41&gt;=0,Model!R43-Model!R41,0)</f>
        <v>5445497.156750329</v>
      </c>
      <c r="K36" s="88">
        <f>IF(+Model!S43-Model!S41&gt;=0,Model!S43-Model!S41,0)</f>
        <v>5103559.510550404</v>
      </c>
      <c r="L36" s="88">
        <f>IF(+Model!T43-Model!T41&gt;=0,Model!T43-Model!T41,0)</f>
        <v>4742907.563769545</v>
      </c>
      <c r="M36" s="88">
        <f>IF(+Model!U43-Model!U41&gt;=0,Model!U43-Model!U41,0)</f>
        <v>4376964.930575302</v>
      </c>
      <c r="N36" s="88">
        <f>IF(+Model!V43-Model!V41&gt;=0,Model!V43-Model!V41,0)</f>
        <v>3973404.0283995494</v>
      </c>
      <c r="O36" s="73"/>
    </row>
    <row r="37" spans="1:15" ht="18" customHeight="1">
      <c r="A37" s="78" t="str">
        <f>A$7</f>
        <v>Stress Case</v>
      </c>
      <c r="B37" s="80">
        <f aca="true" t="shared" si="14" ref="B37:G37">+I37</f>
        <v>5754568.60381796</v>
      </c>
      <c r="C37" s="80">
        <f t="shared" si="14"/>
        <v>5445497.156750329</v>
      </c>
      <c r="D37" s="80">
        <f t="shared" si="14"/>
        <v>5103559.510550404</v>
      </c>
      <c r="E37" s="80">
        <f t="shared" si="14"/>
        <v>4742907.563769545</v>
      </c>
      <c r="F37" s="80">
        <f t="shared" si="14"/>
        <v>4376964.930575302</v>
      </c>
      <c r="G37" s="80">
        <f t="shared" si="14"/>
        <v>3973404.0283995494</v>
      </c>
      <c r="H37" s="73"/>
      <c r="I37" s="88">
        <f>IF(+Model!Q43-Model!Q41&gt;=0,Model!Q43-Model!Q41,0)</f>
        <v>5754568.60381796</v>
      </c>
      <c r="J37" s="88">
        <f>IF(+Model!R43-Model!R41&gt;=0,Model!R43-Model!R41,0)</f>
        <v>5445497.156750329</v>
      </c>
      <c r="K37" s="88">
        <f>IF(+Model!S43-Model!S41&gt;=0,Model!S43-Model!S41,0)</f>
        <v>5103559.510550404</v>
      </c>
      <c r="L37" s="88">
        <f>IF(+Model!T43-Model!T41&gt;=0,Model!T43-Model!T41,0)</f>
        <v>4742907.563769545</v>
      </c>
      <c r="M37" s="88">
        <f>IF(+Model!U43-Model!U41&gt;=0,Model!U43-Model!U41,0)</f>
        <v>4376964.930575302</v>
      </c>
      <c r="N37" s="88">
        <f>IF(+Model!V43-Model!V41&gt;=0,Model!V43-Model!V41,0)</f>
        <v>3973404.0283995494</v>
      </c>
      <c r="O37" s="73"/>
    </row>
    <row r="38" spans="1:15" ht="18" customHeight="1">
      <c r="A38" s="83" t="s">
        <v>200</v>
      </c>
      <c r="B38" s="84"/>
      <c r="C38" s="84"/>
      <c r="D38" s="84"/>
      <c r="E38" s="84"/>
      <c r="F38" s="84"/>
      <c r="G38" s="84"/>
      <c r="H38" s="73"/>
      <c r="I38" s="84"/>
      <c r="J38" s="84"/>
      <c r="K38" s="84"/>
      <c r="L38" s="84"/>
      <c r="M38" s="84"/>
      <c r="N38" s="84"/>
      <c r="O38" s="73"/>
    </row>
    <row r="39" spans="1:15" ht="18" customHeight="1">
      <c r="A39" s="78" t="str">
        <f>A$6</f>
        <v>Base Case</v>
      </c>
      <c r="B39" s="93">
        <v>0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73"/>
      <c r="I39" s="93">
        <f>+Model!Q52</f>
        <v>2.7750378185647513</v>
      </c>
      <c r="J39" s="93">
        <f>+Model!R52</f>
        <v>2.9254953758239775</v>
      </c>
      <c r="K39" s="93">
        <f>+Model!S52</f>
        <v>2.969959714300029</v>
      </c>
      <c r="L39" s="93">
        <f>+Model!T52</f>
        <v>3.0472844367338454</v>
      </c>
      <c r="M39" s="93">
        <f>+Model!U52</f>
        <v>3.056790124745263</v>
      </c>
      <c r="N39" s="93">
        <f>+Model!V52</f>
        <v>3.28140928928355</v>
      </c>
      <c r="O39" s="73"/>
    </row>
    <row r="40" spans="1:15" ht="18" customHeight="1">
      <c r="A40" s="78" t="str">
        <f>A$7</f>
        <v>Stress Case</v>
      </c>
      <c r="B40" s="93">
        <f aca="true" t="shared" si="15" ref="B40:G40">+I40</f>
        <v>2.7750378185647513</v>
      </c>
      <c r="C40" s="93">
        <f t="shared" si="15"/>
        <v>2.9254953758239775</v>
      </c>
      <c r="D40" s="93">
        <f t="shared" si="15"/>
        <v>2.969959714300029</v>
      </c>
      <c r="E40" s="93">
        <f t="shared" si="15"/>
        <v>3.0472844367338454</v>
      </c>
      <c r="F40" s="93">
        <f t="shared" si="15"/>
        <v>3.056790124745263</v>
      </c>
      <c r="G40" s="93">
        <f t="shared" si="15"/>
        <v>3.28140928928355</v>
      </c>
      <c r="H40" s="73"/>
      <c r="I40" s="93">
        <f>+Model!Q52</f>
        <v>2.7750378185647513</v>
      </c>
      <c r="J40" s="93">
        <f>+Model!R52</f>
        <v>2.9254953758239775</v>
      </c>
      <c r="K40" s="93">
        <f>+Model!S52</f>
        <v>2.969959714300029</v>
      </c>
      <c r="L40" s="93">
        <f>+Model!T52</f>
        <v>3.0472844367338454</v>
      </c>
      <c r="M40" s="93">
        <f>+Model!U52</f>
        <v>3.056790124745263</v>
      </c>
      <c r="N40" s="93">
        <f>+Model!V52</f>
        <v>3.28140928928355</v>
      </c>
      <c r="O40" s="73"/>
    </row>
    <row r="41" spans="1:15" ht="18" customHeight="1">
      <c r="A41" s="117" t="s">
        <v>214</v>
      </c>
      <c r="B41" s="93"/>
      <c r="C41" s="93"/>
      <c r="D41" s="93"/>
      <c r="E41" s="93"/>
      <c r="F41" s="93"/>
      <c r="G41" s="93"/>
      <c r="H41" s="73"/>
      <c r="I41" s="80"/>
      <c r="J41" s="80"/>
      <c r="K41" s="80"/>
      <c r="L41" s="80"/>
      <c r="M41" s="80"/>
      <c r="N41" s="80"/>
      <c r="O41" s="73"/>
    </row>
    <row r="42" spans="1:15" ht="18" customHeight="1">
      <c r="A42" s="78" t="str">
        <f>A$6</f>
        <v>Base Case</v>
      </c>
      <c r="B42" s="93">
        <v>0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73"/>
      <c r="I42" s="93">
        <f>+Model!Q53</f>
        <v>1.9540141958043684</v>
      </c>
      <c r="J42" s="93">
        <f>+Model!R53</f>
        <v>2.0630172491851324</v>
      </c>
      <c r="K42" s="93">
        <f>+Model!S53</f>
        <v>2.091198886776126</v>
      </c>
      <c r="L42" s="93">
        <f>+Model!T53</f>
        <v>2.143870719976761</v>
      </c>
      <c r="M42" s="93">
        <f>+Model!U53</f>
        <v>2.151781124337426</v>
      </c>
      <c r="N42" s="93">
        <f>+Model!V53</f>
        <v>2.310894829492304</v>
      </c>
      <c r="O42" s="73"/>
    </row>
    <row r="43" spans="1:15" ht="18" customHeight="1">
      <c r="A43" s="78" t="str">
        <f>A$7</f>
        <v>Stress Case</v>
      </c>
      <c r="B43" s="93">
        <f aca="true" t="shared" si="16" ref="B43:G43">+I43</f>
        <v>1.9540141958043684</v>
      </c>
      <c r="C43" s="93">
        <f t="shared" si="16"/>
        <v>2.0630172491851324</v>
      </c>
      <c r="D43" s="93">
        <f t="shared" si="16"/>
        <v>2.091198886776126</v>
      </c>
      <c r="E43" s="93">
        <f t="shared" si="16"/>
        <v>2.143870719976761</v>
      </c>
      <c r="F43" s="93">
        <f t="shared" si="16"/>
        <v>2.151781124337426</v>
      </c>
      <c r="G43" s="93">
        <f t="shared" si="16"/>
        <v>2.310894829492304</v>
      </c>
      <c r="H43" s="73"/>
      <c r="I43" s="93">
        <f>+Model!Q53</f>
        <v>1.9540141958043684</v>
      </c>
      <c r="J43" s="93">
        <f>+Model!R53</f>
        <v>2.0630172491851324</v>
      </c>
      <c r="K43" s="93">
        <f>+Model!S53</f>
        <v>2.091198886776126</v>
      </c>
      <c r="L43" s="93">
        <f>+Model!T53</f>
        <v>2.143870719976761</v>
      </c>
      <c r="M43" s="93">
        <f>+Model!U53</f>
        <v>2.151781124337426</v>
      </c>
      <c r="N43" s="93">
        <f>+Model!V53</f>
        <v>2.310894829492304</v>
      </c>
      <c r="O43" s="73"/>
    </row>
    <row r="44" spans="1:15" ht="18" customHeight="1">
      <c r="A44" s="83" t="s">
        <v>201</v>
      </c>
      <c r="B44" s="94"/>
      <c r="C44" s="94"/>
      <c r="D44" s="94"/>
      <c r="E44" s="94"/>
      <c r="F44" s="94"/>
      <c r="G44" s="94"/>
      <c r="H44" s="73"/>
      <c r="I44" s="84"/>
      <c r="J44" s="84"/>
      <c r="K44" s="84"/>
      <c r="L44" s="84"/>
      <c r="M44" s="84"/>
      <c r="N44" s="84"/>
      <c r="O44" s="73"/>
    </row>
    <row r="45" spans="1:15" ht="18" customHeight="1">
      <c r="A45" s="78" t="str">
        <f>A$6</f>
        <v>Base Case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73"/>
      <c r="I45" s="93">
        <f>+Model!Q50</f>
        <v>5.107611218952259</v>
      </c>
      <c r="J45" s="93">
        <f>+Model!R50</f>
        <v>4.6300354682221165</v>
      </c>
      <c r="K45" s="93">
        <f>+Model!S50</f>
        <v>4.154296745127499</v>
      </c>
      <c r="L45" s="93">
        <f>+Model!T50</f>
        <v>3.692517466452835</v>
      </c>
      <c r="M45" s="93">
        <f>+Model!U50</f>
        <v>3.267592643371894</v>
      </c>
      <c r="N45" s="93">
        <f>+Model!V50</f>
        <v>2.844392637982827</v>
      </c>
      <c r="O45" s="73"/>
    </row>
    <row r="46" spans="1:15" ht="18" customHeight="1">
      <c r="A46" s="78" t="str">
        <f>A$7</f>
        <v>Stress Case</v>
      </c>
      <c r="B46" s="93">
        <f aca="true" t="shared" si="17" ref="B46:G46">+I46</f>
        <v>5.107611218952259</v>
      </c>
      <c r="C46" s="93">
        <f t="shared" si="17"/>
        <v>4.6300354682221165</v>
      </c>
      <c r="D46" s="93">
        <f t="shared" si="17"/>
        <v>4.154296745127499</v>
      </c>
      <c r="E46" s="93">
        <f t="shared" si="17"/>
        <v>3.692517466452835</v>
      </c>
      <c r="F46" s="93">
        <f t="shared" si="17"/>
        <v>3.267592643371894</v>
      </c>
      <c r="G46" s="93">
        <f t="shared" si="17"/>
        <v>2.844392637982827</v>
      </c>
      <c r="H46" s="73"/>
      <c r="I46" s="93">
        <f>+Model!Q50</f>
        <v>5.107611218952259</v>
      </c>
      <c r="J46" s="93">
        <f>+Model!R50</f>
        <v>4.6300354682221165</v>
      </c>
      <c r="K46" s="93">
        <f>+Model!S50</f>
        <v>4.154296745127499</v>
      </c>
      <c r="L46" s="93">
        <f>+Model!T50</f>
        <v>3.692517466452835</v>
      </c>
      <c r="M46" s="93">
        <f>+Model!U50</f>
        <v>3.267592643371894</v>
      </c>
      <c r="N46" s="93">
        <f>+Model!V50</f>
        <v>2.844392637982827</v>
      </c>
      <c r="O46" s="73"/>
    </row>
    <row r="47" spans="1:15" ht="18" customHeight="1">
      <c r="A47" s="83" t="s">
        <v>215</v>
      </c>
      <c r="B47" s="94"/>
      <c r="C47" s="94"/>
      <c r="D47" s="94"/>
      <c r="E47" s="94"/>
      <c r="F47" s="94"/>
      <c r="G47" s="94"/>
      <c r="H47" s="73"/>
      <c r="I47" s="84"/>
      <c r="J47" s="84"/>
      <c r="K47" s="84"/>
      <c r="L47" s="84"/>
      <c r="M47" s="84"/>
      <c r="N47" s="84"/>
      <c r="O47" s="73"/>
    </row>
    <row r="48" spans="1:15" ht="18" customHeight="1">
      <c r="A48" s="78" t="str">
        <f>A$6</f>
        <v>Base Case</v>
      </c>
      <c r="B48" s="93">
        <v>0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73"/>
      <c r="I48" s="93">
        <f>+Model!Q49</f>
        <v>2.711158723447811</v>
      </c>
      <c r="J48" s="93">
        <f>+Model!R49</f>
        <v>2.334359719185475</v>
      </c>
      <c r="K48" s="93">
        <f>+Model!S49</f>
        <v>1.9564971135847347</v>
      </c>
      <c r="L48" s="93">
        <f>+Model!T49</f>
        <v>1.590474146953919</v>
      </c>
      <c r="M48" s="93">
        <f>+Model!U49</f>
        <v>1.2519264735393438</v>
      </c>
      <c r="N48" s="93">
        <f>+Model!V49</f>
        <v>0.9115763254048661</v>
      </c>
      <c r="O48" s="73"/>
    </row>
    <row r="49" spans="1:15" ht="18" customHeight="1">
      <c r="A49" s="78" t="str">
        <f>A$7</f>
        <v>Stress Case</v>
      </c>
      <c r="B49" s="93">
        <f aca="true" t="shared" si="18" ref="B49:G49">+I49</f>
        <v>2.711158723447811</v>
      </c>
      <c r="C49" s="93">
        <f t="shared" si="18"/>
        <v>2.334359719185475</v>
      </c>
      <c r="D49" s="93">
        <f t="shared" si="18"/>
        <v>1.9564971135847347</v>
      </c>
      <c r="E49" s="93">
        <f t="shared" si="18"/>
        <v>1.590474146953919</v>
      </c>
      <c r="F49" s="93">
        <f t="shared" si="18"/>
        <v>1.2519264735393438</v>
      </c>
      <c r="G49" s="93">
        <f t="shared" si="18"/>
        <v>0.9115763254048661</v>
      </c>
      <c r="H49" s="73"/>
      <c r="I49" s="93">
        <f>+Model!Q49</f>
        <v>2.711158723447811</v>
      </c>
      <c r="J49" s="93">
        <f>+Model!R49</f>
        <v>2.334359719185475</v>
      </c>
      <c r="K49" s="93">
        <f>+Model!S49</f>
        <v>1.9564971135847347</v>
      </c>
      <c r="L49" s="93">
        <f>+Model!T49</f>
        <v>1.590474146953919</v>
      </c>
      <c r="M49" s="93">
        <f>+Model!U49</f>
        <v>1.2519264735393438</v>
      </c>
      <c r="N49" s="93">
        <f>+Model!V49</f>
        <v>0.9115763254048661</v>
      </c>
      <c r="O49" s="73"/>
    </row>
    <row r="50" spans="1:15" ht="18" customHeight="1">
      <c r="A50" s="83" t="s">
        <v>202</v>
      </c>
      <c r="B50" s="94"/>
      <c r="C50" s="94"/>
      <c r="D50" s="94"/>
      <c r="E50" s="94"/>
      <c r="F50" s="94"/>
      <c r="G50" s="94"/>
      <c r="H50" s="73"/>
      <c r="I50" s="84"/>
      <c r="J50" s="84"/>
      <c r="K50" s="84"/>
      <c r="L50" s="84"/>
      <c r="M50" s="84"/>
      <c r="N50" s="84"/>
      <c r="O50" s="73"/>
    </row>
    <row r="51" spans="1:15" ht="18" customHeight="1">
      <c r="A51" s="78" t="str">
        <f>A$6</f>
        <v>Base Case</v>
      </c>
      <c r="B51" s="99">
        <v>0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73"/>
      <c r="I51" s="99">
        <f>+Model!Q54</f>
        <v>0.33677934204069293</v>
      </c>
      <c r="J51" s="99">
        <f>+Model!R54</f>
        <v>0.3296777999211247</v>
      </c>
      <c r="K51" s="99">
        <f>+Model!S54</f>
        <v>0.32244270176394396</v>
      </c>
      <c r="L51" s="99">
        <f>+Model!T54</f>
        <v>0.3150268074494536</v>
      </c>
      <c r="M51" s="99">
        <f>+Model!U54</f>
        <v>0.30756010388506905</v>
      </c>
      <c r="N51" s="99">
        <f>+Model!V54</f>
        <v>0.2997547271798527</v>
      </c>
      <c r="O51" s="73"/>
    </row>
    <row r="52" spans="1:15" ht="18" customHeight="1">
      <c r="A52" s="92" t="str">
        <f>A$7</f>
        <v>Stress Case</v>
      </c>
      <c r="B52" s="97">
        <f aca="true" t="shared" si="19" ref="B52:G52">+I52</f>
        <v>0.33677934204069293</v>
      </c>
      <c r="C52" s="97">
        <f t="shared" si="19"/>
        <v>0.3296777999211247</v>
      </c>
      <c r="D52" s="98">
        <f t="shared" si="19"/>
        <v>0.32244270176394396</v>
      </c>
      <c r="E52" s="98">
        <f t="shared" si="19"/>
        <v>0.3150268074494536</v>
      </c>
      <c r="F52" s="98">
        <f t="shared" si="19"/>
        <v>0.30756010388506905</v>
      </c>
      <c r="G52" s="98">
        <f t="shared" si="19"/>
        <v>0.2997547271798527</v>
      </c>
      <c r="H52" s="73"/>
      <c r="I52" s="98">
        <f>+Model!Q54</f>
        <v>0.33677934204069293</v>
      </c>
      <c r="J52" s="98">
        <f>+Model!R54</f>
        <v>0.3296777999211247</v>
      </c>
      <c r="K52" s="98">
        <f>+Model!S54</f>
        <v>0.32244270176394396</v>
      </c>
      <c r="L52" s="98">
        <f>+Model!T54</f>
        <v>0.3150268074494536</v>
      </c>
      <c r="M52" s="98">
        <f>+Model!U54</f>
        <v>0.30756010388506905</v>
      </c>
      <c r="N52" s="98">
        <f>+Model!V54</f>
        <v>0.2997547271798527</v>
      </c>
      <c r="O52" s="73"/>
    </row>
  </sheetData>
  <sheetProtection/>
  <printOptions/>
  <pageMargins left="0.73" right="0.75" top="0.34" bottom="0.23" header="0.24" footer="0.16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2015-04-05T18:42:30Z</cp:lastPrinted>
  <dcterms:created xsi:type="dcterms:W3CDTF">2009-12-23T14:46:20Z</dcterms:created>
  <dcterms:modified xsi:type="dcterms:W3CDTF">2015-04-05T20:35:55Z</dcterms:modified>
  <cp:category/>
  <cp:version/>
  <cp:contentType/>
  <cp:contentStatus/>
</cp:coreProperties>
</file>