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MIF/"/>
    </mc:Choice>
  </mc:AlternateContent>
  <xr:revisionPtr revIDLastSave="332" documentId="8_{56D8B789-D210-47FB-8592-8AA8C1BD262B}" xr6:coauthVersionLast="47" xr6:coauthVersionMax="47" xr10:uidLastSave="{AED9EFA3-69FC-4F0A-A1A1-D394599BF4FD}"/>
  <bookViews>
    <workbookView xWindow="-120" yWindow="-120" windowWidth="29040" windowHeight="15720" xr2:uid="{9EF70BA9-A403-4443-BD38-55D9BF21EDC3}"/>
  </bookViews>
  <sheets>
    <sheet name="Historical Analysis" sheetId="1" r:id="rId1"/>
    <sheet name="Projections" sheetId="3" r:id="rId2"/>
    <sheet name="Valuation Analysis" sheetId="2" r:id="rId3"/>
    <sheet name="Technical Analysis" sheetId="4" r:id="rId4"/>
    <sheet name="Yahoo Input Val" sheetId="12" r:id="rId5"/>
    <sheet name="S&amp;P ETF Yahoo" sheetId="11" r:id="rId6"/>
    <sheet name="Income Stat Yahoo Input" sheetId="5" r:id="rId7"/>
    <sheet name="Balance Sheet Yahoo Input" sheetId="6" r:id="rId8"/>
    <sheet name="Cash Flow Yahoo Input" sheetId="7" r:id="rId9"/>
    <sheet name="Stock Historical Yahoo" sheetId="10" r:id="rId10"/>
    <sheet name="Sheet1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9" i="2" l="1"/>
  <c r="Z49" i="2"/>
  <c r="Y49" i="2"/>
  <c r="X49" i="2"/>
  <c r="W49" i="2"/>
  <c r="O94" i="1"/>
  <c r="P94" i="1"/>
  <c r="Q94" i="1"/>
  <c r="R94" i="1"/>
  <c r="F140" i="2"/>
  <c r="G140" i="2"/>
  <c r="H140" i="2"/>
  <c r="I140" i="2"/>
  <c r="J140" i="2"/>
  <c r="E140" i="2"/>
  <c r="B134" i="2"/>
  <c r="O173" i="2"/>
  <c r="N173" i="2"/>
  <c r="P38" i="3"/>
  <c r="P39" i="3"/>
  <c r="D61" i="2"/>
  <c r="H6" i="2"/>
  <c r="C31" i="2" s="1"/>
  <c r="G6" i="2"/>
  <c r="K61" i="2"/>
  <c r="K60" i="2"/>
  <c r="K59" i="2"/>
  <c r="K58" i="2"/>
  <c r="K57" i="2"/>
  <c r="I61" i="2"/>
  <c r="I60" i="2"/>
  <c r="I59" i="2"/>
  <c r="I58" i="2"/>
  <c r="I57" i="2"/>
  <c r="G61" i="2"/>
  <c r="G60" i="2"/>
  <c r="G59" i="2"/>
  <c r="G58" i="2"/>
  <c r="G57" i="2"/>
  <c r="F61" i="2"/>
  <c r="F60" i="2"/>
  <c r="F59" i="2"/>
  <c r="F58" i="2"/>
  <c r="F57" i="2"/>
  <c r="D60" i="2"/>
  <c r="D59" i="2"/>
  <c r="D58" i="2"/>
  <c r="D57" i="2"/>
  <c r="C61" i="2"/>
  <c r="C60" i="2"/>
  <c r="C59" i="2"/>
  <c r="C58" i="2"/>
  <c r="C57" i="2"/>
  <c r="C56" i="2"/>
  <c r="K56" i="2"/>
  <c r="I56" i="2"/>
  <c r="G56" i="2"/>
  <c r="F56" i="2"/>
  <c r="D56" i="2"/>
  <c r="I55" i="2"/>
  <c r="I8" i="12"/>
  <c r="I12" i="12" s="1"/>
  <c r="H8" i="12"/>
  <c r="H12" i="12"/>
  <c r="G55" i="2"/>
  <c r="F55" i="2"/>
  <c r="K55" i="2"/>
  <c r="D55" i="2"/>
  <c r="C55" i="2"/>
  <c r="H7" i="12"/>
  <c r="E7" i="12"/>
  <c r="E8" i="12" s="1"/>
  <c r="E12" i="12" s="1"/>
  <c r="I7" i="12"/>
  <c r="F7" i="12"/>
  <c r="F8" i="12" s="1"/>
  <c r="F12" i="12" s="1"/>
  <c r="G7" i="12"/>
  <c r="G8" i="12" s="1"/>
  <c r="G12" i="12" s="1"/>
  <c r="D7" i="12"/>
  <c r="D8" i="12" s="1"/>
  <c r="D12" i="12" s="1"/>
  <c r="C7" i="12"/>
  <c r="C8" i="12" s="1"/>
  <c r="C12" i="12" s="1"/>
  <c r="B7" i="12"/>
  <c r="B8" i="12" s="1"/>
  <c r="B12" i="12" s="1"/>
  <c r="G74" i="2"/>
  <c r="G75" i="2"/>
  <c r="F75" i="2"/>
  <c r="S78" i="1"/>
  <c r="S75" i="1"/>
  <c r="S73" i="1"/>
  <c r="S71" i="1"/>
  <c r="S65" i="1"/>
  <c r="S67" i="1" s="1"/>
  <c r="S64" i="1"/>
  <c r="S62" i="1"/>
  <c r="S59" i="1"/>
  <c r="S57" i="1"/>
  <c r="S54" i="1"/>
  <c r="S53" i="1"/>
  <c r="S82" i="1" s="1"/>
  <c r="S50" i="1"/>
  <c r="S49" i="1"/>
  <c r="S81" i="1" s="1"/>
  <c r="S85" i="1" s="1"/>
  <c r="S47" i="1"/>
  <c r="S46" i="1"/>
  <c r="S42" i="1"/>
  <c r="S39" i="1"/>
  <c r="S38" i="1"/>
  <c r="S37" i="1"/>
  <c r="S36" i="1"/>
  <c r="S34" i="1"/>
  <c r="S35" i="1" s="1"/>
  <c r="S30" i="1"/>
  <c r="S29" i="1"/>
  <c r="S28" i="1"/>
  <c r="S27" i="1"/>
  <c r="S25" i="1"/>
  <c r="S24" i="1"/>
  <c r="S26" i="1" s="1"/>
  <c r="S20" i="1"/>
  <c r="S16" i="1"/>
  <c r="S15" i="1"/>
  <c r="S17" i="1" s="1"/>
  <c r="S12" i="1"/>
  <c r="S10" i="1"/>
  <c r="S8" i="1"/>
  <c r="S7" i="1"/>
  <c r="R78" i="1"/>
  <c r="R75" i="1"/>
  <c r="R73" i="1"/>
  <c r="R71" i="1"/>
  <c r="R65" i="1"/>
  <c r="R64" i="1"/>
  <c r="R62" i="1"/>
  <c r="R59" i="1"/>
  <c r="R57" i="1"/>
  <c r="R54" i="1"/>
  <c r="R53" i="1"/>
  <c r="R82" i="1" s="1"/>
  <c r="R50" i="1"/>
  <c r="R49" i="1"/>
  <c r="R81" i="1" s="1"/>
  <c r="R85" i="1" s="1"/>
  <c r="R47" i="1"/>
  <c r="R46" i="1"/>
  <c r="R48" i="1" s="1"/>
  <c r="R42" i="1"/>
  <c r="R39" i="1"/>
  <c r="R38" i="1"/>
  <c r="R37" i="1"/>
  <c r="R36" i="1"/>
  <c r="R34" i="1"/>
  <c r="R35" i="1" s="1"/>
  <c r="R30" i="1"/>
  <c r="R29" i="1"/>
  <c r="R28" i="1"/>
  <c r="R27" i="1"/>
  <c r="R25" i="1"/>
  <c r="R24" i="1"/>
  <c r="R26" i="1" s="1"/>
  <c r="R20" i="1"/>
  <c r="R16" i="1"/>
  <c r="R15" i="1"/>
  <c r="R17" i="1" s="1"/>
  <c r="R12" i="1"/>
  <c r="R10" i="1"/>
  <c r="R8" i="1"/>
  <c r="R7" i="1"/>
  <c r="P7" i="1"/>
  <c r="Q7" i="1"/>
  <c r="P8" i="1"/>
  <c r="Q8" i="1"/>
  <c r="Q9" i="1"/>
  <c r="P10" i="1"/>
  <c r="Q10" i="1"/>
  <c r="P12" i="1"/>
  <c r="Q12" i="1"/>
  <c r="P15" i="1"/>
  <c r="Q15" i="1"/>
  <c r="P16" i="1"/>
  <c r="Q16" i="1"/>
  <c r="P17" i="1"/>
  <c r="P20" i="1"/>
  <c r="Q20" i="1"/>
  <c r="P24" i="1"/>
  <c r="Q24" i="1"/>
  <c r="P25" i="1"/>
  <c r="Q25" i="1"/>
  <c r="P27" i="1"/>
  <c r="Q27" i="1"/>
  <c r="P28" i="1"/>
  <c r="Q28" i="1"/>
  <c r="P29" i="1"/>
  <c r="Q29" i="1"/>
  <c r="P30" i="1"/>
  <c r="Q30" i="1"/>
  <c r="P34" i="1"/>
  <c r="Q34" i="1"/>
  <c r="P36" i="1"/>
  <c r="Q36" i="1"/>
  <c r="P37" i="1"/>
  <c r="Q37" i="1"/>
  <c r="P38" i="1"/>
  <c r="Q38" i="1"/>
  <c r="P39" i="1"/>
  <c r="Q39" i="1"/>
  <c r="P42" i="1"/>
  <c r="Q42" i="1"/>
  <c r="P46" i="1"/>
  <c r="Q46" i="1"/>
  <c r="P47" i="1"/>
  <c r="Q47" i="1"/>
  <c r="P49" i="1"/>
  <c r="Q49" i="1"/>
  <c r="P50" i="1"/>
  <c r="Q50" i="1"/>
  <c r="P53" i="1"/>
  <c r="P82" i="1" s="1"/>
  <c r="Q53" i="1"/>
  <c r="Q82" i="1" s="1"/>
  <c r="P54" i="1"/>
  <c r="Q54" i="1"/>
  <c r="P57" i="1"/>
  <c r="P56" i="1" s="1"/>
  <c r="P55" i="1" s="1"/>
  <c r="Q57" i="1"/>
  <c r="Q56" i="1" s="1"/>
  <c r="P59" i="1"/>
  <c r="Q59" i="1"/>
  <c r="P62" i="1"/>
  <c r="Q62" i="1"/>
  <c r="P64" i="1"/>
  <c r="Q64" i="1"/>
  <c r="P65" i="1"/>
  <c r="Q65" i="1"/>
  <c r="P71" i="1"/>
  <c r="Q71" i="1"/>
  <c r="P73" i="1"/>
  <c r="Q73" i="1"/>
  <c r="P75" i="1"/>
  <c r="Q75" i="1"/>
  <c r="P78" i="1"/>
  <c r="Q78" i="1"/>
  <c r="D73" i="1"/>
  <c r="E73" i="1"/>
  <c r="F73" i="1"/>
  <c r="G73" i="1"/>
  <c r="H73" i="1"/>
  <c r="I73" i="1"/>
  <c r="J73" i="1"/>
  <c r="K73" i="1"/>
  <c r="L73" i="1"/>
  <c r="M73" i="1"/>
  <c r="E24" i="3" s="1"/>
  <c r="N73" i="1"/>
  <c r="D24" i="3" s="1"/>
  <c r="O73" i="1"/>
  <c r="C24" i="3" s="1"/>
  <c r="D75" i="1"/>
  <c r="E75" i="1"/>
  <c r="F75" i="1"/>
  <c r="G75" i="1"/>
  <c r="H75" i="1"/>
  <c r="I75" i="1"/>
  <c r="J75" i="1"/>
  <c r="K75" i="1"/>
  <c r="L75" i="1"/>
  <c r="M75" i="1"/>
  <c r="N75" i="1"/>
  <c r="D25" i="3" s="1"/>
  <c r="O75" i="1"/>
  <c r="C25" i="3" s="1"/>
  <c r="D78" i="1"/>
  <c r="E78" i="1"/>
  <c r="F78" i="1"/>
  <c r="G78" i="1"/>
  <c r="H78" i="1"/>
  <c r="I78" i="1"/>
  <c r="J78" i="1"/>
  <c r="K78" i="1"/>
  <c r="L78" i="1"/>
  <c r="M78" i="1"/>
  <c r="E26" i="3" s="1"/>
  <c r="N78" i="1"/>
  <c r="D26" i="3" s="1"/>
  <c r="O78" i="1"/>
  <c r="C26" i="3" s="1"/>
  <c r="D59" i="1"/>
  <c r="E59" i="1"/>
  <c r="F59" i="1"/>
  <c r="G59" i="1"/>
  <c r="H59" i="1"/>
  <c r="I59" i="1"/>
  <c r="J59" i="1"/>
  <c r="K59" i="1"/>
  <c r="L59" i="1"/>
  <c r="M59" i="1"/>
  <c r="N59" i="1"/>
  <c r="O59" i="1"/>
  <c r="D62" i="1"/>
  <c r="E62" i="1"/>
  <c r="F62" i="1"/>
  <c r="G62" i="1"/>
  <c r="H62" i="1"/>
  <c r="I62" i="1"/>
  <c r="J62" i="1"/>
  <c r="K62" i="1"/>
  <c r="L62" i="1"/>
  <c r="M62" i="1"/>
  <c r="N62" i="1"/>
  <c r="O62" i="1"/>
  <c r="D64" i="1"/>
  <c r="E64" i="1"/>
  <c r="F64" i="1"/>
  <c r="G64" i="1"/>
  <c r="H64" i="1"/>
  <c r="I64" i="1"/>
  <c r="J64" i="1"/>
  <c r="K64" i="1"/>
  <c r="L64" i="1"/>
  <c r="M64" i="1"/>
  <c r="N64" i="1"/>
  <c r="O64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C64" i="1"/>
  <c r="C62" i="1"/>
  <c r="C59" i="1"/>
  <c r="D46" i="1"/>
  <c r="E46" i="1"/>
  <c r="F46" i="1"/>
  <c r="G46" i="1"/>
  <c r="H46" i="1"/>
  <c r="I46" i="1"/>
  <c r="J46" i="1"/>
  <c r="K46" i="1"/>
  <c r="L46" i="1"/>
  <c r="M46" i="1"/>
  <c r="N46" i="1"/>
  <c r="O46" i="1"/>
  <c r="D47" i="1"/>
  <c r="E47" i="1"/>
  <c r="F47" i="1"/>
  <c r="G47" i="1"/>
  <c r="H47" i="1"/>
  <c r="I47" i="1"/>
  <c r="J47" i="1"/>
  <c r="K47" i="1"/>
  <c r="L47" i="1"/>
  <c r="M47" i="1"/>
  <c r="N47" i="1"/>
  <c r="O47" i="1"/>
  <c r="D49" i="1"/>
  <c r="E49" i="1"/>
  <c r="F49" i="1"/>
  <c r="G49" i="1"/>
  <c r="H49" i="1"/>
  <c r="I49" i="1"/>
  <c r="J49" i="1"/>
  <c r="K49" i="1"/>
  <c r="L49" i="1"/>
  <c r="M49" i="1"/>
  <c r="N49" i="1"/>
  <c r="O49" i="1"/>
  <c r="D50" i="1"/>
  <c r="E50" i="1"/>
  <c r="F50" i="1"/>
  <c r="G50" i="1"/>
  <c r="H50" i="1"/>
  <c r="I50" i="1"/>
  <c r="J50" i="1"/>
  <c r="K50" i="1"/>
  <c r="L50" i="1"/>
  <c r="M50" i="1"/>
  <c r="N50" i="1"/>
  <c r="O50" i="1"/>
  <c r="C50" i="1"/>
  <c r="D53" i="1"/>
  <c r="E53" i="1"/>
  <c r="F53" i="1"/>
  <c r="G53" i="1"/>
  <c r="H53" i="1"/>
  <c r="I53" i="1"/>
  <c r="J53" i="1"/>
  <c r="K53" i="1"/>
  <c r="L53" i="1"/>
  <c r="M53" i="1"/>
  <c r="N53" i="1"/>
  <c r="O53" i="1"/>
  <c r="D54" i="1"/>
  <c r="E54" i="1"/>
  <c r="F54" i="1"/>
  <c r="G54" i="1"/>
  <c r="H54" i="1"/>
  <c r="I54" i="1"/>
  <c r="J54" i="1"/>
  <c r="K54" i="1"/>
  <c r="L54" i="1"/>
  <c r="M54" i="1"/>
  <c r="N54" i="1"/>
  <c r="O54" i="1"/>
  <c r="D57" i="1"/>
  <c r="E57" i="1"/>
  <c r="F57" i="1"/>
  <c r="G57" i="1"/>
  <c r="H57" i="1"/>
  <c r="I57" i="1"/>
  <c r="J57" i="1"/>
  <c r="K57" i="1"/>
  <c r="L57" i="1"/>
  <c r="M57" i="1"/>
  <c r="M56" i="1" s="1"/>
  <c r="M55" i="1" s="1"/>
  <c r="N57" i="1"/>
  <c r="N56" i="1" s="1"/>
  <c r="O57" i="1"/>
  <c r="C54" i="1"/>
  <c r="C53" i="1"/>
  <c r="C57" i="1"/>
  <c r="C49" i="1"/>
  <c r="C47" i="1"/>
  <c r="C46" i="1"/>
  <c r="D24" i="1"/>
  <c r="E24" i="1"/>
  <c r="F24" i="1"/>
  <c r="G24" i="1"/>
  <c r="H24" i="1"/>
  <c r="I24" i="1"/>
  <c r="J24" i="1"/>
  <c r="J26" i="1" s="1"/>
  <c r="J31" i="1" s="1"/>
  <c r="K24" i="1"/>
  <c r="L24" i="1"/>
  <c r="M24" i="1"/>
  <c r="N24" i="1"/>
  <c r="O24" i="1"/>
  <c r="D25" i="1"/>
  <c r="E25" i="1"/>
  <c r="F25" i="1"/>
  <c r="G25" i="1"/>
  <c r="H25" i="1"/>
  <c r="I25" i="1"/>
  <c r="J25" i="1"/>
  <c r="K25" i="1"/>
  <c r="L25" i="1"/>
  <c r="M25" i="1"/>
  <c r="N25" i="1"/>
  <c r="O25" i="1"/>
  <c r="D27" i="1"/>
  <c r="E27" i="1"/>
  <c r="F27" i="1"/>
  <c r="G27" i="1"/>
  <c r="H27" i="1"/>
  <c r="I27" i="1"/>
  <c r="J27" i="1"/>
  <c r="K27" i="1"/>
  <c r="L27" i="1"/>
  <c r="M27" i="1"/>
  <c r="N27" i="1"/>
  <c r="O27" i="1"/>
  <c r="D28" i="1"/>
  <c r="E28" i="1"/>
  <c r="F28" i="1"/>
  <c r="G28" i="1"/>
  <c r="H28" i="1"/>
  <c r="I28" i="1"/>
  <c r="J28" i="1"/>
  <c r="K28" i="1"/>
  <c r="L28" i="1"/>
  <c r="M28" i="1"/>
  <c r="N28" i="1"/>
  <c r="O28" i="1"/>
  <c r="D29" i="1"/>
  <c r="E29" i="1"/>
  <c r="F29" i="1"/>
  <c r="G29" i="1"/>
  <c r="H29" i="1"/>
  <c r="I29" i="1"/>
  <c r="J29" i="1"/>
  <c r="K29" i="1"/>
  <c r="L29" i="1"/>
  <c r="M29" i="1"/>
  <c r="N29" i="1"/>
  <c r="O29" i="1"/>
  <c r="D30" i="1"/>
  <c r="E30" i="1"/>
  <c r="F30" i="1"/>
  <c r="G30" i="1"/>
  <c r="H30" i="1"/>
  <c r="I30" i="1"/>
  <c r="J30" i="1"/>
  <c r="K30" i="1"/>
  <c r="L30" i="1"/>
  <c r="M30" i="1"/>
  <c r="N30" i="1"/>
  <c r="O30" i="1"/>
  <c r="D34" i="1"/>
  <c r="E34" i="1"/>
  <c r="F34" i="1"/>
  <c r="G34" i="1"/>
  <c r="H34" i="1"/>
  <c r="I34" i="1"/>
  <c r="J34" i="1"/>
  <c r="K34" i="1"/>
  <c r="L34" i="1"/>
  <c r="M34" i="1"/>
  <c r="N34" i="1"/>
  <c r="O34" i="1"/>
  <c r="D36" i="1"/>
  <c r="E36" i="1"/>
  <c r="E35" i="1" s="1"/>
  <c r="F36" i="1"/>
  <c r="F35" i="1" s="1"/>
  <c r="G36" i="1"/>
  <c r="H36" i="1"/>
  <c r="I36" i="1"/>
  <c r="J36" i="1"/>
  <c r="K36" i="1"/>
  <c r="L36" i="1"/>
  <c r="M36" i="1"/>
  <c r="M35" i="1" s="1"/>
  <c r="N36" i="1"/>
  <c r="N35" i="1" s="1"/>
  <c r="O36" i="1"/>
  <c r="D37" i="1"/>
  <c r="E37" i="1"/>
  <c r="F37" i="1"/>
  <c r="G37" i="1"/>
  <c r="H37" i="1"/>
  <c r="I37" i="1"/>
  <c r="J37" i="1"/>
  <c r="K37" i="1"/>
  <c r="L37" i="1"/>
  <c r="M37" i="1"/>
  <c r="N37" i="1"/>
  <c r="O37" i="1"/>
  <c r="D38" i="1"/>
  <c r="E38" i="1"/>
  <c r="F38" i="1"/>
  <c r="G38" i="1"/>
  <c r="H38" i="1"/>
  <c r="I38" i="1"/>
  <c r="J38" i="1"/>
  <c r="K38" i="1"/>
  <c r="L38" i="1"/>
  <c r="M38" i="1"/>
  <c r="N38" i="1"/>
  <c r="O38" i="1"/>
  <c r="D39" i="1"/>
  <c r="E39" i="1"/>
  <c r="F39" i="1"/>
  <c r="G39" i="1"/>
  <c r="H39" i="1"/>
  <c r="I39" i="1"/>
  <c r="J39" i="1"/>
  <c r="K39" i="1"/>
  <c r="L39" i="1"/>
  <c r="M39" i="1"/>
  <c r="N39" i="1"/>
  <c r="O39" i="1"/>
  <c r="D42" i="1"/>
  <c r="E42" i="1"/>
  <c r="F42" i="1"/>
  <c r="G42" i="1"/>
  <c r="H42" i="1"/>
  <c r="I42" i="1"/>
  <c r="J42" i="1"/>
  <c r="K42" i="1"/>
  <c r="L42" i="1"/>
  <c r="M42" i="1"/>
  <c r="N42" i="1"/>
  <c r="O42" i="1"/>
  <c r="C42" i="1"/>
  <c r="C39" i="1"/>
  <c r="C38" i="1"/>
  <c r="C37" i="1"/>
  <c r="C36" i="1"/>
  <c r="C34" i="1"/>
  <c r="C30" i="1"/>
  <c r="C29" i="1"/>
  <c r="C28" i="1"/>
  <c r="C27" i="1"/>
  <c r="C25" i="1"/>
  <c r="C24" i="1"/>
  <c r="G31" i="2" s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D6" i="1"/>
  <c r="E6" i="1" s="1"/>
  <c r="F6" i="1" s="1"/>
  <c r="J76" i="2"/>
  <c r="K54" i="2"/>
  <c r="J54" i="2"/>
  <c r="I54" i="2"/>
  <c r="H54" i="2"/>
  <c r="G54" i="2"/>
  <c r="F54" i="2"/>
  <c r="E54" i="2"/>
  <c r="D54" i="2"/>
  <c r="C54" i="2"/>
  <c r="H30" i="2"/>
  <c r="G30" i="2"/>
  <c r="F30" i="2"/>
  <c r="E30" i="2"/>
  <c r="D30" i="2"/>
  <c r="C30" i="2"/>
  <c r="I23" i="4"/>
  <c r="J23" i="4"/>
  <c r="K23" i="4"/>
  <c r="L23" i="4"/>
  <c r="I24" i="4"/>
  <c r="J24" i="4"/>
  <c r="K24" i="4"/>
  <c r="L24" i="4"/>
  <c r="I25" i="4"/>
  <c r="J25" i="4"/>
  <c r="K25" i="4"/>
  <c r="L25" i="4"/>
  <c r="I26" i="4"/>
  <c r="J26" i="4"/>
  <c r="K26" i="4"/>
  <c r="L26" i="4"/>
  <c r="I27" i="4"/>
  <c r="J27" i="4"/>
  <c r="K27" i="4"/>
  <c r="L27" i="4"/>
  <c r="I28" i="4"/>
  <c r="J28" i="4"/>
  <c r="K28" i="4"/>
  <c r="L28" i="4"/>
  <c r="I29" i="4"/>
  <c r="J29" i="4"/>
  <c r="K29" i="4"/>
  <c r="L29" i="4"/>
  <c r="I30" i="4"/>
  <c r="J30" i="4"/>
  <c r="K30" i="4"/>
  <c r="L30" i="4"/>
  <c r="I31" i="4"/>
  <c r="J31" i="4"/>
  <c r="K31" i="4"/>
  <c r="L31" i="4"/>
  <c r="I32" i="4"/>
  <c r="J32" i="4"/>
  <c r="K32" i="4"/>
  <c r="L32" i="4"/>
  <c r="I33" i="4"/>
  <c r="J33" i="4"/>
  <c r="K33" i="4"/>
  <c r="L33" i="4"/>
  <c r="I34" i="4"/>
  <c r="J34" i="4"/>
  <c r="K34" i="4"/>
  <c r="L34" i="4"/>
  <c r="I35" i="4"/>
  <c r="J35" i="4"/>
  <c r="K35" i="4"/>
  <c r="L35" i="4"/>
  <c r="I36" i="4"/>
  <c r="J36" i="4"/>
  <c r="K36" i="4"/>
  <c r="L36" i="4"/>
  <c r="I37" i="4"/>
  <c r="J37" i="4"/>
  <c r="K37" i="4"/>
  <c r="L37" i="4"/>
  <c r="I38" i="4"/>
  <c r="J38" i="4"/>
  <c r="K38" i="4"/>
  <c r="L38" i="4"/>
  <c r="I39" i="4"/>
  <c r="J39" i="4"/>
  <c r="K39" i="4"/>
  <c r="L39" i="4"/>
  <c r="I40" i="4"/>
  <c r="J40" i="4"/>
  <c r="K40" i="4"/>
  <c r="L40" i="4"/>
  <c r="I41" i="4"/>
  <c r="J41" i="4"/>
  <c r="K41" i="4"/>
  <c r="L41" i="4"/>
  <c r="I42" i="4"/>
  <c r="J42" i="4"/>
  <c r="K42" i="4"/>
  <c r="L42" i="4"/>
  <c r="I43" i="4"/>
  <c r="J43" i="4"/>
  <c r="K43" i="4"/>
  <c r="L43" i="4"/>
  <c r="I44" i="4"/>
  <c r="J44" i="4"/>
  <c r="K44" i="4"/>
  <c r="L44" i="4"/>
  <c r="I45" i="4"/>
  <c r="J45" i="4"/>
  <c r="K45" i="4"/>
  <c r="L45" i="4"/>
  <c r="I46" i="4"/>
  <c r="J46" i="4"/>
  <c r="K46" i="4"/>
  <c r="L46" i="4"/>
  <c r="I47" i="4"/>
  <c r="J47" i="4"/>
  <c r="K47" i="4"/>
  <c r="L47" i="4"/>
  <c r="I48" i="4"/>
  <c r="J48" i="4"/>
  <c r="K48" i="4"/>
  <c r="L48" i="4"/>
  <c r="I49" i="4"/>
  <c r="J49" i="4"/>
  <c r="K49" i="4"/>
  <c r="L49" i="4"/>
  <c r="I50" i="4"/>
  <c r="J50" i="4"/>
  <c r="K50" i="4"/>
  <c r="L50" i="4"/>
  <c r="I51" i="4"/>
  <c r="J51" i="4"/>
  <c r="K51" i="4"/>
  <c r="L51" i="4"/>
  <c r="I52" i="4"/>
  <c r="J52" i="4"/>
  <c r="K52" i="4"/>
  <c r="L52" i="4"/>
  <c r="I53" i="4"/>
  <c r="J53" i="4"/>
  <c r="K53" i="4"/>
  <c r="L53" i="4"/>
  <c r="I54" i="4"/>
  <c r="J54" i="4"/>
  <c r="K54" i="4"/>
  <c r="L54" i="4"/>
  <c r="I55" i="4"/>
  <c r="J55" i="4"/>
  <c r="K55" i="4"/>
  <c r="L55" i="4"/>
  <c r="I56" i="4"/>
  <c r="J56" i="4"/>
  <c r="K56" i="4"/>
  <c r="L56" i="4"/>
  <c r="I57" i="4"/>
  <c r="J57" i="4"/>
  <c r="K57" i="4"/>
  <c r="L57" i="4"/>
  <c r="I58" i="4"/>
  <c r="J58" i="4"/>
  <c r="K58" i="4"/>
  <c r="L58" i="4"/>
  <c r="I59" i="4"/>
  <c r="J59" i="4"/>
  <c r="K59" i="4"/>
  <c r="L59" i="4"/>
  <c r="I60" i="4"/>
  <c r="J60" i="4"/>
  <c r="K60" i="4"/>
  <c r="L60" i="4"/>
  <c r="I61" i="4"/>
  <c r="J61" i="4"/>
  <c r="K61" i="4"/>
  <c r="L61" i="4"/>
  <c r="I62" i="4"/>
  <c r="J62" i="4"/>
  <c r="K62" i="4"/>
  <c r="L62" i="4"/>
  <c r="I63" i="4"/>
  <c r="J63" i="4"/>
  <c r="K63" i="4"/>
  <c r="L63" i="4"/>
  <c r="I64" i="4"/>
  <c r="J64" i="4"/>
  <c r="K64" i="4"/>
  <c r="L64" i="4"/>
  <c r="I65" i="4"/>
  <c r="J65" i="4"/>
  <c r="K65" i="4"/>
  <c r="L65" i="4"/>
  <c r="I66" i="4"/>
  <c r="J66" i="4"/>
  <c r="K66" i="4"/>
  <c r="L66" i="4"/>
  <c r="I67" i="4"/>
  <c r="J67" i="4"/>
  <c r="K67" i="4"/>
  <c r="L67" i="4"/>
  <c r="I68" i="4"/>
  <c r="J68" i="4"/>
  <c r="K68" i="4"/>
  <c r="L68" i="4"/>
  <c r="I69" i="4"/>
  <c r="J69" i="4"/>
  <c r="K69" i="4"/>
  <c r="L69" i="4"/>
  <c r="I70" i="4"/>
  <c r="J70" i="4"/>
  <c r="K70" i="4"/>
  <c r="L70" i="4"/>
  <c r="I71" i="4"/>
  <c r="J71" i="4"/>
  <c r="K71" i="4"/>
  <c r="L71" i="4"/>
  <c r="I72" i="4"/>
  <c r="J72" i="4"/>
  <c r="K72" i="4"/>
  <c r="L72" i="4"/>
  <c r="I73" i="4"/>
  <c r="J73" i="4"/>
  <c r="K73" i="4"/>
  <c r="L73" i="4"/>
  <c r="I74" i="4"/>
  <c r="J74" i="4"/>
  <c r="K74" i="4"/>
  <c r="L74" i="4"/>
  <c r="I75" i="4"/>
  <c r="J75" i="4"/>
  <c r="K75" i="4"/>
  <c r="L75" i="4"/>
  <c r="I76" i="4"/>
  <c r="J76" i="4"/>
  <c r="K76" i="4"/>
  <c r="L76" i="4"/>
  <c r="M77" i="4" s="1"/>
  <c r="T77" i="4" s="1"/>
  <c r="I77" i="4"/>
  <c r="J77" i="4"/>
  <c r="K77" i="4"/>
  <c r="L77" i="4"/>
  <c r="I78" i="4"/>
  <c r="J78" i="4"/>
  <c r="K78" i="4"/>
  <c r="L78" i="4"/>
  <c r="I79" i="4"/>
  <c r="J79" i="4"/>
  <c r="K79" i="4"/>
  <c r="L79" i="4"/>
  <c r="I80" i="4"/>
  <c r="J80" i="4"/>
  <c r="K80" i="4"/>
  <c r="L80" i="4"/>
  <c r="I81" i="4"/>
  <c r="J81" i="4"/>
  <c r="K81" i="4"/>
  <c r="L81" i="4"/>
  <c r="J22" i="4"/>
  <c r="K22" i="4"/>
  <c r="L22" i="4"/>
  <c r="M23" i="4" s="1"/>
  <c r="I22" i="4"/>
  <c r="A23" i="4"/>
  <c r="B23" i="4"/>
  <c r="C23" i="4"/>
  <c r="D23" i="4"/>
  <c r="E23" i="4"/>
  <c r="A24" i="4"/>
  <c r="B24" i="4"/>
  <c r="C24" i="4"/>
  <c r="D24" i="4"/>
  <c r="E24" i="4"/>
  <c r="A25" i="4"/>
  <c r="B25" i="4"/>
  <c r="C25" i="4"/>
  <c r="D25" i="4"/>
  <c r="E25" i="4"/>
  <c r="A26" i="4"/>
  <c r="B26" i="4"/>
  <c r="C26" i="4"/>
  <c r="D26" i="4"/>
  <c r="E26" i="4"/>
  <c r="A27" i="4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30" i="4"/>
  <c r="B30" i="4"/>
  <c r="C30" i="4"/>
  <c r="D30" i="4"/>
  <c r="E30" i="4"/>
  <c r="A31" i="4"/>
  <c r="B31" i="4"/>
  <c r="C31" i="4"/>
  <c r="D31" i="4"/>
  <c r="E31" i="4"/>
  <c r="A32" i="4"/>
  <c r="B32" i="4"/>
  <c r="C32" i="4"/>
  <c r="D32" i="4"/>
  <c r="E32" i="4"/>
  <c r="A33" i="4"/>
  <c r="B33" i="4"/>
  <c r="C33" i="4"/>
  <c r="D33" i="4"/>
  <c r="E33" i="4"/>
  <c r="A34" i="4"/>
  <c r="B34" i="4"/>
  <c r="C34" i="4"/>
  <c r="D34" i="4"/>
  <c r="E34" i="4"/>
  <c r="A35" i="4"/>
  <c r="B35" i="4"/>
  <c r="C35" i="4"/>
  <c r="D35" i="4"/>
  <c r="E35" i="4"/>
  <c r="A36" i="4"/>
  <c r="B36" i="4"/>
  <c r="C36" i="4"/>
  <c r="D36" i="4"/>
  <c r="E36" i="4"/>
  <c r="A37" i="4"/>
  <c r="B37" i="4"/>
  <c r="C37" i="4"/>
  <c r="D37" i="4"/>
  <c r="E37" i="4"/>
  <c r="A38" i="4"/>
  <c r="B38" i="4"/>
  <c r="C38" i="4"/>
  <c r="D38" i="4"/>
  <c r="E38" i="4"/>
  <c r="A39" i="4"/>
  <c r="B39" i="4"/>
  <c r="C39" i="4"/>
  <c r="D39" i="4"/>
  <c r="E39" i="4"/>
  <c r="A40" i="4"/>
  <c r="B40" i="4"/>
  <c r="C40" i="4"/>
  <c r="D40" i="4"/>
  <c r="E40" i="4"/>
  <c r="A41" i="4"/>
  <c r="B41" i="4"/>
  <c r="C41" i="4"/>
  <c r="D41" i="4"/>
  <c r="E41" i="4"/>
  <c r="A42" i="4"/>
  <c r="B42" i="4"/>
  <c r="C42" i="4"/>
  <c r="D42" i="4"/>
  <c r="E42" i="4"/>
  <c r="A43" i="4"/>
  <c r="B43" i="4"/>
  <c r="C43" i="4"/>
  <c r="D43" i="4"/>
  <c r="E43" i="4"/>
  <c r="A44" i="4"/>
  <c r="B44" i="4"/>
  <c r="C44" i="4"/>
  <c r="D44" i="4"/>
  <c r="E44" i="4"/>
  <c r="A45" i="4"/>
  <c r="B45" i="4"/>
  <c r="C45" i="4"/>
  <c r="D45" i="4"/>
  <c r="E45" i="4"/>
  <c r="A46" i="4"/>
  <c r="B46" i="4"/>
  <c r="C46" i="4"/>
  <c r="D46" i="4"/>
  <c r="E46" i="4"/>
  <c r="A47" i="4"/>
  <c r="B47" i="4"/>
  <c r="C47" i="4"/>
  <c r="D47" i="4"/>
  <c r="E47" i="4"/>
  <c r="A48" i="4"/>
  <c r="B48" i="4"/>
  <c r="C48" i="4"/>
  <c r="D48" i="4"/>
  <c r="E48" i="4"/>
  <c r="A49" i="4"/>
  <c r="B49" i="4"/>
  <c r="C49" i="4"/>
  <c r="D49" i="4"/>
  <c r="E49" i="4"/>
  <c r="A50" i="4"/>
  <c r="B50" i="4"/>
  <c r="C50" i="4"/>
  <c r="D50" i="4"/>
  <c r="E50" i="4"/>
  <c r="A51" i="4"/>
  <c r="B51" i="4"/>
  <c r="C51" i="4"/>
  <c r="D51" i="4"/>
  <c r="E51" i="4"/>
  <c r="A52" i="4"/>
  <c r="B52" i="4"/>
  <c r="C52" i="4"/>
  <c r="D52" i="4"/>
  <c r="E52" i="4"/>
  <c r="A53" i="4"/>
  <c r="B53" i="4"/>
  <c r="C53" i="4"/>
  <c r="D53" i="4"/>
  <c r="E53" i="4"/>
  <c r="A54" i="4"/>
  <c r="B54" i="4"/>
  <c r="C54" i="4"/>
  <c r="D54" i="4"/>
  <c r="E54" i="4"/>
  <c r="A55" i="4"/>
  <c r="B55" i="4"/>
  <c r="C55" i="4"/>
  <c r="D55" i="4"/>
  <c r="E55" i="4"/>
  <c r="A56" i="4"/>
  <c r="B56" i="4"/>
  <c r="C56" i="4"/>
  <c r="D56" i="4"/>
  <c r="E56" i="4"/>
  <c r="A57" i="4"/>
  <c r="B57" i="4"/>
  <c r="C57" i="4"/>
  <c r="D57" i="4"/>
  <c r="E57" i="4"/>
  <c r="A58" i="4"/>
  <c r="B58" i="4"/>
  <c r="C58" i="4"/>
  <c r="D58" i="4"/>
  <c r="E58" i="4"/>
  <c r="A59" i="4"/>
  <c r="B59" i="4"/>
  <c r="C59" i="4"/>
  <c r="D59" i="4"/>
  <c r="E59" i="4"/>
  <c r="A60" i="4"/>
  <c r="B60" i="4"/>
  <c r="C60" i="4"/>
  <c r="D60" i="4"/>
  <c r="E60" i="4"/>
  <c r="A61" i="4"/>
  <c r="B61" i="4"/>
  <c r="C61" i="4"/>
  <c r="D61" i="4"/>
  <c r="E61" i="4"/>
  <c r="A62" i="4"/>
  <c r="B62" i="4"/>
  <c r="C62" i="4"/>
  <c r="D62" i="4"/>
  <c r="E62" i="4"/>
  <c r="A63" i="4"/>
  <c r="B63" i="4"/>
  <c r="C63" i="4"/>
  <c r="D63" i="4"/>
  <c r="E63" i="4"/>
  <c r="A64" i="4"/>
  <c r="B64" i="4"/>
  <c r="C64" i="4"/>
  <c r="D64" i="4"/>
  <c r="E64" i="4"/>
  <c r="A65" i="4"/>
  <c r="B65" i="4"/>
  <c r="C65" i="4"/>
  <c r="D65" i="4"/>
  <c r="E65" i="4"/>
  <c r="A66" i="4"/>
  <c r="B66" i="4"/>
  <c r="C66" i="4"/>
  <c r="D66" i="4"/>
  <c r="E66" i="4"/>
  <c r="A67" i="4"/>
  <c r="B67" i="4"/>
  <c r="C67" i="4"/>
  <c r="D67" i="4"/>
  <c r="E67" i="4"/>
  <c r="A68" i="4"/>
  <c r="B68" i="4"/>
  <c r="C68" i="4"/>
  <c r="D68" i="4"/>
  <c r="E68" i="4"/>
  <c r="A69" i="4"/>
  <c r="B69" i="4"/>
  <c r="C69" i="4"/>
  <c r="D69" i="4"/>
  <c r="E69" i="4"/>
  <c r="A70" i="4"/>
  <c r="B70" i="4"/>
  <c r="C70" i="4"/>
  <c r="D70" i="4"/>
  <c r="E70" i="4"/>
  <c r="A71" i="4"/>
  <c r="B71" i="4"/>
  <c r="C71" i="4"/>
  <c r="D71" i="4"/>
  <c r="E71" i="4"/>
  <c r="A72" i="4"/>
  <c r="B72" i="4"/>
  <c r="C72" i="4"/>
  <c r="D72" i="4"/>
  <c r="E72" i="4"/>
  <c r="A73" i="4"/>
  <c r="B73" i="4"/>
  <c r="C73" i="4"/>
  <c r="D73" i="4"/>
  <c r="E73" i="4"/>
  <c r="A74" i="4"/>
  <c r="P74" i="4" s="1"/>
  <c r="B74" i="4"/>
  <c r="C74" i="4"/>
  <c r="D74" i="4"/>
  <c r="E74" i="4"/>
  <c r="Q74" i="4" s="1"/>
  <c r="A75" i="4"/>
  <c r="P75" i="4" s="1"/>
  <c r="B75" i="4"/>
  <c r="C75" i="4"/>
  <c r="D75" i="4"/>
  <c r="E75" i="4"/>
  <c r="F75" i="4" s="1"/>
  <c r="S75" i="4" s="1"/>
  <c r="A76" i="4"/>
  <c r="P76" i="4" s="1"/>
  <c r="B76" i="4"/>
  <c r="C76" i="4"/>
  <c r="D76" i="4"/>
  <c r="E76" i="4"/>
  <c r="Q76" i="4" s="1"/>
  <c r="A77" i="4"/>
  <c r="P77" i="4" s="1"/>
  <c r="B77" i="4"/>
  <c r="C77" i="4"/>
  <c r="D77" i="4"/>
  <c r="E77" i="4"/>
  <c r="Q77" i="4" s="1"/>
  <c r="A78" i="4"/>
  <c r="P78" i="4" s="1"/>
  <c r="B78" i="4"/>
  <c r="C78" i="4"/>
  <c r="D78" i="4"/>
  <c r="E78" i="4"/>
  <c r="A79" i="4"/>
  <c r="P79" i="4" s="1"/>
  <c r="B79" i="4"/>
  <c r="C79" i="4"/>
  <c r="D79" i="4"/>
  <c r="E79" i="4"/>
  <c r="Q79" i="4" s="1"/>
  <c r="A80" i="4"/>
  <c r="Z80" i="4" s="1"/>
  <c r="B80" i="4"/>
  <c r="C80" i="4"/>
  <c r="D80" i="4"/>
  <c r="E80" i="4"/>
  <c r="Q80" i="4" s="1"/>
  <c r="A81" i="4"/>
  <c r="P81" i="4" s="1"/>
  <c r="B81" i="4"/>
  <c r="C81" i="4"/>
  <c r="D81" i="4"/>
  <c r="E81" i="4"/>
  <c r="Q81" i="4" s="1"/>
  <c r="E22" i="4"/>
  <c r="D22" i="4"/>
  <c r="C22" i="4"/>
  <c r="B22" i="4"/>
  <c r="A22" i="4"/>
  <c r="G53" i="2"/>
  <c r="F53" i="2"/>
  <c r="C53" i="2"/>
  <c r="O6" i="3"/>
  <c r="O5" i="3"/>
  <c r="O32" i="3" s="1"/>
  <c r="C90" i="1"/>
  <c r="C78" i="1"/>
  <c r="O26" i="3" s="1"/>
  <c r="C75" i="1"/>
  <c r="O25" i="3" s="1"/>
  <c r="C73" i="1"/>
  <c r="C21" i="1"/>
  <c r="C72" i="1"/>
  <c r="C71" i="1"/>
  <c r="C89" i="1" s="1"/>
  <c r="O28" i="3"/>
  <c r="C16" i="1"/>
  <c r="O21" i="3" s="1"/>
  <c r="C15" i="1"/>
  <c r="C12" i="1"/>
  <c r="O17" i="3" s="1"/>
  <c r="C10" i="1"/>
  <c r="O14" i="3" s="1"/>
  <c r="C8" i="1"/>
  <c r="O10" i="3" s="1"/>
  <c r="C7" i="1"/>
  <c r="O7" i="3" s="1"/>
  <c r="N6" i="3"/>
  <c r="N33" i="3" s="1"/>
  <c r="D21" i="1"/>
  <c r="D72" i="1" s="1"/>
  <c r="D90" i="1" s="1"/>
  <c r="O7" i="1"/>
  <c r="C7" i="3" s="1"/>
  <c r="O8" i="1"/>
  <c r="C10" i="3" s="1"/>
  <c r="O10" i="1"/>
  <c r="C14" i="3" s="1"/>
  <c r="O12" i="1"/>
  <c r="C17" i="3" s="1"/>
  <c r="O15" i="1"/>
  <c r="O16" i="1"/>
  <c r="C21" i="3" s="1"/>
  <c r="O71" i="1"/>
  <c r="N7" i="1"/>
  <c r="N8" i="1"/>
  <c r="D10" i="3" s="1"/>
  <c r="N10" i="1"/>
  <c r="D14" i="3" s="1"/>
  <c r="N12" i="1"/>
  <c r="D17" i="3" s="1"/>
  <c r="N15" i="1"/>
  <c r="N16" i="1"/>
  <c r="D21" i="3" s="1"/>
  <c r="N71" i="1"/>
  <c r="M7" i="1"/>
  <c r="E7" i="3" s="1"/>
  <c r="M8" i="1"/>
  <c r="E10" i="3" s="1"/>
  <c r="M10" i="1"/>
  <c r="E14" i="3" s="1"/>
  <c r="M12" i="1"/>
  <c r="E17" i="3" s="1"/>
  <c r="M15" i="1"/>
  <c r="M16" i="1"/>
  <c r="E21" i="3" s="1"/>
  <c r="M71" i="1"/>
  <c r="E25" i="3"/>
  <c r="E57" i="2" l="1"/>
  <c r="H57" i="2" s="1"/>
  <c r="J57" i="2" s="1"/>
  <c r="H133" i="2"/>
  <c r="E58" i="2"/>
  <c r="H58" i="2" s="1"/>
  <c r="J58" i="2" s="1"/>
  <c r="E59" i="2"/>
  <c r="H59" i="2" s="1"/>
  <c r="J59" i="2" s="1"/>
  <c r="E60" i="2"/>
  <c r="H60" i="2" s="1"/>
  <c r="J60" i="2" s="1"/>
  <c r="E61" i="2"/>
  <c r="H61" i="2" s="1"/>
  <c r="J61" i="2" s="1"/>
  <c r="E56" i="2"/>
  <c r="H56" i="2" s="1"/>
  <c r="J56" i="2" s="1"/>
  <c r="H75" i="2"/>
  <c r="J75" i="2" s="1"/>
  <c r="M79" i="4"/>
  <c r="T79" i="4" s="1"/>
  <c r="M75" i="4"/>
  <c r="T75" i="4" s="1"/>
  <c r="F78" i="4"/>
  <c r="E55" i="2"/>
  <c r="H55" i="2" s="1"/>
  <c r="J55" i="2" s="1"/>
  <c r="O81" i="1"/>
  <c r="Q67" i="1"/>
  <c r="S48" i="1"/>
  <c r="P67" i="1"/>
  <c r="P68" i="1" s="1"/>
  <c r="R56" i="1"/>
  <c r="S56" i="1"/>
  <c r="P103" i="1"/>
  <c r="S55" i="1"/>
  <c r="Q35" i="1"/>
  <c r="Q17" i="1"/>
  <c r="Z76" i="4"/>
  <c r="Q75" i="4"/>
  <c r="P80" i="4"/>
  <c r="S98" i="1"/>
  <c r="S31" i="1"/>
  <c r="S97" i="1" s="1"/>
  <c r="S40" i="1"/>
  <c r="S41" i="1" s="1"/>
  <c r="S111" i="1"/>
  <c r="S110" i="1"/>
  <c r="S68" i="1"/>
  <c r="R103" i="1"/>
  <c r="Q63" i="1"/>
  <c r="P9" i="1"/>
  <c r="P11" i="1" s="1"/>
  <c r="P91" i="1" s="1"/>
  <c r="P105" i="1" s="1"/>
  <c r="S103" i="1"/>
  <c r="I26" i="1"/>
  <c r="I31" i="1" s="1"/>
  <c r="I40" i="1" s="1"/>
  <c r="I41" i="1" s="1"/>
  <c r="O56" i="1"/>
  <c r="L48" i="1"/>
  <c r="D48" i="1"/>
  <c r="P63" i="1"/>
  <c r="P35" i="1"/>
  <c r="R55" i="1"/>
  <c r="S9" i="1"/>
  <c r="S63" i="1"/>
  <c r="Q55" i="1"/>
  <c r="Q103" i="1"/>
  <c r="R98" i="1"/>
  <c r="R31" i="1"/>
  <c r="R97" i="1" s="1"/>
  <c r="R111" i="1"/>
  <c r="R110" i="1"/>
  <c r="Q111" i="1"/>
  <c r="R67" i="1"/>
  <c r="R68" i="1" s="1"/>
  <c r="P111" i="1"/>
  <c r="Q26" i="1"/>
  <c r="Q98" i="1" s="1"/>
  <c r="L35" i="1"/>
  <c r="P48" i="1"/>
  <c r="Q110" i="1"/>
  <c r="Q68" i="1"/>
  <c r="O41" i="3"/>
  <c r="P110" i="1"/>
  <c r="R9" i="1"/>
  <c r="R63" i="1"/>
  <c r="Q48" i="1"/>
  <c r="Q11" i="1"/>
  <c r="Q91" i="1" s="1"/>
  <c r="P26" i="1"/>
  <c r="P31" i="1" s="1"/>
  <c r="P97" i="1" s="1"/>
  <c r="C56" i="1"/>
  <c r="C55" i="1" s="1"/>
  <c r="M48" i="1"/>
  <c r="E48" i="1"/>
  <c r="Q108" i="1"/>
  <c r="Q81" i="1"/>
  <c r="Q85" i="1" s="1"/>
  <c r="P81" i="1"/>
  <c r="P85" i="1" s="1"/>
  <c r="L63" i="1"/>
  <c r="I63" i="1"/>
  <c r="I35" i="1"/>
  <c r="L26" i="1"/>
  <c r="L31" i="1" s="1"/>
  <c r="C48" i="1"/>
  <c r="J63" i="1"/>
  <c r="H35" i="1"/>
  <c r="D35" i="1"/>
  <c r="M63" i="1"/>
  <c r="E63" i="1"/>
  <c r="D63" i="1"/>
  <c r="K48" i="1"/>
  <c r="K63" i="1"/>
  <c r="D26" i="1"/>
  <c r="D31" i="1" s="1"/>
  <c r="D40" i="1" s="1"/>
  <c r="D41" i="1" s="1"/>
  <c r="H26" i="1"/>
  <c r="H31" i="1" s="1"/>
  <c r="H40" i="1" s="1"/>
  <c r="H41" i="1" s="1"/>
  <c r="J48" i="1"/>
  <c r="O35" i="1"/>
  <c r="G35" i="1"/>
  <c r="E56" i="1"/>
  <c r="E55" i="1" s="1"/>
  <c r="M6" i="3"/>
  <c r="E95" i="2"/>
  <c r="E144" i="2" s="1"/>
  <c r="O38" i="3"/>
  <c r="O42" i="3"/>
  <c r="N55" i="1"/>
  <c r="I48" i="1"/>
  <c r="O39" i="3"/>
  <c r="D95" i="2"/>
  <c r="D144" i="2" s="1"/>
  <c r="L40" i="1"/>
  <c r="L41" i="1" s="1"/>
  <c r="O26" i="1"/>
  <c r="O31" i="1" s="1"/>
  <c r="O40" i="1" s="1"/>
  <c r="O41" i="1" s="1"/>
  <c r="G26" i="1"/>
  <c r="G31" i="1" s="1"/>
  <c r="G40" i="1" s="1"/>
  <c r="G41" i="1" s="1"/>
  <c r="K26" i="1"/>
  <c r="K31" i="1" s="1"/>
  <c r="K40" i="1" s="1"/>
  <c r="K41" i="1" s="1"/>
  <c r="H48" i="1"/>
  <c r="H63" i="1"/>
  <c r="K35" i="1"/>
  <c r="N26" i="1"/>
  <c r="N31" i="1" s="1"/>
  <c r="N40" i="1" s="1"/>
  <c r="N41" i="1" s="1"/>
  <c r="F26" i="1"/>
  <c r="F31" i="1" s="1"/>
  <c r="F40" i="1" s="1"/>
  <c r="F41" i="1" s="1"/>
  <c r="O48" i="1"/>
  <c r="G56" i="1"/>
  <c r="G55" i="1" s="1"/>
  <c r="O63" i="1"/>
  <c r="G63" i="1"/>
  <c r="C44" i="3"/>
  <c r="P6" i="3"/>
  <c r="O55" i="1"/>
  <c r="E39" i="3"/>
  <c r="C39" i="3"/>
  <c r="E21" i="1"/>
  <c r="E72" i="1" s="1"/>
  <c r="E90" i="1" s="1"/>
  <c r="J40" i="1"/>
  <c r="J41" i="1" s="1"/>
  <c r="J35" i="1"/>
  <c r="M26" i="1"/>
  <c r="M31" i="1" s="1"/>
  <c r="M40" i="1" s="1"/>
  <c r="M41" i="1" s="1"/>
  <c r="E26" i="1"/>
  <c r="E31" i="1" s="1"/>
  <c r="E40" i="1" s="1"/>
  <c r="E41" i="1" s="1"/>
  <c r="L56" i="1"/>
  <c r="L55" i="1" s="1"/>
  <c r="D56" i="1"/>
  <c r="D55" i="1" s="1"/>
  <c r="N48" i="1"/>
  <c r="F56" i="1"/>
  <c r="F55" i="1" s="1"/>
  <c r="N63" i="1"/>
  <c r="F63" i="1"/>
  <c r="F48" i="1"/>
  <c r="G48" i="1"/>
  <c r="H56" i="1"/>
  <c r="H55" i="1" s="1"/>
  <c r="K56" i="1"/>
  <c r="K55" i="1" s="1"/>
  <c r="J56" i="1"/>
  <c r="J55" i="1" s="1"/>
  <c r="I56" i="1"/>
  <c r="I55" i="1" s="1"/>
  <c r="H67" i="1"/>
  <c r="M67" i="1"/>
  <c r="E67" i="1"/>
  <c r="L67" i="1"/>
  <c r="D67" i="1"/>
  <c r="O67" i="1"/>
  <c r="O68" i="1" s="1"/>
  <c r="G67" i="1"/>
  <c r="J67" i="1"/>
  <c r="N67" i="1"/>
  <c r="N68" i="1" s="1"/>
  <c r="F67" i="1"/>
  <c r="I67" i="1"/>
  <c r="K67" i="1"/>
  <c r="F21" i="1"/>
  <c r="F72" i="1" s="1"/>
  <c r="F90" i="1" s="1"/>
  <c r="L6" i="3"/>
  <c r="L33" i="3" s="1"/>
  <c r="G6" i="1"/>
  <c r="C95" i="2"/>
  <c r="C144" i="2" s="1"/>
  <c r="O33" i="3"/>
  <c r="C38" i="3"/>
  <c r="C17" i="1"/>
  <c r="C110" i="1" s="1"/>
  <c r="F77" i="4"/>
  <c r="S77" i="4" s="1"/>
  <c r="F76" i="4"/>
  <c r="S76" i="4" s="1"/>
  <c r="Z75" i="4"/>
  <c r="Z78" i="4"/>
  <c r="Z77" i="4"/>
  <c r="F81" i="4"/>
  <c r="S81" i="4" s="1"/>
  <c r="Z81" i="4"/>
  <c r="Z79" i="4"/>
  <c r="F31" i="2"/>
  <c r="B128" i="2"/>
  <c r="C103" i="1"/>
  <c r="O29" i="3"/>
  <c r="O30" i="3" s="1"/>
  <c r="E6" i="2"/>
  <c r="C111" i="1"/>
  <c r="D6" i="2"/>
  <c r="P7" i="3"/>
  <c r="P8" i="3" s="1"/>
  <c r="O11" i="3"/>
  <c r="O24" i="3"/>
  <c r="O44" i="3" s="1"/>
  <c r="C99" i="1"/>
  <c r="C100" i="1" s="1"/>
  <c r="O20" i="3"/>
  <c r="O22" i="3" s="1"/>
  <c r="M76" i="4"/>
  <c r="T76" i="4" s="1"/>
  <c r="F79" i="4"/>
  <c r="S79" i="4" s="1"/>
  <c r="Z74" i="4"/>
  <c r="M80" i="4"/>
  <c r="T80" i="4" s="1"/>
  <c r="Q78" i="4"/>
  <c r="M81" i="4"/>
  <c r="T81" i="4" s="1"/>
  <c r="M78" i="4"/>
  <c r="T78" i="4" s="1"/>
  <c r="F80" i="4"/>
  <c r="S80" i="4" s="1"/>
  <c r="S78" i="4"/>
  <c r="E41" i="3"/>
  <c r="E44" i="3"/>
  <c r="C26" i="1"/>
  <c r="E42" i="3"/>
  <c r="C9" i="1"/>
  <c r="C35" i="1"/>
  <c r="N17" i="1"/>
  <c r="N110" i="1" s="1"/>
  <c r="O17" i="1"/>
  <c r="C22" i="3" s="1"/>
  <c r="M9" i="1"/>
  <c r="M108" i="1" s="1"/>
  <c r="O9" i="1"/>
  <c r="O108" i="1" s="1"/>
  <c r="C28" i="3"/>
  <c r="M17" i="1"/>
  <c r="N81" i="1"/>
  <c r="M94" i="1"/>
  <c r="D28" i="3"/>
  <c r="N9" i="1"/>
  <c r="N108" i="1" s="1"/>
  <c r="D20" i="3"/>
  <c r="C20" i="3"/>
  <c r="E11" i="3"/>
  <c r="E12" i="3" s="1"/>
  <c r="O99" i="1"/>
  <c r="O100" i="1" s="1"/>
  <c r="D7" i="3"/>
  <c r="D11" i="3" s="1"/>
  <c r="D15" i="3" s="1"/>
  <c r="E38" i="3"/>
  <c r="E20" i="3"/>
  <c r="N99" i="1"/>
  <c r="N100" i="1" s="1"/>
  <c r="N94" i="1"/>
  <c r="C81" i="1"/>
  <c r="M26" i="3"/>
  <c r="L26" i="3"/>
  <c r="K26" i="3"/>
  <c r="J26" i="3"/>
  <c r="I26" i="3"/>
  <c r="H26" i="3"/>
  <c r="G26" i="3"/>
  <c r="F26" i="3"/>
  <c r="N26" i="3"/>
  <c r="N24" i="3"/>
  <c r="M24" i="3"/>
  <c r="L24" i="3"/>
  <c r="K24" i="3"/>
  <c r="J24" i="3"/>
  <c r="I24" i="3"/>
  <c r="H24" i="3"/>
  <c r="G24" i="3"/>
  <c r="F24" i="3"/>
  <c r="M25" i="3"/>
  <c r="L25" i="3"/>
  <c r="K25" i="3"/>
  <c r="J25" i="3"/>
  <c r="I25" i="3"/>
  <c r="H25" i="3"/>
  <c r="G25" i="3"/>
  <c r="F25" i="3"/>
  <c r="N25" i="3"/>
  <c r="M74" i="4"/>
  <c r="E7" i="1"/>
  <c r="F7" i="1"/>
  <c r="G7" i="1"/>
  <c r="H7" i="1"/>
  <c r="I7" i="1"/>
  <c r="J7" i="1"/>
  <c r="K7" i="1"/>
  <c r="L7" i="1"/>
  <c r="E8" i="1"/>
  <c r="M10" i="3" s="1"/>
  <c r="F8" i="1"/>
  <c r="L10" i="3" s="1"/>
  <c r="G8" i="1"/>
  <c r="K10" i="3" s="1"/>
  <c r="H8" i="1"/>
  <c r="J10" i="3" s="1"/>
  <c r="I8" i="1"/>
  <c r="J8" i="1"/>
  <c r="H10" i="3" s="1"/>
  <c r="K8" i="1"/>
  <c r="G10" i="3" s="1"/>
  <c r="L8" i="1"/>
  <c r="F10" i="3" s="1"/>
  <c r="E10" i="1"/>
  <c r="M14" i="3" s="1"/>
  <c r="F10" i="1"/>
  <c r="L14" i="3" s="1"/>
  <c r="G10" i="1"/>
  <c r="K14" i="3" s="1"/>
  <c r="H10" i="1"/>
  <c r="J14" i="3" s="1"/>
  <c r="I10" i="1"/>
  <c r="I14" i="3" s="1"/>
  <c r="J10" i="1"/>
  <c r="H14" i="3" s="1"/>
  <c r="K10" i="1"/>
  <c r="G14" i="3" s="1"/>
  <c r="L10" i="1"/>
  <c r="F14" i="3" s="1"/>
  <c r="E12" i="1"/>
  <c r="M17" i="3" s="1"/>
  <c r="F12" i="1"/>
  <c r="L17" i="3" s="1"/>
  <c r="G12" i="1"/>
  <c r="K17" i="3" s="1"/>
  <c r="H12" i="1"/>
  <c r="J17" i="3" s="1"/>
  <c r="I12" i="1"/>
  <c r="I17" i="3" s="1"/>
  <c r="J12" i="1"/>
  <c r="H17" i="3" s="1"/>
  <c r="K12" i="1"/>
  <c r="G17" i="3" s="1"/>
  <c r="L12" i="1"/>
  <c r="F17" i="3" s="1"/>
  <c r="E15" i="1"/>
  <c r="M20" i="3" s="1"/>
  <c r="F15" i="1"/>
  <c r="L20" i="3" s="1"/>
  <c r="G15" i="1"/>
  <c r="K20" i="3" s="1"/>
  <c r="H15" i="1"/>
  <c r="J20" i="3" s="1"/>
  <c r="I15" i="1"/>
  <c r="I20" i="3" s="1"/>
  <c r="J15" i="1"/>
  <c r="H20" i="3" s="1"/>
  <c r="K15" i="1"/>
  <c r="L15" i="1"/>
  <c r="E16" i="1"/>
  <c r="M21" i="3" s="1"/>
  <c r="F16" i="1"/>
  <c r="L21" i="3" s="1"/>
  <c r="G16" i="1"/>
  <c r="H16" i="1"/>
  <c r="J21" i="3" s="1"/>
  <c r="I16" i="1"/>
  <c r="J16" i="1"/>
  <c r="H21" i="3" s="1"/>
  <c r="K16" i="1"/>
  <c r="G21" i="3" s="1"/>
  <c r="L16" i="1"/>
  <c r="F21" i="3" s="1"/>
  <c r="E17" i="1"/>
  <c r="P108" i="1" l="1"/>
  <c r="P13" i="1"/>
  <c r="P14" i="1" s="1"/>
  <c r="J66" i="2"/>
  <c r="B111" i="2" s="1"/>
  <c r="B163" i="2" s="1"/>
  <c r="S108" i="1"/>
  <c r="S11" i="1"/>
  <c r="Q31" i="1"/>
  <c r="Q97" i="1" s="1"/>
  <c r="R40" i="1"/>
  <c r="R41" i="1" s="1"/>
  <c r="Q13" i="1"/>
  <c r="Q14" i="1" s="1"/>
  <c r="P98" i="1"/>
  <c r="R108" i="1"/>
  <c r="R11" i="1"/>
  <c r="P40" i="1"/>
  <c r="P41" i="1" s="1"/>
  <c r="Q109" i="1"/>
  <c r="Q104" i="1"/>
  <c r="Q105" i="1"/>
  <c r="P109" i="1"/>
  <c r="P104" i="1"/>
  <c r="M33" i="3"/>
  <c r="B95" i="2"/>
  <c r="B144" i="2" s="1"/>
  <c r="K6" i="3"/>
  <c r="K33" i="3" s="1"/>
  <c r="G21" i="1"/>
  <c r="G72" i="1" s="1"/>
  <c r="G90" i="1" s="1"/>
  <c r="H6" i="1"/>
  <c r="D39" i="3"/>
  <c r="O46" i="3"/>
  <c r="C63" i="1"/>
  <c r="C82" i="1"/>
  <c r="C31" i="1"/>
  <c r="C98" i="1"/>
  <c r="E15" i="3"/>
  <c r="E18" i="3" s="1"/>
  <c r="O15" i="3"/>
  <c r="O12" i="3"/>
  <c r="C11" i="1"/>
  <c r="C108" i="1"/>
  <c r="T74" i="4"/>
  <c r="M11" i="1"/>
  <c r="M13" i="1" s="1"/>
  <c r="M14" i="1" s="1"/>
  <c r="E19" i="3" s="1"/>
  <c r="D12" i="3"/>
  <c r="N111" i="1"/>
  <c r="D22" i="3"/>
  <c r="O11" i="1"/>
  <c r="O91" i="1" s="1"/>
  <c r="O105" i="1" s="1"/>
  <c r="J17" i="1"/>
  <c r="H22" i="3" s="1"/>
  <c r="O110" i="1"/>
  <c r="N11" i="1"/>
  <c r="N13" i="1" s="1"/>
  <c r="N14" i="1" s="1"/>
  <c r="D19" i="3" s="1"/>
  <c r="O111" i="1"/>
  <c r="H17" i="1"/>
  <c r="J22" i="3" s="1"/>
  <c r="F17" i="1"/>
  <c r="L22" i="3" s="1"/>
  <c r="E8" i="3"/>
  <c r="E36" i="3" s="1"/>
  <c r="M22" i="3"/>
  <c r="M7" i="3"/>
  <c r="M38" i="3" s="1"/>
  <c r="F7" i="3"/>
  <c r="F38" i="3" s="1"/>
  <c r="L94" i="1"/>
  <c r="K17" i="1"/>
  <c r="G20" i="3"/>
  <c r="G7" i="3"/>
  <c r="G41" i="3" s="1"/>
  <c r="O97" i="1"/>
  <c r="O98" i="1"/>
  <c r="D38" i="3"/>
  <c r="L17" i="1"/>
  <c r="F20" i="3"/>
  <c r="H7" i="3"/>
  <c r="H41" i="3" s="1"/>
  <c r="N98" i="1"/>
  <c r="E22" i="3"/>
  <c r="D42" i="3"/>
  <c r="N29" i="3"/>
  <c r="I17" i="1"/>
  <c r="I21" i="3"/>
  <c r="I9" i="1"/>
  <c r="I108" i="1" s="1"/>
  <c r="I10" i="3"/>
  <c r="I7" i="3"/>
  <c r="I39" i="3" s="1"/>
  <c r="N118" i="2"/>
  <c r="D103" i="1"/>
  <c r="N28" i="3"/>
  <c r="D8" i="3"/>
  <c r="D36" i="3" s="1"/>
  <c r="L7" i="3"/>
  <c r="L11" i="3" s="1"/>
  <c r="J7" i="3"/>
  <c r="J41" i="3" s="1"/>
  <c r="D44" i="3"/>
  <c r="G17" i="1"/>
  <c r="K21" i="3"/>
  <c r="K7" i="3"/>
  <c r="K39" i="3" s="1"/>
  <c r="D41" i="3"/>
  <c r="E34" i="3"/>
  <c r="D18" i="3"/>
  <c r="D34" i="3"/>
  <c r="G63" i="2"/>
  <c r="N120" i="2"/>
  <c r="F63" i="2"/>
  <c r="J134" i="2" s="1"/>
  <c r="J9" i="1"/>
  <c r="L9" i="1"/>
  <c r="G9" i="1"/>
  <c r="K9" i="1"/>
  <c r="E9" i="1"/>
  <c r="F9" i="1"/>
  <c r="H9" i="1"/>
  <c r="Q40" i="1" l="1"/>
  <c r="Q41" i="1" s="1"/>
  <c r="S91" i="1"/>
  <c r="S13" i="1"/>
  <c r="S14" i="1" s="1"/>
  <c r="R91" i="1"/>
  <c r="R13" i="1"/>
  <c r="R14" i="1" s="1"/>
  <c r="J39" i="3"/>
  <c r="H39" i="3"/>
  <c r="G39" i="3"/>
  <c r="H21" i="1"/>
  <c r="H72" i="1" s="1"/>
  <c r="H90" i="1" s="1"/>
  <c r="J6" i="3"/>
  <c r="J33" i="3" s="1"/>
  <c r="I6" i="1"/>
  <c r="M39" i="3"/>
  <c r="F39" i="3"/>
  <c r="L39" i="3"/>
  <c r="F121" i="2"/>
  <c r="P47" i="3"/>
  <c r="Q47" i="3" s="1"/>
  <c r="R47" i="3" s="1"/>
  <c r="S47" i="3" s="1"/>
  <c r="T47" i="3" s="1"/>
  <c r="U47" i="3" s="1"/>
  <c r="C40" i="1"/>
  <c r="C41" i="1" s="1"/>
  <c r="C97" i="1"/>
  <c r="C13" i="1"/>
  <c r="C14" i="1" s="1"/>
  <c r="O19" i="3" s="1"/>
  <c r="C91" i="1"/>
  <c r="C105" i="1" s="1"/>
  <c r="O18" i="3"/>
  <c r="O34" i="3"/>
  <c r="I63" i="2" s="1"/>
  <c r="L42" i="3"/>
  <c r="M44" i="3"/>
  <c r="N121" i="2"/>
  <c r="O13" i="1"/>
  <c r="O14" i="1" s="1"/>
  <c r="C19" i="3" s="1"/>
  <c r="M91" i="1"/>
  <c r="N30" i="3"/>
  <c r="J38" i="3"/>
  <c r="M42" i="3"/>
  <c r="I11" i="1"/>
  <c r="I13" i="1" s="1"/>
  <c r="I14" i="1" s="1"/>
  <c r="I19" i="3" s="1"/>
  <c r="N91" i="1"/>
  <c r="N105" i="1" s="1"/>
  <c r="M41" i="3"/>
  <c r="G42" i="3"/>
  <c r="F41" i="3"/>
  <c r="G44" i="3"/>
  <c r="G38" i="3"/>
  <c r="F44" i="3"/>
  <c r="L41" i="3"/>
  <c r="I22" i="3"/>
  <c r="L8" i="3"/>
  <c r="L36" i="3" s="1"/>
  <c r="K11" i="3"/>
  <c r="K44" i="3"/>
  <c r="K8" i="3"/>
  <c r="K36" i="3" s="1"/>
  <c r="I42" i="3"/>
  <c r="J44" i="3"/>
  <c r="F11" i="1"/>
  <c r="F108" i="1"/>
  <c r="E11" i="1"/>
  <c r="E108" i="1"/>
  <c r="H11" i="3"/>
  <c r="H8" i="3"/>
  <c r="H36" i="3" s="1"/>
  <c r="I44" i="3"/>
  <c r="M8" i="3"/>
  <c r="M36" i="3" s="1"/>
  <c r="M11" i="3"/>
  <c r="K41" i="3"/>
  <c r="H11" i="1"/>
  <c r="H108" i="1"/>
  <c r="I38" i="3"/>
  <c r="H38" i="3"/>
  <c r="L38" i="3"/>
  <c r="K38" i="3"/>
  <c r="D108" i="2"/>
  <c r="H42" i="3"/>
  <c r="K42" i="3"/>
  <c r="N97" i="1"/>
  <c r="K11" i="1"/>
  <c r="K108" i="1"/>
  <c r="G22" i="3"/>
  <c r="I41" i="3"/>
  <c r="G11" i="1"/>
  <c r="G108" i="1"/>
  <c r="L11" i="1"/>
  <c r="L108" i="1"/>
  <c r="L12" i="3"/>
  <c r="L15" i="3"/>
  <c r="F22" i="3"/>
  <c r="F8" i="3"/>
  <c r="F36" i="3" s="1"/>
  <c r="F11" i="3"/>
  <c r="F42" i="3"/>
  <c r="K22" i="3"/>
  <c r="I11" i="3"/>
  <c r="I8" i="3"/>
  <c r="I36" i="3" s="1"/>
  <c r="J11" i="1"/>
  <c r="J108" i="1"/>
  <c r="J42" i="3"/>
  <c r="J11" i="3"/>
  <c r="J8" i="3"/>
  <c r="J36" i="3" s="1"/>
  <c r="G8" i="3"/>
  <c r="G36" i="3" s="1"/>
  <c r="G11" i="3"/>
  <c r="H44" i="3"/>
  <c r="L44" i="3"/>
  <c r="D98" i="1"/>
  <c r="D97" i="1"/>
  <c r="P23" i="4"/>
  <c r="P25" i="4"/>
  <c r="P26" i="4"/>
  <c r="P27" i="4"/>
  <c r="P28" i="4"/>
  <c r="P29" i="4"/>
  <c r="P30" i="4"/>
  <c r="P31" i="4"/>
  <c r="P32" i="4"/>
  <c r="P33" i="4"/>
  <c r="P34" i="4"/>
  <c r="P36" i="4"/>
  <c r="P37" i="4"/>
  <c r="P39" i="4"/>
  <c r="P40" i="4"/>
  <c r="P41" i="4"/>
  <c r="P42" i="4"/>
  <c r="P44" i="4"/>
  <c r="P45" i="4"/>
  <c r="P47" i="4"/>
  <c r="P48" i="4"/>
  <c r="P49" i="4"/>
  <c r="P50" i="4"/>
  <c r="P52" i="4"/>
  <c r="P53" i="4"/>
  <c r="P54" i="4"/>
  <c r="P55" i="4"/>
  <c r="P56" i="4"/>
  <c r="P57" i="4"/>
  <c r="P58" i="4"/>
  <c r="P60" i="4"/>
  <c r="P61" i="4"/>
  <c r="P62" i="4"/>
  <c r="P63" i="4"/>
  <c r="P64" i="4"/>
  <c r="P65" i="4"/>
  <c r="P66" i="4"/>
  <c r="P67" i="4"/>
  <c r="P68" i="4"/>
  <c r="P69" i="4"/>
  <c r="P71" i="4"/>
  <c r="P72" i="4"/>
  <c r="P73" i="4"/>
  <c r="F74" i="4"/>
  <c r="P22" i="4"/>
  <c r="P24" i="4"/>
  <c r="P35" i="4"/>
  <c r="P38" i="4"/>
  <c r="P43" i="4"/>
  <c r="P46" i="4"/>
  <c r="P51" i="4"/>
  <c r="P59" i="4"/>
  <c r="P70" i="4"/>
  <c r="D7" i="1"/>
  <c r="C94" i="1" s="1"/>
  <c r="D8" i="1"/>
  <c r="N10" i="3" s="1"/>
  <c r="D10" i="1"/>
  <c r="N14" i="3" s="1"/>
  <c r="D12" i="1"/>
  <c r="D15" i="1"/>
  <c r="N20" i="3" s="1"/>
  <c r="D16" i="1"/>
  <c r="N21" i="3" s="1"/>
  <c r="Q32" i="3"/>
  <c r="R32" i="3" s="1"/>
  <c r="S32" i="3" s="1"/>
  <c r="T32" i="3" s="1"/>
  <c r="U32" i="3" s="1"/>
  <c r="S109" i="1" l="1"/>
  <c r="S104" i="1"/>
  <c r="S105" i="1"/>
  <c r="R109" i="1"/>
  <c r="R105" i="1"/>
  <c r="R104" i="1"/>
  <c r="I6" i="3"/>
  <c r="I33" i="3" s="1"/>
  <c r="I21" i="1"/>
  <c r="I72" i="1" s="1"/>
  <c r="I90" i="1" s="1"/>
  <c r="J6" i="1"/>
  <c r="N46" i="3"/>
  <c r="P46" i="3" s="1"/>
  <c r="B127" i="2"/>
  <c r="B129" i="2" s="1"/>
  <c r="C109" i="1"/>
  <c r="C104" i="1"/>
  <c r="S74" i="4"/>
  <c r="I91" i="1"/>
  <c r="N7" i="3"/>
  <c r="N39" i="3" s="1"/>
  <c r="F15" i="3"/>
  <c r="F12" i="3"/>
  <c r="H12" i="3"/>
  <c r="H15" i="3"/>
  <c r="J13" i="1"/>
  <c r="J14" i="1" s="1"/>
  <c r="H19" i="3" s="1"/>
  <c r="J91" i="1"/>
  <c r="H13" i="1"/>
  <c r="H14" i="1" s="1"/>
  <c r="J19" i="3" s="1"/>
  <c r="H91" i="1"/>
  <c r="G12" i="3"/>
  <c r="G15" i="3"/>
  <c r="L13" i="1"/>
  <c r="L14" i="1" s="1"/>
  <c r="F19" i="3" s="1"/>
  <c r="L91" i="1"/>
  <c r="E13" i="1"/>
  <c r="E14" i="1" s="1"/>
  <c r="M19" i="3" s="1"/>
  <c r="E91" i="1"/>
  <c r="K12" i="3"/>
  <c r="K15" i="3"/>
  <c r="I15" i="3"/>
  <c r="I12" i="3"/>
  <c r="K13" i="1"/>
  <c r="K14" i="1" s="1"/>
  <c r="G19" i="3" s="1"/>
  <c r="K91" i="1"/>
  <c r="M15" i="3"/>
  <c r="M12" i="3"/>
  <c r="F13" i="1"/>
  <c r="F14" i="1" s="1"/>
  <c r="L19" i="3" s="1"/>
  <c r="F91" i="1"/>
  <c r="N17" i="3"/>
  <c r="J15" i="3"/>
  <c r="J12" i="3"/>
  <c r="L18" i="3"/>
  <c r="L34" i="3"/>
  <c r="I90" i="2" s="1"/>
  <c r="G13" i="1"/>
  <c r="G14" i="1" s="1"/>
  <c r="K19" i="3" s="1"/>
  <c r="G91" i="1"/>
  <c r="D17" i="1"/>
  <c r="D9" i="1"/>
  <c r="D11" i="1" s="1"/>
  <c r="J94" i="1"/>
  <c r="H94" i="1"/>
  <c r="D94" i="1"/>
  <c r="E94" i="1"/>
  <c r="F94" i="1"/>
  <c r="G94" i="1"/>
  <c r="I94" i="1"/>
  <c r="H6" i="3" l="1"/>
  <c r="H33" i="3" s="1"/>
  <c r="K6" i="1"/>
  <c r="J21" i="1"/>
  <c r="J72" i="1" s="1"/>
  <c r="J90" i="1" s="1"/>
  <c r="N38" i="3"/>
  <c r="O8" i="3"/>
  <c r="O36" i="3" s="1"/>
  <c r="D13" i="1"/>
  <c r="D14" i="1" s="1"/>
  <c r="N19" i="3" s="1"/>
  <c r="D91" i="1"/>
  <c r="D105" i="1" s="1"/>
  <c r="J18" i="3"/>
  <c r="J34" i="3"/>
  <c r="H34" i="3"/>
  <c r="H18" i="3"/>
  <c r="G18" i="3"/>
  <c r="G34" i="3"/>
  <c r="M18" i="3"/>
  <c r="M34" i="3"/>
  <c r="I34" i="3"/>
  <c r="I18" i="3"/>
  <c r="F34" i="3"/>
  <c r="F18" i="3"/>
  <c r="K18" i="3"/>
  <c r="K34" i="3"/>
  <c r="N22" i="3"/>
  <c r="N8" i="3"/>
  <c r="N36" i="3" s="1"/>
  <c r="N11" i="3"/>
  <c r="N42" i="3"/>
  <c r="N44" i="3"/>
  <c r="P44" i="3" s="1"/>
  <c r="N41" i="3"/>
  <c r="D108" i="1"/>
  <c r="E96" i="2"/>
  <c r="E145" i="2" s="1"/>
  <c r="E148" i="2" s="1"/>
  <c r="K94" i="1"/>
  <c r="L6" i="1" l="1"/>
  <c r="G6" i="3"/>
  <c r="G33" i="3" s="1"/>
  <c r="K21" i="1"/>
  <c r="K72" i="1" s="1"/>
  <c r="K90" i="1" s="1"/>
  <c r="N15" i="3"/>
  <c r="N12" i="3"/>
  <c r="Q7" i="3"/>
  <c r="P14" i="3"/>
  <c r="C11" i="3"/>
  <c r="M6" i="1" l="1"/>
  <c r="F6" i="3"/>
  <c r="F33" i="3" s="1"/>
  <c r="L21" i="1"/>
  <c r="L72" i="1" s="1"/>
  <c r="L90" i="1" s="1"/>
  <c r="F96" i="2"/>
  <c r="P10" i="3"/>
  <c r="E98" i="2" s="1"/>
  <c r="E147" i="2" s="1"/>
  <c r="N34" i="3"/>
  <c r="N18" i="3"/>
  <c r="R7" i="3"/>
  <c r="Q8" i="3"/>
  <c r="E99" i="2"/>
  <c r="E149" i="2" s="1"/>
  <c r="C15" i="3"/>
  <c r="C12" i="3"/>
  <c r="E150" i="2" l="1"/>
  <c r="E169" i="2" s="1"/>
  <c r="F97" i="2"/>
  <c r="F146" i="2" s="1"/>
  <c r="F145" i="2"/>
  <c r="F148" i="2" s="1"/>
  <c r="E6" i="3"/>
  <c r="E33" i="3" s="1"/>
  <c r="N6" i="1"/>
  <c r="M21" i="1"/>
  <c r="M72" i="1" s="1"/>
  <c r="M90" i="1" s="1"/>
  <c r="G96" i="2"/>
  <c r="P11" i="3"/>
  <c r="P12" i="3" s="1"/>
  <c r="E100" i="2"/>
  <c r="Q38" i="3"/>
  <c r="S7" i="3"/>
  <c r="R8" i="3"/>
  <c r="Q39" i="3"/>
  <c r="C18" i="3"/>
  <c r="E151" i="2" l="1"/>
  <c r="E152" i="2" s="1"/>
  <c r="E153" i="2"/>
  <c r="G97" i="2"/>
  <c r="G146" i="2" s="1"/>
  <c r="G145" i="2"/>
  <c r="G148" i="2" s="1"/>
  <c r="N21" i="1"/>
  <c r="N72" i="1" s="1"/>
  <c r="N90" i="1" s="1"/>
  <c r="O6" i="1"/>
  <c r="P6" i="1" s="1"/>
  <c r="D6" i="3"/>
  <c r="D33" i="3" s="1"/>
  <c r="Q14" i="3"/>
  <c r="F99" i="2" s="1"/>
  <c r="Q10" i="3"/>
  <c r="F98" i="2" s="1"/>
  <c r="F147" i="2" s="1"/>
  <c r="H96" i="2"/>
  <c r="Q11" i="3"/>
  <c r="Q12" i="3" s="1"/>
  <c r="R38" i="3"/>
  <c r="R10" i="3" s="1"/>
  <c r="G98" i="2" s="1"/>
  <c r="G147" i="2" s="1"/>
  <c r="P15" i="3"/>
  <c r="E101" i="2"/>
  <c r="T7" i="3"/>
  <c r="S8" i="3"/>
  <c r="R39" i="3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H97" i="2" l="1"/>
  <c r="H146" i="2" s="1"/>
  <c r="H145" i="2"/>
  <c r="H148" i="2" s="1"/>
  <c r="F149" i="2"/>
  <c r="P21" i="1"/>
  <c r="P72" i="1" s="1"/>
  <c r="P90" i="1" s="1"/>
  <c r="Q6" i="1"/>
  <c r="F100" i="2"/>
  <c r="F101" i="2" s="1"/>
  <c r="C6" i="3"/>
  <c r="O21" i="1"/>
  <c r="O72" i="1" s="1"/>
  <c r="O90" i="1" s="1"/>
  <c r="R14" i="3"/>
  <c r="G99" i="2" s="1"/>
  <c r="I96" i="2"/>
  <c r="Q15" i="3"/>
  <c r="R11" i="3"/>
  <c r="R12" i="3" s="1"/>
  <c r="M86" i="4"/>
  <c r="M85" i="4"/>
  <c r="S38" i="3"/>
  <c r="S10" i="3" s="1"/>
  <c r="H98" i="2" s="1"/>
  <c r="H147" i="2" s="1"/>
  <c r="T8" i="3"/>
  <c r="U7" i="3"/>
  <c r="S39" i="3"/>
  <c r="S14" i="3" s="1"/>
  <c r="F77" i="2"/>
  <c r="H77" i="2" s="1"/>
  <c r="J77" i="2" s="1"/>
  <c r="F74" i="2"/>
  <c r="F150" i="2" l="1"/>
  <c r="I97" i="2"/>
  <c r="I145" i="2"/>
  <c r="I148" i="2" s="1"/>
  <c r="G100" i="2"/>
  <c r="G101" i="2" s="1"/>
  <c r="G149" i="2"/>
  <c r="Q21" i="1"/>
  <c r="Q72" i="1" s="1"/>
  <c r="Q90" i="1" s="1"/>
  <c r="R6" i="1"/>
  <c r="J96" i="2"/>
  <c r="J145" i="2" s="1"/>
  <c r="J148" i="2" s="1"/>
  <c r="R15" i="3"/>
  <c r="S11" i="3"/>
  <c r="S12" i="3" s="1"/>
  <c r="T38" i="3"/>
  <c r="T10" i="3" s="1"/>
  <c r="I98" i="2" s="1"/>
  <c r="I147" i="2" s="1"/>
  <c r="U8" i="3"/>
  <c r="T39" i="3"/>
  <c r="H99" i="2"/>
  <c r="H74" i="2"/>
  <c r="J74" i="2" s="1"/>
  <c r="F153" i="2" l="1"/>
  <c r="F169" i="2"/>
  <c r="F151" i="2"/>
  <c r="F152" i="2" s="1"/>
  <c r="G150" i="2"/>
  <c r="H100" i="2"/>
  <c r="H101" i="2" s="1"/>
  <c r="H149" i="2"/>
  <c r="J97" i="2"/>
  <c r="J146" i="2" s="1"/>
  <c r="I146" i="2"/>
  <c r="R21" i="1"/>
  <c r="R72" i="1" s="1"/>
  <c r="R90" i="1" s="1"/>
  <c r="S6" i="1"/>
  <c r="S21" i="1" s="1"/>
  <c r="S72" i="1" s="1"/>
  <c r="S90" i="1" s="1"/>
  <c r="T14" i="3"/>
  <c r="I99" i="2" s="1"/>
  <c r="T11" i="3"/>
  <c r="T12" i="3" s="1"/>
  <c r="U38" i="3"/>
  <c r="U10" i="3" s="1"/>
  <c r="J98" i="2" s="1"/>
  <c r="J147" i="2" s="1"/>
  <c r="U39" i="3"/>
  <c r="S15" i="3"/>
  <c r="D89" i="1"/>
  <c r="C33" i="3"/>
  <c r="E71" i="1"/>
  <c r="F71" i="1"/>
  <c r="G71" i="1"/>
  <c r="H71" i="1"/>
  <c r="I71" i="1"/>
  <c r="J71" i="1"/>
  <c r="K71" i="1"/>
  <c r="L71" i="1"/>
  <c r="C41" i="3"/>
  <c r="P41" i="3" s="1"/>
  <c r="C42" i="3"/>
  <c r="P42" i="3" s="1"/>
  <c r="M99" i="1"/>
  <c r="M100" i="1" s="1"/>
  <c r="M110" i="1"/>
  <c r="J105" i="1"/>
  <c r="K105" i="1"/>
  <c r="L105" i="1"/>
  <c r="M105" i="1"/>
  <c r="M111" i="1"/>
  <c r="F105" i="1"/>
  <c r="G105" i="1"/>
  <c r="H105" i="1"/>
  <c r="I105" i="1"/>
  <c r="G153" i="2" l="1"/>
  <c r="G169" i="2"/>
  <c r="G151" i="2"/>
  <c r="G152" i="2" s="1"/>
  <c r="H150" i="2"/>
  <c r="I100" i="2"/>
  <c r="I101" i="2" s="1"/>
  <c r="I149" i="2"/>
  <c r="U14" i="3"/>
  <c r="J99" i="2" s="1"/>
  <c r="T15" i="3"/>
  <c r="U11" i="3"/>
  <c r="U12" i="3" s="1"/>
  <c r="I99" i="1"/>
  <c r="I100" i="1" s="1"/>
  <c r="J111" i="1"/>
  <c r="G99" i="1"/>
  <c r="G100" i="1" s="1"/>
  <c r="I111" i="1"/>
  <c r="G111" i="1"/>
  <c r="K110" i="1"/>
  <c r="L111" i="1"/>
  <c r="L99" i="1"/>
  <c r="L100" i="1" s="1"/>
  <c r="H110" i="1"/>
  <c r="J99" i="1"/>
  <c r="J100" i="1" s="1"/>
  <c r="I110" i="1"/>
  <c r="F110" i="1"/>
  <c r="G81" i="1"/>
  <c r="K28" i="3"/>
  <c r="G110" i="1"/>
  <c r="K111" i="1"/>
  <c r="K99" i="1"/>
  <c r="K100" i="1" s="1"/>
  <c r="H81" i="1"/>
  <c r="J28" i="3"/>
  <c r="L28" i="3"/>
  <c r="F81" i="1"/>
  <c r="H111" i="1"/>
  <c r="H99" i="1"/>
  <c r="H100" i="1" s="1"/>
  <c r="L81" i="1"/>
  <c r="F28" i="3"/>
  <c r="L110" i="1"/>
  <c r="G28" i="3"/>
  <c r="K81" i="1"/>
  <c r="F111" i="1"/>
  <c r="F99" i="1"/>
  <c r="F100" i="1" s="1"/>
  <c r="J81" i="1"/>
  <c r="H28" i="3"/>
  <c r="J110" i="1"/>
  <c r="E28" i="3"/>
  <c r="M81" i="1"/>
  <c r="I81" i="1"/>
  <c r="I28" i="3"/>
  <c r="M68" i="1"/>
  <c r="J68" i="1"/>
  <c r="I68" i="1"/>
  <c r="H68" i="1"/>
  <c r="L68" i="1"/>
  <c r="K68" i="1"/>
  <c r="F68" i="1"/>
  <c r="C34" i="3"/>
  <c r="G68" i="1"/>
  <c r="N5" i="3"/>
  <c r="E105" i="1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F23" i="4"/>
  <c r="S23" i="4" s="1"/>
  <c r="F24" i="4"/>
  <c r="S24" i="4" s="1"/>
  <c r="F25" i="4"/>
  <c r="S25" i="4" s="1"/>
  <c r="F26" i="4"/>
  <c r="S26" i="4" s="1"/>
  <c r="F27" i="4"/>
  <c r="S27" i="4" s="1"/>
  <c r="F28" i="4"/>
  <c r="S28" i="4" s="1"/>
  <c r="F29" i="4"/>
  <c r="S29" i="4" s="1"/>
  <c r="F30" i="4"/>
  <c r="S30" i="4" s="1"/>
  <c r="F31" i="4"/>
  <c r="S31" i="4" s="1"/>
  <c r="F32" i="4"/>
  <c r="S32" i="4" s="1"/>
  <c r="F33" i="4"/>
  <c r="S33" i="4" s="1"/>
  <c r="F34" i="4"/>
  <c r="S34" i="4" s="1"/>
  <c r="F35" i="4"/>
  <c r="S35" i="4" s="1"/>
  <c r="F36" i="4"/>
  <c r="S36" i="4" s="1"/>
  <c r="F37" i="4"/>
  <c r="S37" i="4" s="1"/>
  <c r="F38" i="4"/>
  <c r="S38" i="4" s="1"/>
  <c r="F39" i="4"/>
  <c r="S39" i="4" s="1"/>
  <c r="F40" i="4"/>
  <c r="S40" i="4" s="1"/>
  <c r="F41" i="4"/>
  <c r="S41" i="4" s="1"/>
  <c r="F42" i="4"/>
  <c r="S42" i="4" s="1"/>
  <c r="F43" i="4"/>
  <c r="S43" i="4" s="1"/>
  <c r="F44" i="4"/>
  <c r="S44" i="4" s="1"/>
  <c r="F45" i="4"/>
  <c r="S45" i="4" s="1"/>
  <c r="F46" i="4"/>
  <c r="S46" i="4" s="1"/>
  <c r="F47" i="4"/>
  <c r="S47" i="4" s="1"/>
  <c r="F48" i="4"/>
  <c r="S48" i="4" s="1"/>
  <c r="F49" i="4"/>
  <c r="S49" i="4" s="1"/>
  <c r="F50" i="4"/>
  <c r="S50" i="4" s="1"/>
  <c r="F51" i="4"/>
  <c r="S51" i="4" s="1"/>
  <c r="F52" i="4"/>
  <c r="S52" i="4" s="1"/>
  <c r="F53" i="4"/>
  <c r="S53" i="4" s="1"/>
  <c r="F54" i="4"/>
  <c r="S54" i="4" s="1"/>
  <c r="F55" i="4"/>
  <c r="S55" i="4" s="1"/>
  <c r="F56" i="4"/>
  <c r="S56" i="4" s="1"/>
  <c r="F57" i="4"/>
  <c r="S57" i="4" s="1"/>
  <c r="F58" i="4"/>
  <c r="S58" i="4" s="1"/>
  <c r="F59" i="4"/>
  <c r="S59" i="4" s="1"/>
  <c r="F60" i="4"/>
  <c r="S60" i="4" s="1"/>
  <c r="F61" i="4"/>
  <c r="S61" i="4" s="1"/>
  <c r="F62" i="4"/>
  <c r="S62" i="4" s="1"/>
  <c r="F63" i="4"/>
  <c r="S63" i="4" s="1"/>
  <c r="F64" i="4"/>
  <c r="S64" i="4" s="1"/>
  <c r="F65" i="4"/>
  <c r="S65" i="4" s="1"/>
  <c r="F66" i="4"/>
  <c r="S66" i="4" s="1"/>
  <c r="F67" i="4"/>
  <c r="S67" i="4" s="1"/>
  <c r="F68" i="4"/>
  <c r="S68" i="4" s="1"/>
  <c r="F69" i="4"/>
  <c r="S69" i="4" s="1"/>
  <c r="F70" i="4"/>
  <c r="S70" i="4" s="1"/>
  <c r="F71" i="4"/>
  <c r="S71" i="4" s="1"/>
  <c r="F72" i="4"/>
  <c r="S72" i="4" s="1"/>
  <c r="F73" i="4"/>
  <c r="S73" i="4" s="1"/>
  <c r="H153" i="2" l="1"/>
  <c r="H169" i="2"/>
  <c r="H151" i="2"/>
  <c r="H152" i="2" s="1"/>
  <c r="I150" i="2"/>
  <c r="J100" i="2"/>
  <c r="J101" i="2" s="1"/>
  <c r="J149" i="2"/>
  <c r="T85" i="4"/>
  <c r="U15" i="3"/>
  <c r="S85" i="4"/>
  <c r="F86" i="4"/>
  <c r="F85" i="4"/>
  <c r="I98" i="1"/>
  <c r="I97" i="1"/>
  <c r="L98" i="1"/>
  <c r="M98" i="1"/>
  <c r="M97" i="1"/>
  <c r="H98" i="1"/>
  <c r="H97" i="1"/>
  <c r="J98" i="1"/>
  <c r="J97" i="1"/>
  <c r="F97" i="1"/>
  <c r="G98" i="1"/>
  <c r="F98" i="1"/>
  <c r="M28" i="3"/>
  <c r="E81" i="1"/>
  <c r="D81" i="1"/>
  <c r="K97" i="1"/>
  <c r="K98" i="1"/>
  <c r="E110" i="1"/>
  <c r="D110" i="1"/>
  <c r="E99" i="1"/>
  <c r="E100" i="1" s="1"/>
  <c r="D99" i="1"/>
  <c r="D100" i="1" s="1"/>
  <c r="O104" i="1"/>
  <c r="O109" i="1"/>
  <c r="N104" i="1"/>
  <c r="N109" i="1"/>
  <c r="M104" i="1"/>
  <c r="M109" i="1"/>
  <c r="L97" i="1"/>
  <c r="O118" i="2"/>
  <c r="P24" i="3"/>
  <c r="E102" i="2" s="1"/>
  <c r="E154" i="2" s="1"/>
  <c r="Q6" i="3"/>
  <c r="F95" i="2" s="1"/>
  <c r="F144" i="2" s="1"/>
  <c r="P33" i="3"/>
  <c r="G8" i="2"/>
  <c r="I153" i="2" l="1"/>
  <c r="I169" i="2"/>
  <c r="I151" i="2"/>
  <c r="I152" i="2" s="1"/>
  <c r="J150" i="2"/>
  <c r="G97" i="1"/>
  <c r="U76" i="4"/>
  <c r="U79" i="4"/>
  <c r="U75" i="4"/>
  <c r="U77" i="4"/>
  <c r="U81" i="4"/>
  <c r="U80" i="4"/>
  <c r="U78" i="4"/>
  <c r="U74" i="4"/>
  <c r="E107" i="2"/>
  <c r="E159" i="2" s="1"/>
  <c r="L104" i="1"/>
  <c r="L109" i="1"/>
  <c r="P34" i="3"/>
  <c r="G10" i="2"/>
  <c r="G12" i="2" s="1"/>
  <c r="G13" i="2" s="1"/>
  <c r="G14" i="2" s="1"/>
  <c r="G9" i="2"/>
  <c r="G11" i="2" s="1"/>
  <c r="R6" i="3"/>
  <c r="G95" i="2" s="1"/>
  <c r="G144" i="2" s="1"/>
  <c r="Q33" i="3"/>
  <c r="Q44" i="3"/>
  <c r="R44" i="3" s="1"/>
  <c r="T86" i="4"/>
  <c r="S86" i="4"/>
  <c r="F6" i="2"/>
  <c r="W6" i="2"/>
  <c r="X6" i="2"/>
  <c r="X47" i="2" s="1"/>
  <c r="Y6" i="2"/>
  <c r="Y47" i="2" s="1"/>
  <c r="Z6" i="2"/>
  <c r="AA6" i="2"/>
  <c r="W7" i="2"/>
  <c r="X7" i="2"/>
  <c r="Y7" i="2"/>
  <c r="Z7" i="2"/>
  <c r="AA7" i="2"/>
  <c r="W9" i="2"/>
  <c r="X9" i="2"/>
  <c r="Y9" i="2"/>
  <c r="Z9" i="2"/>
  <c r="AA9" i="2"/>
  <c r="W12" i="2"/>
  <c r="X12" i="2"/>
  <c r="Y12" i="2"/>
  <c r="Z12" i="2"/>
  <c r="AA12" i="2"/>
  <c r="W17" i="2"/>
  <c r="X17" i="2"/>
  <c r="Y17" i="2"/>
  <c r="Z17" i="2"/>
  <c r="AA17" i="2"/>
  <c r="W21" i="2"/>
  <c r="W38" i="2" s="1"/>
  <c r="W31" i="2"/>
  <c r="X31" i="2"/>
  <c r="Y31" i="2"/>
  <c r="Z31" i="2"/>
  <c r="AA31" i="2"/>
  <c r="W32" i="2"/>
  <c r="W33" i="2"/>
  <c r="X33" i="2"/>
  <c r="Y33" i="2"/>
  <c r="Q5" i="3"/>
  <c r="R5" i="3" s="1"/>
  <c r="S5" i="3" s="1"/>
  <c r="T5" i="3" s="1"/>
  <c r="U5" i="3" s="1"/>
  <c r="B99" i="2"/>
  <c r="B148" i="2" s="1"/>
  <c r="B98" i="2"/>
  <c r="B147" i="2" s="1"/>
  <c r="C98" i="2"/>
  <c r="C147" i="2" s="1"/>
  <c r="B96" i="2"/>
  <c r="B145" i="2" s="1"/>
  <c r="C96" i="2"/>
  <c r="C145" i="2" s="1"/>
  <c r="J151" i="2" l="1"/>
  <c r="J152" i="2" s="1"/>
  <c r="J153" i="2"/>
  <c r="B149" i="2"/>
  <c r="V79" i="4"/>
  <c r="V77" i="4"/>
  <c r="V76" i="4"/>
  <c r="V80" i="4"/>
  <c r="V81" i="4"/>
  <c r="V78" i="4"/>
  <c r="V75" i="4"/>
  <c r="V74" i="4"/>
  <c r="I109" i="1"/>
  <c r="I104" i="1"/>
  <c r="J104" i="1"/>
  <c r="J109" i="1"/>
  <c r="Q24" i="3"/>
  <c r="F102" i="2" s="1"/>
  <c r="F154" i="2" s="1"/>
  <c r="S6" i="3"/>
  <c r="H95" i="2" s="1"/>
  <c r="H144" i="2" s="1"/>
  <c r="R33" i="3"/>
  <c r="S44" i="3"/>
  <c r="R24" i="3"/>
  <c r="G102" i="2" s="1"/>
  <c r="G154" i="2" s="1"/>
  <c r="C97" i="2"/>
  <c r="C146" i="2" s="1"/>
  <c r="B100" i="2"/>
  <c r="C99" i="2"/>
  <c r="C148" i="2" s="1"/>
  <c r="D99" i="2"/>
  <c r="D148" i="2" s="1"/>
  <c r="D96" i="2"/>
  <c r="D98" i="2"/>
  <c r="D147" i="2" s="1"/>
  <c r="U23" i="4"/>
  <c r="U28" i="4"/>
  <c r="U31" i="4"/>
  <c r="U36" i="4"/>
  <c r="U39" i="4"/>
  <c r="U44" i="4"/>
  <c r="U26" i="4"/>
  <c r="U29" i="4"/>
  <c r="U34" i="4"/>
  <c r="U37" i="4"/>
  <c r="U42" i="4"/>
  <c r="U45" i="4"/>
  <c r="U50" i="4"/>
  <c r="U53" i="4"/>
  <c r="U58" i="4"/>
  <c r="U61" i="4"/>
  <c r="U66" i="4"/>
  <c r="U69" i="4"/>
  <c r="U24" i="4"/>
  <c r="U27" i="4"/>
  <c r="U32" i="4"/>
  <c r="U35" i="4"/>
  <c r="U40" i="4"/>
  <c r="U43" i="4"/>
  <c r="U48" i="4"/>
  <c r="U51" i="4"/>
  <c r="U56" i="4"/>
  <c r="U59" i="4"/>
  <c r="U25" i="4"/>
  <c r="U46" i="4"/>
  <c r="U57" i="4"/>
  <c r="U65" i="4"/>
  <c r="U68" i="4"/>
  <c r="U72" i="4"/>
  <c r="U38" i="4"/>
  <c r="U47" i="4"/>
  <c r="U52" i="4"/>
  <c r="U62" i="4"/>
  <c r="U73" i="4"/>
  <c r="U30" i="4"/>
  <c r="U41" i="4"/>
  <c r="U49" i="4"/>
  <c r="U54" i="4"/>
  <c r="U63" i="4"/>
  <c r="U67" i="4"/>
  <c r="U70" i="4"/>
  <c r="U55" i="4"/>
  <c r="U71" i="4"/>
  <c r="U33" i="4"/>
  <c r="U60" i="4"/>
  <c r="U64" i="4"/>
  <c r="V24" i="4"/>
  <c r="V26" i="4"/>
  <c r="X26" i="4" s="1"/>
  <c r="V28" i="4"/>
  <c r="X28" i="4" s="1"/>
  <c r="V30" i="4"/>
  <c r="X30" i="4" s="1"/>
  <c r="V32" i="4"/>
  <c r="X32" i="4" s="1"/>
  <c r="V34" i="4"/>
  <c r="X34" i="4" s="1"/>
  <c r="V36" i="4"/>
  <c r="X36" i="4" s="1"/>
  <c r="V38" i="4"/>
  <c r="X38" i="4" s="1"/>
  <c r="V40" i="4"/>
  <c r="X40" i="4" s="1"/>
  <c r="V42" i="4"/>
  <c r="X42" i="4" s="1"/>
  <c r="V44" i="4"/>
  <c r="X44" i="4" s="1"/>
  <c r="V46" i="4"/>
  <c r="V48" i="4"/>
  <c r="X48" i="4" s="1"/>
  <c r="V50" i="4"/>
  <c r="X50" i="4" s="1"/>
  <c r="V52" i="4"/>
  <c r="X52" i="4" s="1"/>
  <c r="V54" i="4"/>
  <c r="X54" i="4" s="1"/>
  <c r="V56" i="4"/>
  <c r="V58" i="4"/>
  <c r="X58" i="4" s="1"/>
  <c r="V60" i="4"/>
  <c r="X60" i="4" s="1"/>
  <c r="V62" i="4"/>
  <c r="X62" i="4" s="1"/>
  <c r="V64" i="4"/>
  <c r="X64" i="4" s="1"/>
  <c r="V66" i="4"/>
  <c r="X66" i="4" s="1"/>
  <c r="V68" i="4"/>
  <c r="V70" i="4"/>
  <c r="X70" i="4" s="1"/>
  <c r="V72" i="4"/>
  <c r="X72" i="4" s="1"/>
  <c r="V25" i="4"/>
  <c r="X25" i="4" s="1"/>
  <c r="V33" i="4"/>
  <c r="X33" i="4" s="1"/>
  <c r="V41" i="4"/>
  <c r="X41" i="4" s="1"/>
  <c r="V23" i="4"/>
  <c r="X23" i="4" s="1"/>
  <c r="V31" i="4"/>
  <c r="X31" i="4" s="1"/>
  <c r="V39" i="4"/>
  <c r="X39" i="4" s="1"/>
  <c r="V47" i="4"/>
  <c r="X47" i="4" s="1"/>
  <c r="V55" i="4"/>
  <c r="X55" i="4" s="1"/>
  <c r="V63" i="4"/>
  <c r="X63" i="4" s="1"/>
  <c r="V71" i="4"/>
  <c r="X71" i="4" s="1"/>
  <c r="V29" i="4"/>
  <c r="X29" i="4" s="1"/>
  <c r="V37" i="4"/>
  <c r="X37" i="4" s="1"/>
  <c r="V45" i="4"/>
  <c r="X45" i="4" s="1"/>
  <c r="V53" i="4"/>
  <c r="X53" i="4" s="1"/>
  <c r="V35" i="4"/>
  <c r="X35" i="4" s="1"/>
  <c r="V51" i="4"/>
  <c r="X51" i="4" s="1"/>
  <c r="V61" i="4"/>
  <c r="X61" i="4" s="1"/>
  <c r="V27" i="4"/>
  <c r="X27" i="4" s="1"/>
  <c r="V57" i="4"/>
  <c r="X57" i="4" s="1"/>
  <c r="V65" i="4"/>
  <c r="X65" i="4" s="1"/>
  <c r="V69" i="4"/>
  <c r="X69" i="4" s="1"/>
  <c r="V59" i="4"/>
  <c r="V73" i="4"/>
  <c r="X73" i="4" s="1"/>
  <c r="V49" i="4"/>
  <c r="X49" i="4" s="1"/>
  <c r="V67" i="4"/>
  <c r="X67" i="4" s="1"/>
  <c r="V43" i="4"/>
  <c r="X43" i="4" s="1"/>
  <c r="X44" i="2"/>
  <c r="Z45" i="2"/>
  <c r="Z44" i="2"/>
  <c r="W43" i="2"/>
  <c r="Y48" i="2"/>
  <c r="Y46" i="2"/>
  <c r="W8" i="2"/>
  <c r="W10" i="2" s="1"/>
  <c r="W13" i="2" s="1"/>
  <c r="Y8" i="2"/>
  <c r="Y10" i="2" s="1"/>
  <c r="Y13" i="2" s="1"/>
  <c r="AA48" i="2"/>
  <c r="W47" i="2"/>
  <c r="W48" i="2"/>
  <c r="AA47" i="2"/>
  <c r="AA45" i="2"/>
  <c r="W45" i="2"/>
  <c r="X45" i="2"/>
  <c r="X46" i="2"/>
  <c r="X8" i="2"/>
  <c r="X10" i="2" s="1"/>
  <c r="X13" i="2" s="1"/>
  <c r="Z46" i="2"/>
  <c r="W44" i="2"/>
  <c r="AA8" i="2"/>
  <c r="AA10" i="2" s="1"/>
  <c r="AA13" i="2" s="1"/>
  <c r="X48" i="2"/>
  <c r="Z48" i="2"/>
  <c r="Y45" i="2"/>
  <c r="Y44" i="2"/>
  <c r="Z47" i="2"/>
  <c r="AA46" i="2"/>
  <c r="W46" i="2"/>
  <c r="Z8" i="2"/>
  <c r="Z10" i="2" s="1"/>
  <c r="Z13" i="2" s="1"/>
  <c r="B121" i="2"/>
  <c r="F88" i="2"/>
  <c r="H88" i="2" s="1"/>
  <c r="J88" i="2" s="1"/>
  <c r="F87" i="2"/>
  <c r="H87" i="2" s="1"/>
  <c r="J87" i="2" s="1"/>
  <c r="F86" i="2"/>
  <c r="H86" i="2" s="1"/>
  <c r="J86" i="2" s="1"/>
  <c r="F85" i="2"/>
  <c r="H85" i="2" s="1"/>
  <c r="J85" i="2" s="1"/>
  <c r="F84" i="2"/>
  <c r="H84" i="2" s="1"/>
  <c r="J84" i="2" s="1"/>
  <c r="F83" i="2"/>
  <c r="H83" i="2" s="1"/>
  <c r="J83" i="2" s="1"/>
  <c r="I82" i="2"/>
  <c r="J82" i="2" s="1"/>
  <c r="H81" i="2"/>
  <c r="J81" i="2" s="1"/>
  <c r="F80" i="2"/>
  <c r="H80" i="2" s="1"/>
  <c r="J80" i="2" s="1"/>
  <c r="G79" i="2"/>
  <c r="F79" i="2"/>
  <c r="F78" i="2"/>
  <c r="H78" i="2" s="1"/>
  <c r="J78" i="2" s="1"/>
  <c r="C63" i="2"/>
  <c r="C66" i="2"/>
  <c r="C65" i="2"/>
  <c r="F47" i="2"/>
  <c r="B45" i="2"/>
  <c r="B39" i="2"/>
  <c r="AA33" i="2"/>
  <c r="C149" i="2" l="1"/>
  <c r="E97" i="2"/>
  <c r="E146" i="2" s="1"/>
  <c r="D145" i="2"/>
  <c r="X78" i="4"/>
  <c r="W78" i="4"/>
  <c r="W81" i="4"/>
  <c r="X81" i="4"/>
  <c r="X76" i="4"/>
  <c r="W76" i="4"/>
  <c r="W74" i="4"/>
  <c r="X74" i="4"/>
  <c r="W77" i="4"/>
  <c r="X77" i="4"/>
  <c r="W80" i="4"/>
  <c r="X80" i="4"/>
  <c r="X75" i="4"/>
  <c r="W75" i="4"/>
  <c r="X79" i="4"/>
  <c r="W79" i="4"/>
  <c r="W59" i="4"/>
  <c r="X59" i="4"/>
  <c r="W56" i="4"/>
  <c r="X56" i="4"/>
  <c r="W24" i="4"/>
  <c r="X24" i="4"/>
  <c r="W46" i="4"/>
  <c r="X46" i="4"/>
  <c r="W68" i="4"/>
  <c r="X68" i="4"/>
  <c r="E98" i="1"/>
  <c r="E97" i="1"/>
  <c r="G107" i="2"/>
  <c r="G159" i="2" s="1"/>
  <c r="E111" i="1"/>
  <c r="D111" i="1"/>
  <c r="F107" i="2"/>
  <c r="F159" i="2" s="1"/>
  <c r="K104" i="1"/>
  <c r="K109" i="1"/>
  <c r="D97" i="2"/>
  <c r="W69" i="4"/>
  <c r="W40" i="4"/>
  <c r="W31" i="4"/>
  <c r="W54" i="4"/>
  <c r="W52" i="4"/>
  <c r="W29" i="4"/>
  <c r="W62" i="4"/>
  <c r="W53" i="4"/>
  <c r="R34" i="3"/>
  <c r="Q34" i="3"/>
  <c r="T6" i="3"/>
  <c r="I95" i="2" s="1"/>
  <c r="I144" i="2" s="1"/>
  <c r="S33" i="3"/>
  <c r="T44" i="3"/>
  <c r="S24" i="3"/>
  <c r="H102" i="2" s="1"/>
  <c r="H154" i="2" s="1"/>
  <c r="W25" i="4"/>
  <c r="W50" i="4"/>
  <c r="W48" i="4"/>
  <c r="W32" i="4"/>
  <c r="W66" i="4"/>
  <c r="W34" i="4"/>
  <c r="W49" i="4"/>
  <c r="W70" i="4"/>
  <c r="C100" i="2"/>
  <c r="W37" i="4"/>
  <c r="W36" i="4"/>
  <c r="W57" i="4"/>
  <c r="W35" i="4"/>
  <c r="W55" i="4"/>
  <c r="W23" i="4"/>
  <c r="W58" i="4"/>
  <c r="W42" i="4"/>
  <c r="W26" i="4"/>
  <c r="W72" i="4"/>
  <c r="W64" i="4"/>
  <c r="W51" i="4"/>
  <c r="W73" i="4"/>
  <c r="W39" i="4"/>
  <c r="W38" i="4"/>
  <c r="W30" i="4"/>
  <c r="W43" i="4"/>
  <c r="W63" i="4"/>
  <c r="W33" i="4"/>
  <c r="W67" i="4"/>
  <c r="W27" i="4"/>
  <c r="W47" i="4"/>
  <c r="W61" i="4"/>
  <c r="W45" i="4"/>
  <c r="W71" i="4"/>
  <c r="W41" i="4"/>
  <c r="W65" i="4"/>
  <c r="W60" i="4"/>
  <c r="W44" i="4"/>
  <c r="W28" i="4"/>
  <c r="F46" i="2"/>
  <c r="F48" i="2" s="1"/>
  <c r="Z33" i="2"/>
  <c r="J65" i="2"/>
  <c r="H79" i="2"/>
  <c r="Z34" i="2"/>
  <c r="W34" i="2"/>
  <c r="W35" i="2" s="1"/>
  <c r="AA34" i="2"/>
  <c r="AB47" i="2"/>
  <c r="AB46" i="2"/>
  <c r="AA32" i="2"/>
  <c r="D31" i="2"/>
  <c r="Y34" i="2"/>
  <c r="X32" i="2"/>
  <c r="X34" i="2"/>
  <c r="D100" i="2" l="1"/>
  <c r="D146" i="2"/>
  <c r="D149" i="2" s="1"/>
  <c r="X85" i="4"/>
  <c r="W85" i="4"/>
  <c r="H107" i="2"/>
  <c r="H159" i="2" s="1"/>
  <c r="G104" i="1"/>
  <c r="G109" i="1"/>
  <c r="E31" i="2"/>
  <c r="F122" i="2" s="1"/>
  <c r="D63" i="2"/>
  <c r="I133" i="2" s="1"/>
  <c r="J133" i="2" s="1"/>
  <c r="J135" i="2" s="1"/>
  <c r="J137" i="2" s="1"/>
  <c r="S34" i="3"/>
  <c r="U6" i="3"/>
  <c r="T33" i="3"/>
  <c r="Q41" i="3"/>
  <c r="Q42" i="3"/>
  <c r="P26" i="3"/>
  <c r="E104" i="2" s="1"/>
  <c r="E156" i="2" s="1"/>
  <c r="E8" i="2"/>
  <c r="U44" i="3"/>
  <c r="U24" i="3" s="1"/>
  <c r="J102" i="2" s="1"/>
  <c r="J154" i="2" s="1"/>
  <c r="T24" i="3"/>
  <c r="I102" i="2" s="1"/>
  <c r="I154" i="2" s="1"/>
  <c r="AA35" i="2"/>
  <c r="X35" i="2"/>
  <c r="I79" i="2"/>
  <c r="J79" i="2" s="1"/>
  <c r="J89" i="2" s="1"/>
  <c r="AB45" i="2"/>
  <c r="E68" i="1"/>
  <c r="Y32" i="2"/>
  <c r="Y35" i="2" s="1"/>
  <c r="AB44" i="2"/>
  <c r="AB48" i="2"/>
  <c r="Z32" i="2"/>
  <c r="Z35" i="2" s="1"/>
  <c r="U33" i="3" l="1"/>
  <c r="J95" i="2"/>
  <c r="J144" i="2" s="1"/>
  <c r="E63" i="2"/>
  <c r="H63" i="2" s="1"/>
  <c r="J63" i="2" s="1"/>
  <c r="X86" i="4"/>
  <c r="J18" i="4" s="1"/>
  <c r="B37" i="2" s="1"/>
  <c r="K63" i="2" s="1"/>
  <c r="I107" i="2"/>
  <c r="J107" i="2"/>
  <c r="J159" i="2" s="1"/>
  <c r="H109" i="1"/>
  <c r="H104" i="1"/>
  <c r="F104" i="1"/>
  <c r="F109" i="1"/>
  <c r="E104" i="1"/>
  <c r="E109" i="1"/>
  <c r="F123" i="2"/>
  <c r="U34" i="3"/>
  <c r="T34" i="3"/>
  <c r="E10" i="2"/>
  <c r="E9" i="2"/>
  <c r="P25" i="3"/>
  <c r="E103" i="2" s="1"/>
  <c r="H31" i="2"/>
  <c r="R42" i="3"/>
  <c r="Q26" i="3"/>
  <c r="F104" i="2" s="1"/>
  <c r="F156" i="2" s="1"/>
  <c r="Q25" i="3"/>
  <c r="F103" i="2" s="1"/>
  <c r="F155" i="2" s="1"/>
  <c r="F157" i="2" s="1"/>
  <c r="F168" i="2" s="1"/>
  <c r="R41" i="3"/>
  <c r="D104" i="1"/>
  <c r="D109" i="1"/>
  <c r="W15" i="2"/>
  <c r="W16" i="2" s="1"/>
  <c r="W18" i="2" s="1"/>
  <c r="W20" i="2" s="1"/>
  <c r="AA15" i="2"/>
  <c r="AA16" i="2" s="1"/>
  <c r="AA18" i="2" s="1"/>
  <c r="Z15" i="2"/>
  <c r="Z16" i="2" s="1"/>
  <c r="Z18" i="2" s="1"/>
  <c r="Y15" i="2"/>
  <c r="Y16" i="2" s="1"/>
  <c r="Y18" i="2" s="1"/>
  <c r="X15" i="2"/>
  <c r="X16" i="2" s="1"/>
  <c r="X18" i="2" s="1"/>
  <c r="E105" i="2" l="1"/>
  <c r="E116" i="2" s="1"/>
  <c r="E155" i="2"/>
  <c r="E157" i="2" s="1"/>
  <c r="E168" i="2" s="1"/>
  <c r="I111" i="2"/>
  <c r="I159" i="2"/>
  <c r="E12" i="2"/>
  <c r="E13" i="2" s="1"/>
  <c r="E14" i="2" s="1"/>
  <c r="E11" i="2"/>
  <c r="G122" i="2"/>
  <c r="G121" i="2"/>
  <c r="B40" i="2"/>
  <c r="B46" i="2" s="1"/>
  <c r="F105" i="2"/>
  <c r="F116" i="2" s="1"/>
  <c r="R25" i="3"/>
  <c r="G103" i="2" s="1"/>
  <c r="G155" i="2" s="1"/>
  <c r="S41" i="3"/>
  <c r="R26" i="3"/>
  <c r="G104" i="2" s="1"/>
  <c r="G156" i="2" s="1"/>
  <c r="S42" i="3"/>
  <c r="B65" i="2"/>
  <c r="K65" i="2"/>
  <c r="B123" i="2"/>
  <c r="B124" i="2" s="1"/>
  <c r="B90" i="2"/>
  <c r="C12" i="2" s="1"/>
  <c r="G157" i="2" l="1"/>
  <c r="G168" i="2" s="1"/>
  <c r="C133" i="2"/>
  <c r="C135" i="2"/>
  <c r="D160" i="2" s="1"/>
  <c r="B47" i="2"/>
  <c r="B48" i="2" s="1"/>
  <c r="H9" i="2" s="1"/>
  <c r="H122" i="2"/>
  <c r="I122" i="2" s="1"/>
  <c r="J122" i="2" s="1"/>
  <c r="H127" i="2"/>
  <c r="E39" i="2"/>
  <c r="E40" i="2" s="1"/>
  <c r="H8" i="2" s="1"/>
  <c r="F8" i="2" s="1"/>
  <c r="B68" i="2"/>
  <c r="C10" i="2" s="1"/>
  <c r="B66" i="2"/>
  <c r="E66" i="2" s="1"/>
  <c r="H11" i="2" s="1"/>
  <c r="G123" i="2"/>
  <c r="G105" i="2"/>
  <c r="G116" i="2" s="1"/>
  <c r="T41" i="3"/>
  <c r="S25" i="3"/>
  <c r="H103" i="2" s="1"/>
  <c r="H155" i="2" s="1"/>
  <c r="S26" i="3"/>
  <c r="H104" i="2" s="1"/>
  <c r="H156" i="2" s="1"/>
  <c r="T42" i="3"/>
  <c r="B116" i="2"/>
  <c r="G23" i="4"/>
  <c r="D107" i="2"/>
  <c r="D159" i="2" s="1"/>
  <c r="F170" i="2" l="1"/>
  <c r="F171" i="2" s="1"/>
  <c r="G170" i="2"/>
  <c r="G171" i="2" s="1"/>
  <c r="H170" i="2"/>
  <c r="I170" i="2"/>
  <c r="E170" i="2"/>
  <c r="E171" i="2" s="1"/>
  <c r="H157" i="2"/>
  <c r="H168" i="2" s="1"/>
  <c r="H171" i="2" s="1"/>
  <c r="C134" i="2"/>
  <c r="C136" i="2"/>
  <c r="F9" i="2"/>
  <c r="J9" i="2"/>
  <c r="I9" i="2" s="1"/>
  <c r="F11" i="2"/>
  <c r="J11" i="2"/>
  <c r="I11" i="2" s="1"/>
  <c r="J8" i="2"/>
  <c r="I8" i="2" s="1"/>
  <c r="H105" i="2"/>
  <c r="H116" i="2" s="1"/>
  <c r="T26" i="3"/>
  <c r="I104" i="2" s="1"/>
  <c r="I156" i="2" s="1"/>
  <c r="U42" i="3"/>
  <c r="U26" i="3" s="1"/>
  <c r="J104" i="2" s="1"/>
  <c r="J156" i="2" s="1"/>
  <c r="U41" i="3"/>
  <c r="U25" i="3" s="1"/>
  <c r="J103" i="2" s="1"/>
  <c r="J155" i="2" s="1"/>
  <c r="J157" i="2" s="1"/>
  <c r="T25" i="3"/>
  <c r="I103" i="2" s="1"/>
  <c r="I155" i="2" s="1"/>
  <c r="N23" i="4"/>
  <c r="G24" i="4"/>
  <c r="AA23" i="4"/>
  <c r="E160" i="2" l="1"/>
  <c r="F160" i="2" s="1"/>
  <c r="G160" i="2" s="1"/>
  <c r="H160" i="2" s="1"/>
  <c r="I160" i="2" s="1"/>
  <c r="I157" i="2"/>
  <c r="I168" i="2" s="1"/>
  <c r="D171" i="2"/>
  <c r="B136" i="2"/>
  <c r="C137" i="2"/>
  <c r="D136" i="2" s="1"/>
  <c r="J105" i="2"/>
  <c r="I163" i="2" s="1"/>
  <c r="I105" i="2"/>
  <c r="G25" i="4"/>
  <c r="AA24" i="4"/>
  <c r="N24" i="4"/>
  <c r="AB23" i="4"/>
  <c r="J160" i="2" l="1"/>
  <c r="I166" i="2"/>
  <c r="D134" i="2"/>
  <c r="D137" i="2"/>
  <c r="D135" i="2"/>
  <c r="D133" i="2"/>
  <c r="N25" i="4"/>
  <c r="AB24" i="4"/>
  <c r="G26" i="4"/>
  <c r="AA25" i="4"/>
  <c r="G27" i="4" l="1"/>
  <c r="AA26" i="4"/>
  <c r="N26" i="4"/>
  <c r="AB25" i="4"/>
  <c r="N27" i="4" l="1"/>
  <c r="AB26" i="4"/>
  <c r="G28" i="4"/>
  <c r="AA27" i="4"/>
  <c r="G29" i="4" l="1"/>
  <c r="AA28" i="4"/>
  <c r="N28" i="4"/>
  <c r="AB27" i="4"/>
  <c r="N29" i="4" l="1"/>
  <c r="AB28" i="4"/>
  <c r="G30" i="4"/>
  <c r="AA29" i="4"/>
  <c r="G31" i="4" l="1"/>
  <c r="AA30" i="4"/>
  <c r="N30" i="4"/>
  <c r="AB29" i="4"/>
  <c r="N31" i="4" l="1"/>
  <c r="AB30" i="4"/>
  <c r="G32" i="4"/>
  <c r="AA31" i="4"/>
  <c r="G33" i="4" l="1"/>
  <c r="AA32" i="4"/>
  <c r="N32" i="4"/>
  <c r="AB31" i="4"/>
  <c r="N33" i="4" l="1"/>
  <c r="AB32" i="4"/>
  <c r="G34" i="4"/>
  <c r="AA33" i="4"/>
  <c r="G35" i="4" l="1"/>
  <c r="AA34" i="4"/>
  <c r="N34" i="4"/>
  <c r="AB33" i="4"/>
  <c r="N35" i="4" l="1"/>
  <c r="AB34" i="4"/>
  <c r="G36" i="4"/>
  <c r="AA35" i="4"/>
  <c r="G37" i="4" l="1"/>
  <c r="AA36" i="4"/>
  <c r="N36" i="4"/>
  <c r="AB35" i="4"/>
  <c r="N37" i="4" l="1"/>
  <c r="AB36" i="4"/>
  <c r="G38" i="4"/>
  <c r="AA37" i="4"/>
  <c r="G39" i="4" l="1"/>
  <c r="AA38" i="4"/>
  <c r="N38" i="4"/>
  <c r="AB37" i="4"/>
  <c r="N39" i="4" l="1"/>
  <c r="AB38" i="4"/>
  <c r="G40" i="4"/>
  <c r="AA39" i="4"/>
  <c r="G41" i="4" l="1"/>
  <c r="AA40" i="4"/>
  <c r="N40" i="4"/>
  <c r="AB39" i="4"/>
  <c r="N41" i="4" l="1"/>
  <c r="AB40" i="4"/>
  <c r="G42" i="4"/>
  <c r="AA41" i="4"/>
  <c r="G43" i="4" l="1"/>
  <c r="AA42" i="4"/>
  <c r="N42" i="4"/>
  <c r="AB41" i="4"/>
  <c r="N43" i="4" l="1"/>
  <c r="AB42" i="4"/>
  <c r="G44" i="4"/>
  <c r="AA43" i="4"/>
  <c r="G45" i="4" l="1"/>
  <c r="AA44" i="4"/>
  <c r="N44" i="4"/>
  <c r="AB43" i="4"/>
  <c r="N45" i="4" l="1"/>
  <c r="AB44" i="4"/>
  <c r="G46" i="4"/>
  <c r="AA45" i="4"/>
  <c r="G47" i="4" l="1"/>
  <c r="AA46" i="4"/>
  <c r="N46" i="4"/>
  <c r="AB45" i="4"/>
  <c r="N47" i="4" l="1"/>
  <c r="AB46" i="4"/>
  <c r="G48" i="4"/>
  <c r="AA47" i="4"/>
  <c r="G49" i="4" l="1"/>
  <c r="AA48" i="4"/>
  <c r="N48" i="4"/>
  <c r="AB47" i="4"/>
  <c r="N49" i="4" l="1"/>
  <c r="AB48" i="4"/>
  <c r="G50" i="4"/>
  <c r="AA49" i="4"/>
  <c r="G51" i="4" l="1"/>
  <c r="AA50" i="4"/>
  <c r="N50" i="4"/>
  <c r="AB49" i="4"/>
  <c r="N51" i="4" l="1"/>
  <c r="AB50" i="4"/>
  <c r="G52" i="4"/>
  <c r="AA51" i="4"/>
  <c r="G53" i="4" l="1"/>
  <c r="AA52" i="4"/>
  <c r="N52" i="4"/>
  <c r="AB51" i="4"/>
  <c r="N53" i="4" l="1"/>
  <c r="AB52" i="4"/>
  <c r="G54" i="4"/>
  <c r="AA53" i="4"/>
  <c r="G55" i="4" l="1"/>
  <c r="AA54" i="4"/>
  <c r="N54" i="4"/>
  <c r="AB53" i="4"/>
  <c r="N55" i="4" l="1"/>
  <c r="AB54" i="4"/>
  <c r="G56" i="4"/>
  <c r="AA55" i="4"/>
  <c r="G57" i="4" l="1"/>
  <c r="AA56" i="4"/>
  <c r="N56" i="4"/>
  <c r="AB55" i="4"/>
  <c r="N57" i="4" l="1"/>
  <c r="AB56" i="4"/>
  <c r="G58" i="4"/>
  <c r="AA57" i="4"/>
  <c r="G59" i="4" l="1"/>
  <c r="AA58" i="4"/>
  <c r="N58" i="4"/>
  <c r="AB57" i="4"/>
  <c r="N59" i="4" l="1"/>
  <c r="AB58" i="4"/>
  <c r="G60" i="4"/>
  <c r="AA59" i="4"/>
  <c r="G61" i="4" l="1"/>
  <c r="AA60" i="4"/>
  <c r="N60" i="4"/>
  <c r="AB59" i="4"/>
  <c r="N61" i="4" l="1"/>
  <c r="AB60" i="4"/>
  <c r="G62" i="4"/>
  <c r="AA61" i="4"/>
  <c r="G63" i="4" l="1"/>
  <c r="AA62" i="4"/>
  <c r="N62" i="4"/>
  <c r="AB61" i="4"/>
  <c r="N63" i="4" l="1"/>
  <c r="AB62" i="4"/>
  <c r="G64" i="4"/>
  <c r="AA63" i="4"/>
  <c r="G65" i="4" l="1"/>
  <c r="AA64" i="4"/>
  <c r="N64" i="4"/>
  <c r="AB63" i="4"/>
  <c r="N65" i="4" l="1"/>
  <c r="AB64" i="4"/>
  <c r="G66" i="4"/>
  <c r="AA65" i="4"/>
  <c r="G67" i="4" l="1"/>
  <c r="AA66" i="4"/>
  <c r="N66" i="4"/>
  <c r="AB65" i="4"/>
  <c r="N67" i="4" l="1"/>
  <c r="AB66" i="4"/>
  <c r="G68" i="4"/>
  <c r="AA67" i="4"/>
  <c r="G69" i="4" l="1"/>
  <c r="AA68" i="4"/>
  <c r="N68" i="4"/>
  <c r="AB67" i="4"/>
  <c r="N69" i="4" l="1"/>
  <c r="AB68" i="4"/>
  <c r="G70" i="4"/>
  <c r="AA69" i="4"/>
  <c r="G71" i="4" l="1"/>
  <c r="AA70" i="4"/>
  <c r="N70" i="4"/>
  <c r="AB69" i="4"/>
  <c r="N71" i="4" l="1"/>
  <c r="AB70" i="4"/>
  <c r="G72" i="4"/>
  <c r="AA71" i="4"/>
  <c r="G73" i="4" l="1"/>
  <c r="G74" i="4" s="1"/>
  <c r="AA72" i="4"/>
  <c r="N72" i="4"/>
  <c r="AB71" i="4"/>
  <c r="G75" i="4" l="1"/>
  <c r="AA74" i="4"/>
  <c r="N73" i="4"/>
  <c r="N74" i="4" s="1"/>
  <c r="AB72" i="4"/>
  <c r="AA73" i="4"/>
  <c r="G76" i="4" l="1"/>
  <c r="AA75" i="4"/>
  <c r="AB74" i="4"/>
  <c r="N75" i="4"/>
  <c r="AB73" i="4"/>
  <c r="AA76" i="4" l="1"/>
  <c r="G77" i="4"/>
  <c r="AB75" i="4"/>
  <c r="N76" i="4"/>
  <c r="D68" i="1"/>
  <c r="AA77" i="4" l="1"/>
  <c r="G78" i="4"/>
  <c r="AB76" i="4"/>
  <c r="N77" i="4"/>
  <c r="C6" i="2"/>
  <c r="D8" i="2"/>
  <c r="G79" i="4" l="1"/>
  <c r="AA78" i="4"/>
  <c r="AB77" i="4"/>
  <c r="N78" i="4"/>
  <c r="Q46" i="3"/>
  <c r="P30" i="3"/>
  <c r="E108" i="2" s="1"/>
  <c r="D10" i="2"/>
  <c r="D11" i="2" s="1"/>
  <c r="C11" i="2" s="1"/>
  <c r="D9" i="2"/>
  <c r="C9" i="2" s="1"/>
  <c r="C8" i="2"/>
  <c r="G80" i="4" l="1"/>
  <c r="AA79" i="4"/>
  <c r="AB78" i="4"/>
  <c r="N79" i="4"/>
  <c r="R46" i="3"/>
  <c r="Q30" i="3"/>
  <c r="F108" i="2" s="1"/>
  <c r="D12" i="2"/>
  <c r="F10" i="2"/>
  <c r="H10" i="2" s="1"/>
  <c r="G81" i="4" l="1"/>
  <c r="AA80" i="4"/>
  <c r="AB79" i="4"/>
  <c r="N80" i="4"/>
  <c r="S46" i="3"/>
  <c r="R30" i="3"/>
  <c r="G108" i="2" s="1"/>
  <c r="J10" i="2"/>
  <c r="I10" i="2" s="1"/>
  <c r="E65" i="2"/>
  <c r="D13" i="2"/>
  <c r="D14" i="2" s="1"/>
  <c r="F12" i="2"/>
  <c r="H12" i="2" s="1"/>
  <c r="AA81" i="4" l="1"/>
  <c r="AB80" i="4"/>
  <c r="N81" i="4"/>
  <c r="T46" i="3"/>
  <c r="S30" i="3"/>
  <c r="H108" i="2" s="1"/>
  <c r="J12" i="2"/>
  <c r="I12" i="2" s="1"/>
  <c r="D90" i="2"/>
  <c r="AB81" i="4" l="1"/>
  <c r="U46" i="3"/>
  <c r="T30" i="3"/>
  <c r="I108" i="2" s="1"/>
  <c r="I114" i="2" l="1"/>
  <c r="U30" i="3"/>
  <c r="J108" i="2" s="1"/>
  <c r="H121" i="2" l="1"/>
  <c r="I121" i="2" s="1"/>
  <c r="D83" i="1"/>
  <c r="E83" i="1"/>
  <c r="G83" i="1"/>
  <c r="L83" i="1"/>
  <c r="K83" i="1"/>
  <c r="H83" i="1"/>
  <c r="F83" i="1"/>
  <c r="I83" i="1"/>
  <c r="M83" i="1"/>
  <c r="J83" i="1"/>
  <c r="N83" i="1"/>
  <c r="L82" i="1"/>
  <c r="L103" i="1"/>
  <c r="F29" i="3"/>
  <c r="F30" i="3" s="1"/>
  <c r="F46" i="3" s="1"/>
  <c r="K103" i="1"/>
  <c r="K82" i="1"/>
  <c r="G29" i="3"/>
  <c r="G30" i="3" s="1"/>
  <c r="G46" i="3" s="1"/>
  <c r="H29" i="3"/>
  <c r="H30" i="3" s="1"/>
  <c r="H46" i="3" s="1"/>
  <c r="J82" i="1"/>
  <c r="J103" i="1"/>
  <c r="I29" i="3"/>
  <c r="I30" i="3" s="1"/>
  <c r="I46" i="3" s="1"/>
  <c r="I103" i="1"/>
  <c r="I82" i="1"/>
  <c r="J29" i="3"/>
  <c r="J30" i="3" s="1"/>
  <c r="J46" i="3" s="1"/>
  <c r="H103" i="1"/>
  <c r="H82" i="1"/>
  <c r="O82" i="1"/>
  <c r="C29" i="3"/>
  <c r="C30" i="3" s="1"/>
  <c r="C46" i="3" s="1"/>
  <c r="O103" i="1"/>
  <c r="G103" i="1"/>
  <c r="G82" i="1"/>
  <c r="K29" i="3"/>
  <c r="K30" i="3" s="1"/>
  <c r="K46" i="3" s="1"/>
  <c r="N82" i="1"/>
  <c r="N103" i="1"/>
  <c r="D29" i="3"/>
  <c r="D30" i="3" s="1"/>
  <c r="D46" i="3" s="1"/>
  <c r="F82" i="1"/>
  <c r="F103" i="1"/>
  <c r="L29" i="3"/>
  <c r="L30" i="3" s="1"/>
  <c r="L46" i="3" s="1"/>
  <c r="M82" i="1"/>
  <c r="M103" i="1"/>
  <c r="E29" i="3"/>
  <c r="E30" i="3" s="1"/>
  <c r="E46" i="3" s="1"/>
  <c r="D82" i="1"/>
  <c r="O120" i="2"/>
  <c r="O121" i="2" s="1"/>
  <c r="O122" i="2" s="1"/>
  <c r="E103" i="1"/>
  <c r="M29" i="3"/>
  <c r="M30" i="3" s="1"/>
  <c r="M46" i="3" s="1"/>
  <c r="E82" i="1"/>
  <c r="J85" i="1" l="1"/>
  <c r="E85" i="1"/>
  <c r="L85" i="1"/>
  <c r="M85" i="1"/>
  <c r="G85" i="1"/>
  <c r="J121" i="2"/>
  <c r="J123" i="2" s="1"/>
  <c r="F85" i="1"/>
  <c r="N85" i="1"/>
  <c r="D85" i="1"/>
  <c r="K85" i="1"/>
  <c r="I85" i="1"/>
  <c r="H85" i="1"/>
  <c r="O85" i="1"/>
  <c r="H126" i="2" l="1"/>
  <c r="B112" i="2"/>
  <c r="I112" i="2" l="1"/>
  <c r="B164" i="2"/>
  <c r="I164" i="2" s="1"/>
  <c r="I165" i="2" s="1"/>
  <c r="I167" i="2" s="1"/>
  <c r="I171" i="2" s="1"/>
  <c r="I113" i="2"/>
  <c r="I115" i="2" s="1"/>
  <c r="I116" i="2" s="1"/>
  <c r="D117" i="2" s="1"/>
  <c r="D172" i="2" l="1"/>
  <c r="D173" i="2" s="1"/>
  <c r="H14" i="2" s="1"/>
  <c r="C171" i="2"/>
  <c r="D118" i="2"/>
  <c r="F13" i="2"/>
  <c r="F14" i="2" l="1"/>
  <c r="C14" i="2" s="1"/>
  <c r="J14" i="2"/>
  <c r="I14" i="2" s="1"/>
  <c r="C13" i="2"/>
  <c r="C16" i="2" s="1"/>
  <c r="H13" i="2"/>
  <c r="F16" i="2"/>
  <c r="J13" i="2" l="1"/>
  <c r="I13" i="2" s="1"/>
  <c r="H16" i="2"/>
  <c r="J16" i="2" s="1"/>
  <c r="C67" i="1" l="1"/>
  <c r="C68" i="1" s="1"/>
  <c r="C83" i="1"/>
  <c r="C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Droussiotis</author>
  </authors>
  <commentList>
    <comment ref="P7" authorId="0" shapeId="0" xr:uid="{4B1A17DF-DE57-44EE-8483-C6EC89132606}">
      <text>
        <r>
          <rPr>
            <sz val="9"/>
            <color indexed="81"/>
            <rFont val="Tahoma"/>
            <family val="2"/>
          </rPr>
          <t xml:space="preserve">11 Analysts:
2022 Est. Revenue:
High: $6.0 Billion
Low:  $5.2
Avg:  $5.7 </t>
        </r>
      </text>
    </comment>
    <comment ref="Q7" authorId="0" shapeId="0" xr:uid="{A6FF8E4A-2B24-4290-AF0F-C6030374E373}">
      <text>
        <r>
          <rPr>
            <sz val="9"/>
            <color indexed="81"/>
            <rFont val="Tahoma"/>
            <family val="2"/>
          </rPr>
          <t xml:space="preserve">11 Analysts:
2023 Est. Revenue:
High: $6.6 Billion
Low:  $5.6
Avg:  $6.2 
</t>
        </r>
      </text>
    </comment>
  </commentList>
</comments>
</file>

<file path=xl/sharedStrings.xml><?xml version="1.0" encoding="utf-8"?>
<sst xmlns="http://schemas.openxmlformats.org/spreadsheetml/2006/main" count="879" uniqueCount="605">
  <si>
    <t>HYATT HOTELS CORPORATION</t>
  </si>
  <si>
    <t>($000's)</t>
  </si>
  <si>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</si>
  <si>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</si>
  <si>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</si>
  <si>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</si>
  <si>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</si>
  <si>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</si>
  <si>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</si>
  <si>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</si>
  <si>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</si>
  <si>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</si>
  <si>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</si>
  <si>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</si>
  <si>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</si>
  <si>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</si>
  <si>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</si>
  <si>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</si>
  <si>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</si>
  <si>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</si>
  <si>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</si>
  <si>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</si>
  <si>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</si>
  <si>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</si>
  <si>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</si>
  <si>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</si>
  <si>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</si>
  <si>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</si>
  <si>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</si>
  <si>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</si>
  <si>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</si>
  <si>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</si>
  <si>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</si>
  <si>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</si>
  <si>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</si>
  <si>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</si>
  <si>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</si>
  <si>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</si>
  <si>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</si>
  <si>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</si>
  <si>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</si>
  <si>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</si>
  <si>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</si>
  <si>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</si>
  <si>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</si>
  <si>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</si>
  <si>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</si>
  <si>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</si>
  <si>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Depreciation</t>
  </si>
  <si>
    <t>Investment Activities</t>
  </si>
  <si>
    <t>Capital Expenditure</t>
  </si>
  <si>
    <t>Financing Activity</t>
  </si>
  <si>
    <t>ST Debt</t>
  </si>
  <si>
    <t>LT Debt</t>
  </si>
  <si>
    <t>LT Deferred Revenue</t>
  </si>
  <si>
    <t>Other Long-Term Liabilities</t>
  </si>
  <si>
    <t xml:space="preserve">  Total Financing Activities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</si>
  <si>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</si>
  <si>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</si>
  <si>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</si>
  <si>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</si>
  <si>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</si>
  <si>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</si>
  <si>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</si>
  <si>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</si>
  <si>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</si>
  <si>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</si>
  <si>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</si>
  <si>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</si>
  <si>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</si>
  <si>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</si>
  <si>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</si>
  <si>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</si>
  <si>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</si>
  <si>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 xml:space="preserve">INCOME STATEMENT </t>
  </si>
  <si>
    <t>Hyatt Hotels Corporation</t>
  </si>
  <si>
    <t>Yahoo Finance 
Link =</t>
  </si>
  <si>
    <t xml:space="preserve">https://finance.yahoo.com/quote/H?p=H </t>
  </si>
  <si>
    <t>Date of Analysis:</t>
  </si>
  <si>
    <t>INPUT</t>
  </si>
  <si>
    <t>HISTORICAL  INFORMATION</t>
  </si>
  <si>
    <t>ENTERPRISE VALUATION ANALYSIS</t>
  </si>
  <si>
    <t>INCOME STATEMENT</t>
  </si>
  <si>
    <t>LTM</t>
  </si>
  <si>
    <t>EV
(000's)</t>
  </si>
  <si>
    <t>Debt
(000's)</t>
  </si>
  <si>
    <t>Cash
(000's)</t>
  </si>
  <si>
    <t>Eq Value
(000's)</t>
  </si>
  <si>
    <t>Shares Outs
(000's)</t>
  </si>
  <si>
    <t>Stock 
Price</t>
  </si>
  <si>
    <t>(000's)</t>
  </si>
  <si>
    <t>METHOD #1 - Market Value / Using the Stock Price</t>
  </si>
  <si>
    <t>Revenue</t>
  </si>
  <si>
    <t>METHOD #2- Intrinsic Value</t>
  </si>
  <si>
    <t xml:space="preserve"> Gross Profit</t>
  </si>
  <si>
    <t>METHOD #3- Dividend Discount Model (DDM)</t>
  </si>
  <si>
    <t>Operating Expense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</si>
  <si>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</si>
  <si>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</si>
  <si>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</si>
  <si>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</si>
  <si>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Shares Outstanding</t>
  </si>
  <si>
    <t>EPS</t>
  </si>
  <si>
    <t>EBITDA</t>
  </si>
  <si>
    <t>Company</t>
  </si>
  <si>
    <t>Symbol</t>
  </si>
  <si>
    <t>Stocks Outstanding ($000)</t>
  </si>
  <si>
    <t>Equity 
Value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</si>
  <si>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</si>
  <si>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</si>
  <si>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</si>
  <si>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</si>
  <si>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</si>
  <si>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</si>
  <si>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</si>
  <si>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</si>
  <si>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</si>
  <si>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</si>
  <si>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</si>
  <si>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</si>
  <si>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</si>
  <si>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</si>
  <si>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</si>
  <si>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</si>
  <si>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</si>
  <si>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</si>
  <si>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</si>
  <si>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Cash, Cash &amp; Equivalent</t>
  </si>
  <si>
    <t>Total Debt</t>
  </si>
  <si>
    <t>Using CAPM = k = Rf + ( Beta * Premium )</t>
  </si>
  <si>
    <t>Intrinsic Value = V0 = [ E(D1) + E (P1)] / (1+k)</t>
  </si>
  <si>
    <t>D1=</t>
  </si>
  <si>
    <t>Beta =</t>
  </si>
  <si>
    <t>SUMMARY CASH FLOW ST.</t>
  </si>
  <si>
    <t>Exp (P1)=</t>
  </si>
  <si>
    <t>Market Return (Rf + Premium)=</t>
  </si>
  <si>
    <t>k=</t>
  </si>
  <si>
    <t>Capex</t>
  </si>
  <si>
    <t>Expected Equity Return using CAPM=</t>
  </si>
  <si>
    <t>Deprec. &amp; Amort.</t>
  </si>
  <si>
    <t>OPERATING ASSUMPTIONS</t>
  </si>
  <si>
    <t>AVERAGE</t>
  </si>
  <si>
    <t>Constant-Growth DDM (Gordon Model) V0 = D1 / (k-g)</t>
  </si>
  <si>
    <t>Expected HPR = E 9r) = [E (d1) + (E(p1) - P0) / P0</t>
  </si>
  <si>
    <t>Revenue Growth %</t>
  </si>
  <si>
    <t>D1 =</t>
  </si>
  <si>
    <t>Dividend (d1)</t>
  </si>
  <si>
    <t>COGS % of Revenue</t>
  </si>
  <si>
    <t>Expected Equity Return (k)=</t>
  </si>
  <si>
    <t>P1 = P0+D</t>
  </si>
  <si>
    <t>Oper. Expense % of Revenue</t>
  </si>
  <si>
    <t>Expected Growth (g) =</t>
  </si>
  <si>
    <t>P0</t>
  </si>
  <si>
    <t>Depreciation % Revenue</t>
  </si>
  <si>
    <t>Exp. HPR=</t>
  </si>
  <si>
    <t>Capex % Revenue</t>
  </si>
  <si>
    <t>Equity Value
 ($000)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</si>
  <si>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</si>
  <si>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</si>
  <si>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</si>
  <si>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</si>
  <si>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</si>
  <si>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</si>
  <si>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</si>
  <si>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</si>
  <si>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Average</t>
  </si>
  <si>
    <t>Hyatt's Enteprise Value</t>
  </si>
  <si>
    <t>METHOD #5 - Using Averge EBITDA Transaction Multiples (M&amp;A Comparable Method)</t>
  </si>
  <si>
    <t xml:space="preserve">Target </t>
  </si>
  <si>
    <t>Acquirer</t>
  </si>
  <si>
    <t>Acquisition Price /Share</t>
  </si>
  <si>
    <t>Equity Value ($mm)</t>
  </si>
  <si>
    <t>Total Net Debt ($mm)</t>
  </si>
  <si>
    <t>Enterprise Value (EV)</t>
  </si>
  <si>
    <t>EBITDA (last reported)</t>
  </si>
  <si>
    <t>Blackstone Group</t>
  </si>
  <si>
    <t>Four Seasons*</t>
  </si>
  <si>
    <t>Kingtom Hotels Int'l</t>
  </si>
  <si>
    <t>Fairmont/Rafles</t>
  </si>
  <si>
    <t>Hilton International</t>
  </si>
  <si>
    <t>Hilton Hotels Corp.</t>
  </si>
  <si>
    <t>Starwood Hotels</t>
  </si>
  <si>
    <t>Host Marriott</t>
  </si>
  <si>
    <t>Wynham Int'l</t>
  </si>
  <si>
    <t>JQH Acquisition LLC</t>
  </si>
  <si>
    <t>Boca Resorts</t>
  </si>
  <si>
    <t>Prime Hospitality</t>
  </si>
  <si>
    <t>Extended Stay</t>
  </si>
  <si>
    <t>Haytt's Enteprise Value</t>
  </si>
  <si>
    <t xml:space="preserve">  year =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</si>
  <si>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</si>
  <si>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</si>
  <si>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</si>
  <si>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</si>
  <si>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</si>
  <si>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</si>
  <si>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</si>
  <si>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</si>
  <si>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</si>
  <si>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</si>
  <si>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</si>
  <si>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</si>
  <si>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</si>
  <si>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</si>
  <si>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</si>
  <si>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</si>
  <si>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</si>
  <si>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</si>
  <si>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</si>
  <si>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Interest</t>
  </si>
  <si>
    <t>Risk Free Rate (5 year)</t>
  </si>
  <si>
    <t>Premium based on MC =</t>
  </si>
  <si>
    <t>Rate</t>
  </si>
  <si>
    <t>Hyatt Beta =</t>
  </si>
  <si>
    <t>Expected Equity Return =</t>
  </si>
  <si>
    <t>WACC Calc:</t>
  </si>
  <si>
    <t xml:space="preserve">  % Cap</t>
  </si>
  <si>
    <t xml:space="preserve"> AT RoR</t>
  </si>
  <si>
    <t>WACC</t>
  </si>
  <si>
    <t>Dec 31</t>
  </si>
  <si>
    <t>Financial Analysis</t>
  </si>
  <si>
    <t>EBIT (operating)</t>
  </si>
  <si>
    <t xml:space="preserve">Interest </t>
  </si>
  <si>
    <t>Other non-oper. Income</t>
  </si>
  <si>
    <t>EBT (operating)</t>
  </si>
  <si>
    <t>Taxes</t>
  </si>
  <si>
    <t>Cost of Revenue as % of Revenue</t>
  </si>
  <si>
    <t>Operating Expense as % of Revenues</t>
  </si>
  <si>
    <t>Working Capital as % of Revenues</t>
  </si>
  <si>
    <t>Working Capital</t>
  </si>
  <si>
    <t xml:space="preserve"> Debt Reapayment $</t>
  </si>
  <si>
    <t>Projection Analysis</t>
  </si>
  <si>
    <t xml:space="preserve">  Gross profit</t>
  </si>
  <si>
    <t>HISTORICAL</t>
  </si>
  <si>
    <t>PROJECTED</t>
  </si>
  <si>
    <t>Financial Statement Date:</t>
  </si>
  <si>
    <t>Comments</t>
  </si>
  <si>
    <t>Sell</t>
  </si>
  <si>
    <t>Date</t>
  </si>
  <si>
    <t>Open</t>
  </si>
  <si>
    <t>High</t>
  </si>
  <si>
    <t>Low</t>
  </si>
  <si>
    <t>Close</t>
  </si>
  <si>
    <t xml:space="preserve"> % Change</t>
  </si>
  <si>
    <t>Standard Deviation</t>
  </si>
  <si>
    <t>Historical Graph</t>
  </si>
  <si>
    <t>Beta Calculation</t>
  </si>
  <si>
    <t>S&amp;P</t>
  </si>
  <si>
    <t>X</t>
  </si>
  <si>
    <t>Y</t>
  </si>
  <si>
    <t>X-Avg (X)</t>
  </si>
  <si>
    <t>Y-Avg(y)</t>
  </si>
  <si>
    <t xml:space="preserve"> x^2</t>
  </si>
  <si>
    <t>[y-Avg(y)][x-Avg(x)]</t>
  </si>
  <si>
    <t>Total</t>
  </si>
  <si>
    <t>Cum Change%</t>
  </si>
  <si>
    <t>Graph Comparison</t>
  </si>
  <si>
    <t>Cummulative Weekly Change</t>
  </si>
  <si>
    <t>HISTORICAL PRICE STOCK ANALYSIS</t>
  </si>
  <si>
    <t>VALUATION ANALYSIS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</si>
  <si>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</si>
  <si>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</si>
  <si>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</si>
  <si>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</si>
  <si>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</si>
  <si>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</si>
  <si>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</si>
  <si>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</si>
  <si>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DepreciationAmortizationDepletionIncomeStatement</t>
  </si>
  <si>
    <t xml:space="preserve">		DepreciationAndAmortizationInIncomeStatement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</si>
  <si>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</si>
  <si>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</si>
  <si>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</si>
  <si>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</si>
  <si>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</si>
  <si>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</si>
  <si>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GainOnSaleOfSecurity</t>
  </si>
  <si>
    <t xml:space="preserve">	EarningsFromEquityInterest</t>
  </si>
  <si>
    <t xml:space="preserve">	SpecialIncomeCharges</t>
  </si>
  <si>
    <t xml:space="preserve">		RestructuringAndMergernAcquisition</t>
  </si>
  <si>
    <t xml:space="preserve">		ImpairmentOfCapitalAssets</t>
  </si>
  <si>
    <t xml:space="preserve">		WriteOff</t>
  </si>
  <si>
    <t xml:space="preserve">		OtherSpecialCharges</t>
  </si>
  <si>
    <t xml:space="preserve">		GainOnSaleOfPPE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</si>
  <si>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</si>
  <si>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</si>
  <si>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</si>
  <si>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</si>
  <si>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</si>
  <si>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</si>
  <si>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</si>
  <si>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		NetIncomeDiscontinuousOperations</t>
  </si>
  <si>
    <t xml:space="preserve">			NetIncomeExtraordinary</t>
  </si>
  <si>
    <t xml:space="preserve">			NetIncomeFromTaxLossCarryforward</t>
  </si>
  <si>
    <t xml:space="preserve">		MinorityInterests</t>
  </si>
  <si>
    <t>DilutedNIAvailtoComStockholders</t>
  </si>
  <si>
    <t>BasicEPS</t>
  </si>
  <si>
    <t>DilutedEPS</t>
  </si>
  <si>
    <t>BasicAverageShares</t>
  </si>
  <si>
    <t>DilutedAverageShares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</si>
  <si>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</si>
  <si>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</si>
  <si>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</si>
  <si>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</si>
  <si>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</si>
  <si>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</si>
  <si>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</si>
  <si>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</si>
  <si>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</si>
  <si>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</si>
  <si>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</si>
  <si>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</si>
  <si>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</si>
  <si>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</si>
  <si>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</si>
  <si>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</si>
  <si>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</si>
  <si>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</si>
  <si>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</si>
  <si>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</si>
  <si>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</si>
  <si>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</si>
  <si>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	GrossAccountsReceivable</t>
  </si>
  <si>
    <t xml:space="preserve">				AllowanceForDoubtfulAccountsReceivable</t>
  </si>
  <si>
    <t xml:space="preserve">		Inventory</t>
  </si>
  <si>
    <t xml:space="preserve">		PrepaidAssets</t>
  </si>
  <si>
    <t xml:space="preserve">		RestrictedCash</t>
  </si>
  <si>
    <t xml:space="preserve">		CurrentDeferredAssets</t>
  </si>
  <si>
    <t xml:space="preserve">			CurrentDeferredTaxesAssets</t>
  </si>
  <si>
    <t xml:space="preserve">		AssetsHeldForSaleCurrent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</si>
  <si>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</si>
  <si>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</si>
  <si>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</si>
  <si>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</si>
  <si>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</si>
  <si>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</si>
  <si>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</si>
  <si>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</si>
  <si>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</si>
  <si>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</si>
  <si>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	Leases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</si>
  <si>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</si>
  <si>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</si>
  <si>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</si>
  <si>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</si>
  <si>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InvestmentsAndAdvances</t>
  </si>
  <si>
    <t xml:space="preserve">			LongTermEquityInvestment</t>
  </si>
  <si>
    <t xml:space="preserve">			InvestmentinFinancialAssets</t>
  </si>
  <si>
    <t xml:space="preserve">				AvailableForSaleSecurities</t>
  </si>
  <si>
    <t xml:space="preserve">			OtherInvestments</t>
  </si>
  <si>
    <t xml:space="preserve">		NonCurrentAccountsReceivable</t>
  </si>
  <si>
    <t xml:space="preserve">		NonCurrentNoteReceivables</t>
  </si>
  <si>
    <t xml:space="preserve">		NonCurrentDeferredAssets</t>
  </si>
  <si>
    <t xml:space="preserve">			NonCurrentDeferredTaxesAssets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</si>
  <si>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</si>
  <si>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</si>
  <si>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</si>
  <si>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</si>
  <si>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</si>
  <si>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</si>
  <si>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</si>
  <si>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</si>
  <si>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</si>
  <si>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</si>
  <si>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</si>
  <si>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</si>
  <si>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	OtherCurrentBorrowings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</si>
  <si>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</si>
  <si>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</si>
  <si>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</si>
  <si>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</si>
  <si>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</si>
  <si>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LongTermProvisions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</si>
  <si>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</si>
  <si>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</si>
  <si>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</si>
  <si>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</si>
  <si>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</si>
  <si>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 xml:space="preserve">			NonCurrentDeferredRevenue</t>
  </si>
  <si>
    <t xml:space="preserve">		TradeandOtherPayablesNonCurrent</t>
  </si>
  <si>
    <t xml:space="preserve">		EmployeeBenefits</t>
  </si>
  <si>
    <t xml:space="preserve">			NonCurrentPensionAndOtherPostretirementBenefitPlans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</si>
  <si>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</si>
  <si>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</si>
  <si>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</si>
  <si>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</si>
  <si>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PreferredStock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</si>
  <si>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</si>
  <si>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</si>
  <si>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</si>
  <si>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</si>
  <si>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</si>
  <si>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 xml:space="preserve">			OtherEquityAdjustments</t>
  </si>
  <si>
    <t xml:space="preserve">	MinorityInterest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</si>
  <si>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</si>
  <si>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</si>
  <si>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</si>
  <si>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</si>
  <si>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</si>
  <si>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</si>
  <si>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</si>
  <si>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</si>
  <si>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</si>
  <si>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</si>
  <si>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</si>
  <si>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</si>
  <si>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</si>
  <si>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</si>
  <si>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</si>
  <si>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</si>
  <si>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GainLossOnSaleOfBusiness</t>
  </si>
  <si>
    <t xml:space="preserve">			GainLossOnSaleOfPPE</t>
  </si>
  <si>
    <t xml:space="preserve">			NetForeignCurrencyExchangeGainLoss</t>
  </si>
  <si>
    <t xml:space="preserve">			GainLossOnInvestmentSecurities</t>
  </si>
  <si>
    <t xml:space="preserve">			EarningsLossesFromEquityInvestments</t>
  </si>
  <si>
    <t xml:space="preserve">		DepreciationAmortizationDepletion</t>
  </si>
  <si>
    <t xml:space="preserve">			DepreciationAndAmortization</t>
  </si>
  <si>
    <t xml:space="preserve">				Depreciation</t>
  </si>
  <si>
    <t xml:space="preserve">		DeferredTax</t>
  </si>
  <si>
    <t xml:space="preserve">			DeferredIncomeTax</t>
  </si>
  <si>
    <t xml:space="preserve">		AssetImpairmentCharge</t>
  </si>
  <si>
    <t xml:space="preserve">		ProvisionandWriteOffofAssets</t>
  </si>
  <si>
    <t xml:space="preserve">		UnrealizedGainLossOnInvestmentSecurities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</si>
  <si>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</si>
  <si>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</si>
  <si>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</si>
  <si>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</si>
  <si>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</si>
  <si>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</si>
  <si>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</si>
  <si>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</si>
  <si>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</si>
  <si>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</si>
  <si>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</si>
  <si>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</si>
  <si>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 xml:space="preserve">		DividendReceivedCFO</t>
  </si>
  <si>
    <t xml:space="preserve">	CashFromDiscontinuedOperatingActivities</t>
  </si>
  <si>
    <t>InvestingCashFlow</t>
  </si>
  <si>
    <t xml:space="preserve">	CashFlowFromContinuingInvestingActivities</t>
  </si>
  <si>
    <t xml:space="preserve">		CapitalExpenditureReported</t>
  </si>
  <si>
    <t xml:space="preserve">		NetPPEPurchaseAndSale</t>
  </si>
  <si>
    <t xml:space="preserve">			PurchaseOfPPE</t>
  </si>
  <si>
    <t xml:space="preserve">			SaleOfPPE</t>
  </si>
  <si>
    <t xml:space="preserve">		NetIntangiblesPurchaseAndSale</t>
  </si>
  <si>
    <t xml:space="preserve">			SaleOfIntangibles</t>
  </si>
  <si>
    <t xml:space="preserve">		NetBusinessPurchaseAndSale</t>
  </si>
  <si>
    <t xml:space="preserve">			PurchaseOfBusiness</t>
  </si>
  <si>
    <t xml:space="preserve">			SaleOfBusiness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</si>
  <si>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</si>
  <si>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</si>
  <si>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</si>
  <si>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</si>
  <si>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 xml:space="preserve">	CashFromDiscontinuedInvestingActivities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</si>
  <si>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</si>
  <si>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</si>
  <si>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</si>
  <si>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</si>
  <si>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</si>
  <si>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</si>
  <si>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</si>
  <si>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</si>
  <si>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		ShortTermDebtPayments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</si>
  <si>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</si>
  <si>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</si>
  <si>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</si>
  <si>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NetPreferredStockIssuance</t>
  </si>
  <si>
    <t xml:space="preserve">			PreferredStockIssuance</t>
  </si>
  <si>
    <t xml:space="preserve">		CashDividendsPaid</t>
  </si>
  <si>
    <t xml:space="preserve">			CommonStockDividendPaid</t>
  </si>
  <si>
    <t xml:space="preserve">		NetOtherFinancingCharges</t>
  </si>
  <si>
    <t>CashFlowFromDiscontinuedOperation</t>
  </si>
  <si>
    <t>EndCashPosition</t>
  </si>
  <si>
    <t xml:space="preserve">	ChangesInCash</t>
  </si>
  <si>
    <t xml:space="preserve">	EffectOfExchangeRateChanges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</si>
  <si>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</si>
  <si>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</si>
  <si>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</si>
  <si>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</si>
  <si>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</si>
  <si>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</si>
  <si>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</si>
  <si>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</si>
  <si>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</si>
  <si>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 xml:space="preserve"> Depreciation</t>
  </si>
  <si>
    <t>Covid</t>
  </si>
  <si>
    <t xml:space="preserve"> Stock Val=</t>
  </si>
  <si>
    <t>Stock Val=</t>
  </si>
  <si>
    <t>Stock Val =</t>
  </si>
  <si>
    <t>Less Working Capital</t>
  </si>
  <si>
    <t>Amount</t>
  </si>
  <si>
    <t xml:space="preserve">HISTORICAL </t>
  </si>
  <si>
    <t>Avg Debt</t>
  </si>
  <si>
    <t>RoR</t>
  </si>
  <si>
    <t>Marriott Hotels</t>
  </si>
  <si>
    <t>Extended Stay America</t>
  </si>
  <si>
    <t>Adj Close</t>
  </si>
  <si>
    <t>SUMMARY CASH FLOW ANALYSIS</t>
  </si>
  <si>
    <t>Cum Change %</t>
  </si>
  <si>
    <t xml:space="preserve"> Working Capital Activities</t>
  </si>
  <si>
    <t>Working Capital used pre-covid % of revenue (before 2020)</t>
  </si>
  <si>
    <t>Market Premium=</t>
  </si>
  <si>
    <t>STD</t>
  </si>
  <si>
    <t>LTD</t>
  </si>
  <si>
    <t>Volume</t>
  </si>
  <si>
    <t>Hyatt Hotels (5-yr Monthly)</t>
  </si>
  <si>
    <t>MV Equity</t>
  </si>
  <si>
    <t xml:space="preserve">Stock Price  </t>
  </si>
  <si>
    <t>Dec 32</t>
  </si>
  <si>
    <t>Dec 33</t>
  </si>
  <si>
    <t>Dec 34</t>
  </si>
  <si>
    <t>Expenses used Revenue average (before 2020)</t>
  </si>
  <si>
    <t xml:space="preserve">Capex used average % of revenue </t>
  </si>
  <si>
    <t>Depreciation used average % of reveue</t>
  </si>
  <si>
    <t>Exit year's EBITDA x Trading Multiple</t>
  </si>
  <si>
    <t>Next Year's CF / (WACC - growth)</t>
  </si>
  <si>
    <t>Total Cap</t>
  </si>
  <si>
    <t>Prepaid Expenses</t>
  </si>
  <si>
    <t>Restricted Cash</t>
  </si>
  <si>
    <t xml:space="preserve">  Plugline</t>
  </si>
  <si>
    <t>Other Currenbt Liabilities</t>
  </si>
  <si>
    <t>plugline</t>
  </si>
  <si>
    <t>Other Non-current Liabilities</t>
  </si>
  <si>
    <t xml:space="preserve">Other Equity </t>
  </si>
  <si>
    <t>Minority Interest</t>
  </si>
  <si>
    <t>BALANCE SHEET STATEMENT</t>
  </si>
  <si>
    <t>LTM EBITDA is already higher than pre-covid 2019 levels</t>
  </si>
  <si>
    <t>Risk Free (10-year Tresury) =</t>
  </si>
  <si>
    <t>Pre-covid Expected</t>
  </si>
  <si>
    <t>Average (less outliers)</t>
  </si>
  <si>
    <t>EBITDA * Average Multiple (Hilton, Marriott)</t>
  </si>
  <si>
    <t>Using LTM EBITDA=</t>
  </si>
  <si>
    <t>CoR used Revenue average (before 2020)</t>
  </si>
  <si>
    <t>S&amp;P 500 ETF (SPY)</t>
  </si>
  <si>
    <t>WACC (Firm Valuation Discount Rate)</t>
  </si>
  <si>
    <t>CAPM (Equity Valuation Discount Rate)</t>
  </si>
  <si>
    <t xml:space="preserve">Cost of Debt Calculation </t>
  </si>
  <si>
    <t>Cost of Equity Calculation</t>
  </si>
  <si>
    <t>Recom.</t>
  </si>
  <si>
    <t>(-10%/
+10%)</t>
  </si>
  <si>
    <t>DCF</t>
  </si>
  <si>
    <t>1 . Stream of Cash Flow (6-yers)</t>
  </si>
  <si>
    <t>2. Exit Year</t>
  </si>
  <si>
    <t>3. Terminal Exit</t>
  </si>
  <si>
    <t>4. Discount Rate</t>
  </si>
  <si>
    <t xml:space="preserve"> CAPM</t>
  </si>
  <si>
    <t>PV = FV / (1+i)^t</t>
  </si>
  <si>
    <t>Hyatt's EquityValue</t>
  </si>
  <si>
    <t>EBITDA * Average Multiple Industry</t>
  </si>
  <si>
    <t xml:space="preserve">     Method #4 using direct Competitors EBITDA x</t>
  </si>
  <si>
    <t>WH</t>
  </si>
  <si>
    <t>(Avg Target by Analysts for 12/23)</t>
  </si>
  <si>
    <t>Stock Price</t>
  </si>
  <si>
    <t>Cash
 ($000)</t>
  </si>
  <si>
    <t>EBITDA 
($000)</t>
  </si>
  <si>
    <t xml:space="preserve">                    = NPV(CAPM,CF1,CF2,CF3,CF4,CF5)</t>
  </si>
  <si>
    <t>Premium</t>
  </si>
  <si>
    <t>WoodSpring Suites (spin-off Choie Hotels)</t>
  </si>
  <si>
    <t>Private</t>
  </si>
  <si>
    <t xml:space="preserve"> Estimated Debt Repayment % starting 06/2023 outstanding Debt</t>
  </si>
  <si>
    <t>Dec 35</t>
  </si>
  <si>
    <t>Dec 36</t>
  </si>
  <si>
    <t>Normalized growth rates (7%) starting 2023</t>
  </si>
  <si>
    <t>Wyndham Hotel &amp; Resorts</t>
  </si>
  <si>
    <t>Choice Hotels</t>
  </si>
  <si>
    <t>Sep 30</t>
  </si>
  <si>
    <t>Hilton</t>
  </si>
  <si>
    <t>Marriot</t>
  </si>
  <si>
    <t>Marcus</t>
  </si>
  <si>
    <t>Wyndham</t>
  </si>
  <si>
    <t>Park Hotel Resorts</t>
  </si>
  <si>
    <t>Stock</t>
  </si>
  <si>
    <t>Outstanding</t>
  </si>
  <si>
    <t>EV (mm)</t>
  </si>
  <si>
    <t>EBITDA (mm)</t>
  </si>
  <si>
    <t>Debt (mm)</t>
  </si>
  <si>
    <t>Cash (mm)</t>
  </si>
  <si>
    <t>EV/EBITDA</t>
  </si>
  <si>
    <t>MC (mm)</t>
  </si>
  <si>
    <t>https://finance.yahoo.com/quote/H/analysis</t>
  </si>
  <si>
    <t>Source:</t>
  </si>
  <si>
    <t>METHOD #7 - Leveraged Buyout (LBO) Valuation Analysis</t>
  </si>
  <si>
    <t>Bank Debt</t>
  </si>
  <si>
    <t>Corporate Bonds</t>
  </si>
  <si>
    <t>Equity</t>
  </si>
  <si>
    <t>Debt Capacity</t>
  </si>
  <si>
    <t xml:space="preserve">  Total Debt</t>
  </si>
  <si>
    <t>LBO Transaction Sources</t>
  </si>
  <si>
    <t>LBO Transaction Uses</t>
  </si>
  <si>
    <t>Purchase Common Stock</t>
  </si>
  <si>
    <t>Refinancing Total Debt</t>
  </si>
  <si>
    <t>Fees &amp; Expesnes</t>
  </si>
  <si>
    <t>Price</t>
  </si>
  <si>
    <t xml:space="preserve"> Amount $</t>
  </si>
  <si>
    <t>% cap</t>
  </si>
  <si>
    <t>Plus Interest</t>
  </si>
  <si>
    <t xml:space="preserve">Debt </t>
  </si>
  <si>
    <t>Improvements</t>
  </si>
  <si>
    <t xml:space="preserve">  Operating Expenses</t>
  </si>
  <si>
    <t>Target</t>
  </si>
  <si>
    <t>IRR</t>
  </si>
  <si>
    <t>Debt 
(ST&amp;LT)
($000)</t>
  </si>
  <si>
    <t>METHOD #7 - LBO Cash Flow Valuation Analysis</t>
  </si>
  <si>
    <t>Equity Unlevered</t>
  </si>
  <si>
    <t>Less Interest</t>
  </si>
  <si>
    <t>Less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</si>
</sst>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%"/>
    <numFmt numFmtId="166" formatCode="0.0\x"/>
    <numFmt numFmtId="167" formatCode="#,#00.00"/>
    <numFmt numFmtId="168" formatCode="_(* #,##0_);_(* \(#,##0\);_(* &quot;-&quot;??_);_(@_)"/>
    <numFmt numFmtId="169" formatCode="_(* #,##0.000_);_(* \(#,##0.000\);_(* &quot;-&quot;??_);_(@_)"/>
    <numFmt numFmtId="170" formatCode="0.00\x"/>
    <numFmt numFmtId="171" formatCode="_(&quot;$&quot;* #,##0_);_(&quot;$&quot;* \(#,##0\);_(&quot;$&quot;* &quot;-&quot;??_);_(@_)"/>
    <numFmt numFmtId="172" formatCode="0.0000%"/>
    <numFmt numFmtId="173" formatCode="_(* #,##0.0000_);_(* \(#,##0.0000\);_(* &quot;-&quot;??_);_(@_)"/>
    <numFmt numFmtId="174" formatCode="0.000%"/>
    <numFmt numFmtId="175" formatCode="[$-409]mmmm\-yy;@"/>
    <numFmt numFmtId="176" formatCode="_(* #,##0.0_);_(* \(#,##0.0\);_(* &quot;-&quot;??_);_(@_)"/>
    <numFmt numFmtId="177" formatCode="&quot;$&quot;#,##0.0_);[Red]\(&quot;$&quot;#,##0.0\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&amp;quot"/>
    </font>
    <font>
      <sz val="9"/>
      <color rgb="FF000000"/>
      <name val="Times New Roman"/>
      <family val="1"/>
    </font>
    <font>
      <sz val="9"/>
      <color rgb="FF000000"/>
      <name val="&amp;quot"/>
    </font>
    <font>
      <sz val="9"/>
      <name val="Arial"/>
      <family val="2"/>
    </font>
    <font>
      <b/>
      <u/>
      <sz val="9"/>
      <color rgb="FF000000"/>
      <name val="Times New Roman"/>
      <family val="1"/>
    </font>
    <font>
      <sz val="10"/>
      <name val="Calibri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66F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66FF"/>
      <name val="Arial"/>
      <family val="2"/>
    </font>
    <font>
      <sz val="10"/>
      <color rgb="FF0066FF"/>
      <name val="Arial"/>
      <family val="2"/>
    </font>
    <font>
      <i/>
      <sz val="9"/>
      <color rgb="FF000000"/>
      <name val="Times New Roman"/>
      <family val="1"/>
    </font>
    <font>
      <i/>
      <sz val="9"/>
      <color rgb="FF000000"/>
      <name val="&amp;quot"/>
    </font>
    <font>
      <i/>
      <sz val="9"/>
      <name val="Arial"/>
      <family val="2"/>
    </font>
    <font>
      <i/>
      <sz val="10"/>
      <color rgb="FF0066FF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rgb="FF0066FF"/>
      <name val="Arial"/>
      <family val="2"/>
    </font>
    <font>
      <u/>
      <sz val="11"/>
      <color rgb="FF0066FF"/>
      <name val="Calibri"/>
      <family val="2"/>
      <scheme val="minor"/>
    </font>
    <font>
      <b/>
      <sz val="10"/>
      <color rgb="FF0066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1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/>
    </xf>
    <xf numFmtId="164" fontId="4" fillId="0" borderId="0" xfId="0" applyNumberFormat="1" applyFont="1"/>
    <xf numFmtId="0" fontId="13" fillId="0" borderId="0" xfId="0" applyFont="1" applyAlignment="1">
      <alignment horizontal="left" vertical="center"/>
    </xf>
    <xf numFmtId="164" fontId="12" fillId="0" borderId="4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12" fillId="0" borderId="0" xfId="0" applyNumberFormat="1" applyFont="1"/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2" fillId="0" borderId="0" xfId="3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3" borderId="0" xfId="0" applyFont="1" applyFill="1"/>
    <xf numFmtId="0" fontId="2" fillId="3" borderId="12" xfId="0" applyFont="1" applyFill="1" applyBorder="1" applyAlignment="1">
      <alignment horizontal="center" vertical="center"/>
    </xf>
    <xf numFmtId="14" fontId="2" fillId="3" borderId="0" xfId="0" applyNumberFormat="1" applyFont="1" applyFill="1"/>
    <xf numFmtId="0" fontId="6" fillId="4" borderId="1" xfId="0" quotePrefix="1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21" fillId="0" borderId="0" xfId="1" applyNumberFormat="1" applyFont="1"/>
    <xf numFmtId="168" fontId="0" fillId="0" borderId="2" xfId="0" applyNumberFormat="1" applyBorder="1"/>
    <xf numFmtId="168" fontId="0" fillId="0" borderId="19" xfId="0" applyNumberFormat="1" applyBorder="1"/>
    <xf numFmtId="168" fontId="0" fillId="0" borderId="0" xfId="1" applyNumberFormat="1" applyFont="1"/>
    <xf numFmtId="168" fontId="0" fillId="0" borderId="0" xfId="0" applyNumberFormat="1"/>
    <xf numFmtId="0" fontId="6" fillId="0" borderId="0" xfId="0" applyFont="1"/>
    <xf numFmtId="44" fontId="0" fillId="0" borderId="0" xfId="2" applyFont="1"/>
    <xf numFmtId="0" fontId="0" fillId="0" borderId="12" xfId="0" applyBorder="1"/>
    <xf numFmtId="168" fontId="0" fillId="0" borderId="12" xfId="1" applyNumberFormat="1" applyFont="1" applyBorder="1"/>
    <xf numFmtId="0" fontId="0" fillId="0" borderId="2" xfId="0" applyBorder="1"/>
    <xf numFmtId="168" fontId="0" fillId="0" borderId="17" xfId="1" applyNumberFormat="1" applyFont="1" applyBorder="1"/>
    <xf numFmtId="168" fontId="0" fillId="0" borderId="2" xfId="1" applyNumberFormat="1" applyFont="1" applyBorder="1"/>
    <xf numFmtId="10" fontId="0" fillId="0" borderId="0" xfId="0" applyNumberFormat="1"/>
    <xf numFmtId="10" fontId="0" fillId="0" borderId="0" xfId="3" applyNumberFormat="1" applyFont="1"/>
    <xf numFmtId="170" fontId="22" fillId="0" borderId="0" xfId="0" applyNumberFormat="1" applyFont="1"/>
    <xf numFmtId="170" fontId="23" fillId="0" borderId="0" xfId="0" applyNumberFormat="1" applyFont="1"/>
    <xf numFmtId="0" fontId="22" fillId="0" borderId="0" xfId="0" applyFont="1"/>
    <xf numFmtId="0" fontId="2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quotePrefix="1" applyFont="1" applyAlignment="1">
      <alignment shrinkToFit="1"/>
    </xf>
    <xf numFmtId="0" fontId="0" fillId="0" borderId="0" xfId="0" applyAlignment="1">
      <alignment horizontal="right"/>
    </xf>
    <xf numFmtId="164" fontId="7" fillId="0" borderId="0" xfId="0" applyNumberFormat="1" applyFont="1"/>
    <xf numFmtId="168" fontId="1" fillId="0" borderId="0" xfId="1" applyNumberFormat="1" applyFont="1"/>
    <xf numFmtId="168" fontId="0" fillId="0" borderId="3" xfId="0" applyNumberFormat="1" applyBorder="1"/>
    <xf numFmtId="168" fontId="0" fillId="0" borderId="19" xfId="1" applyNumberFormat="1" applyFont="1" applyBorder="1"/>
    <xf numFmtId="168" fontId="1" fillId="0" borderId="0" xfId="1" applyNumberFormat="1" applyFont="1" applyBorder="1"/>
    <xf numFmtId="14" fontId="0" fillId="0" borderId="0" xfId="0" applyNumberFormat="1"/>
    <xf numFmtId="168" fontId="4" fillId="0" borderId="0" xfId="1" applyNumberFormat="1" applyFont="1"/>
    <xf numFmtId="168" fontId="32" fillId="0" borderId="0" xfId="1" applyNumberFormat="1" applyFont="1"/>
    <xf numFmtId="0" fontId="0" fillId="0" borderId="47" xfId="0" applyBorder="1"/>
    <xf numFmtId="168" fontId="1" fillId="0" borderId="12" xfId="1" applyNumberFormat="1" applyFont="1" applyBorder="1"/>
    <xf numFmtId="168" fontId="1" fillId="0" borderId="17" xfId="0" applyNumberFormat="1" applyFont="1" applyBorder="1"/>
    <xf numFmtId="168" fontId="1" fillId="0" borderId="45" xfId="1" applyNumberFormat="1" applyFont="1" applyBorder="1"/>
    <xf numFmtId="168" fontId="1" fillId="0" borderId="25" xfId="0" applyNumberFormat="1" applyFont="1" applyBorder="1"/>
    <xf numFmtId="168" fontId="1" fillId="0" borderId="12" xfId="0" applyNumberFormat="1" applyFont="1" applyBorder="1"/>
    <xf numFmtId="168" fontId="1" fillId="0" borderId="25" xfId="1" applyNumberFormat="1" applyFont="1" applyBorder="1"/>
    <xf numFmtId="0" fontId="1" fillId="0" borderId="12" xfId="0" applyFont="1" applyBorder="1"/>
    <xf numFmtId="165" fontId="0" fillId="0" borderId="0" xfId="0" applyNumberFormat="1"/>
    <xf numFmtId="165" fontId="32" fillId="0" borderId="0" xfId="0" applyNumberFormat="1" applyFont="1"/>
    <xf numFmtId="0" fontId="34" fillId="0" borderId="0" xfId="0" applyFont="1"/>
    <xf numFmtId="0" fontId="35" fillId="0" borderId="0" xfId="0" applyFont="1"/>
    <xf numFmtId="168" fontId="35" fillId="0" borderId="0" xfId="1" applyNumberFormat="1" applyFont="1"/>
    <xf numFmtId="43" fontId="0" fillId="0" borderId="0" xfId="1" applyFont="1"/>
    <xf numFmtId="168" fontId="12" fillId="0" borderId="5" xfId="1" applyNumberFormat="1" applyFont="1" applyBorder="1" applyAlignment="1">
      <alignment horizontal="right"/>
    </xf>
    <xf numFmtId="168" fontId="11" fillId="0" borderId="4" xfId="1" applyNumberFormat="1" applyFont="1" applyBorder="1" applyAlignment="1">
      <alignment horizontal="right" vertical="center" wrapText="1"/>
    </xf>
    <xf numFmtId="168" fontId="11" fillId="0" borderId="0" xfId="1" applyNumberFormat="1" applyFont="1" applyBorder="1" applyAlignment="1">
      <alignment horizontal="right" vertical="center" wrapText="1"/>
    </xf>
    <xf numFmtId="168" fontId="12" fillId="0" borderId="0" xfId="1" applyNumberFormat="1" applyFont="1" applyAlignment="1">
      <alignment horizontal="right"/>
    </xf>
    <xf numFmtId="168" fontId="12" fillId="0" borderId="2" xfId="1" applyNumberFormat="1" applyFont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168" fontId="11" fillId="0" borderId="2" xfId="1" applyNumberFormat="1" applyFont="1" applyBorder="1" applyAlignment="1">
      <alignment horizontal="right" vertical="center" wrapText="1"/>
    </xf>
    <xf numFmtId="168" fontId="9" fillId="0" borderId="0" xfId="1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165" fontId="38" fillId="0" borderId="0" xfId="3" applyNumberFormat="1" applyFont="1" applyBorder="1" applyAlignment="1">
      <alignment horizontal="right"/>
    </xf>
    <xf numFmtId="168" fontId="7" fillId="0" borderId="5" xfId="1" applyNumberFormat="1" applyFont="1" applyBorder="1" applyAlignment="1">
      <alignment horizontal="righ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0" fontId="39" fillId="0" borderId="0" xfId="0" applyFont="1"/>
    <xf numFmtId="165" fontId="0" fillId="0" borderId="0" xfId="3" applyNumberFormat="1" applyFont="1" applyAlignment="1">
      <alignment horizontal="center"/>
    </xf>
    <xf numFmtId="0" fontId="41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right"/>
    </xf>
    <xf numFmtId="165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 vertical="center"/>
    </xf>
    <xf numFmtId="43" fontId="1" fillId="0" borderId="0" xfId="1" applyFont="1" applyAlignment="1">
      <alignment horizontal="center"/>
    </xf>
    <xf numFmtId="10" fontId="0" fillId="0" borderId="23" xfId="3" applyNumberFormat="1" applyFont="1" applyBorder="1" applyAlignment="1">
      <alignment horizontal="center"/>
    </xf>
    <xf numFmtId="10" fontId="0" fillId="0" borderId="24" xfId="3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72" fontId="0" fillId="0" borderId="0" xfId="3" applyNumberFormat="1" applyFont="1"/>
    <xf numFmtId="172" fontId="0" fillId="0" borderId="2" xfId="0" applyNumberFormat="1" applyBorder="1"/>
    <xf numFmtId="173" fontId="3" fillId="6" borderId="0" xfId="1" applyNumberFormat="1" applyFont="1" applyFill="1" applyBorder="1"/>
    <xf numFmtId="0" fontId="27" fillId="0" borderId="0" xfId="0" applyFont="1"/>
    <xf numFmtId="4" fontId="0" fillId="0" borderId="0" xfId="0" applyNumberFormat="1"/>
    <xf numFmtId="165" fontId="12" fillId="0" borderId="0" xfId="3" applyNumberFormat="1" applyFont="1" applyFill="1" applyAlignment="1">
      <alignment horizontal="right"/>
    </xf>
    <xf numFmtId="165" fontId="12" fillId="7" borderId="0" xfId="3" applyNumberFormat="1" applyFont="1" applyFill="1" applyAlignment="1">
      <alignment horizontal="right"/>
    </xf>
    <xf numFmtId="164" fontId="6" fillId="8" borderId="0" xfId="0" applyNumberFormat="1" applyFont="1" applyFill="1"/>
    <xf numFmtId="164" fontId="29" fillId="8" borderId="4" xfId="0" quotePrefix="1" applyNumberFormat="1" applyFont="1" applyFill="1" applyBorder="1" applyAlignment="1">
      <alignment horizontal="right"/>
    </xf>
    <xf numFmtId="164" fontId="7" fillId="8" borderId="1" xfId="0" quotePrefix="1" applyNumberFormat="1" applyFont="1" applyFill="1" applyBorder="1" applyAlignment="1">
      <alignment horizontal="left" vertical="center"/>
    </xf>
    <xf numFmtId="1" fontId="6" fillId="8" borderId="1" xfId="0" applyNumberFormat="1" applyFont="1" applyFill="1" applyBorder="1" applyAlignment="1">
      <alignment horizontal="right" vertical="center"/>
    </xf>
    <xf numFmtId="164" fontId="29" fillId="8" borderId="4" xfId="0" applyNumberFormat="1" applyFont="1" applyFill="1" applyBorder="1" applyAlignment="1">
      <alignment horizontal="right"/>
    </xf>
    <xf numFmtId="164" fontId="24" fillId="9" borderId="0" xfId="0" applyNumberFormat="1" applyFont="1" applyFill="1"/>
    <xf numFmtId="164" fontId="20" fillId="9" borderId="0" xfId="0" applyNumberFormat="1" applyFont="1" applyFill="1" applyAlignment="1">
      <alignment horizontal="right"/>
    </xf>
    <xf numFmtId="0" fontId="20" fillId="9" borderId="0" xfId="0" applyFont="1" applyFill="1" applyAlignment="1">
      <alignment horizontal="right"/>
    </xf>
    <xf numFmtId="0" fontId="20" fillId="9" borderId="0" xfId="0" applyFont="1" applyFill="1"/>
    <xf numFmtId="168" fontId="20" fillId="9" borderId="0" xfId="1" applyNumberFormat="1" applyFont="1" applyFill="1"/>
    <xf numFmtId="164" fontId="6" fillId="10" borderId="0" xfId="0" applyNumberFormat="1" applyFont="1" applyFill="1"/>
    <xf numFmtId="164" fontId="29" fillId="10" borderId="4" xfId="0" quotePrefix="1" applyNumberFormat="1" applyFont="1" applyFill="1" applyBorder="1" applyAlignment="1">
      <alignment horizontal="right"/>
    </xf>
    <xf numFmtId="164" fontId="7" fillId="10" borderId="1" xfId="0" quotePrefix="1" applyNumberFormat="1" applyFont="1" applyFill="1" applyBorder="1" applyAlignment="1">
      <alignment horizontal="left" vertical="center"/>
    </xf>
    <xf numFmtId="1" fontId="6" fillId="10" borderId="1" xfId="0" applyNumberFormat="1" applyFont="1" applyFill="1" applyBorder="1" applyAlignment="1">
      <alignment horizontal="right" vertical="center"/>
    </xf>
    <xf numFmtId="0" fontId="4" fillId="10" borderId="0" xfId="0" applyFont="1" applyFill="1"/>
    <xf numFmtId="0" fontId="19" fillId="9" borderId="10" xfId="0" applyFont="1" applyFill="1" applyBorder="1"/>
    <xf numFmtId="0" fontId="20" fillId="9" borderId="11" xfId="0" applyFont="1" applyFill="1" applyBorder="1"/>
    <xf numFmtId="0" fontId="20" fillId="9" borderId="50" xfId="0" applyFont="1" applyFill="1" applyBorder="1"/>
    <xf numFmtId="0" fontId="19" fillId="9" borderId="0" xfId="0" applyFont="1" applyFill="1" applyAlignment="1">
      <alignment horizontal="left"/>
    </xf>
    <xf numFmtId="6" fontId="20" fillId="9" borderId="0" xfId="0" applyNumberFormat="1" applyFont="1" applyFill="1"/>
    <xf numFmtId="0" fontId="24" fillId="9" borderId="0" xfId="0" applyFont="1" applyFill="1"/>
    <xf numFmtId="0" fontId="19" fillId="9" borderId="0" xfId="0" applyFont="1" applyFill="1"/>
    <xf numFmtId="0" fontId="0" fillId="9" borderId="0" xfId="0" applyFill="1"/>
    <xf numFmtId="0" fontId="6" fillId="10" borderId="7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27" fillId="10" borderId="7" xfId="0" applyFont="1" applyFill="1" applyBorder="1" applyAlignment="1">
      <alignment horizontal="left" vertical="center"/>
    </xf>
    <xf numFmtId="0" fontId="27" fillId="10" borderId="9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center" vertical="center"/>
    </xf>
    <xf numFmtId="43" fontId="3" fillId="10" borderId="8" xfId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43" fontId="3" fillId="10" borderId="4" xfId="1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42" fillId="9" borderId="0" xfId="0" applyFont="1" applyFill="1"/>
    <xf numFmtId="43" fontId="33" fillId="9" borderId="0" xfId="1" applyFont="1" applyFill="1"/>
    <xf numFmtId="0" fontId="33" fillId="9" borderId="0" xfId="0" applyFont="1" applyFill="1" applyAlignment="1">
      <alignment horizontal="center"/>
    </xf>
    <xf numFmtId="0" fontId="33" fillId="9" borderId="0" xfId="0" applyFont="1" applyFill="1"/>
    <xf numFmtId="43" fontId="33" fillId="9" borderId="0" xfId="1" applyFont="1" applyFill="1" applyAlignment="1">
      <alignment horizontal="center"/>
    </xf>
    <xf numFmtId="0" fontId="43" fillId="9" borderId="0" xfId="0" applyFont="1" applyFill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9" borderId="0" xfId="0" quotePrefix="1" applyFont="1" applyFill="1" applyAlignment="1">
      <alignment horizontal="center" shrinkToFit="1"/>
    </xf>
    <xf numFmtId="0" fontId="2" fillId="9" borderId="0" xfId="0" applyFont="1" applyFill="1" applyAlignment="1">
      <alignment horizontal="left"/>
    </xf>
    <xf numFmtId="0" fontId="3" fillId="10" borderId="4" xfId="0" applyFont="1" applyFill="1" applyBorder="1" applyAlignment="1">
      <alignment horizontal="left"/>
    </xf>
    <xf numFmtId="0" fontId="0" fillId="10" borderId="4" xfId="0" applyFill="1" applyBorder="1" applyAlignment="1">
      <alignment horizontal="center"/>
    </xf>
    <xf numFmtId="0" fontId="0" fillId="10" borderId="4" xfId="0" applyFill="1" applyBorder="1"/>
    <xf numFmtId="0" fontId="3" fillId="10" borderId="4" xfId="0" applyFont="1" applyFill="1" applyBorder="1"/>
    <xf numFmtId="0" fontId="3" fillId="2" borderId="7" xfId="0" applyFont="1" applyFill="1" applyBorder="1" applyAlignment="1">
      <alignment horizontal="right"/>
    </xf>
    <xf numFmtId="173" fontId="3" fillId="2" borderId="9" xfId="0" applyNumberFormat="1" applyFont="1" applyFill="1" applyBorder="1"/>
    <xf numFmtId="0" fontId="3" fillId="10" borderId="6" xfId="0" applyFont="1" applyFill="1" applyBorder="1" applyAlignment="1">
      <alignment horizontal="center" vertical="center" wrapText="1"/>
    </xf>
    <xf numFmtId="44" fontId="3" fillId="2" borderId="6" xfId="0" applyNumberFormat="1" applyFont="1" applyFill="1" applyBorder="1"/>
    <xf numFmtId="0" fontId="27" fillId="10" borderId="8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center" vertical="center"/>
    </xf>
    <xf numFmtId="165" fontId="32" fillId="7" borderId="0" xfId="0" applyNumberFormat="1" applyFont="1" applyFill="1"/>
    <xf numFmtId="165" fontId="0" fillId="12" borderId="0" xfId="3" applyNumberFormat="1" applyFont="1" applyFill="1" applyAlignment="1">
      <alignment horizontal="center"/>
    </xf>
    <xf numFmtId="14" fontId="44" fillId="0" borderId="0" xfId="0" applyNumberFormat="1" applyFont="1"/>
    <xf numFmtId="43" fontId="44" fillId="0" borderId="0" xfId="1" applyFont="1"/>
    <xf numFmtId="0" fontId="45" fillId="0" borderId="0" xfId="0" applyFont="1"/>
    <xf numFmtId="164" fontId="12" fillId="12" borderId="0" xfId="0" applyNumberFormat="1" applyFont="1" applyFill="1" applyAlignment="1">
      <alignment horizontal="right"/>
    </xf>
    <xf numFmtId="0" fontId="7" fillId="12" borderId="0" xfId="0" applyFont="1" applyFill="1" applyAlignment="1">
      <alignment horizontal="left" vertical="center"/>
    </xf>
    <xf numFmtId="164" fontId="7" fillId="12" borderId="0" xfId="0" applyNumberFormat="1" applyFont="1" applyFill="1" applyAlignment="1">
      <alignment horizontal="right"/>
    </xf>
    <xf numFmtId="0" fontId="16" fillId="12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0" fontId="15" fillId="0" borderId="0" xfId="0" applyFont="1" applyAlignment="1">
      <alignment horizontal="right"/>
    </xf>
    <xf numFmtId="0" fontId="10" fillId="12" borderId="0" xfId="0" applyFont="1" applyFill="1" applyAlignment="1">
      <alignment horizontal="left" vertical="center"/>
    </xf>
    <xf numFmtId="168" fontId="22" fillId="8" borderId="25" xfId="1" applyNumberFormat="1" applyFont="1" applyFill="1" applyBorder="1"/>
    <xf numFmtId="168" fontId="22" fillId="8" borderId="22" xfId="1" applyNumberFormat="1" applyFont="1" applyFill="1" applyBorder="1"/>
    <xf numFmtId="0" fontId="0" fillId="8" borderId="0" xfId="0" applyFill="1"/>
    <xf numFmtId="44" fontId="22" fillId="8" borderId="22" xfId="2" applyFont="1" applyFill="1" applyBorder="1"/>
    <xf numFmtId="44" fontId="22" fillId="8" borderId="25" xfId="2" applyFont="1" applyFill="1" applyBorder="1"/>
    <xf numFmtId="44" fontId="22" fillId="8" borderId="37" xfId="2" applyFont="1" applyFill="1" applyBorder="1"/>
    <xf numFmtId="168" fontId="22" fillId="8" borderId="37" xfId="1" applyNumberFormat="1" applyFont="1" applyFill="1" applyBorder="1"/>
    <xf numFmtId="168" fontId="0" fillId="8" borderId="0" xfId="0" applyNumberFormat="1" applyFill="1"/>
    <xf numFmtId="170" fontId="0" fillId="8" borderId="0" xfId="0" applyNumberFormat="1" applyFill="1"/>
    <xf numFmtId="0" fontId="3" fillId="8" borderId="0" xfId="0" applyFont="1" applyFill="1"/>
    <xf numFmtId="0" fontId="27" fillId="8" borderId="7" xfId="0" applyFont="1" applyFill="1" applyBorder="1" applyAlignment="1">
      <alignment horizontal="left" vertical="center" wrapText="1"/>
    </xf>
    <xf numFmtId="168" fontId="6" fillId="8" borderId="9" xfId="0" applyNumberFormat="1" applyFont="1" applyFill="1" applyBorder="1"/>
    <xf numFmtId="0" fontId="3" fillId="8" borderId="0" xfId="0" applyFont="1" applyFill="1" applyAlignment="1">
      <alignment horizontal="right"/>
    </xf>
    <xf numFmtId="0" fontId="46" fillId="8" borderId="0" xfId="0" applyFont="1" applyFill="1"/>
    <xf numFmtId="0" fontId="46" fillId="8" borderId="7" xfId="0" applyFont="1" applyFill="1" applyBorder="1" applyAlignment="1">
      <alignment horizontal="left" vertical="center" wrapText="1"/>
    </xf>
    <xf numFmtId="168" fontId="46" fillId="8" borderId="9" xfId="0" applyNumberFormat="1" applyFont="1" applyFill="1" applyBorder="1"/>
    <xf numFmtId="0" fontId="40" fillId="8" borderId="0" xfId="0" applyFont="1" applyFill="1"/>
    <xf numFmtId="170" fontId="40" fillId="8" borderId="0" xfId="0" applyNumberFormat="1" applyFont="1" applyFill="1"/>
    <xf numFmtId="0" fontId="47" fillId="8" borderId="0" xfId="0" applyFont="1" applyFill="1"/>
    <xf numFmtId="0" fontId="46" fillId="8" borderId="30" xfId="0" applyFont="1" applyFill="1" applyBorder="1" applyAlignment="1">
      <alignment horizontal="left" vertical="center" wrapText="1"/>
    </xf>
    <xf numFmtId="0" fontId="46" fillId="8" borderId="22" xfId="0" applyFont="1" applyFill="1" applyBorder="1" applyAlignment="1">
      <alignment horizontal="center"/>
    </xf>
    <xf numFmtId="168" fontId="46" fillId="8" borderId="22" xfId="1" applyNumberFormat="1" applyFont="1" applyFill="1" applyBorder="1"/>
    <xf numFmtId="0" fontId="46" fillId="8" borderId="32" xfId="0" applyFont="1" applyFill="1" applyBorder="1" applyAlignment="1">
      <alignment horizontal="left" vertical="center" wrapText="1"/>
    </xf>
    <xf numFmtId="0" fontId="46" fillId="8" borderId="25" xfId="0" applyFont="1" applyFill="1" applyBorder="1" applyAlignment="1">
      <alignment horizontal="center"/>
    </xf>
    <xf numFmtId="44" fontId="46" fillId="8" borderId="25" xfId="2" applyFont="1" applyFill="1" applyBorder="1" applyAlignment="1">
      <alignment horizontal="center"/>
    </xf>
    <xf numFmtId="0" fontId="46" fillId="8" borderId="36" xfId="0" applyFont="1" applyFill="1" applyBorder="1" applyAlignment="1">
      <alignment horizontal="left" vertical="center" wrapText="1"/>
    </xf>
    <xf numFmtId="44" fontId="46" fillId="8" borderId="37" xfId="2" applyFont="1" applyFill="1" applyBorder="1" applyAlignment="1">
      <alignment horizontal="center"/>
    </xf>
    <xf numFmtId="168" fontId="46" fillId="8" borderId="14" xfId="1" applyNumberFormat="1" applyFont="1" applyFill="1" applyBorder="1"/>
    <xf numFmtId="0" fontId="46" fillId="11" borderId="26" xfId="0" applyFont="1" applyFill="1" applyBorder="1" applyAlignment="1">
      <alignment horizontal="left" vertical="center" wrapText="1"/>
    </xf>
    <xf numFmtId="44" fontId="46" fillId="11" borderId="27" xfId="2" applyFont="1" applyFill="1" applyBorder="1" applyAlignment="1">
      <alignment horizontal="center"/>
    </xf>
    <xf numFmtId="44" fontId="46" fillId="11" borderId="27" xfId="2" applyFont="1" applyFill="1" applyBorder="1" applyAlignment="1">
      <alignment horizontal="right"/>
    </xf>
    <xf numFmtId="168" fontId="46" fillId="11" borderId="27" xfId="1" applyNumberFormat="1" applyFont="1" applyFill="1" applyBorder="1"/>
    <xf numFmtId="168" fontId="46" fillId="11" borderId="28" xfId="1" applyNumberFormat="1" applyFont="1" applyFill="1" applyBorder="1"/>
    <xf numFmtId="0" fontId="45" fillId="8" borderId="0" xfId="0" applyFont="1" applyFill="1"/>
    <xf numFmtId="168" fontId="45" fillId="8" borderId="0" xfId="1" applyNumberFormat="1" applyFont="1" applyFill="1"/>
    <xf numFmtId="170" fontId="49" fillId="8" borderId="0" xfId="0" applyNumberFormat="1" applyFont="1" applyFill="1" applyAlignment="1">
      <alignment horizontal="center"/>
    </xf>
    <xf numFmtId="168" fontId="45" fillId="8" borderId="0" xfId="0" applyNumberFormat="1" applyFont="1" applyFill="1"/>
    <xf numFmtId="170" fontId="46" fillId="8" borderId="0" xfId="0" applyNumberFormat="1" applyFont="1" applyFill="1" applyAlignment="1">
      <alignment horizontal="center"/>
    </xf>
    <xf numFmtId="170" fontId="46" fillId="8" borderId="0" xfId="0" applyNumberFormat="1" applyFont="1" applyFill="1"/>
    <xf numFmtId="44" fontId="48" fillId="2" borderId="6" xfId="0" applyNumberFormat="1" applyFont="1" applyFill="1" applyBorder="1"/>
    <xf numFmtId="0" fontId="49" fillId="8" borderId="0" xfId="0" applyFont="1" applyFill="1"/>
    <xf numFmtId="0" fontId="47" fillId="0" borderId="22" xfId="0" applyFont="1" applyBorder="1"/>
    <xf numFmtId="44" fontId="47" fillId="0" borderId="22" xfId="2" applyFont="1" applyBorder="1"/>
    <xf numFmtId="169" fontId="47" fillId="0" borderId="22" xfId="1" applyNumberFormat="1" applyFont="1" applyBorder="1"/>
    <xf numFmtId="43" fontId="47" fillId="0" borderId="22" xfId="1" applyFont="1" applyBorder="1"/>
    <xf numFmtId="0" fontId="47" fillId="0" borderId="25" xfId="0" applyFont="1" applyBorder="1"/>
    <xf numFmtId="44" fontId="47" fillId="0" borderId="25" xfId="2" applyFont="1" applyBorder="1"/>
    <xf numFmtId="169" fontId="47" fillId="0" borderId="25" xfId="1" applyNumberFormat="1" applyFont="1" applyBorder="1"/>
    <xf numFmtId="168" fontId="40" fillId="8" borderId="22" xfId="1" applyNumberFormat="1" applyFont="1" applyFill="1" applyBorder="1" applyAlignment="1">
      <alignment vertical="center"/>
    </xf>
    <xf numFmtId="0" fontId="40" fillId="8" borderId="0" xfId="0" applyFont="1" applyFill="1" applyAlignment="1">
      <alignment horizontal="left"/>
    </xf>
    <xf numFmtId="0" fontId="50" fillId="8" borderId="0" xfId="0" applyFont="1" applyFill="1"/>
    <xf numFmtId="10" fontId="47" fillId="8" borderId="0" xfId="0" applyNumberFormat="1" applyFont="1" applyFill="1"/>
    <xf numFmtId="0" fontId="40" fillId="8" borderId="0" xfId="0" applyFont="1" applyFill="1" applyAlignment="1">
      <alignment horizontal="right"/>
    </xf>
    <xf numFmtId="44" fontId="40" fillId="2" borderId="6" xfId="2" applyFont="1" applyFill="1" applyBorder="1"/>
    <xf numFmtId="10" fontId="40" fillId="8" borderId="0" xfId="0" applyNumberFormat="1" applyFont="1" applyFill="1"/>
    <xf numFmtId="8" fontId="47" fillId="8" borderId="0" xfId="0" applyNumberFormat="1" applyFont="1" applyFill="1"/>
    <xf numFmtId="8" fontId="40" fillId="8" borderId="0" xfId="0" applyNumberFormat="1" applyFont="1" applyFill="1"/>
    <xf numFmtId="0" fontId="40" fillId="8" borderId="0" xfId="0" quotePrefix="1" applyFont="1" applyFill="1"/>
    <xf numFmtId="0" fontId="3" fillId="8" borderId="0" xfId="0" applyFont="1" applyFill="1" applyAlignment="1">
      <alignment horizontal="left"/>
    </xf>
    <xf numFmtId="10" fontId="40" fillId="8" borderId="0" xfId="3" applyNumberFormat="1" applyFont="1" applyFill="1" applyAlignment="1">
      <alignment horizontal="right"/>
    </xf>
    <xf numFmtId="0" fontId="3" fillId="8" borderId="0" xfId="0" applyFont="1" applyFill="1" applyAlignment="1">
      <alignment horizontal="center"/>
    </xf>
    <xf numFmtId="0" fontId="46" fillId="8" borderId="0" xfId="0" applyFont="1" applyFill="1" applyAlignment="1">
      <alignment horizontal="right"/>
    </xf>
    <xf numFmtId="44" fontId="47" fillId="8" borderId="0" xfId="2" applyFont="1" applyFill="1" applyBorder="1"/>
    <xf numFmtId="10" fontId="40" fillId="8" borderId="0" xfId="3" applyNumberFormat="1" applyFont="1" applyFill="1" applyBorder="1"/>
    <xf numFmtId="0" fontId="22" fillId="8" borderId="30" xfId="0" applyFont="1" applyFill="1" applyBorder="1" applyAlignment="1">
      <alignment horizontal="left" vertical="center" wrapText="1"/>
    </xf>
    <xf numFmtId="44" fontId="22" fillId="8" borderId="22" xfId="2" applyFont="1" applyFill="1" applyBorder="1" applyAlignment="1">
      <alignment vertical="center"/>
    </xf>
    <xf numFmtId="168" fontId="22" fillId="8" borderId="22" xfId="1" applyNumberFormat="1" applyFont="1" applyFill="1" applyBorder="1" applyAlignment="1">
      <alignment vertical="center"/>
    </xf>
    <xf numFmtId="171" fontId="22" fillId="8" borderId="22" xfId="0" applyNumberFormat="1" applyFont="1" applyFill="1" applyBorder="1" applyAlignment="1">
      <alignment vertical="center"/>
    </xf>
    <xf numFmtId="171" fontId="22" fillId="8" borderId="22" xfId="2" applyNumberFormat="1" applyFont="1" applyFill="1" applyBorder="1" applyAlignment="1">
      <alignment vertical="center"/>
    </xf>
    <xf numFmtId="0" fontId="22" fillId="8" borderId="30" xfId="0" applyFont="1" applyFill="1" applyBorder="1"/>
    <xf numFmtId="171" fontId="22" fillId="8" borderId="22" xfId="2" applyNumberFormat="1" applyFont="1" applyFill="1" applyBorder="1"/>
    <xf numFmtId="171" fontId="22" fillId="8" borderId="22" xfId="0" applyNumberFormat="1" applyFont="1" applyFill="1" applyBorder="1"/>
    <xf numFmtId="14" fontId="22" fillId="8" borderId="30" xfId="0" applyNumberFormat="1" applyFont="1" applyFill="1" applyBorder="1" applyAlignment="1">
      <alignment horizontal="left"/>
    </xf>
    <xf numFmtId="0" fontId="22" fillId="8" borderId="32" xfId="0" applyFont="1" applyFill="1" applyBorder="1"/>
    <xf numFmtId="171" fontId="22" fillId="8" borderId="25" xfId="0" applyNumberFormat="1" applyFont="1" applyFill="1" applyBorder="1"/>
    <xf numFmtId="171" fontId="22" fillId="8" borderId="25" xfId="2" applyNumberFormat="1" applyFont="1" applyFill="1" applyBorder="1"/>
    <xf numFmtId="0" fontId="22" fillId="8" borderId="36" xfId="0" applyFont="1" applyFill="1" applyBorder="1"/>
    <xf numFmtId="171" fontId="22" fillId="8" borderId="37" xfId="0" applyNumberFormat="1" applyFont="1" applyFill="1" applyBorder="1"/>
    <xf numFmtId="171" fontId="22" fillId="8" borderId="37" xfId="2" applyNumberFormat="1" applyFont="1" applyFill="1" applyBorder="1"/>
    <xf numFmtId="171" fontId="22" fillId="8" borderId="37" xfId="0" applyNumberFormat="1" applyFont="1" applyFill="1" applyBorder="1" applyAlignment="1">
      <alignment vertical="center"/>
    </xf>
    <xf numFmtId="0" fontId="6" fillId="8" borderId="22" xfId="0" applyFont="1" applyFill="1" applyBorder="1"/>
    <xf numFmtId="168" fontId="46" fillId="8" borderId="0" xfId="0" applyNumberFormat="1" applyFont="1" applyFill="1"/>
    <xf numFmtId="168" fontId="0" fillId="8" borderId="0" xfId="1" applyNumberFormat="1" applyFont="1" applyFill="1" applyBorder="1"/>
    <xf numFmtId="168" fontId="0" fillId="8" borderId="51" xfId="1" applyNumberFormat="1" applyFont="1" applyFill="1" applyBorder="1"/>
    <xf numFmtId="165" fontId="22" fillId="8" borderId="0" xfId="3" applyNumberFormat="1" applyFont="1" applyFill="1" applyBorder="1"/>
    <xf numFmtId="165" fontId="22" fillId="8" borderId="51" xfId="3" applyNumberFormat="1" applyFont="1" applyFill="1" applyBorder="1"/>
    <xf numFmtId="168" fontId="0" fillId="8" borderId="4" xfId="1" applyNumberFormat="1" applyFont="1" applyFill="1" applyBorder="1"/>
    <xf numFmtId="168" fontId="0" fillId="8" borderId="52" xfId="1" applyNumberFormat="1" applyFont="1" applyFill="1" applyBorder="1"/>
    <xf numFmtId="168" fontId="4" fillId="8" borderId="0" xfId="1" applyNumberFormat="1" applyFont="1" applyFill="1" applyBorder="1"/>
    <xf numFmtId="168" fontId="4" fillId="8" borderId="51" xfId="1" applyNumberFormat="1" applyFont="1" applyFill="1" applyBorder="1"/>
    <xf numFmtId="0" fontId="0" fillId="8" borderId="51" xfId="0" applyFill="1" applyBorder="1"/>
    <xf numFmtId="168" fontId="6" fillId="8" borderId="2" xfId="1" applyNumberFormat="1" applyFont="1" applyFill="1" applyBorder="1"/>
    <xf numFmtId="168" fontId="6" fillId="8" borderId="48" xfId="1" applyNumberFormat="1" applyFont="1" applyFill="1" applyBorder="1"/>
    <xf numFmtId="0" fontId="0" fillId="8" borderId="4" xfId="0" applyFill="1" applyBorder="1"/>
    <xf numFmtId="0" fontId="0" fillId="8" borderId="5" xfId="0" applyFill="1" applyBorder="1"/>
    <xf numFmtId="168" fontId="6" fillId="8" borderId="5" xfId="0" applyNumberFormat="1" applyFont="1" applyFill="1" applyBorder="1"/>
    <xf numFmtId="168" fontId="6" fillId="8" borderId="0" xfId="0" applyNumberFormat="1" applyFont="1" applyFill="1"/>
    <xf numFmtId="0" fontId="6" fillId="8" borderId="4" xfId="0" applyFont="1" applyFill="1" applyBorder="1"/>
    <xf numFmtId="168" fontId="6" fillId="8" borderId="4" xfId="0" applyNumberFormat="1" applyFont="1" applyFill="1" applyBorder="1"/>
    <xf numFmtId="168" fontId="6" fillId="8" borderId="0" xfId="1" applyNumberFormat="1" applyFont="1" applyFill="1" applyBorder="1"/>
    <xf numFmtId="0" fontId="28" fillId="8" borderId="0" xfId="0" applyFont="1" applyFill="1"/>
    <xf numFmtId="0" fontId="6" fillId="8" borderId="1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center"/>
    </xf>
    <xf numFmtId="166" fontId="0" fillId="8" borderId="0" xfId="0" applyNumberFormat="1" applyFill="1"/>
    <xf numFmtId="0" fontId="0" fillId="8" borderId="0" xfId="0" quotePrefix="1" applyFill="1"/>
    <xf numFmtId="10" fontId="25" fillId="8" borderId="0" xfId="0" applyNumberFormat="1" applyFont="1" applyFill="1"/>
    <xf numFmtId="0" fontId="22" fillId="8" borderId="0" xfId="0" quotePrefix="1" applyFont="1" applyFill="1" applyAlignment="1">
      <alignment horizontal="center" shrinkToFit="1"/>
    </xf>
    <xf numFmtId="0" fontId="0" fillId="8" borderId="2" xfId="0" applyFill="1" applyBorder="1"/>
    <xf numFmtId="168" fontId="6" fillId="8" borderId="2" xfId="0" applyNumberFormat="1" applyFont="1" applyFill="1" applyBorder="1"/>
    <xf numFmtId="6" fontId="6" fillId="8" borderId="0" xfId="0" applyNumberFormat="1" applyFont="1" applyFill="1"/>
    <xf numFmtId="0" fontId="6" fillId="8" borderId="13" xfId="0" applyFont="1" applyFill="1" applyBorder="1"/>
    <xf numFmtId="165" fontId="6" fillId="8" borderId="0" xfId="3" applyNumberFormat="1" applyFont="1" applyFill="1" applyBorder="1" applyAlignment="1">
      <alignment horizontal="center"/>
    </xf>
    <xf numFmtId="170" fontId="6" fillId="8" borderId="42" xfId="0" applyNumberFormat="1" applyFont="1" applyFill="1" applyBorder="1"/>
    <xf numFmtId="0" fontId="6" fillId="8" borderId="23" xfId="0" applyFont="1" applyFill="1" applyBorder="1"/>
    <xf numFmtId="168" fontId="6" fillId="8" borderId="43" xfId="0" applyNumberFormat="1" applyFont="1" applyFill="1" applyBorder="1"/>
    <xf numFmtId="165" fontId="6" fillId="8" borderId="43" xfId="3" applyNumberFormat="1" applyFont="1" applyFill="1" applyBorder="1" applyAlignment="1">
      <alignment horizontal="center"/>
    </xf>
    <xf numFmtId="10" fontId="6" fillId="8" borderId="42" xfId="0" applyNumberFormat="1" applyFont="1" applyFill="1" applyBorder="1"/>
    <xf numFmtId="44" fontId="3" fillId="2" borderId="6" xfId="2" applyFont="1" applyFill="1" applyBorder="1"/>
    <xf numFmtId="174" fontId="6" fillId="8" borderId="0" xfId="3" applyNumberFormat="1" applyFont="1" applyFill="1" applyBorder="1" applyAlignment="1">
      <alignment horizontal="center"/>
    </xf>
    <xf numFmtId="174" fontId="6" fillId="8" borderId="43" xfId="3" applyNumberFormat="1" applyFont="1" applyFill="1" applyBorder="1" applyAlignment="1">
      <alignment horizontal="center"/>
    </xf>
    <xf numFmtId="168" fontId="0" fillId="7" borderId="12" xfId="1" applyNumberFormat="1" applyFont="1" applyFill="1" applyBorder="1"/>
    <xf numFmtId="165" fontId="22" fillId="7" borderId="12" xfId="3" applyNumberFormat="1" applyFont="1" applyFill="1" applyBorder="1"/>
    <xf numFmtId="168" fontId="0" fillId="7" borderId="22" xfId="1" applyNumberFormat="1" applyFont="1" applyFill="1" applyBorder="1"/>
    <xf numFmtId="168" fontId="6" fillId="7" borderId="17" xfId="1" applyNumberFormat="1" applyFont="1" applyFill="1" applyBorder="1"/>
    <xf numFmtId="168" fontId="6" fillId="7" borderId="20" xfId="0" applyNumberFormat="1" applyFont="1" applyFill="1" applyBorder="1"/>
    <xf numFmtId="168" fontId="6" fillId="7" borderId="22" xfId="1" applyNumberFormat="1" applyFont="1" applyFill="1" applyBorder="1"/>
    <xf numFmtId="0" fontId="0" fillId="7" borderId="12" xfId="0" applyFill="1" applyBorder="1"/>
    <xf numFmtId="0" fontId="0" fillId="10" borderId="0" xfId="0" applyFill="1"/>
    <xf numFmtId="0" fontId="0" fillId="10" borderId="54" xfId="0" applyFill="1" applyBorder="1"/>
    <xf numFmtId="0" fontId="26" fillId="0" borderId="4" xfId="0" applyFont="1" applyBorder="1"/>
    <xf numFmtId="168" fontId="6" fillId="8" borderId="13" xfId="1" applyNumberFormat="1" applyFont="1" applyFill="1" applyBorder="1"/>
    <xf numFmtId="168" fontId="6" fillId="8" borderId="42" xfId="1" applyNumberFormat="1" applyFont="1" applyFill="1" applyBorder="1"/>
    <xf numFmtId="168" fontId="6" fillId="8" borderId="10" xfId="1" applyNumberFormat="1" applyFont="1" applyFill="1" applyBorder="1"/>
    <xf numFmtId="168" fontId="6" fillId="8" borderId="55" xfId="1" applyNumberFormat="1" applyFont="1" applyFill="1" applyBorder="1"/>
    <xf numFmtId="168" fontId="6" fillId="8" borderId="23" xfId="1" applyNumberFormat="1" applyFont="1" applyFill="1" applyBorder="1"/>
    <xf numFmtId="0" fontId="40" fillId="10" borderId="9" xfId="0" applyFont="1" applyFill="1" applyBorder="1" applyAlignment="1">
      <alignment horizontal="center" vertical="center" wrapText="1"/>
    </xf>
    <xf numFmtId="0" fontId="47" fillId="7" borderId="15" xfId="0" applyFont="1" applyFill="1" applyBorder="1"/>
    <xf numFmtId="168" fontId="47" fillId="7" borderId="4" xfId="0" applyNumberFormat="1" applyFont="1" applyFill="1" applyBorder="1"/>
    <xf numFmtId="168" fontId="47" fillId="7" borderId="4" xfId="0" applyNumberFormat="1" applyFont="1" applyFill="1" applyBorder="1" applyAlignment="1">
      <alignment horizontal="center" vertical="center"/>
    </xf>
    <xf numFmtId="0" fontId="0" fillId="8" borderId="15" xfId="0" applyFill="1" applyBorder="1"/>
    <xf numFmtId="168" fontId="0" fillId="8" borderId="4" xfId="0" applyNumberFormat="1" applyFill="1" applyBorder="1"/>
    <xf numFmtId="44" fontId="0" fillId="8" borderId="16" xfId="2" applyFont="1" applyFill="1" applyBorder="1" applyAlignment="1"/>
    <xf numFmtId="168" fontId="0" fillId="8" borderId="4" xfId="0" applyNumberFormat="1" applyFill="1" applyBorder="1" applyAlignment="1">
      <alignment horizontal="center" vertical="center"/>
    </xf>
    <xf numFmtId="0" fontId="0" fillId="8" borderId="18" xfId="0" applyFill="1" applyBorder="1"/>
    <xf numFmtId="168" fontId="0" fillId="8" borderId="19" xfId="0" applyNumberFormat="1" applyFill="1" applyBorder="1"/>
    <xf numFmtId="0" fontId="0" fillId="8" borderId="13" xfId="0" applyFill="1" applyBorder="1"/>
    <xf numFmtId="168" fontId="0" fillId="8" borderId="21" xfId="0" applyNumberFormat="1" applyFill="1" applyBorder="1"/>
    <xf numFmtId="168" fontId="0" fillId="8" borderId="0" xfId="0" applyNumberFormat="1" applyFill="1" applyAlignment="1">
      <alignment horizontal="center" vertical="center"/>
    </xf>
    <xf numFmtId="0" fontId="40" fillId="8" borderId="13" xfId="0" applyFont="1" applyFill="1" applyBorder="1"/>
    <xf numFmtId="168" fontId="40" fillId="8" borderId="5" xfId="0" applyNumberFormat="1" applyFont="1" applyFill="1" applyBorder="1"/>
    <xf numFmtId="168" fontId="47" fillId="8" borderId="5" xfId="0" applyNumberFormat="1" applyFont="1" applyFill="1" applyBorder="1" applyAlignment="1">
      <alignment horizontal="center" vertical="center"/>
    </xf>
    <xf numFmtId="0" fontId="0" fillId="8" borderId="10" xfId="0" applyFill="1" applyBorder="1"/>
    <xf numFmtId="0" fontId="0" fillId="8" borderId="11" xfId="0" applyFill="1" applyBorder="1"/>
    <xf numFmtId="10" fontId="0" fillId="8" borderId="4" xfId="3" applyNumberFormat="1" applyFont="1" applyFill="1" applyBorder="1" applyAlignment="1">
      <alignment horizontal="center" vertical="center"/>
    </xf>
    <xf numFmtId="10" fontId="0" fillId="8" borderId="0" xfId="3" applyNumberFormat="1" applyFont="1" applyFill="1" applyAlignment="1">
      <alignment horizontal="center" vertical="center"/>
    </xf>
    <xf numFmtId="10" fontId="47" fillId="8" borderId="5" xfId="3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40" fillId="10" borderId="8" xfId="0" applyFont="1" applyFill="1" applyBorder="1" applyAlignment="1">
      <alignment horizontal="center" vertical="center" wrapText="1"/>
    </xf>
    <xf numFmtId="0" fontId="40" fillId="1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4" fontId="51" fillId="0" borderId="0" xfId="0" applyNumberFormat="1" applyFont="1" applyAlignment="1">
      <alignment horizontal="right"/>
    </xf>
    <xf numFmtId="1" fontId="6" fillId="10" borderId="56" xfId="0" applyNumberFormat="1" applyFont="1" applyFill="1" applyBorder="1" applyAlignment="1">
      <alignment horizontal="right" vertical="center"/>
    </xf>
    <xf numFmtId="168" fontId="9" fillId="0" borderId="51" xfId="1" applyNumberFormat="1" applyFont="1" applyBorder="1" applyAlignment="1">
      <alignment horizontal="right" vertical="center" wrapText="1"/>
    </xf>
    <xf numFmtId="168" fontId="37" fillId="0" borderId="0" xfId="1" applyNumberFormat="1" applyFont="1" applyBorder="1" applyAlignment="1">
      <alignment horizontal="right" vertical="center" wrapText="1"/>
    </xf>
    <xf numFmtId="165" fontId="37" fillId="0" borderId="0" xfId="3" applyNumberFormat="1" applyFont="1" applyBorder="1" applyAlignment="1">
      <alignment horizontal="right" vertical="center" wrapText="1"/>
    </xf>
    <xf numFmtId="165" fontId="37" fillId="0" borderId="51" xfId="3" applyNumberFormat="1" applyFont="1" applyBorder="1" applyAlignment="1">
      <alignment horizontal="right" vertical="center" wrapText="1"/>
    </xf>
    <xf numFmtId="168" fontId="11" fillId="0" borderId="51" xfId="1" applyNumberFormat="1" applyFont="1" applyBorder="1" applyAlignment="1">
      <alignment horizontal="right" vertical="center" wrapText="1"/>
    </xf>
    <xf numFmtId="168" fontId="12" fillId="0" borderId="57" xfId="1" applyNumberFormat="1" applyFont="1" applyBorder="1" applyAlignment="1">
      <alignment horizontal="right"/>
    </xf>
    <xf numFmtId="165" fontId="38" fillId="0" borderId="51" xfId="3" applyNumberFormat="1" applyFont="1" applyBorder="1" applyAlignment="1">
      <alignment horizontal="right"/>
    </xf>
    <xf numFmtId="168" fontId="12" fillId="0" borderId="51" xfId="1" applyNumberFormat="1" applyFont="1" applyBorder="1" applyAlignment="1">
      <alignment horizontal="right"/>
    </xf>
    <xf numFmtId="168" fontId="11" fillId="0" borderId="52" xfId="1" applyNumberFormat="1" applyFont="1" applyBorder="1" applyAlignment="1">
      <alignment horizontal="right" vertical="center" wrapText="1"/>
    </xf>
    <xf numFmtId="168" fontId="11" fillId="0" borderId="47" xfId="1" applyNumberFormat="1" applyFont="1" applyBorder="1" applyAlignment="1">
      <alignment horizontal="right" vertical="center" wrapText="1"/>
    </xf>
    <xf numFmtId="168" fontId="12" fillId="0" borderId="47" xfId="1" applyNumberFormat="1" applyFont="1" applyBorder="1" applyAlignment="1">
      <alignment horizontal="right"/>
    </xf>
    <xf numFmtId="168" fontId="4" fillId="0" borderId="0" xfId="1" applyNumberFormat="1" applyFont="1" applyBorder="1" applyAlignment="1">
      <alignment horizontal="right"/>
    </xf>
    <xf numFmtId="168" fontId="4" fillId="0" borderId="51" xfId="1" applyNumberFormat="1" applyFont="1" applyBorder="1" applyAlignment="1">
      <alignment horizontal="right"/>
    </xf>
    <xf numFmtId="168" fontId="7" fillId="0" borderId="51" xfId="1" applyNumberFormat="1" applyFont="1" applyBorder="1" applyAlignment="1">
      <alignment horizontal="right"/>
    </xf>
    <xf numFmtId="168" fontId="7" fillId="0" borderId="57" xfId="1" applyNumberFormat="1" applyFont="1" applyBorder="1" applyAlignment="1">
      <alignment horizontal="right"/>
    </xf>
    <xf numFmtId="164" fontId="12" fillId="0" borderId="51" xfId="0" applyNumberFormat="1" applyFont="1" applyBorder="1" applyAlignment="1">
      <alignment horizontal="right"/>
    </xf>
    <xf numFmtId="164" fontId="29" fillId="10" borderId="52" xfId="0" quotePrefix="1" applyNumberFormat="1" applyFont="1" applyFill="1" applyBorder="1" applyAlignment="1">
      <alignment horizontal="right"/>
    </xf>
    <xf numFmtId="164" fontId="7" fillId="0" borderId="51" xfId="0" applyNumberFormat="1" applyFont="1" applyBorder="1" applyAlignment="1">
      <alignment horizontal="right"/>
    </xf>
    <xf numFmtId="0" fontId="4" fillId="0" borderId="51" xfId="0" applyFont="1" applyBorder="1"/>
    <xf numFmtId="165" fontId="12" fillId="0" borderId="0" xfId="3" applyNumberFormat="1" applyFont="1" applyBorder="1" applyAlignment="1">
      <alignment horizontal="right"/>
    </xf>
    <xf numFmtId="165" fontId="12" fillId="0" borderId="51" xfId="3" applyNumberFormat="1" applyFont="1" applyBorder="1" applyAlignment="1">
      <alignment horizontal="right"/>
    </xf>
    <xf numFmtId="164" fontId="12" fillId="0" borderId="51" xfId="0" applyNumberFormat="1" applyFont="1" applyBorder="1"/>
    <xf numFmtId="0" fontId="4" fillId="2" borderId="0" xfId="0" applyFont="1" applyFill="1"/>
    <xf numFmtId="0" fontId="31" fillId="13" borderId="46" xfId="0" applyFont="1" applyFill="1" applyBorder="1" applyAlignment="1">
      <alignment horizontal="left" vertical="center"/>
    </xf>
    <xf numFmtId="0" fontId="8" fillId="13" borderId="46" xfId="0" applyFont="1" applyFill="1" applyBorder="1" applyAlignment="1">
      <alignment horizontal="left" vertical="center"/>
    </xf>
    <xf numFmtId="164" fontId="12" fillId="13" borderId="4" xfId="0" applyNumberFormat="1" applyFont="1" applyFill="1" applyBorder="1" applyAlignment="1">
      <alignment horizontal="right"/>
    </xf>
    <xf numFmtId="0" fontId="8" fillId="13" borderId="4" xfId="0" applyFont="1" applyFill="1" applyBorder="1" applyAlignment="1">
      <alignment horizontal="left" vertical="center"/>
    </xf>
    <xf numFmtId="168" fontId="52" fillId="7" borderId="4" xfId="0" applyNumberFormat="1" applyFont="1" applyFill="1" applyBorder="1"/>
    <xf numFmtId="170" fontId="52" fillId="8" borderId="0" xfId="0" applyNumberFormat="1" applyFont="1" applyFill="1" applyAlignment="1">
      <alignment horizontal="center"/>
    </xf>
    <xf numFmtId="10" fontId="52" fillId="8" borderId="0" xfId="0" applyNumberFormat="1" applyFont="1" applyFill="1"/>
    <xf numFmtId="8" fontId="52" fillId="8" borderId="0" xfId="0" applyNumberFormat="1" applyFont="1" applyFill="1"/>
    <xf numFmtId="168" fontId="53" fillId="8" borderId="22" xfId="1" applyNumberFormat="1" applyFont="1" applyFill="1" applyBorder="1"/>
    <xf numFmtId="168" fontId="53" fillId="8" borderId="31" xfId="1" applyNumberFormat="1" applyFont="1" applyFill="1" applyBorder="1"/>
    <xf numFmtId="44" fontId="48" fillId="6" borderId="6" xfId="2" applyFont="1" applyFill="1" applyBorder="1"/>
    <xf numFmtId="0" fontId="6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6" fillId="10" borderId="0" xfId="0" applyFont="1" applyFill="1" applyAlignment="1">
      <alignment horizontal="left" vertical="center"/>
    </xf>
    <xf numFmtId="0" fontId="54" fillId="8" borderId="0" xfId="0" applyFont="1" applyFill="1"/>
    <xf numFmtId="168" fontId="6" fillId="8" borderId="0" xfId="1" applyNumberFormat="1" applyFont="1" applyFill="1"/>
    <xf numFmtId="174" fontId="6" fillId="8" borderId="42" xfId="3" applyNumberFormat="1" applyFont="1" applyFill="1" applyBorder="1" applyAlignment="1">
      <alignment horizontal="center"/>
    </xf>
    <xf numFmtId="0" fontId="6" fillId="8" borderId="25" xfId="0" quotePrefix="1" applyFont="1" applyFill="1" applyBorder="1"/>
    <xf numFmtId="174" fontId="6" fillId="2" borderId="44" xfId="0" applyNumberFormat="1" applyFont="1" applyFill="1" applyBorder="1" applyAlignment="1">
      <alignment horizontal="center"/>
    </xf>
    <xf numFmtId="174" fontId="6" fillId="2" borderId="25" xfId="0" quotePrefix="1" applyNumberFormat="1" applyFont="1" applyFill="1" applyBorder="1"/>
    <xf numFmtId="10" fontId="6" fillId="2" borderId="25" xfId="0" quotePrefix="1" applyNumberFormat="1" applyFont="1" applyFill="1" applyBorder="1"/>
    <xf numFmtId="10" fontId="6" fillId="2" borderId="6" xfId="3" applyNumberFormat="1" applyFont="1" applyFill="1" applyBorder="1"/>
    <xf numFmtId="174" fontId="3" fillId="2" borderId="6" xfId="3" applyNumberFormat="1" applyFont="1" applyFill="1" applyBorder="1"/>
    <xf numFmtId="174" fontId="6" fillId="8" borderId="0" xfId="0" applyNumberFormat="1" applyFont="1" applyFill="1" applyAlignment="1">
      <alignment horizontal="center"/>
    </xf>
    <xf numFmtId="174" fontId="6" fillId="8" borderId="43" xfId="0" applyNumberFormat="1" applyFont="1" applyFill="1" applyBorder="1" applyAlignment="1">
      <alignment horizontal="center"/>
    </xf>
    <xf numFmtId="44" fontId="40" fillId="2" borderId="49" xfId="2" applyFont="1" applyFill="1" applyBorder="1" applyAlignment="1"/>
    <xf numFmtId="175" fontId="29" fillId="8" borderId="4" xfId="0" quotePrefix="1" applyNumberFormat="1" applyFont="1" applyFill="1" applyBorder="1" applyAlignment="1">
      <alignment horizontal="right"/>
    </xf>
    <xf numFmtId="170" fontId="22" fillId="8" borderId="34" xfId="0" applyNumberFormat="1" applyFont="1" applyFill="1" applyBorder="1" applyAlignment="1">
      <alignment horizontal="center" vertical="center"/>
    </xf>
    <xf numFmtId="170" fontId="22" fillId="8" borderId="34" xfId="0" applyNumberFormat="1" applyFont="1" applyFill="1" applyBorder="1" applyAlignment="1">
      <alignment horizontal="center"/>
    </xf>
    <xf numFmtId="170" fontId="22" fillId="8" borderId="35" xfId="0" applyNumberFormat="1" applyFont="1" applyFill="1" applyBorder="1" applyAlignment="1">
      <alignment horizontal="center"/>
    </xf>
    <xf numFmtId="170" fontId="22" fillId="8" borderId="39" xfId="0" applyNumberFormat="1" applyFont="1" applyFill="1" applyBorder="1" applyAlignment="1">
      <alignment horizontal="center"/>
    </xf>
    <xf numFmtId="170" fontId="23" fillId="8" borderId="22" xfId="0" applyNumberFormat="1" applyFont="1" applyFill="1" applyBorder="1" applyAlignment="1">
      <alignment horizontal="center"/>
    </xf>
    <xf numFmtId="0" fontId="0" fillId="12" borderId="0" xfId="0" quotePrefix="1" applyFill="1" applyAlignment="1">
      <alignment horizontal="left"/>
    </xf>
    <xf numFmtId="0" fontId="0" fillId="7" borderId="0" xfId="0" quotePrefix="1" applyFill="1" applyAlignment="1">
      <alignment horizontal="left"/>
    </xf>
    <xf numFmtId="0" fontId="0" fillId="14" borderId="0" xfId="0" quotePrefix="1" applyFill="1" applyAlignment="1">
      <alignment horizontal="left"/>
    </xf>
    <xf numFmtId="0" fontId="0" fillId="15" borderId="0" xfId="0" quotePrefix="1" applyFill="1" applyAlignment="1">
      <alignment horizontal="left"/>
    </xf>
    <xf numFmtId="168" fontId="9" fillId="0" borderId="0" xfId="1" applyNumberFormat="1" applyFont="1" applyFill="1" applyAlignment="1">
      <alignment horizontal="right" vertical="center" wrapText="1"/>
    </xf>
    <xf numFmtId="165" fontId="37" fillId="0" borderId="0" xfId="3" applyNumberFormat="1" applyFont="1" applyFill="1" applyAlignment="1">
      <alignment horizontal="right" vertical="center" wrapText="1"/>
    </xf>
    <xf numFmtId="168" fontId="11" fillId="0" borderId="0" xfId="1" applyNumberFormat="1" applyFont="1" applyFill="1" applyAlignment="1">
      <alignment horizontal="right" vertical="center" wrapText="1"/>
    </xf>
    <xf numFmtId="168" fontId="12" fillId="0" borderId="5" xfId="1" applyNumberFormat="1" applyFont="1" applyFill="1" applyBorder="1" applyAlignment="1">
      <alignment horizontal="right"/>
    </xf>
    <xf numFmtId="165" fontId="38" fillId="0" borderId="0" xfId="3" applyNumberFormat="1" applyFont="1" applyFill="1" applyBorder="1" applyAlignment="1">
      <alignment horizontal="right"/>
    </xf>
    <xf numFmtId="168" fontId="12" fillId="0" borderId="0" xfId="1" applyNumberFormat="1" applyFont="1" applyFill="1" applyBorder="1" applyAlignment="1">
      <alignment horizontal="right"/>
    </xf>
    <xf numFmtId="168" fontId="11" fillId="0" borderId="4" xfId="1" applyNumberFormat="1" applyFont="1" applyFill="1" applyBorder="1" applyAlignment="1">
      <alignment horizontal="right" vertical="center" wrapText="1"/>
    </xf>
    <xf numFmtId="168" fontId="9" fillId="0" borderId="2" xfId="1" applyNumberFormat="1" applyFont="1" applyFill="1" applyBorder="1" applyAlignment="1">
      <alignment horizontal="right" vertical="center" wrapText="1"/>
    </xf>
    <xf numFmtId="168" fontId="9" fillId="0" borderId="0" xfId="1" applyNumberFormat="1" applyFont="1" applyFill="1" applyBorder="1" applyAlignment="1">
      <alignment horizontal="right" vertical="center" wrapText="1"/>
    </xf>
    <xf numFmtId="168" fontId="11" fillId="0" borderId="0" xfId="1" applyNumberFormat="1" applyFont="1" applyFill="1" applyBorder="1" applyAlignment="1">
      <alignment horizontal="right" vertical="center" wrapText="1"/>
    </xf>
    <xf numFmtId="168" fontId="12" fillId="0" borderId="0" xfId="1" applyNumberFormat="1" applyFont="1" applyFill="1" applyAlignment="1">
      <alignment horizontal="right"/>
    </xf>
    <xf numFmtId="168" fontId="7" fillId="0" borderId="0" xfId="1" applyNumberFormat="1" applyFont="1" applyFill="1" applyBorder="1" applyAlignment="1">
      <alignment horizontal="right"/>
    </xf>
    <xf numFmtId="168" fontId="7" fillId="0" borderId="5" xfId="1" applyNumberFormat="1" applyFont="1" applyFill="1" applyBorder="1" applyAlignment="1">
      <alignment horizontal="right"/>
    </xf>
    <xf numFmtId="168" fontId="0" fillId="7" borderId="12" xfId="0" applyNumberFormat="1" applyFill="1" applyBorder="1"/>
    <xf numFmtId="168" fontId="0" fillId="7" borderId="20" xfId="1" applyNumberFormat="1" applyFont="1" applyFill="1" applyBorder="1"/>
    <xf numFmtId="168" fontId="0" fillId="7" borderId="17" xfId="0" applyNumberFormat="1" applyFill="1" applyBorder="1"/>
    <xf numFmtId="10" fontId="0" fillId="8" borderId="0" xfId="0" applyNumberFormat="1" applyFill="1"/>
    <xf numFmtId="0" fontId="56" fillId="0" borderId="6" xfId="0" applyFont="1" applyBorder="1" applyAlignment="1">
      <alignment vertical="center"/>
    </xf>
    <xf numFmtId="0" fontId="57" fillId="0" borderId="8" xfId="4" applyFont="1" applyBorder="1" applyAlignment="1">
      <alignment horizontal="left" vertical="center"/>
    </xf>
    <xf numFmtId="14" fontId="52" fillId="0" borderId="6" xfId="0" applyNumberFormat="1" applyFont="1" applyBorder="1" applyAlignment="1">
      <alignment horizontal="center" vertical="center"/>
    </xf>
    <xf numFmtId="44" fontId="47" fillId="0" borderId="20" xfId="2" applyFont="1" applyFill="1" applyBorder="1"/>
    <xf numFmtId="44" fontId="47" fillId="0" borderId="20" xfId="2" applyFont="1" applyBorder="1"/>
    <xf numFmtId="169" fontId="47" fillId="0" borderId="20" xfId="1" applyNumberFormat="1" applyFont="1" applyBorder="1"/>
    <xf numFmtId="43" fontId="47" fillId="0" borderId="12" xfId="1" applyFont="1" applyBorder="1"/>
    <xf numFmtId="44" fontId="40" fillId="8" borderId="22" xfId="2" applyFont="1" applyFill="1" applyBorder="1" applyAlignment="1">
      <alignment horizontal="center" vertical="center"/>
    </xf>
    <xf numFmtId="168" fontId="40" fillId="8" borderId="31" xfId="1" applyNumberFormat="1" applyFont="1" applyFill="1" applyBorder="1" applyAlignment="1">
      <alignment vertical="center"/>
    </xf>
    <xf numFmtId="0" fontId="40" fillId="10" borderId="59" xfId="0" applyFont="1" applyFill="1" applyBorder="1"/>
    <xf numFmtId="0" fontId="40" fillId="10" borderId="57" xfId="0" applyFont="1" applyFill="1" applyBorder="1" applyAlignment="1">
      <alignment horizontal="center" wrapText="1"/>
    </xf>
    <xf numFmtId="0" fontId="40" fillId="10" borderId="60" xfId="0" applyFont="1" applyFill="1" applyBorder="1"/>
    <xf numFmtId="14" fontId="40" fillId="10" borderId="61" xfId="0" applyNumberFormat="1" applyFont="1" applyFill="1" applyBorder="1" applyAlignment="1">
      <alignment horizont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59" xfId="0" applyFont="1" applyBorder="1" applyAlignment="1">
      <alignment horizontal="left" vertical="center" wrapText="1"/>
    </xf>
    <xf numFmtId="0" fontId="40" fillId="8" borderId="31" xfId="0" applyFont="1" applyFill="1" applyBorder="1" applyAlignment="1">
      <alignment horizontal="left" vertical="center" wrapText="1"/>
    </xf>
    <xf numFmtId="0" fontId="40" fillId="10" borderId="20" xfId="0" applyFont="1" applyFill="1" applyBorder="1" applyAlignment="1">
      <alignment horizontal="center"/>
    </xf>
    <xf numFmtId="0" fontId="40" fillId="10" borderId="62" xfId="0" applyFont="1" applyFill="1" applyBorder="1" applyAlignment="1">
      <alignment horizontal="center"/>
    </xf>
    <xf numFmtId="168" fontId="40" fillId="8" borderId="52" xfId="1" applyNumberFormat="1" applyFont="1" applyFill="1" applyBorder="1" applyAlignment="1">
      <alignment vertical="center"/>
    </xf>
    <xf numFmtId="0" fontId="40" fillId="10" borderId="20" xfId="0" applyFont="1" applyFill="1" applyBorder="1" applyAlignment="1">
      <alignment horizontal="center" wrapText="1"/>
    </xf>
    <xf numFmtId="14" fontId="40" fillId="10" borderId="62" xfId="0" applyNumberFormat="1" applyFont="1" applyFill="1" applyBorder="1" applyAlignment="1">
      <alignment horizontal="center" wrapText="1"/>
    </xf>
    <xf numFmtId="43" fontId="47" fillId="0" borderId="52" xfId="1" applyFont="1" applyBorder="1"/>
    <xf numFmtId="43" fontId="47" fillId="0" borderId="58" xfId="1" applyFont="1" applyBorder="1"/>
    <xf numFmtId="43" fontId="47" fillId="0" borderId="57" xfId="1" applyFont="1" applyBorder="1"/>
    <xf numFmtId="43" fontId="40" fillId="5" borderId="22" xfId="1" applyFont="1" applyFill="1" applyBorder="1"/>
    <xf numFmtId="43" fontId="40" fillId="5" borderId="25" xfId="1" applyFont="1" applyFill="1" applyBorder="1"/>
    <xf numFmtId="43" fontId="40" fillId="5" borderId="20" xfId="1" applyFont="1" applyFill="1" applyBorder="1"/>
    <xf numFmtId="43" fontId="47" fillId="0" borderId="25" xfId="1" applyFont="1" applyBorder="1"/>
    <xf numFmtId="43" fontId="47" fillId="0" borderId="20" xfId="1" applyFont="1" applyBorder="1"/>
    <xf numFmtId="8" fontId="32" fillId="8" borderId="0" xfId="0" applyNumberFormat="1" applyFont="1" applyFill="1"/>
    <xf numFmtId="0" fontId="46" fillId="10" borderId="5" xfId="0" applyFont="1" applyFill="1" applyBorder="1" applyAlignment="1">
      <alignment vertical="center"/>
    </xf>
    <xf numFmtId="0" fontId="46" fillId="10" borderId="62" xfId="0" applyFont="1" applyFill="1" applyBorder="1" applyAlignment="1">
      <alignment horizontal="center" vertical="center"/>
    </xf>
    <xf numFmtId="14" fontId="46" fillId="10" borderId="62" xfId="0" applyNumberFormat="1" applyFont="1" applyFill="1" applyBorder="1" applyAlignment="1">
      <alignment horizontal="center" vertical="center" wrapText="1"/>
    </xf>
    <xf numFmtId="14" fontId="46" fillId="10" borderId="60" xfId="0" applyNumberFormat="1" applyFont="1" applyFill="1" applyBorder="1" applyAlignment="1">
      <alignment horizontal="center" vertical="center" wrapText="1"/>
    </xf>
    <xf numFmtId="0" fontId="46" fillId="10" borderId="63" xfId="0" applyFont="1" applyFill="1" applyBorder="1" applyAlignment="1">
      <alignment vertical="center"/>
    </xf>
    <xf numFmtId="14" fontId="46" fillId="10" borderId="61" xfId="0" applyNumberFormat="1" applyFont="1" applyFill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center" vertical="center"/>
    </xf>
    <xf numFmtId="0" fontId="46" fillId="10" borderId="57" xfId="0" applyFont="1" applyFill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center" vertical="center" wrapText="1"/>
    </xf>
    <xf numFmtId="170" fontId="46" fillId="8" borderId="22" xfId="1" applyNumberFormat="1" applyFont="1" applyFill="1" applyBorder="1" applyAlignment="1">
      <alignment horizontal="center"/>
    </xf>
    <xf numFmtId="170" fontId="46" fillId="8" borderId="14" xfId="1" applyNumberFormat="1" applyFont="1" applyFill="1" applyBorder="1" applyAlignment="1">
      <alignment horizontal="center"/>
    </xf>
    <xf numFmtId="170" fontId="46" fillId="11" borderId="27" xfId="1" applyNumberFormat="1" applyFont="1" applyFill="1" applyBorder="1" applyAlignment="1">
      <alignment horizontal="center"/>
    </xf>
    <xf numFmtId="170" fontId="53" fillId="8" borderId="22" xfId="1" applyNumberFormat="1" applyFont="1" applyFill="1" applyBorder="1" applyAlignment="1">
      <alignment horizontal="center"/>
    </xf>
    <xf numFmtId="170" fontId="48" fillId="11" borderId="27" xfId="1" applyNumberFormat="1" applyFont="1" applyFill="1" applyBorder="1" applyAlignment="1">
      <alignment horizontal="center"/>
    </xf>
    <xf numFmtId="14" fontId="46" fillId="10" borderId="20" xfId="0" applyNumberFormat="1" applyFont="1" applyFill="1" applyBorder="1" applyAlignment="1">
      <alignment horizontal="center" vertical="center" wrapText="1"/>
    </xf>
    <xf numFmtId="1" fontId="6" fillId="10" borderId="7" xfId="0" quotePrefix="1" applyNumberFormat="1" applyFont="1" applyFill="1" applyBorder="1" applyAlignment="1">
      <alignment horizontal="center"/>
    </xf>
    <xf numFmtId="1" fontId="6" fillId="10" borderId="8" xfId="0" quotePrefix="1" applyNumberFormat="1" applyFont="1" applyFill="1" applyBorder="1" applyAlignment="1">
      <alignment horizontal="center"/>
    </xf>
    <xf numFmtId="1" fontId="6" fillId="10" borderId="41" xfId="0" quotePrefix="1" applyNumberFormat="1" applyFont="1" applyFill="1" applyBorder="1" applyAlignment="1">
      <alignment horizontal="center"/>
    </xf>
    <xf numFmtId="1" fontId="6" fillId="10" borderId="8" xfId="0" applyNumberFormat="1" applyFont="1" applyFill="1" applyBorder="1" applyAlignment="1">
      <alignment horizontal="center"/>
    </xf>
    <xf numFmtId="1" fontId="6" fillId="7" borderId="27" xfId="0" applyNumberFormat="1" applyFont="1" applyFill="1" applyBorder="1" applyAlignment="1">
      <alignment horizontal="center"/>
    </xf>
    <xf numFmtId="1" fontId="6" fillId="10" borderId="9" xfId="0" applyNumberFormat="1" applyFont="1" applyFill="1" applyBorder="1" applyAlignment="1">
      <alignment horizontal="center"/>
    </xf>
    <xf numFmtId="0" fontId="27" fillId="8" borderId="23" xfId="0" applyFont="1" applyFill="1" applyBorder="1" applyAlignment="1">
      <alignment horizontal="left" vertical="center" wrapText="1"/>
    </xf>
    <xf numFmtId="0" fontId="0" fillId="8" borderId="1" xfId="0" applyFill="1" applyBorder="1"/>
    <xf numFmtId="6" fontId="3" fillId="8" borderId="40" xfId="0" applyNumberFormat="1" applyFont="1" applyFill="1" applyBorder="1"/>
    <xf numFmtId="10" fontId="52" fillId="8" borderId="6" xfId="0" applyNumberFormat="1" applyFont="1" applyFill="1" applyBorder="1" applyAlignment="1">
      <alignment horizontal="center"/>
    </xf>
    <xf numFmtId="168" fontId="6" fillId="12" borderId="2" xfId="0" applyNumberFormat="1" applyFont="1" applyFill="1" applyBorder="1"/>
    <xf numFmtId="0" fontId="6" fillId="16" borderId="20" xfId="0" applyFont="1" applyFill="1" applyBorder="1" applyAlignment="1">
      <alignment horizontal="center"/>
    </xf>
    <xf numFmtId="10" fontId="6" fillId="15" borderId="2" xfId="0" applyNumberFormat="1" applyFont="1" applyFill="1" applyBorder="1"/>
    <xf numFmtId="165" fontId="22" fillId="0" borderId="0" xfId="3" applyNumberFormat="1" applyFont="1"/>
    <xf numFmtId="164" fontId="24" fillId="9" borderId="0" xfId="0" applyNumberFormat="1" applyFont="1" applyFill="1" applyAlignment="1">
      <alignment horizontal="center"/>
    </xf>
    <xf numFmtId="9" fontId="52" fillId="8" borderId="0" xfId="3" applyFont="1" applyFill="1" applyAlignment="1">
      <alignment horizontal="center"/>
    </xf>
    <xf numFmtId="164" fontId="24" fillId="9" borderId="0" xfId="0" applyNumberFormat="1" applyFont="1" applyFill="1" applyAlignment="1">
      <alignment horizontal="right"/>
    </xf>
    <xf numFmtId="3" fontId="0" fillId="0" borderId="0" xfId="0" applyNumberFormat="1" applyAlignment="1">
      <alignment horizontal="center"/>
    </xf>
    <xf numFmtId="8" fontId="0" fillId="0" borderId="0" xfId="0" applyNumberFormat="1"/>
    <xf numFmtId="176" fontId="0" fillId="0" borderId="0" xfId="1" applyNumberFormat="1" applyFont="1"/>
    <xf numFmtId="177" fontId="0" fillId="0" borderId="0" xfId="0" applyNumberFormat="1"/>
    <xf numFmtId="8" fontId="53" fillId="8" borderId="22" xfId="2" applyNumberFormat="1" applyFont="1" applyFill="1" applyBorder="1"/>
    <xf numFmtId="166" fontId="0" fillId="0" borderId="0" xfId="0" applyNumberFormat="1"/>
    <xf numFmtId="3" fontId="0" fillId="2" borderId="5" xfId="0" applyNumberFormat="1" applyFill="1" applyBorder="1" applyAlignment="1">
      <alignment horizontal="center"/>
    </xf>
    <xf numFmtId="3" fontId="0" fillId="2" borderId="64" xfId="0" applyNumberFormat="1" applyFill="1" applyBorder="1" applyAlignment="1">
      <alignment horizontal="center"/>
    </xf>
    <xf numFmtId="8" fontId="52" fillId="7" borderId="16" xfId="2" applyNumberFormat="1" applyFont="1" applyFill="1" applyBorder="1" applyAlignment="1"/>
    <xf numFmtId="0" fontId="3" fillId="8" borderId="10" xfId="0" applyFont="1" applyFill="1" applyBorder="1"/>
    <xf numFmtId="0" fontId="3" fillId="8" borderId="11" xfId="0" applyFont="1" applyFill="1" applyBorder="1"/>
    <xf numFmtId="0" fontId="3" fillId="8" borderId="55" xfId="0" applyFont="1" applyFill="1" applyBorder="1"/>
    <xf numFmtId="0" fontId="18" fillId="8" borderId="13" xfId="4" applyFill="1" applyBorder="1"/>
    <xf numFmtId="0" fontId="3" fillId="8" borderId="42" xfId="0" applyFont="1" applyFill="1" applyBorder="1"/>
    <xf numFmtId="0" fontId="3" fillId="8" borderId="23" xfId="0" applyFont="1" applyFill="1" applyBorder="1"/>
    <xf numFmtId="0" fontId="3" fillId="8" borderId="1" xfId="0" applyFont="1" applyFill="1" applyBorder="1"/>
    <xf numFmtId="0" fontId="3" fillId="8" borderId="24" xfId="0" applyFont="1" applyFill="1" applyBorder="1"/>
    <xf numFmtId="10" fontId="58" fillId="8" borderId="42" xfId="0" applyNumberFormat="1" applyFont="1" applyFill="1" applyBorder="1"/>
    <xf numFmtId="0" fontId="3" fillId="10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left" vertical="center"/>
    </xf>
    <xf numFmtId="8" fontId="0" fillId="8" borderId="0" xfId="0" applyNumberFormat="1" applyFill="1"/>
    <xf numFmtId="6" fontId="0" fillId="8" borderId="0" xfId="0" applyNumberFormat="1" applyFill="1"/>
    <xf numFmtId="6" fontId="0" fillId="8" borderId="2" xfId="0" applyNumberFormat="1" applyFill="1" applyBorder="1"/>
    <xf numFmtId="168" fontId="0" fillId="8" borderId="2" xfId="0" applyNumberFormat="1" applyFill="1" applyBorder="1"/>
    <xf numFmtId="9" fontId="0" fillId="8" borderId="0" xfId="3" applyFont="1" applyFill="1"/>
    <xf numFmtId="9" fontId="0" fillId="8" borderId="0" xfId="3" applyFont="1" applyFill="1" applyAlignment="1">
      <alignment horizontal="center"/>
    </xf>
    <xf numFmtId="9" fontId="0" fillId="8" borderId="2" xfId="3" applyFont="1" applyFill="1" applyBorder="1" applyAlignment="1">
      <alignment horizontal="center"/>
    </xf>
    <xf numFmtId="168" fontId="0" fillId="8" borderId="5" xfId="0" applyNumberFormat="1" applyFill="1" applyBorder="1"/>
    <xf numFmtId="9" fontId="0" fillId="2" borderId="2" xfId="0" applyNumberFormat="1" applyFill="1" applyBorder="1" applyAlignment="1">
      <alignment horizontal="center"/>
    </xf>
    <xf numFmtId="10" fontId="58" fillId="8" borderId="6" xfId="3" applyNumberFormat="1" applyFont="1" applyFill="1" applyBorder="1"/>
    <xf numFmtId="10" fontId="52" fillId="8" borderId="0" xfId="0" applyNumberFormat="1" applyFont="1" applyFill="1" applyAlignment="1">
      <alignment horizontal="center"/>
    </xf>
    <xf numFmtId="168" fontId="0" fillId="8" borderId="59" xfId="1" applyNumberFormat="1" applyFont="1" applyFill="1" applyBorder="1"/>
    <xf numFmtId="168" fontId="0" fillId="8" borderId="5" xfId="1" applyNumberFormat="1" applyFont="1" applyFill="1" applyBorder="1"/>
    <xf numFmtId="10" fontId="6" fillId="8" borderId="4" xfId="0" applyNumberFormat="1" applyFont="1" applyFill="1" applyBorder="1"/>
    <xf numFmtId="9" fontId="32" fillId="8" borderId="0" xfId="0" applyNumberFormat="1" applyFont="1" applyFill="1"/>
    <xf numFmtId="10" fontId="3" fillId="8" borderId="0" xfId="0" applyNumberFormat="1" applyFont="1" applyFill="1" applyAlignment="1">
      <alignment horizontal="center"/>
    </xf>
    <xf numFmtId="168" fontId="3" fillId="8" borderId="0" xfId="0" applyNumberFormat="1" applyFont="1" applyFill="1"/>
    <xf numFmtId="168" fontId="3" fillId="7" borderId="12" xfId="0" applyNumberFormat="1" applyFont="1" applyFill="1" applyBorder="1"/>
    <xf numFmtId="164" fontId="9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24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0" fillId="0" borderId="0" xfId="0"/>
    <xf numFmtId="0" fontId="0" fillId="0" borderId="51" xfId="0" applyBorder="1"/>
    <xf numFmtId="0" fontId="3" fillId="10" borderId="38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/>
    </xf>
    <xf numFmtId="0" fontId="22" fillId="8" borderId="25" xfId="0" applyFont="1" applyFill="1" applyBorder="1"/>
    <xf numFmtId="0" fontId="0" fillId="8" borderId="25" xfId="0" applyFill="1" applyBorder="1"/>
    <xf numFmtId="0" fontId="22" fillId="8" borderId="37" xfId="0" applyFont="1" applyFill="1" applyBorder="1"/>
    <xf numFmtId="0" fontId="0" fillId="8" borderId="37" xfId="0" applyFill="1" applyBorder="1"/>
    <xf numFmtId="0" fontId="22" fillId="8" borderId="25" xfId="0" applyFont="1" applyFill="1" applyBorder="1" applyAlignment="1">
      <alignment horizontal="left" wrapText="1"/>
    </xf>
    <xf numFmtId="0" fontId="6" fillId="10" borderId="26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vertical="center"/>
    </xf>
    <xf numFmtId="0" fontId="22" fillId="8" borderId="22" xfId="0" applyFont="1" applyFill="1" applyBorder="1" applyAlignment="1">
      <alignment horizontal="left" wrapText="1"/>
    </xf>
    <xf numFmtId="0" fontId="0" fillId="8" borderId="22" xfId="0" applyFill="1" applyBorder="1"/>
    <xf numFmtId="0" fontId="13" fillId="17" borderId="0" xfId="0" applyFont="1" applyFill="1" applyAlignment="1">
      <alignment horizontal="left" vertical="center"/>
    </xf>
    <xf numFmtId="164" fontId="12" fillId="17" borderId="0" xfId="0" applyNumberFormat="1" applyFont="1" applyFill="1" applyAlignment="1">
      <alignment horizontal="right"/>
    </xf>
    <xf numFmtId="164" fontId="12" fillId="17" borderId="4" xfId="0" applyNumberFormat="1" applyFont="1" applyFill="1" applyBorder="1" applyAlignment="1">
      <alignment horizontal="right"/>
    </xf>
    <xf numFmtId="164" fontId="12" fillId="17" borderId="5" xfId="0" applyNumberFormat="1" applyFont="1" applyFill="1" applyBorder="1" applyAlignment="1">
      <alignment horizontal="right"/>
    </xf>
    <xf numFmtId="164" fontId="7" fillId="17" borderId="2" xfId="0" applyNumberFormat="1" applyFont="1" applyFill="1" applyBorder="1" applyAlignment="1">
      <alignment horizontal="right"/>
    </xf>
    <xf numFmtId="164" fontId="29" fillId="17" borderId="4" xfId="0" quotePrefix="1" applyNumberFormat="1" applyFont="1" applyFill="1" applyBorder="1" applyAlignment="1">
      <alignment horizontal="right"/>
    </xf>
    <xf numFmtId="1" fontId="6" fillId="17" borderId="1" xfId="0" applyNumberFormat="1" applyFont="1" applyFill="1" applyBorder="1" applyAlignment="1">
      <alignment horizontal="right" vertical="center"/>
    </xf>
    <xf numFmtId="164" fontId="9" fillId="17" borderId="0" xfId="0" applyNumberFormat="1" applyFont="1" applyFill="1" applyAlignment="1">
      <alignment horizontal="right" vertical="center" wrapText="1"/>
    </xf>
    <xf numFmtId="164" fontId="11" fillId="17" borderId="0" xfId="0" applyNumberFormat="1" applyFont="1" applyFill="1" applyAlignment="1">
      <alignment horizontal="right" vertical="center" wrapText="1"/>
    </xf>
    <xf numFmtId="164" fontId="12" fillId="17" borderId="2" xfId="0" applyNumberFormat="1" applyFont="1" applyFill="1" applyBorder="1" applyAlignment="1">
      <alignment horizontal="right"/>
    </xf>
    <xf numFmtId="164" fontId="11" fillId="17" borderId="3" xfId="0" applyNumberFormat="1" applyFont="1" applyFill="1" applyBorder="1" applyAlignment="1">
      <alignment horizontal="right" vertical="center" wrapText="1"/>
    </xf>
    <xf numFmtId="164" fontId="11" fillId="17" borderId="4" xfId="0" applyNumberFormat="1" applyFont="1" applyFill="1" applyBorder="1" applyAlignment="1">
      <alignment horizontal="right" vertical="center" wrapText="1"/>
    </xf>
    <xf numFmtId="0" fontId="8" fillId="17" borderId="46" xfId="0" applyFont="1" applyFill="1" applyBorder="1" applyAlignment="1">
      <alignment horizontal="left" vertical="center"/>
    </xf>
    <xf numFmtId="175" fontId="29" fillId="17" borderId="4" xfId="0" quotePrefix="1" applyNumberFormat="1" applyFont="1" applyFill="1" applyBorder="1" applyAlignment="1">
      <alignment horizontal="right"/>
    </xf>
    <xf numFmtId="164" fontId="29" fillId="17" borderId="4" xfId="0" applyNumberFormat="1" applyFont="1" applyFill="1" applyBorder="1" applyAlignment="1">
      <alignment horizontal="right"/>
    </xf>
    <xf numFmtId="164" fontId="7" fillId="17" borderId="0" xfId="0" applyNumberFormat="1" applyFont="1" applyFill="1" applyAlignment="1">
      <alignment horizontal="right"/>
    </xf>
    <xf numFmtId="168" fontId="4" fillId="17" borderId="0" xfId="1" applyNumberFormat="1" applyFont="1" applyFill="1"/>
    <xf numFmtId="164" fontId="51" fillId="17" borderId="0" xfId="0" applyNumberFormat="1" applyFont="1" applyFill="1" applyAlignment="1">
      <alignment horizontal="right"/>
    </xf>
    <xf numFmtId="0" fontId="39" fillId="17" borderId="0" xfId="0" applyFont="1" applyFill="1" applyAlignment="1">
      <alignment horizontal="center"/>
    </xf>
    <xf numFmtId="0" fontId="4" fillId="17" borderId="0" xfId="0" applyFont="1" applyFill="1"/>
    <xf numFmtId="164" fontId="4" fillId="17" borderId="0" xfId="0" applyNumberFormat="1" applyFont="1" applyFill="1" applyAlignment="1">
      <alignment vertical="center"/>
    </xf>
    <xf numFmtId="165" fontId="12" fillId="17" borderId="0" xfId="3" applyNumberFormat="1" applyFont="1" applyFill="1" applyBorder="1" applyAlignment="1">
      <alignment horizontal="right"/>
    </xf>
    <xf numFmtId="166" fontId="12" fillId="17" borderId="0" xfId="0" applyNumberFormat="1" applyFont="1" applyFill="1" applyAlignment="1">
      <alignment horizontal="right"/>
    </xf>
    <xf numFmtId="167" fontId="12" fillId="17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Hyatt Stock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6110220989863"/>
          <c:y val="0.12671273445212242"/>
          <c:w val="0.85595488162263134"/>
          <c:h val="0.76217645871189177"/>
        </c:manualLayout>
      </c:layout>
      <c:lineChart>
        <c:grouping val="standard"/>
        <c:varyColors val="0"/>
        <c:ser>
          <c:idx val="0"/>
          <c:order val="0"/>
          <c:tx>
            <c:strRef>
              <c:f>'Technical Analysis'!$Q$21</c:f>
              <c:strCache>
                <c:ptCount val="1"/>
                <c:pt idx="0">
                  <c:v> Hyatt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'Technical Analysis'!$P$22:$P$73</c:f>
              <c:numCache>
                <c:formatCode>m/d/yyyy</c:formatCode>
                <c:ptCount val="52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</c:numCache>
            </c:numRef>
          </c:cat>
          <c:val>
            <c:numRef>
              <c:f>'Technical Analysis'!$Q$22:$Q$73</c:f>
              <c:numCache>
                <c:formatCode>_(* #,##0.00_);_(* \(#,##0.00\);_(* "-"??_);_(@_)</c:formatCode>
                <c:ptCount val="52"/>
                <c:pt idx="0">
                  <c:v>72.569999999999993</c:v>
                </c:pt>
                <c:pt idx="1">
                  <c:v>76.730002999999996</c:v>
                </c:pt>
                <c:pt idx="2">
                  <c:v>72.239998</c:v>
                </c:pt>
                <c:pt idx="3">
                  <c:v>76.129997000000003</c:v>
                </c:pt>
                <c:pt idx="4">
                  <c:v>77.349997999999999</c:v>
                </c:pt>
                <c:pt idx="5">
                  <c:v>72.150002000000001</c:v>
                </c:pt>
                <c:pt idx="6">
                  <c:v>73.669998000000007</c:v>
                </c:pt>
                <c:pt idx="7">
                  <c:v>74.739998</c:v>
                </c:pt>
                <c:pt idx="8">
                  <c:v>80.800003000000004</c:v>
                </c:pt>
                <c:pt idx="9">
                  <c:v>89.709998999999996</c:v>
                </c:pt>
                <c:pt idx="10">
                  <c:v>84.540001000000004</c:v>
                </c:pt>
                <c:pt idx="11">
                  <c:v>76.599997999999999</c:v>
                </c:pt>
                <c:pt idx="12">
                  <c:v>47.900002000000001</c:v>
                </c:pt>
                <c:pt idx="13">
                  <c:v>56.259998000000003</c:v>
                </c:pt>
                <c:pt idx="14">
                  <c:v>55.09</c:v>
                </c:pt>
                <c:pt idx="15">
                  <c:v>50.290000999999997</c:v>
                </c:pt>
                <c:pt idx="16">
                  <c:v>48</c:v>
                </c:pt>
                <c:pt idx="17">
                  <c:v>56.490001999999997</c:v>
                </c:pt>
                <c:pt idx="18">
                  <c:v>53.369999</c:v>
                </c:pt>
                <c:pt idx="19">
                  <c:v>55.139999000000003</c:v>
                </c:pt>
                <c:pt idx="20">
                  <c:v>71.970000999999996</c:v>
                </c:pt>
                <c:pt idx="21">
                  <c:v>74.25</c:v>
                </c:pt>
                <c:pt idx="22">
                  <c:v>65.660004000000001</c:v>
                </c:pt>
                <c:pt idx="23">
                  <c:v>87.949996999999996</c:v>
                </c:pt>
                <c:pt idx="24">
                  <c:v>82.699996999999996</c:v>
                </c:pt>
                <c:pt idx="25">
                  <c:v>82.330001999999993</c:v>
                </c:pt>
                <c:pt idx="26">
                  <c:v>78.080001999999993</c:v>
                </c:pt>
                <c:pt idx="27">
                  <c:v>77.639999000000003</c:v>
                </c:pt>
                <c:pt idx="28">
                  <c:v>79.870002999999997</c:v>
                </c:pt>
                <c:pt idx="29">
                  <c:v>73.589995999999999</c:v>
                </c:pt>
                <c:pt idx="30">
                  <c:v>77.099997999999999</c:v>
                </c:pt>
                <c:pt idx="31">
                  <c:v>85.199996999999996</c:v>
                </c:pt>
                <c:pt idx="32">
                  <c:v>78.769997000000004</c:v>
                </c:pt>
                <c:pt idx="33">
                  <c:v>95.900002000000001</c:v>
                </c:pt>
                <c:pt idx="34">
                  <c:v>91.610000999999997</c:v>
                </c:pt>
                <c:pt idx="35">
                  <c:v>97.110000999999997</c:v>
                </c:pt>
                <c:pt idx="36">
                  <c:v>95.449996999999996</c:v>
                </c:pt>
                <c:pt idx="37">
                  <c:v>94.959998999999996</c:v>
                </c:pt>
                <c:pt idx="38">
                  <c:v>88.389999000000003</c:v>
                </c:pt>
                <c:pt idx="39">
                  <c:v>73.910004000000001</c:v>
                </c:pt>
                <c:pt idx="40">
                  <c:v>82.75</c:v>
                </c:pt>
                <c:pt idx="41">
                  <c:v>89.620002999999997</c:v>
                </c:pt>
                <c:pt idx="42">
                  <c:v>80.959998999999996</c:v>
                </c:pt>
                <c:pt idx="43">
                  <c:v>94.209998999999996</c:v>
                </c:pt>
                <c:pt idx="44">
                  <c:v>100.32</c:v>
                </c:pt>
                <c:pt idx="45">
                  <c:v>90.449996999999996</c:v>
                </c:pt>
                <c:pt idx="46">
                  <c:v>109.120003</c:v>
                </c:pt>
                <c:pt idx="47">
                  <c:v>116.239998</c:v>
                </c:pt>
                <c:pt idx="48">
                  <c:v>111.790001</c:v>
                </c:pt>
                <c:pt idx="49">
                  <c:v>114.300003</c:v>
                </c:pt>
                <c:pt idx="50">
                  <c:v>107.480003</c:v>
                </c:pt>
                <c:pt idx="51">
                  <c:v>114.58000199999999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0-4D86-82F0-FAE26B44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392408"/>
        <c:axId val="492394704"/>
      </c:lineChart>
      <c:dateAx>
        <c:axId val="492392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94704"/>
        <c:crosses val="autoZero"/>
        <c:auto val="1"/>
        <c:lblOffset val="100"/>
        <c:baseTimeUnit val="days"/>
      </c:dateAx>
      <c:valAx>
        <c:axId val="49239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9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381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Hyatt</a:t>
            </a:r>
            <a:r>
              <a:rPr lang="en-US" baseline="0"/>
              <a:t> Vs S&amp;P500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'Technical Analysis'!$AA$21</c:f>
              <c:strCache>
                <c:ptCount val="1"/>
                <c:pt idx="0">
                  <c:v>Hyatt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'Technical Analysis'!$Z$22:$Z$73</c:f>
              <c:numCache>
                <c:formatCode>m/d/yyyy</c:formatCode>
                <c:ptCount val="52"/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</c:numCache>
            </c:numRef>
          </c:cat>
          <c:val>
            <c:numRef>
              <c:f>'Technical Analysis'!$AA$22:$AA$73</c:f>
              <c:numCache>
                <c:formatCode>0.0%</c:formatCode>
                <c:ptCount val="52"/>
                <c:pt idx="1">
                  <c:v>5.7324004409535778E-2</c:v>
                </c:pt>
                <c:pt idx="2">
                  <c:v>-1.1929358283004898E-3</c:v>
                </c:pt>
                <c:pt idx="3">
                  <c:v>5.2655335319215402E-2</c:v>
                </c:pt>
                <c:pt idx="4">
                  <c:v>6.8680569104526024E-2</c:v>
                </c:pt>
                <c:pt idx="5">
                  <c:v>1.4537283229658637E-3</c:v>
                </c:pt>
                <c:pt idx="6">
                  <c:v>2.2520893366149153E-2</c:v>
                </c:pt>
                <c:pt idx="7">
                  <c:v>3.7045123433319782E-2</c:v>
                </c:pt>
                <c:pt idx="8">
                  <c:v>0.11812627358266825</c:v>
                </c:pt>
                <c:pt idx="9">
                  <c:v>0.22839849721117478</c:v>
                </c:pt>
                <c:pt idx="10">
                  <c:v>0.17076837729555649</c:v>
                </c:pt>
                <c:pt idx="11">
                  <c:v>7.6848305068445866E-2</c:v>
                </c:pt>
                <c:pt idx="12">
                  <c:v>-0.29782528173765299</c:v>
                </c:pt>
                <c:pt idx="13">
                  <c:v>-0.12329510113348507</c:v>
                </c:pt>
                <c:pt idx="14">
                  <c:v>-0.1440913692030289</c:v>
                </c:pt>
                <c:pt idx="15">
                  <c:v>-0.23122150171346645</c:v>
                </c:pt>
                <c:pt idx="16">
                  <c:v>-0.27675741252006991</c:v>
                </c:pt>
                <c:pt idx="17">
                  <c:v>-9.9882370853403235E-2</c:v>
                </c:pt>
                <c:pt idx="18">
                  <c:v>-0.15511343634354069</c:v>
                </c:pt>
                <c:pt idx="19">
                  <c:v>-0.12194873645287729</c:v>
                </c:pt>
                <c:pt idx="20">
                  <c:v>0.1832743739066276</c:v>
                </c:pt>
                <c:pt idx="21">
                  <c:v>0.21495422618285587</c:v>
                </c:pt>
                <c:pt idx="22">
                  <c:v>9.9264044364674064E-2</c:v>
                </c:pt>
                <c:pt idx="23">
                  <c:v>0.43874000601706753</c:v>
                </c:pt>
                <c:pt idx="24">
                  <c:v>0.3790469965903589</c:v>
                </c:pt>
                <c:pt idx="25">
                  <c:v>0.37457305446917599</c:v>
                </c:pt>
                <c:pt idx="26">
                  <c:v>0.3229515325846023</c:v>
                </c:pt>
                <c:pt idx="27">
                  <c:v>0.31731624840517836</c:v>
                </c:pt>
                <c:pt idx="28">
                  <c:v>0.34603860838357026</c:v>
                </c:pt>
                <c:pt idx="29">
                  <c:v>0.26741075356803956</c:v>
                </c:pt>
                <c:pt idx="30">
                  <c:v>0.31510748125912402</c:v>
                </c:pt>
                <c:pt idx="31">
                  <c:v>0.42016583677295938</c:v>
                </c:pt>
                <c:pt idx="32">
                  <c:v>0.34469635054750802</c:v>
                </c:pt>
                <c:pt idx="33">
                  <c:v>0.56216500171427142</c:v>
                </c:pt>
                <c:pt idx="34">
                  <c:v>0.51743089420090549</c:v>
                </c:pt>
                <c:pt idx="35">
                  <c:v>0.57746800739774951</c:v>
                </c:pt>
                <c:pt idx="36">
                  <c:v>0.56037394928935758</c:v>
                </c:pt>
                <c:pt idx="37">
                  <c:v>0.55524039229196975</c:v>
                </c:pt>
                <c:pt idx="38">
                  <c:v>0.48605336544711908</c:v>
                </c:pt>
                <c:pt idx="39">
                  <c:v>0.32223398357338473</c:v>
                </c:pt>
                <c:pt idx="40">
                  <c:v>0.44183884788918149</c:v>
                </c:pt>
                <c:pt idx="41">
                  <c:v>0.52486003217921162</c:v>
                </c:pt>
                <c:pt idx="42">
                  <c:v>0.42822977431144515</c:v>
                </c:pt>
                <c:pt idx="43">
                  <c:v>0.59189084352662635</c:v>
                </c:pt>
                <c:pt idx="44">
                  <c:v>0.65674596575202826</c:v>
                </c:pt>
                <c:pt idx="45">
                  <c:v>0.55836076838360726</c:v>
                </c:pt>
                <c:pt idx="46">
                  <c:v>0.76477322409656867</c:v>
                </c:pt>
                <c:pt idx="47">
                  <c:v>0.83002244334374919</c:v>
                </c:pt>
                <c:pt idx="48">
                  <c:v>0.7917396054517527</c:v>
                </c:pt>
                <c:pt idx="49">
                  <c:v>0.81419243645226413</c:v>
                </c:pt>
                <c:pt idx="50">
                  <c:v>0.75452489646103593</c:v>
                </c:pt>
                <c:pt idx="51">
                  <c:v>0.8205836869506492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D-4EAE-AD26-4256C0394B1B}"/>
            </c:ext>
          </c:extLst>
        </c:ser>
        <c:ser>
          <c:idx val="1"/>
          <c:order val="1"/>
          <c:tx>
            <c:strRef>
              <c:f>'Technical Analysis'!$AB$21</c:f>
              <c:strCache>
                <c:ptCount val="1"/>
                <c:pt idx="0">
                  <c:v>S&amp;P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'Technical Analysis'!$Z$22:$Z$73</c:f>
              <c:numCache>
                <c:formatCode>m/d/yyyy</c:formatCode>
                <c:ptCount val="52"/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</c:numCache>
            </c:numRef>
          </c:cat>
          <c:val>
            <c:numRef>
              <c:f>'Technical Analysis'!$AB$22:$AB$73</c:f>
              <c:numCache>
                <c:formatCode>0.0%</c:formatCode>
                <c:ptCount val="52"/>
                <c:pt idx="1">
                  <c:v>4.0852370258510184E-2</c:v>
                </c:pt>
                <c:pt idx="2">
                  <c:v>-2.2918804156437544E-2</c:v>
                </c:pt>
                <c:pt idx="3">
                  <c:v>4.1490727243659875E-2</c:v>
                </c:pt>
                <c:pt idx="4">
                  <c:v>5.6610157277789619E-2</c:v>
                </c:pt>
                <c:pt idx="5">
                  <c:v>3.9866785334126909E-2</c:v>
                </c:pt>
                <c:pt idx="6">
                  <c:v>5.463846193778521E-2</c:v>
                </c:pt>
                <c:pt idx="7">
                  <c:v>7.6743116192430905E-2</c:v>
                </c:pt>
                <c:pt idx="8">
                  <c:v>0.1129413539881553</c:v>
                </c:pt>
                <c:pt idx="9">
                  <c:v>0.13696218389506776</c:v>
                </c:pt>
                <c:pt idx="10">
                  <c:v>0.13655836233893359</c:v>
                </c:pt>
                <c:pt idx="11">
                  <c:v>5.7392601828018863E-2</c:v>
                </c:pt>
                <c:pt idx="12">
                  <c:v>-7.2594600967255563E-2</c:v>
                </c:pt>
                <c:pt idx="13">
                  <c:v>5.438895286397627E-2</c:v>
                </c:pt>
                <c:pt idx="14">
                  <c:v>0.10203421407267266</c:v>
                </c:pt>
                <c:pt idx="15">
                  <c:v>0.1153096409492238</c:v>
                </c:pt>
                <c:pt idx="16">
                  <c:v>0.17420186070335308</c:v>
                </c:pt>
                <c:pt idx="17">
                  <c:v>0.24399853400901095</c:v>
                </c:pt>
                <c:pt idx="18">
                  <c:v>0.20271719914152164</c:v>
                </c:pt>
                <c:pt idx="19">
                  <c:v>0.17778362206846376</c:v>
                </c:pt>
                <c:pt idx="20">
                  <c:v>0.28656045804876784</c:v>
                </c:pt>
                <c:pt idx="21">
                  <c:v>0.31920700023871718</c:v>
                </c:pt>
                <c:pt idx="22">
                  <c:v>0.30901657029047747</c:v>
                </c:pt>
                <c:pt idx="23">
                  <c:v>0.33682206061760911</c:v>
                </c:pt>
                <c:pt idx="24">
                  <c:v>0.37880860659983173</c:v>
                </c:pt>
                <c:pt idx="25">
                  <c:v>0.43171906426853179</c:v>
                </c:pt>
                <c:pt idx="26">
                  <c:v>0.43828513443098771</c:v>
                </c:pt>
                <c:pt idx="27">
                  <c:v>0.45737852750821717</c:v>
                </c:pt>
                <c:pt idx="28">
                  <c:v>0.48179102119794526</c:v>
                </c:pt>
                <c:pt idx="29">
                  <c:v>0.51155086179998754</c:v>
                </c:pt>
                <c:pt idx="30">
                  <c:v>0.46190079735827405</c:v>
                </c:pt>
                <c:pt idx="31">
                  <c:v>0.5320643429320886</c:v>
                </c:pt>
                <c:pt idx="32">
                  <c:v>0.52402949916507713</c:v>
                </c:pt>
                <c:pt idx="33">
                  <c:v>0.56661443437705761</c:v>
                </c:pt>
                <c:pt idx="34">
                  <c:v>0.51387317727188808</c:v>
                </c:pt>
                <c:pt idx="35">
                  <c:v>0.48435616524296676</c:v>
                </c:pt>
                <c:pt idx="36">
                  <c:v>0.51873312016616324</c:v>
                </c:pt>
                <c:pt idx="37">
                  <c:v>0.43096407029577033</c:v>
                </c:pt>
                <c:pt idx="38">
                  <c:v>0.43322133485887726</c:v>
                </c:pt>
                <c:pt idx="39">
                  <c:v>0.34681445329336202</c:v>
                </c:pt>
                <c:pt idx="40">
                  <c:v>0.43890190193484646</c:v>
                </c:pt>
                <c:pt idx="41">
                  <c:v>0.39809994701356322</c:v>
                </c:pt>
                <c:pt idx="42">
                  <c:v>0.30194123282481122</c:v>
                </c:pt>
                <c:pt idx="43">
                  <c:v>0.38321677616130478</c:v>
                </c:pt>
                <c:pt idx="44">
                  <c:v>0.43880830020346773</c:v>
                </c:pt>
                <c:pt idx="45">
                  <c:v>0.37687246711489131</c:v>
                </c:pt>
                <c:pt idx="46">
                  <c:v>0.43975984111853017</c:v>
                </c:pt>
                <c:pt idx="47">
                  <c:v>0.41461715089162998</c:v>
                </c:pt>
                <c:pt idx="48">
                  <c:v>0.44775197315138804</c:v>
                </c:pt>
                <c:pt idx="49">
                  <c:v>0.46372690600362187</c:v>
                </c:pt>
                <c:pt idx="50">
                  <c:v>0.46834309870987856</c:v>
                </c:pt>
                <c:pt idx="51">
                  <c:v>0.52920224106920644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D-4EAE-AD26-4256C039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460728"/>
        <c:axId val="891461384"/>
      </c:lineChart>
      <c:dateAx>
        <c:axId val="891460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91461384"/>
        <c:crosses val="autoZero"/>
        <c:auto val="1"/>
        <c:lblOffset val="100"/>
        <c:baseTimeUnit val="days"/>
      </c:dateAx>
      <c:valAx>
        <c:axId val="89146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46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461010</xdr:colOff>
      <xdr:row>108</xdr:row>
      <xdr:rowOff>83820</xdr:rowOff>
    </xdr:from>
    <xdr:to>
      <xdr:col>9</xdr:col>
      <xdr:colOff>461010</xdr:colOff>
      <xdr:row>111</xdr:row>
      <xdr:rowOff>110490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7B74A0F0-9FF4-42E9-A731-DED3C036BAE5}"/>
            </a:ext>
          </a:extLst>
        </xdr:cNvPr>
        <xdr:cNvSpPr>
          <a:spLocks noChangeShapeType="1"/>
        </xdr:cNvSpPr>
      </xdr:nvSpPr>
      <xdr:spPr bwMode="auto">
        <a:xfrm flipV="1">
          <a:off x="10333143" y="19430153"/>
          <a:ext cx="0" cy="4881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</xdr:colOff>
      <xdr:row>111</xdr:row>
      <xdr:rowOff>91440</xdr:rowOff>
    </xdr:from>
    <xdr:to>
      <xdr:col>9</xdr:col>
      <xdr:colOff>472440</xdr:colOff>
      <xdr:row>111</xdr:row>
      <xdr:rowOff>91440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40D317B4-EB82-489E-B533-433A3A5C8E67}"/>
            </a:ext>
          </a:extLst>
        </xdr:cNvPr>
        <xdr:cNvSpPr>
          <a:spLocks noChangeShapeType="1"/>
        </xdr:cNvSpPr>
      </xdr:nvSpPr>
      <xdr:spPr bwMode="auto">
        <a:xfrm>
          <a:off x="9883563" y="19899207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85725</xdr:rowOff>
    </xdr:from>
    <xdr:to>
      <xdr:col>4</xdr:col>
      <xdr:colOff>428625</xdr:colOff>
      <xdr:row>117</xdr:row>
      <xdr:rowOff>123825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E7B44DC7-CE04-751D-A674-6531FF6E41ED}"/>
            </a:ext>
          </a:extLst>
        </xdr:cNvPr>
        <xdr:cNvCxnSpPr/>
      </xdr:nvCxnSpPr>
      <xdr:spPr>
        <a:xfrm>
          <a:off x="5133975" y="20850225"/>
          <a:ext cx="428625" cy="238125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461010</xdr:colOff>
      <xdr:row>160</xdr:row>
      <xdr:rowOff>83820</xdr:rowOff>
    </xdr:from>
    <xdr:to>
      <xdr:col>9</xdr:col>
      <xdr:colOff>461010</xdr:colOff>
      <xdr:row>163</xdr:row>
      <xdr:rowOff>110490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340190EC-562F-4D44-BA5D-6FEC2D0B07AA}"/>
            </a:ext>
          </a:extLst>
        </xdr:cNvPr>
        <xdr:cNvSpPr>
          <a:spLocks noChangeShapeType="1"/>
        </xdr:cNvSpPr>
      </xdr:nvSpPr>
      <xdr:spPr bwMode="auto">
        <a:xfrm flipV="1">
          <a:off x="9839960" y="19972020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</xdr:colOff>
      <xdr:row>163</xdr:row>
      <xdr:rowOff>91440</xdr:rowOff>
    </xdr:from>
    <xdr:to>
      <xdr:col>9</xdr:col>
      <xdr:colOff>472440</xdr:colOff>
      <xdr:row>163</xdr:row>
      <xdr:rowOff>91440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271F46E8-851D-4097-AA3C-D5224A77B775}"/>
            </a:ext>
          </a:extLst>
        </xdr:cNvPr>
        <xdr:cNvSpPr>
          <a:spLocks noChangeShapeType="1"/>
        </xdr:cNvSpPr>
      </xdr:nvSpPr>
      <xdr:spPr bwMode="auto">
        <a:xfrm>
          <a:off x="9390380" y="2044954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171</xdr:row>
      <xdr:rowOff>85725</xdr:rowOff>
    </xdr:from>
    <xdr:to>
      <xdr:col>4</xdr:col>
      <xdr:colOff>428625</xdr:colOff>
      <xdr:row>172</xdr:row>
      <xdr:rowOff>123825</xdr:rowOff>
    </xdr:to>
    <xdr:cxnSp macro="">
      <xdr:nvCxnSpPr>
        <xdr:cNvPr id="5" name="Connector: Elbow 4">
          <a:extLst>
            <a:ext uri="{FF2B5EF4-FFF2-40B4-BE49-F238E27FC236}">
              <a16:creationId xmlns:a16="http://schemas.microsoft.com/office/drawing/2014/main" id="{BFA20990-9D82-4C95-91A6-C792B948EEF6}"/>
            </a:ext>
          </a:extLst>
        </xdr:cNvPr>
        <xdr:cNvCxnSpPr/>
      </xdr:nvCxnSpPr>
      <xdr:spPr>
        <a:xfrm>
          <a:off x="4972050" y="21402675"/>
          <a:ext cx="428625" cy="234950"/>
        </a:xfrm>
        <a:prstGeom prst="bent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64559</xdr:colOff>
      <xdr:row>1</xdr:row>
      <xdr:rowOff>96309</xdr:rowOff>
    </xdr:from>
    <xdr:to>
      <xdr:col>8</xdr:col>
      <xdr:colOff>20108</xdr:colOff>
      <xdr:row>16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C1B748-556C-4553-B86F-459036469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65617</xdr:colOff>
      <xdr:row>1</xdr:row>
      <xdr:rowOff>95250</xdr:rowOff>
    </xdr:from>
    <xdr:to>
      <xdr:col>15</xdr:col>
      <xdr:colOff>666750</xdr:colOff>
      <xdr:row>16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E1FC95E-5764-40C4-9D57-3A8355B7C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ance.yahoo.com/quote/H/analysis" TargetMode="External"/><Relationship Id="rId1" Type="http://schemas.openxmlformats.org/officeDocument/2006/relationships/hyperlink" Target="https://finance.yahoo.com/quote/H?p=H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DBC5-E6C8-40C2-8C13-3227A2C3EF8C}">
  <sheetPr>
    <tabColor rgb="FF0066FF"/>
  </sheetPr>
  <dimension ref="B1:T174"/>
  <sheetViews>
    <sheetView showGridLines="0" tabSelected="1" zoomScale="120" zoomScaleNormal="120" workbookViewId="0"/>
  </sheetViews>
  <sheetFormatPr defaultColWidth="24.42578125" defaultRowHeight="12.75"/>
  <cols>
    <col min="1" max="1" width="3.85546875" style="1" customWidth="1"/>
    <col min="2" max="2" width="31.28515625" style="10" customWidth="1"/>
    <col min="3" max="3" width="11.42578125" style="10" customWidth="1"/>
    <col min="4" max="4" width="9.42578125" style="10" customWidth="1"/>
    <col min="5" max="5" width="11.140625" style="3" customWidth="1"/>
    <col min="6" max="8" width="9.5703125" style="3" bestFit="1" customWidth="1"/>
    <col min="9" max="9" width="9" style="4" bestFit="1" customWidth="1"/>
    <col min="10" max="11" width="9" style="1" bestFit="1" customWidth="1"/>
    <col min="12" max="12" width="9" style="74" bestFit="1" customWidth="1"/>
    <col min="13" max="13" width="9.5703125" style="1" customWidth="1"/>
    <col min="14" max="19" width="10.28515625" style="1" customWidth="1"/>
    <col min="20" max="20" width="12.7109375" style="1" customWidth="1"/>
    <col min="21" max="262" width="24.42578125" style="1"/>
    <col min="263" max="263" width="3.85546875" style="1" customWidth="1"/>
    <col min="264" max="264" width="32.28515625" style="1" customWidth="1"/>
    <col min="265" max="268" width="13.85546875" style="1" customWidth="1"/>
    <col min="269" max="272" width="7.5703125" style="1" customWidth="1"/>
    <col min="273" max="518" width="24.42578125" style="1"/>
    <col min="519" max="519" width="3.85546875" style="1" customWidth="1"/>
    <col min="520" max="520" width="32.28515625" style="1" customWidth="1"/>
    <col min="521" max="524" width="13.85546875" style="1" customWidth="1"/>
    <col min="525" max="528" width="7.5703125" style="1" customWidth="1"/>
    <col min="529" max="774" width="24.42578125" style="1"/>
    <col min="775" max="775" width="3.85546875" style="1" customWidth="1"/>
    <col min="776" max="776" width="32.28515625" style="1" customWidth="1"/>
    <col min="777" max="780" width="13.85546875" style="1" customWidth="1"/>
    <col min="781" max="784" width="7.5703125" style="1" customWidth="1"/>
    <col min="785" max="1030" width="24.42578125" style="1"/>
    <col min="1031" max="1031" width="3.85546875" style="1" customWidth="1"/>
    <col min="1032" max="1032" width="32.28515625" style="1" customWidth="1"/>
    <col min="1033" max="1036" width="13.85546875" style="1" customWidth="1"/>
    <col min="1037" max="1040" width="7.5703125" style="1" customWidth="1"/>
    <col min="1041" max="1286" width="24.42578125" style="1"/>
    <col min="1287" max="1287" width="3.85546875" style="1" customWidth="1"/>
    <col min="1288" max="1288" width="32.28515625" style="1" customWidth="1"/>
    <col min="1289" max="1292" width="13.85546875" style="1" customWidth="1"/>
    <col min="1293" max="1296" width="7.5703125" style="1" customWidth="1"/>
    <col min="1297" max="1542" width="24.42578125" style="1"/>
    <col min="1543" max="1543" width="3.85546875" style="1" customWidth="1"/>
    <col min="1544" max="1544" width="32.28515625" style="1" customWidth="1"/>
    <col min="1545" max="1548" width="13.85546875" style="1" customWidth="1"/>
    <col min="1549" max="1552" width="7.5703125" style="1" customWidth="1"/>
    <col min="1553" max="1798" width="24.42578125" style="1"/>
    <col min="1799" max="1799" width="3.85546875" style="1" customWidth="1"/>
    <col min="1800" max="1800" width="32.28515625" style="1" customWidth="1"/>
    <col min="1801" max="1804" width="13.85546875" style="1" customWidth="1"/>
    <col min="1805" max="1808" width="7.5703125" style="1" customWidth="1"/>
    <col min="1809" max="2054" width="24.42578125" style="1"/>
    <col min="2055" max="2055" width="3.85546875" style="1" customWidth="1"/>
    <col min="2056" max="2056" width="32.28515625" style="1" customWidth="1"/>
    <col min="2057" max="2060" width="13.85546875" style="1" customWidth="1"/>
    <col min="2061" max="2064" width="7.5703125" style="1" customWidth="1"/>
    <col min="2065" max="2310" width="24.42578125" style="1"/>
    <col min="2311" max="2311" width="3.85546875" style="1" customWidth="1"/>
    <col min="2312" max="2312" width="32.28515625" style="1" customWidth="1"/>
    <col min="2313" max="2316" width="13.85546875" style="1" customWidth="1"/>
    <col min="2317" max="2320" width="7.5703125" style="1" customWidth="1"/>
    <col min="2321" max="2566" width="24.42578125" style="1"/>
    <col min="2567" max="2567" width="3.85546875" style="1" customWidth="1"/>
    <col min="2568" max="2568" width="32.28515625" style="1" customWidth="1"/>
    <col min="2569" max="2572" width="13.85546875" style="1" customWidth="1"/>
    <col min="2573" max="2576" width="7.5703125" style="1" customWidth="1"/>
    <col min="2577" max="2822" width="24.42578125" style="1"/>
    <col min="2823" max="2823" width="3.85546875" style="1" customWidth="1"/>
    <col min="2824" max="2824" width="32.28515625" style="1" customWidth="1"/>
    <col min="2825" max="2828" width="13.85546875" style="1" customWidth="1"/>
    <col min="2829" max="2832" width="7.5703125" style="1" customWidth="1"/>
    <col min="2833" max="3078" width="24.42578125" style="1"/>
    <col min="3079" max="3079" width="3.85546875" style="1" customWidth="1"/>
    <col min="3080" max="3080" width="32.28515625" style="1" customWidth="1"/>
    <col min="3081" max="3084" width="13.85546875" style="1" customWidth="1"/>
    <col min="3085" max="3088" width="7.5703125" style="1" customWidth="1"/>
    <col min="3089" max="3334" width="24.42578125" style="1"/>
    <col min="3335" max="3335" width="3.85546875" style="1" customWidth="1"/>
    <col min="3336" max="3336" width="32.28515625" style="1" customWidth="1"/>
    <col min="3337" max="3340" width="13.85546875" style="1" customWidth="1"/>
    <col min="3341" max="3344" width="7.5703125" style="1" customWidth="1"/>
    <col min="3345" max="3590" width="24.42578125" style="1"/>
    <col min="3591" max="3591" width="3.85546875" style="1" customWidth="1"/>
    <col min="3592" max="3592" width="32.28515625" style="1" customWidth="1"/>
    <col min="3593" max="3596" width="13.85546875" style="1" customWidth="1"/>
    <col min="3597" max="3600" width="7.5703125" style="1" customWidth="1"/>
    <col min="3601" max="3846" width="24.42578125" style="1"/>
    <col min="3847" max="3847" width="3.85546875" style="1" customWidth="1"/>
    <col min="3848" max="3848" width="32.28515625" style="1" customWidth="1"/>
    <col min="3849" max="3852" width="13.85546875" style="1" customWidth="1"/>
    <col min="3853" max="3856" width="7.5703125" style="1" customWidth="1"/>
    <col min="3857" max="4102" width="24.42578125" style="1"/>
    <col min="4103" max="4103" width="3.85546875" style="1" customWidth="1"/>
    <col min="4104" max="4104" width="32.28515625" style="1" customWidth="1"/>
    <col min="4105" max="4108" width="13.85546875" style="1" customWidth="1"/>
    <col min="4109" max="4112" width="7.5703125" style="1" customWidth="1"/>
    <col min="4113" max="4358" width="24.42578125" style="1"/>
    <col min="4359" max="4359" width="3.85546875" style="1" customWidth="1"/>
    <col min="4360" max="4360" width="32.28515625" style="1" customWidth="1"/>
    <col min="4361" max="4364" width="13.85546875" style="1" customWidth="1"/>
    <col min="4365" max="4368" width="7.5703125" style="1" customWidth="1"/>
    <col min="4369" max="4614" width="24.42578125" style="1"/>
    <col min="4615" max="4615" width="3.85546875" style="1" customWidth="1"/>
    <col min="4616" max="4616" width="32.28515625" style="1" customWidth="1"/>
    <col min="4617" max="4620" width="13.85546875" style="1" customWidth="1"/>
    <col min="4621" max="4624" width="7.5703125" style="1" customWidth="1"/>
    <col min="4625" max="4870" width="24.42578125" style="1"/>
    <col min="4871" max="4871" width="3.85546875" style="1" customWidth="1"/>
    <col min="4872" max="4872" width="32.28515625" style="1" customWidth="1"/>
    <col min="4873" max="4876" width="13.85546875" style="1" customWidth="1"/>
    <col min="4877" max="4880" width="7.5703125" style="1" customWidth="1"/>
    <col min="4881" max="5126" width="24.42578125" style="1"/>
    <col min="5127" max="5127" width="3.85546875" style="1" customWidth="1"/>
    <col min="5128" max="5128" width="32.28515625" style="1" customWidth="1"/>
    <col min="5129" max="5132" width="13.85546875" style="1" customWidth="1"/>
    <col min="5133" max="5136" width="7.5703125" style="1" customWidth="1"/>
    <col min="5137" max="5382" width="24.42578125" style="1"/>
    <col min="5383" max="5383" width="3.85546875" style="1" customWidth="1"/>
    <col min="5384" max="5384" width="32.28515625" style="1" customWidth="1"/>
    <col min="5385" max="5388" width="13.85546875" style="1" customWidth="1"/>
    <col min="5389" max="5392" width="7.5703125" style="1" customWidth="1"/>
    <col min="5393" max="5638" width="24.42578125" style="1"/>
    <col min="5639" max="5639" width="3.85546875" style="1" customWidth="1"/>
    <col min="5640" max="5640" width="32.28515625" style="1" customWidth="1"/>
    <col min="5641" max="5644" width="13.85546875" style="1" customWidth="1"/>
    <col min="5645" max="5648" width="7.5703125" style="1" customWidth="1"/>
    <col min="5649" max="5894" width="24.42578125" style="1"/>
    <col min="5895" max="5895" width="3.85546875" style="1" customWidth="1"/>
    <col min="5896" max="5896" width="32.28515625" style="1" customWidth="1"/>
    <col min="5897" max="5900" width="13.85546875" style="1" customWidth="1"/>
    <col min="5901" max="5904" width="7.5703125" style="1" customWidth="1"/>
    <col min="5905" max="6150" width="24.42578125" style="1"/>
    <col min="6151" max="6151" width="3.85546875" style="1" customWidth="1"/>
    <col min="6152" max="6152" width="32.28515625" style="1" customWidth="1"/>
    <col min="6153" max="6156" width="13.85546875" style="1" customWidth="1"/>
    <col min="6157" max="6160" width="7.5703125" style="1" customWidth="1"/>
    <col min="6161" max="6406" width="24.42578125" style="1"/>
    <col min="6407" max="6407" width="3.85546875" style="1" customWidth="1"/>
    <col min="6408" max="6408" width="32.28515625" style="1" customWidth="1"/>
    <col min="6409" max="6412" width="13.85546875" style="1" customWidth="1"/>
    <col min="6413" max="6416" width="7.5703125" style="1" customWidth="1"/>
    <col min="6417" max="6662" width="24.42578125" style="1"/>
    <col min="6663" max="6663" width="3.85546875" style="1" customWidth="1"/>
    <col min="6664" max="6664" width="32.28515625" style="1" customWidth="1"/>
    <col min="6665" max="6668" width="13.85546875" style="1" customWidth="1"/>
    <col min="6669" max="6672" width="7.5703125" style="1" customWidth="1"/>
    <col min="6673" max="6918" width="24.42578125" style="1"/>
    <col min="6919" max="6919" width="3.85546875" style="1" customWidth="1"/>
    <col min="6920" max="6920" width="32.28515625" style="1" customWidth="1"/>
    <col min="6921" max="6924" width="13.85546875" style="1" customWidth="1"/>
    <col min="6925" max="6928" width="7.5703125" style="1" customWidth="1"/>
    <col min="6929" max="7174" width="24.42578125" style="1"/>
    <col min="7175" max="7175" width="3.85546875" style="1" customWidth="1"/>
    <col min="7176" max="7176" width="32.28515625" style="1" customWidth="1"/>
    <col min="7177" max="7180" width="13.85546875" style="1" customWidth="1"/>
    <col min="7181" max="7184" width="7.5703125" style="1" customWidth="1"/>
    <col min="7185" max="7430" width="24.42578125" style="1"/>
    <col min="7431" max="7431" width="3.85546875" style="1" customWidth="1"/>
    <col min="7432" max="7432" width="32.28515625" style="1" customWidth="1"/>
    <col min="7433" max="7436" width="13.85546875" style="1" customWidth="1"/>
    <col min="7437" max="7440" width="7.5703125" style="1" customWidth="1"/>
    <col min="7441" max="7686" width="24.42578125" style="1"/>
    <col min="7687" max="7687" width="3.85546875" style="1" customWidth="1"/>
    <col min="7688" max="7688" width="32.28515625" style="1" customWidth="1"/>
    <col min="7689" max="7692" width="13.85546875" style="1" customWidth="1"/>
    <col min="7693" max="7696" width="7.5703125" style="1" customWidth="1"/>
    <col min="7697" max="7942" width="24.42578125" style="1"/>
    <col min="7943" max="7943" width="3.85546875" style="1" customWidth="1"/>
    <col min="7944" max="7944" width="32.28515625" style="1" customWidth="1"/>
    <col min="7945" max="7948" width="13.85546875" style="1" customWidth="1"/>
    <col min="7949" max="7952" width="7.5703125" style="1" customWidth="1"/>
    <col min="7953" max="8198" width="24.42578125" style="1"/>
    <col min="8199" max="8199" width="3.85546875" style="1" customWidth="1"/>
    <col min="8200" max="8200" width="32.28515625" style="1" customWidth="1"/>
    <col min="8201" max="8204" width="13.85546875" style="1" customWidth="1"/>
    <col min="8205" max="8208" width="7.5703125" style="1" customWidth="1"/>
    <col min="8209" max="8454" width="24.42578125" style="1"/>
    <col min="8455" max="8455" width="3.85546875" style="1" customWidth="1"/>
    <col min="8456" max="8456" width="32.28515625" style="1" customWidth="1"/>
    <col min="8457" max="8460" width="13.85546875" style="1" customWidth="1"/>
    <col min="8461" max="8464" width="7.5703125" style="1" customWidth="1"/>
    <col min="8465" max="8710" width="24.42578125" style="1"/>
    <col min="8711" max="8711" width="3.85546875" style="1" customWidth="1"/>
    <col min="8712" max="8712" width="32.28515625" style="1" customWidth="1"/>
    <col min="8713" max="8716" width="13.85546875" style="1" customWidth="1"/>
    <col min="8717" max="8720" width="7.5703125" style="1" customWidth="1"/>
    <col min="8721" max="8966" width="24.42578125" style="1"/>
    <col min="8967" max="8967" width="3.85546875" style="1" customWidth="1"/>
    <col min="8968" max="8968" width="32.28515625" style="1" customWidth="1"/>
    <col min="8969" max="8972" width="13.85546875" style="1" customWidth="1"/>
    <col min="8973" max="8976" width="7.5703125" style="1" customWidth="1"/>
    <col min="8977" max="9222" width="24.42578125" style="1"/>
    <col min="9223" max="9223" width="3.85546875" style="1" customWidth="1"/>
    <col min="9224" max="9224" width="32.28515625" style="1" customWidth="1"/>
    <col min="9225" max="9228" width="13.85546875" style="1" customWidth="1"/>
    <col min="9229" max="9232" width="7.5703125" style="1" customWidth="1"/>
    <col min="9233" max="9478" width="24.42578125" style="1"/>
    <col min="9479" max="9479" width="3.85546875" style="1" customWidth="1"/>
    <col min="9480" max="9480" width="32.28515625" style="1" customWidth="1"/>
    <col min="9481" max="9484" width="13.85546875" style="1" customWidth="1"/>
    <col min="9485" max="9488" width="7.5703125" style="1" customWidth="1"/>
    <col min="9489" max="9734" width="24.42578125" style="1"/>
    <col min="9735" max="9735" width="3.85546875" style="1" customWidth="1"/>
    <col min="9736" max="9736" width="32.28515625" style="1" customWidth="1"/>
    <col min="9737" max="9740" width="13.85546875" style="1" customWidth="1"/>
    <col min="9741" max="9744" width="7.5703125" style="1" customWidth="1"/>
    <col min="9745" max="9990" width="24.42578125" style="1"/>
    <col min="9991" max="9991" width="3.85546875" style="1" customWidth="1"/>
    <col min="9992" max="9992" width="32.28515625" style="1" customWidth="1"/>
    <col min="9993" max="9996" width="13.85546875" style="1" customWidth="1"/>
    <col min="9997" max="10000" width="7.5703125" style="1" customWidth="1"/>
    <col min="10001" max="10246" width="24.42578125" style="1"/>
    <col min="10247" max="10247" width="3.85546875" style="1" customWidth="1"/>
    <col min="10248" max="10248" width="32.28515625" style="1" customWidth="1"/>
    <col min="10249" max="10252" width="13.85546875" style="1" customWidth="1"/>
    <col min="10253" max="10256" width="7.5703125" style="1" customWidth="1"/>
    <col min="10257" max="10502" width="24.42578125" style="1"/>
    <col min="10503" max="10503" width="3.85546875" style="1" customWidth="1"/>
    <col min="10504" max="10504" width="32.28515625" style="1" customWidth="1"/>
    <col min="10505" max="10508" width="13.85546875" style="1" customWidth="1"/>
    <col min="10509" max="10512" width="7.5703125" style="1" customWidth="1"/>
    <col min="10513" max="10758" width="24.42578125" style="1"/>
    <col min="10759" max="10759" width="3.85546875" style="1" customWidth="1"/>
    <col min="10760" max="10760" width="32.28515625" style="1" customWidth="1"/>
    <col min="10761" max="10764" width="13.85546875" style="1" customWidth="1"/>
    <col min="10765" max="10768" width="7.5703125" style="1" customWidth="1"/>
    <col min="10769" max="11014" width="24.42578125" style="1"/>
    <col min="11015" max="11015" width="3.85546875" style="1" customWidth="1"/>
    <col min="11016" max="11016" width="32.28515625" style="1" customWidth="1"/>
    <col min="11017" max="11020" width="13.85546875" style="1" customWidth="1"/>
    <col min="11021" max="11024" width="7.5703125" style="1" customWidth="1"/>
    <col min="11025" max="11270" width="24.42578125" style="1"/>
    <col min="11271" max="11271" width="3.85546875" style="1" customWidth="1"/>
    <col min="11272" max="11272" width="32.28515625" style="1" customWidth="1"/>
    <col min="11273" max="11276" width="13.85546875" style="1" customWidth="1"/>
    <col min="11277" max="11280" width="7.5703125" style="1" customWidth="1"/>
    <col min="11281" max="11526" width="24.42578125" style="1"/>
    <col min="11527" max="11527" width="3.85546875" style="1" customWidth="1"/>
    <col min="11528" max="11528" width="32.28515625" style="1" customWidth="1"/>
    <col min="11529" max="11532" width="13.85546875" style="1" customWidth="1"/>
    <col min="11533" max="11536" width="7.5703125" style="1" customWidth="1"/>
    <col min="11537" max="11782" width="24.42578125" style="1"/>
    <col min="11783" max="11783" width="3.85546875" style="1" customWidth="1"/>
    <col min="11784" max="11784" width="32.28515625" style="1" customWidth="1"/>
    <col min="11785" max="11788" width="13.85546875" style="1" customWidth="1"/>
    <col min="11789" max="11792" width="7.5703125" style="1" customWidth="1"/>
    <col min="11793" max="12038" width="24.42578125" style="1"/>
    <col min="12039" max="12039" width="3.85546875" style="1" customWidth="1"/>
    <col min="12040" max="12040" width="32.28515625" style="1" customWidth="1"/>
    <col min="12041" max="12044" width="13.85546875" style="1" customWidth="1"/>
    <col min="12045" max="12048" width="7.5703125" style="1" customWidth="1"/>
    <col min="12049" max="12294" width="24.42578125" style="1"/>
    <col min="12295" max="12295" width="3.85546875" style="1" customWidth="1"/>
    <col min="12296" max="12296" width="32.28515625" style="1" customWidth="1"/>
    <col min="12297" max="12300" width="13.85546875" style="1" customWidth="1"/>
    <col min="12301" max="12304" width="7.5703125" style="1" customWidth="1"/>
    <col min="12305" max="12550" width="24.42578125" style="1"/>
    <col min="12551" max="12551" width="3.85546875" style="1" customWidth="1"/>
    <col min="12552" max="12552" width="32.28515625" style="1" customWidth="1"/>
    <col min="12553" max="12556" width="13.85546875" style="1" customWidth="1"/>
    <col min="12557" max="12560" width="7.5703125" style="1" customWidth="1"/>
    <col min="12561" max="12806" width="24.42578125" style="1"/>
    <col min="12807" max="12807" width="3.85546875" style="1" customWidth="1"/>
    <col min="12808" max="12808" width="32.28515625" style="1" customWidth="1"/>
    <col min="12809" max="12812" width="13.85546875" style="1" customWidth="1"/>
    <col min="12813" max="12816" width="7.5703125" style="1" customWidth="1"/>
    <col min="12817" max="13062" width="24.42578125" style="1"/>
    <col min="13063" max="13063" width="3.85546875" style="1" customWidth="1"/>
    <col min="13064" max="13064" width="32.28515625" style="1" customWidth="1"/>
    <col min="13065" max="13068" width="13.85546875" style="1" customWidth="1"/>
    <col min="13069" max="13072" width="7.5703125" style="1" customWidth="1"/>
    <col min="13073" max="13318" width="24.42578125" style="1"/>
    <col min="13319" max="13319" width="3.85546875" style="1" customWidth="1"/>
    <col min="13320" max="13320" width="32.28515625" style="1" customWidth="1"/>
    <col min="13321" max="13324" width="13.85546875" style="1" customWidth="1"/>
    <col min="13325" max="13328" width="7.5703125" style="1" customWidth="1"/>
    <col min="13329" max="13574" width="24.42578125" style="1"/>
    <col min="13575" max="13575" width="3.85546875" style="1" customWidth="1"/>
    <col min="13576" max="13576" width="32.28515625" style="1" customWidth="1"/>
    <col min="13577" max="13580" width="13.85546875" style="1" customWidth="1"/>
    <col min="13581" max="13584" width="7.5703125" style="1" customWidth="1"/>
    <col min="13585" max="13830" width="24.42578125" style="1"/>
    <col min="13831" max="13831" width="3.85546875" style="1" customWidth="1"/>
    <col min="13832" max="13832" width="32.28515625" style="1" customWidth="1"/>
    <col min="13833" max="13836" width="13.85546875" style="1" customWidth="1"/>
    <col min="13837" max="13840" width="7.5703125" style="1" customWidth="1"/>
    <col min="13841" max="14086" width="24.42578125" style="1"/>
    <col min="14087" max="14087" width="3.85546875" style="1" customWidth="1"/>
    <col min="14088" max="14088" width="32.28515625" style="1" customWidth="1"/>
    <col min="14089" max="14092" width="13.85546875" style="1" customWidth="1"/>
    <col min="14093" max="14096" width="7.5703125" style="1" customWidth="1"/>
    <col min="14097" max="14342" width="24.42578125" style="1"/>
    <col min="14343" max="14343" width="3.85546875" style="1" customWidth="1"/>
    <col min="14344" max="14344" width="32.28515625" style="1" customWidth="1"/>
    <col min="14345" max="14348" width="13.85546875" style="1" customWidth="1"/>
    <col min="14349" max="14352" width="7.5703125" style="1" customWidth="1"/>
    <col min="14353" max="14598" width="24.42578125" style="1"/>
    <col min="14599" max="14599" width="3.85546875" style="1" customWidth="1"/>
    <col min="14600" max="14600" width="32.28515625" style="1" customWidth="1"/>
    <col min="14601" max="14604" width="13.85546875" style="1" customWidth="1"/>
    <col min="14605" max="14608" width="7.5703125" style="1" customWidth="1"/>
    <col min="14609" max="14854" width="24.42578125" style="1"/>
    <col min="14855" max="14855" width="3.85546875" style="1" customWidth="1"/>
    <col min="14856" max="14856" width="32.28515625" style="1" customWidth="1"/>
    <col min="14857" max="14860" width="13.85546875" style="1" customWidth="1"/>
    <col min="14861" max="14864" width="7.5703125" style="1" customWidth="1"/>
    <col min="14865" max="15110" width="24.42578125" style="1"/>
    <col min="15111" max="15111" width="3.85546875" style="1" customWidth="1"/>
    <col min="15112" max="15112" width="32.28515625" style="1" customWidth="1"/>
    <col min="15113" max="15116" width="13.85546875" style="1" customWidth="1"/>
    <col min="15117" max="15120" width="7.5703125" style="1" customWidth="1"/>
    <col min="15121" max="15366" width="24.42578125" style="1"/>
    <col min="15367" max="15367" width="3.85546875" style="1" customWidth="1"/>
    <col min="15368" max="15368" width="32.28515625" style="1" customWidth="1"/>
    <col min="15369" max="15372" width="13.85546875" style="1" customWidth="1"/>
    <col min="15373" max="15376" width="7.5703125" style="1" customWidth="1"/>
    <col min="15377" max="15622" width="24.42578125" style="1"/>
    <col min="15623" max="15623" width="3.85546875" style="1" customWidth="1"/>
    <col min="15624" max="15624" width="32.28515625" style="1" customWidth="1"/>
    <col min="15625" max="15628" width="13.85546875" style="1" customWidth="1"/>
    <col min="15629" max="15632" width="7.5703125" style="1" customWidth="1"/>
    <col min="15633" max="15878" width="24.42578125" style="1"/>
    <col min="15879" max="15879" width="3.85546875" style="1" customWidth="1"/>
    <col min="15880" max="15880" width="32.28515625" style="1" customWidth="1"/>
    <col min="15881" max="15884" width="13.85546875" style="1" customWidth="1"/>
    <col min="15885" max="15888" width="7.5703125" style="1" customWidth="1"/>
    <col min="15889" max="16134" width="24.42578125" style="1"/>
    <col min="16135" max="16135" width="3.85546875" style="1" customWidth="1"/>
    <col min="16136" max="16136" width="32.28515625" style="1" customWidth="1"/>
    <col min="16137" max="16140" width="13.85546875" style="1" customWidth="1"/>
    <col min="16141" max="16144" width="7.5703125" style="1" customWidth="1"/>
    <col min="16145" max="16384" width="24.42578125" style="1"/>
  </cols>
  <sheetData>
    <row r="1" spans="2:19" ht="19.350000000000001" customHeight="1">
      <c r="B1" s="2" t="s">
        <v>0</v>
      </c>
      <c r="C1" s="2"/>
      <c r="D1" s="2"/>
    </row>
    <row r="2" spans="2:19" ht="10.7" customHeight="1">
      <c r="B2" s="68" t="s">
        <v>220</v>
      </c>
      <c r="C2" s="68"/>
      <c r="D2" s="2"/>
    </row>
    <row r="3" spans="2:19" ht="10.7" customHeight="1">
      <c r="B3" s="68"/>
      <c r="C3" s="68"/>
      <c r="D3" s="2"/>
    </row>
    <row r="4" spans="2:19" ht="19.7" customHeight="1">
      <c r="B4" s="130" t="s">
        <v>74</v>
      </c>
      <c r="C4" s="496" t="s">
        <v>83</v>
      </c>
      <c r="D4" s="130"/>
      <c r="E4" s="131"/>
      <c r="F4" s="131"/>
      <c r="G4" s="131"/>
      <c r="H4" s="131"/>
      <c r="I4" s="132"/>
      <c r="J4" s="133"/>
      <c r="K4" s="133"/>
      <c r="L4" s="134"/>
      <c r="M4" s="134"/>
      <c r="N4" s="134"/>
      <c r="O4" s="134"/>
      <c r="P4" s="134"/>
      <c r="Q4" s="134"/>
      <c r="R4" s="134"/>
      <c r="S4" s="134"/>
    </row>
    <row r="5" spans="2:19" ht="19.7" customHeight="1">
      <c r="B5" s="125"/>
      <c r="C5" s="407" t="s">
        <v>564</v>
      </c>
      <c r="D5" s="126" t="s">
        <v>219</v>
      </c>
      <c r="E5" s="562" t="s">
        <v>219</v>
      </c>
      <c r="F5" s="562" t="s">
        <v>219</v>
      </c>
      <c r="G5" s="126" t="s">
        <v>219</v>
      </c>
      <c r="H5" s="126" t="s">
        <v>219</v>
      </c>
      <c r="I5" s="126" t="s">
        <v>219</v>
      </c>
      <c r="J5" s="126" t="s">
        <v>219</v>
      </c>
      <c r="K5" s="126" t="s">
        <v>219</v>
      </c>
      <c r="L5" s="126" t="s">
        <v>219</v>
      </c>
      <c r="M5" s="126" t="s">
        <v>219</v>
      </c>
      <c r="N5" s="126" t="s">
        <v>219</v>
      </c>
      <c r="O5" s="126" t="s">
        <v>219</v>
      </c>
      <c r="P5" s="126" t="s">
        <v>219</v>
      </c>
      <c r="Q5" s="562" t="s">
        <v>219</v>
      </c>
      <c r="R5" s="126" t="s">
        <v>219</v>
      </c>
      <c r="S5" s="126" t="s">
        <v>219</v>
      </c>
    </row>
    <row r="6" spans="2:19" s="6" customFormat="1" ht="15" customHeight="1" thickBot="1">
      <c r="B6" s="127" t="s">
        <v>1</v>
      </c>
      <c r="C6" s="128">
        <v>2023</v>
      </c>
      <c r="D6" s="128">
        <f>C6-1</f>
        <v>2022</v>
      </c>
      <c r="E6" s="563">
        <f t="shared" ref="E6:O6" si="0">D6-1</f>
        <v>2021</v>
      </c>
      <c r="F6" s="563">
        <f t="shared" si="0"/>
        <v>2020</v>
      </c>
      <c r="G6" s="128">
        <f t="shared" si="0"/>
        <v>2019</v>
      </c>
      <c r="H6" s="128">
        <f t="shared" si="0"/>
        <v>2018</v>
      </c>
      <c r="I6" s="128">
        <f t="shared" si="0"/>
        <v>2017</v>
      </c>
      <c r="J6" s="128">
        <f t="shared" si="0"/>
        <v>2016</v>
      </c>
      <c r="K6" s="128">
        <f t="shared" si="0"/>
        <v>2015</v>
      </c>
      <c r="L6" s="128">
        <f t="shared" si="0"/>
        <v>2014</v>
      </c>
      <c r="M6" s="128">
        <f t="shared" si="0"/>
        <v>2013</v>
      </c>
      <c r="N6" s="128">
        <f t="shared" si="0"/>
        <v>2012</v>
      </c>
      <c r="O6" s="128">
        <f t="shared" si="0"/>
        <v>2011</v>
      </c>
      <c r="P6" s="128">
        <f t="shared" ref="P6:Q6" si="1">O6-1</f>
        <v>2010</v>
      </c>
      <c r="Q6" s="563">
        <f t="shared" si="1"/>
        <v>2009</v>
      </c>
      <c r="R6" s="128">
        <f t="shared" ref="R6:S6" si="2">Q6-1</f>
        <v>2008</v>
      </c>
      <c r="S6" s="128">
        <f t="shared" si="2"/>
        <v>2007</v>
      </c>
    </row>
    <row r="7" spans="2:19" ht="11.45" customHeight="1">
      <c r="B7" s="7" t="s">
        <v>2</v>
      </c>
      <c r="C7" s="535">
        <f>'Income Stat Yahoo Input'!B2/1000</f>
        <v>6595000</v>
      </c>
      <c r="D7" s="535">
        <f>'Income Stat Yahoo Input'!C2/1000</f>
        <v>5891000</v>
      </c>
      <c r="E7" s="564">
        <f>'Income Stat Yahoo Input'!D2/1000</f>
        <v>3028000</v>
      </c>
      <c r="F7" s="564">
        <f>'Income Stat Yahoo Input'!E2/1000</f>
        <v>2066000</v>
      </c>
      <c r="G7" s="535">
        <f>'Income Stat Yahoo Input'!F2/1000</f>
        <v>5020000</v>
      </c>
      <c r="H7" s="535">
        <f>'Income Stat Yahoo Input'!G2/1000</f>
        <v>4454000</v>
      </c>
      <c r="I7" s="535">
        <f>'Income Stat Yahoo Input'!H2/1000</f>
        <v>4462000</v>
      </c>
      <c r="J7" s="535">
        <f>'Income Stat Yahoo Input'!I2/1000</f>
        <v>4265000</v>
      </c>
      <c r="K7" s="535">
        <f>'Income Stat Yahoo Input'!J2/1000</f>
        <v>4328000</v>
      </c>
      <c r="L7" s="535">
        <f>'Income Stat Yahoo Input'!K2/1000</f>
        <v>4415000</v>
      </c>
      <c r="M7" s="535">
        <f>'Income Stat Yahoo Input'!L2/1000</f>
        <v>4184000</v>
      </c>
      <c r="N7" s="535">
        <f>'Income Stat Yahoo Input'!M2/1000</f>
        <v>3949000</v>
      </c>
      <c r="O7" s="535">
        <f>'Income Stat Yahoo Input'!N2/1000</f>
        <v>3698000</v>
      </c>
      <c r="P7" s="535">
        <f>'Income Stat Yahoo Input'!O2/1000</f>
        <v>3527000</v>
      </c>
      <c r="Q7" s="564">
        <f>'Income Stat Yahoo Input'!P2/1000</f>
        <v>3330000</v>
      </c>
      <c r="R7" s="535">
        <f>'Income Stat Yahoo Input'!Q2/1000</f>
        <v>3837000</v>
      </c>
      <c r="S7" s="535">
        <f>'Income Stat Yahoo Input'!R2/1000</f>
        <v>3738000</v>
      </c>
    </row>
    <row r="8" spans="2:19" ht="11.45" customHeight="1">
      <c r="B8" s="8" t="s">
        <v>3</v>
      </c>
      <c r="C8" s="536">
        <f>'Income Stat Yahoo Input'!B4/1000</f>
        <v>5237000</v>
      </c>
      <c r="D8" s="536">
        <f>'Income Stat Yahoo Input'!C4/1000</f>
        <v>4603000</v>
      </c>
      <c r="E8" s="565">
        <f>'Income Stat Yahoo Input'!D4/1000</f>
        <v>2603000</v>
      </c>
      <c r="F8" s="565">
        <f>'Income Stat Yahoo Input'!E4/1000</f>
        <v>2067000</v>
      </c>
      <c r="G8" s="536">
        <f>'Income Stat Yahoo Input'!F4/1000</f>
        <v>4077000</v>
      </c>
      <c r="H8" s="536">
        <f>'Income Stat Yahoo Input'!G4/1000</f>
        <v>3475000</v>
      </c>
      <c r="I8" s="536">
        <f>'Income Stat Yahoo Input'!H4/1000</f>
        <v>3477000</v>
      </c>
      <c r="J8" s="536">
        <f>'Income Stat Yahoo Input'!I4/1000</f>
        <v>3356000</v>
      </c>
      <c r="K8" s="536">
        <f>'Income Stat Yahoo Input'!J4/1000</f>
        <v>3377000</v>
      </c>
      <c r="L8" s="536">
        <f>'Income Stat Yahoo Input'!K4/1000</f>
        <v>3433000</v>
      </c>
      <c r="M8" s="536">
        <f>'Income Stat Yahoo Input'!L4/1000</f>
        <v>3283000</v>
      </c>
      <c r="N8" s="536">
        <f>'Income Stat Yahoo Input'!M4/1000</f>
        <v>3121000</v>
      </c>
      <c r="O8" s="536">
        <f>'Income Stat Yahoo Input'!N4/1000</f>
        <v>2957000</v>
      </c>
      <c r="P8" s="536">
        <f>'Income Stat Yahoo Input'!O4/1000</f>
        <v>2864000</v>
      </c>
      <c r="Q8" s="565">
        <f>'Income Stat Yahoo Input'!P4/1000</f>
        <v>2751000</v>
      </c>
      <c r="R8" s="536">
        <f>'Income Stat Yahoo Input'!Q4/1000</f>
        <v>2934000</v>
      </c>
      <c r="S8" s="536">
        <f>'Income Stat Yahoo Input'!R4/1000</f>
        <v>2847000</v>
      </c>
    </row>
    <row r="9" spans="2:19" ht="11.45" customHeight="1" thickBot="1">
      <c r="B9" s="8" t="s">
        <v>4</v>
      </c>
      <c r="C9" s="537">
        <f>+C7-C8</f>
        <v>1358000</v>
      </c>
      <c r="D9" s="537">
        <f>+D7-D8</f>
        <v>1288000</v>
      </c>
      <c r="E9" s="566">
        <f t="shared" ref="E9:L9" si="3">+E7-E8</f>
        <v>425000</v>
      </c>
      <c r="F9" s="566">
        <f t="shared" si="3"/>
        <v>-1000</v>
      </c>
      <c r="G9" s="537">
        <f t="shared" si="3"/>
        <v>943000</v>
      </c>
      <c r="H9" s="537">
        <f t="shared" si="3"/>
        <v>979000</v>
      </c>
      <c r="I9" s="537">
        <f t="shared" si="3"/>
        <v>985000</v>
      </c>
      <c r="J9" s="537">
        <f t="shared" si="3"/>
        <v>909000</v>
      </c>
      <c r="K9" s="537">
        <f t="shared" si="3"/>
        <v>951000</v>
      </c>
      <c r="L9" s="537">
        <f t="shared" si="3"/>
        <v>982000</v>
      </c>
      <c r="M9" s="537">
        <f t="shared" ref="M9:N9" si="4">+M7-M8</f>
        <v>901000</v>
      </c>
      <c r="N9" s="537">
        <f t="shared" si="4"/>
        <v>828000</v>
      </c>
      <c r="O9" s="537">
        <f t="shared" ref="O9:Q9" si="5">+O7-O8</f>
        <v>741000</v>
      </c>
      <c r="P9" s="537">
        <f t="shared" si="5"/>
        <v>663000</v>
      </c>
      <c r="Q9" s="566">
        <f t="shared" si="5"/>
        <v>579000</v>
      </c>
      <c r="R9" s="537">
        <f t="shared" ref="R9:S9" si="6">+R7-R8</f>
        <v>903000</v>
      </c>
      <c r="S9" s="537">
        <f t="shared" si="6"/>
        <v>891000</v>
      </c>
    </row>
    <row r="10" spans="2:19" ht="11.45" customHeight="1" thickTop="1">
      <c r="B10" s="7" t="s">
        <v>5</v>
      </c>
      <c r="C10" s="538">
        <f>'Income Stat Yahoo Input'!B6/1000</f>
        <v>1006000</v>
      </c>
      <c r="D10" s="538">
        <f>'Income Stat Yahoo Input'!C6/1000</f>
        <v>890000</v>
      </c>
      <c r="E10" s="567">
        <f>'Income Stat Yahoo Input'!D6/1000</f>
        <v>676000</v>
      </c>
      <c r="F10" s="567">
        <f>'Income Stat Yahoo Input'!E6/1000</f>
        <v>631000</v>
      </c>
      <c r="G10" s="538">
        <f>'Income Stat Yahoo Input'!F6/1000</f>
        <v>746000</v>
      </c>
      <c r="H10" s="538">
        <f>'Income Stat Yahoo Input'!G6/1000</f>
        <v>647000</v>
      </c>
      <c r="I10" s="538">
        <f>'Income Stat Yahoo Input'!H6/1000</f>
        <v>725000</v>
      </c>
      <c r="J10" s="538">
        <f>'Income Stat Yahoo Input'!I6/1000</f>
        <v>641000</v>
      </c>
      <c r="K10" s="538">
        <f>'Income Stat Yahoo Input'!J6/1000</f>
        <v>628000</v>
      </c>
      <c r="L10" s="538">
        <f>'Income Stat Yahoo Input'!K6/1000</f>
        <v>703000</v>
      </c>
      <c r="M10" s="538">
        <f>'Income Stat Yahoo Input'!L6/1000</f>
        <v>668000</v>
      </c>
      <c r="N10" s="538">
        <f>'Income Stat Yahoo Input'!M6/1000</f>
        <v>669000</v>
      </c>
      <c r="O10" s="538">
        <f>'Income Stat Yahoo Input'!N6/1000</f>
        <v>588000</v>
      </c>
      <c r="P10" s="538">
        <f>'Income Stat Yahoo Input'!O6/1000</f>
        <v>555000</v>
      </c>
      <c r="Q10" s="567">
        <f>'Income Stat Yahoo Input'!P6/1000</f>
        <v>530000</v>
      </c>
      <c r="R10" s="538">
        <f>'Income Stat Yahoo Input'!Q6/1000</f>
        <v>539000</v>
      </c>
      <c r="S10" s="538">
        <f>'Income Stat Yahoo Input'!R6/1000</f>
        <v>506000</v>
      </c>
    </row>
    <row r="11" spans="2:19" ht="11.45" customHeight="1">
      <c r="B11" s="7" t="s">
        <v>6</v>
      </c>
      <c r="C11" s="536">
        <f>+C9-C10</f>
        <v>352000</v>
      </c>
      <c r="D11" s="536">
        <f>+D9-D10</f>
        <v>398000</v>
      </c>
      <c r="E11" s="565">
        <f t="shared" ref="E11:L11" si="7">+E9-E10</f>
        <v>-251000</v>
      </c>
      <c r="F11" s="565">
        <f t="shared" si="7"/>
        <v>-632000</v>
      </c>
      <c r="G11" s="536">
        <f t="shared" si="7"/>
        <v>197000</v>
      </c>
      <c r="H11" s="536">
        <f t="shared" si="7"/>
        <v>332000</v>
      </c>
      <c r="I11" s="536">
        <f t="shared" si="7"/>
        <v>260000</v>
      </c>
      <c r="J11" s="536">
        <f t="shared" si="7"/>
        <v>268000</v>
      </c>
      <c r="K11" s="536">
        <f t="shared" si="7"/>
        <v>323000</v>
      </c>
      <c r="L11" s="536">
        <f t="shared" si="7"/>
        <v>279000</v>
      </c>
      <c r="M11" s="536">
        <f t="shared" ref="M11:N11" si="8">+M9-M10</f>
        <v>233000</v>
      </c>
      <c r="N11" s="536">
        <f t="shared" si="8"/>
        <v>159000</v>
      </c>
      <c r="O11" s="536">
        <f t="shared" ref="O11:Q11" si="9">+O9-O10</f>
        <v>153000</v>
      </c>
      <c r="P11" s="536">
        <f t="shared" si="9"/>
        <v>108000</v>
      </c>
      <c r="Q11" s="565">
        <f t="shared" si="9"/>
        <v>49000</v>
      </c>
      <c r="R11" s="536">
        <f t="shared" ref="R11:S11" si="10">+R9-R10</f>
        <v>364000</v>
      </c>
      <c r="S11" s="536">
        <f t="shared" si="10"/>
        <v>385000</v>
      </c>
    </row>
    <row r="12" spans="2:19" ht="11.45" customHeight="1">
      <c r="B12" s="8" t="s">
        <v>7</v>
      </c>
      <c r="C12" s="539">
        <f>'Income Stat Yahoo Input'!B13/1000</f>
        <v>139000</v>
      </c>
      <c r="D12" s="539">
        <f>'Income Stat Yahoo Input'!C13/1000</f>
        <v>150000</v>
      </c>
      <c r="E12" s="568">
        <f>'Income Stat Yahoo Input'!D13/1000</f>
        <v>163000</v>
      </c>
      <c r="F12" s="568">
        <f>'Income Stat Yahoo Input'!E13/1000</f>
        <v>128000</v>
      </c>
      <c r="G12" s="539">
        <f>'Income Stat Yahoo Input'!F13/1000</f>
        <v>75000</v>
      </c>
      <c r="H12" s="539">
        <f>'Income Stat Yahoo Input'!G13/1000</f>
        <v>76000</v>
      </c>
      <c r="I12" s="539">
        <f>'Income Stat Yahoo Input'!H13/1000</f>
        <v>80000</v>
      </c>
      <c r="J12" s="539">
        <f>'Income Stat Yahoo Input'!I13/1000</f>
        <v>76000</v>
      </c>
      <c r="K12" s="539">
        <f>'Income Stat Yahoo Input'!J13/1000</f>
        <v>68000</v>
      </c>
      <c r="L12" s="539">
        <f>'Income Stat Yahoo Input'!K13/1000</f>
        <v>71000</v>
      </c>
      <c r="M12" s="539">
        <f>'Income Stat Yahoo Input'!L13/1000</f>
        <v>65000</v>
      </c>
      <c r="N12" s="539">
        <f>'Income Stat Yahoo Input'!M13/1000</f>
        <v>70000</v>
      </c>
      <c r="O12" s="539">
        <f>'Income Stat Yahoo Input'!N13/1000</f>
        <v>57000</v>
      </c>
      <c r="P12" s="535">
        <f>'Income Stat Yahoo Input'!O13/1000</f>
        <v>54000</v>
      </c>
      <c r="Q12" s="568">
        <f>'Income Stat Yahoo Input'!P13/1000</f>
        <v>56000</v>
      </c>
      <c r="R12" s="539">
        <f>'Income Stat Yahoo Input'!Q13/1000</f>
        <v>75000</v>
      </c>
      <c r="S12" s="539">
        <f>'Income Stat Yahoo Input'!R13/1000</f>
        <v>43000</v>
      </c>
    </row>
    <row r="13" spans="2:19" ht="11.45" customHeight="1">
      <c r="B13" s="8" t="s">
        <v>8</v>
      </c>
      <c r="C13" s="536">
        <f>+C11-C12</f>
        <v>213000</v>
      </c>
      <c r="D13" s="536">
        <f>+D11-D12</f>
        <v>248000</v>
      </c>
      <c r="E13" s="565">
        <f t="shared" ref="E13:L13" si="11">+E11-E12</f>
        <v>-414000</v>
      </c>
      <c r="F13" s="565">
        <f t="shared" si="11"/>
        <v>-760000</v>
      </c>
      <c r="G13" s="536">
        <f t="shared" si="11"/>
        <v>122000</v>
      </c>
      <c r="H13" s="536">
        <f t="shared" si="11"/>
        <v>256000</v>
      </c>
      <c r="I13" s="536">
        <f t="shared" si="11"/>
        <v>180000</v>
      </c>
      <c r="J13" s="536">
        <f t="shared" si="11"/>
        <v>192000</v>
      </c>
      <c r="K13" s="536">
        <f t="shared" si="11"/>
        <v>255000</v>
      </c>
      <c r="L13" s="536">
        <f t="shared" si="11"/>
        <v>208000</v>
      </c>
      <c r="M13" s="536">
        <f t="shared" ref="M13:N13" si="12">+M11-M12</f>
        <v>168000</v>
      </c>
      <c r="N13" s="536">
        <f t="shared" si="12"/>
        <v>89000</v>
      </c>
      <c r="O13" s="536">
        <f t="shared" ref="O13:Q13" si="13">+O11-O12</f>
        <v>96000</v>
      </c>
      <c r="P13" s="536">
        <f t="shared" si="13"/>
        <v>54000</v>
      </c>
      <c r="Q13" s="565">
        <f t="shared" si="13"/>
        <v>-7000</v>
      </c>
      <c r="R13" s="536">
        <f t="shared" ref="R13:S13" si="14">+R11-R12</f>
        <v>289000</v>
      </c>
      <c r="S13" s="536">
        <f t="shared" si="14"/>
        <v>342000</v>
      </c>
    </row>
    <row r="14" spans="2:19" ht="11.45" customHeight="1">
      <c r="B14" s="8" t="s">
        <v>9</v>
      </c>
      <c r="C14" s="539">
        <f>-(C15-C13)</f>
        <v>-147000</v>
      </c>
      <c r="D14" s="539">
        <f>-(D15-D13)</f>
        <v>-115000</v>
      </c>
      <c r="E14" s="568">
        <f t="shared" ref="E14:L14" si="15">-(E15-E13)</f>
        <v>-458000</v>
      </c>
      <c r="F14" s="568">
        <f t="shared" si="15"/>
        <v>200000</v>
      </c>
      <c r="G14" s="539">
        <f t="shared" si="15"/>
        <v>-884000</v>
      </c>
      <c r="H14" s="539">
        <f t="shared" si="15"/>
        <v>-695000</v>
      </c>
      <c r="I14" s="539">
        <f t="shared" si="15"/>
        <v>-542000</v>
      </c>
      <c r="J14" s="539">
        <f t="shared" si="15"/>
        <v>-90000</v>
      </c>
      <c r="K14" s="539">
        <f t="shared" si="15"/>
        <v>61000</v>
      </c>
      <c r="L14" s="539">
        <f t="shared" si="15"/>
        <v>-317000</v>
      </c>
      <c r="M14" s="539">
        <f t="shared" ref="M14:N14" si="16">-(M15-M13)</f>
        <v>-153000</v>
      </c>
      <c r="N14" s="539">
        <f t="shared" si="16"/>
        <v>-6000</v>
      </c>
      <c r="O14" s="539">
        <f t="shared" ref="O14:Q14" si="17">-(O15-O13)</f>
        <v>13000</v>
      </c>
      <c r="P14" s="539">
        <f t="shared" si="17"/>
        <v>-34000</v>
      </c>
      <c r="Q14" s="568">
        <f t="shared" si="17"/>
        <v>44000</v>
      </c>
      <c r="R14" s="539">
        <f t="shared" ref="R14:S14" si="18">-(R15-R13)</f>
        <v>85000</v>
      </c>
      <c r="S14" s="539">
        <f t="shared" si="18"/>
        <v>-132000</v>
      </c>
    </row>
    <row r="15" spans="2:19" ht="11.45" customHeight="1">
      <c r="B15" s="8" t="s">
        <v>10</v>
      </c>
      <c r="C15" s="9">
        <f>'Income Stat Yahoo Input'!B25/1000</f>
        <v>360000</v>
      </c>
      <c r="D15" s="9">
        <f>'Income Stat Yahoo Input'!C25/1000</f>
        <v>363000</v>
      </c>
      <c r="E15" s="558">
        <f>'Income Stat Yahoo Input'!D25/1000</f>
        <v>44000</v>
      </c>
      <c r="F15" s="558">
        <f>'Income Stat Yahoo Input'!E25/1000</f>
        <v>-960000</v>
      </c>
      <c r="G15" s="9">
        <f>'Income Stat Yahoo Input'!F25/1000</f>
        <v>1006000</v>
      </c>
      <c r="H15" s="9">
        <f>'Income Stat Yahoo Input'!G25/1000</f>
        <v>951000</v>
      </c>
      <c r="I15" s="9">
        <f>'Income Stat Yahoo Input'!H25/1000</f>
        <v>722000</v>
      </c>
      <c r="J15" s="9">
        <f>'Income Stat Yahoo Input'!I25/1000</f>
        <v>282000</v>
      </c>
      <c r="K15" s="9">
        <f>'Income Stat Yahoo Input'!J25/1000</f>
        <v>194000</v>
      </c>
      <c r="L15" s="9">
        <f>'Income Stat Yahoo Input'!K25/1000</f>
        <v>525000</v>
      </c>
      <c r="M15" s="9">
        <f>'Income Stat Yahoo Input'!L25/1000</f>
        <v>321000</v>
      </c>
      <c r="N15" s="9">
        <f>'Income Stat Yahoo Input'!M25/1000</f>
        <v>95000</v>
      </c>
      <c r="O15" s="9">
        <f>'Income Stat Yahoo Input'!N25/1000</f>
        <v>83000</v>
      </c>
      <c r="P15" s="9">
        <f>'Income Stat Yahoo Input'!O25/1000</f>
        <v>88000</v>
      </c>
      <c r="Q15" s="558">
        <f>'Income Stat Yahoo Input'!P25/1000</f>
        <v>-51000</v>
      </c>
      <c r="R15" s="9">
        <f>'Income Stat Yahoo Input'!Q25/1000</f>
        <v>204000</v>
      </c>
      <c r="S15" s="9">
        <f>'Income Stat Yahoo Input'!R25/1000</f>
        <v>474000</v>
      </c>
    </row>
    <row r="16" spans="2:19" ht="11.45" customHeight="1">
      <c r="B16" s="8" t="s">
        <v>11</v>
      </c>
      <c r="C16" s="536">
        <f>'Income Stat Yahoo Input'!B26/1000</f>
        <v>-128000</v>
      </c>
      <c r="D16" s="536">
        <f>'Income Stat Yahoo Input'!C26/1000</f>
        <v>-92000</v>
      </c>
      <c r="E16" s="565">
        <f>'Income Stat Yahoo Input'!D26/1000</f>
        <v>266000</v>
      </c>
      <c r="F16" s="565">
        <f>'Income Stat Yahoo Input'!E26/1000</f>
        <v>-257000</v>
      </c>
      <c r="G16" s="536">
        <f>'Income Stat Yahoo Input'!F26/1000</f>
        <v>240000</v>
      </c>
      <c r="H16" s="536">
        <f>'Income Stat Yahoo Input'!G26/1000</f>
        <v>182000</v>
      </c>
      <c r="I16" s="536">
        <f>'Income Stat Yahoo Input'!H26/1000</f>
        <v>332000</v>
      </c>
      <c r="J16" s="536">
        <f>'Income Stat Yahoo Input'!I26/1000</f>
        <v>76000</v>
      </c>
      <c r="K16" s="536">
        <f>'Income Stat Yahoo Input'!J26/1000</f>
        <v>70000</v>
      </c>
      <c r="L16" s="536">
        <f>'Income Stat Yahoo Input'!K26/1000</f>
        <v>179000</v>
      </c>
      <c r="M16" s="536">
        <f>'Income Stat Yahoo Input'!L26/1000</f>
        <v>116000</v>
      </c>
      <c r="N16" s="536">
        <f>'Income Stat Yahoo Input'!M26/1000</f>
        <v>8000</v>
      </c>
      <c r="O16" s="536">
        <f>'Income Stat Yahoo Input'!N26/1000</f>
        <v>-28000</v>
      </c>
      <c r="P16" s="536">
        <f>'Income Stat Yahoo Input'!O26/1000</f>
        <v>37000</v>
      </c>
      <c r="Q16" s="565">
        <f>'Income Stat Yahoo Input'!P26/1000</f>
        <v>-8000</v>
      </c>
      <c r="R16" s="536">
        <f>'Income Stat Yahoo Input'!Q26/1000</f>
        <v>90000</v>
      </c>
      <c r="S16" s="536">
        <f>'Income Stat Yahoo Input'!R26/1000</f>
        <v>208000</v>
      </c>
    </row>
    <row r="17" spans="2:19" ht="11.45" customHeight="1" thickBot="1">
      <c r="B17" s="7" t="s">
        <v>12</v>
      </c>
      <c r="C17" s="537">
        <f>+C15-C16</f>
        <v>488000</v>
      </c>
      <c r="D17" s="537">
        <f>+D15-D16</f>
        <v>455000</v>
      </c>
      <c r="E17" s="566">
        <f t="shared" ref="E17:L17" si="19">+E15-E16</f>
        <v>-222000</v>
      </c>
      <c r="F17" s="566">
        <f t="shared" si="19"/>
        <v>-703000</v>
      </c>
      <c r="G17" s="537">
        <f t="shared" si="19"/>
        <v>766000</v>
      </c>
      <c r="H17" s="537">
        <f t="shared" si="19"/>
        <v>769000</v>
      </c>
      <c r="I17" s="537">
        <f t="shared" si="19"/>
        <v>390000</v>
      </c>
      <c r="J17" s="537">
        <f t="shared" si="19"/>
        <v>206000</v>
      </c>
      <c r="K17" s="537">
        <f t="shared" si="19"/>
        <v>124000</v>
      </c>
      <c r="L17" s="537">
        <f t="shared" si="19"/>
        <v>346000</v>
      </c>
      <c r="M17" s="537">
        <f t="shared" ref="M17:N17" si="20">+M15-M16</f>
        <v>205000</v>
      </c>
      <c r="N17" s="537">
        <f t="shared" si="20"/>
        <v>87000</v>
      </c>
      <c r="O17" s="537">
        <f t="shared" ref="O17:Q17" si="21">+O15-O16</f>
        <v>111000</v>
      </c>
      <c r="P17" s="537">
        <f t="shared" si="21"/>
        <v>51000</v>
      </c>
      <c r="Q17" s="566">
        <f t="shared" si="21"/>
        <v>-43000</v>
      </c>
      <c r="R17" s="537">
        <f t="shared" ref="R17:S17" si="22">+R15-R16</f>
        <v>114000</v>
      </c>
      <c r="S17" s="537">
        <f t="shared" si="22"/>
        <v>266000</v>
      </c>
    </row>
    <row r="18" spans="2:19" ht="11.45" customHeight="1" thickTop="1">
      <c r="M18" s="74"/>
      <c r="N18" s="74"/>
      <c r="O18" s="74"/>
      <c r="P18" s="74"/>
      <c r="Q18" s="74"/>
      <c r="R18" s="74"/>
      <c r="S18" s="74"/>
    </row>
    <row r="19" spans="2:19" ht="15" customHeight="1">
      <c r="B19" s="130" t="s">
        <v>524</v>
      </c>
      <c r="C19" s="130"/>
      <c r="D19" s="130"/>
      <c r="E19" s="131"/>
      <c r="F19" s="131"/>
      <c r="G19" s="131"/>
      <c r="H19" s="131"/>
      <c r="I19" s="132"/>
      <c r="J19" s="133"/>
      <c r="K19" s="133"/>
      <c r="L19" s="134"/>
      <c r="M19" s="134"/>
      <c r="N19" s="134"/>
      <c r="O19" s="134"/>
      <c r="P19" s="134"/>
      <c r="Q19" s="134"/>
      <c r="R19" s="134"/>
      <c r="S19" s="134"/>
    </row>
    <row r="20" spans="2:19" ht="19.7" customHeight="1">
      <c r="B20" s="125"/>
      <c r="C20" s="407" t="str">
        <f>C5</f>
        <v>Sep 30</v>
      </c>
      <c r="D20" s="407" t="str">
        <f t="shared" ref="D20:O20" si="23">D5</f>
        <v>Dec 31</v>
      </c>
      <c r="E20" s="570" t="str">
        <f t="shared" si="23"/>
        <v>Dec 31</v>
      </c>
      <c r="F20" s="570" t="str">
        <f t="shared" si="23"/>
        <v>Dec 31</v>
      </c>
      <c r="G20" s="407" t="str">
        <f t="shared" si="23"/>
        <v>Dec 31</v>
      </c>
      <c r="H20" s="407" t="str">
        <f t="shared" si="23"/>
        <v>Dec 31</v>
      </c>
      <c r="I20" s="407" t="str">
        <f t="shared" si="23"/>
        <v>Dec 31</v>
      </c>
      <c r="J20" s="407" t="str">
        <f t="shared" si="23"/>
        <v>Dec 31</v>
      </c>
      <c r="K20" s="407" t="str">
        <f t="shared" si="23"/>
        <v>Dec 31</v>
      </c>
      <c r="L20" s="407" t="str">
        <f t="shared" si="23"/>
        <v>Dec 31</v>
      </c>
      <c r="M20" s="407" t="str">
        <f t="shared" si="23"/>
        <v>Dec 31</v>
      </c>
      <c r="N20" s="407" t="str">
        <f t="shared" si="23"/>
        <v>Dec 31</v>
      </c>
      <c r="O20" s="407" t="str">
        <f t="shared" si="23"/>
        <v>Dec 31</v>
      </c>
      <c r="P20" s="407" t="str">
        <f t="shared" ref="P20:Q20" si="24">P5</f>
        <v>Dec 31</v>
      </c>
      <c r="Q20" s="570" t="str">
        <f t="shared" si="24"/>
        <v>Dec 31</v>
      </c>
      <c r="R20" s="407" t="str">
        <f t="shared" ref="R20:S20" si="25">R5</f>
        <v>Dec 31</v>
      </c>
      <c r="S20" s="407" t="str">
        <f t="shared" si="25"/>
        <v>Dec 31</v>
      </c>
    </row>
    <row r="21" spans="2:19" s="6" customFormat="1" ht="20.45" customHeight="1" thickBot="1">
      <c r="B21" s="127" t="s">
        <v>1</v>
      </c>
      <c r="C21" s="128">
        <f>+C6</f>
        <v>2023</v>
      </c>
      <c r="D21" s="128">
        <f t="shared" ref="D21:O21" si="26">+D6</f>
        <v>2022</v>
      </c>
      <c r="E21" s="563">
        <f t="shared" si="26"/>
        <v>2021</v>
      </c>
      <c r="F21" s="563">
        <f t="shared" si="26"/>
        <v>2020</v>
      </c>
      <c r="G21" s="128">
        <f t="shared" si="26"/>
        <v>2019</v>
      </c>
      <c r="H21" s="128">
        <f t="shared" si="26"/>
        <v>2018</v>
      </c>
      <c r="I21" s="128">
        <f t="shared" si="26"/>
        <v>2017</v>
      </c>
      <c r="J21" s="128">
        <f t="shared" si="26"/>
        <v>2016</v>
      </c>
      <c r="K21" s="128">
        <f t="shared" si="26"/>
        <v>2015</v>
      </c>
      <c r="L21" s="128">
        <f t="shared" si="26"/>
        <v>2014</v>
      </c>
      <c r="M21" s="128">
        <f t="shared" si="26"/>
        <v>2013</v>
      </c>
      <c r="N21" s="128">
        <f t="shared" si="26"/>
        <v>2012</v>
      </c>
      <c r="O21" s="128">
        <f t="shared" si="26"/>
        <v>2011</v>
      </c>
      <c r="P21" s="128">
        <f t="shared" ref="P21:Q21" si="27">+P6</f>
        <v>2010</v>
      </c>
      <c r="Q21" s="563">
        <f t="shared" si="27"/>
        <v>2009</v>
      </c>
      <c r="R21" s="128">
        <f t="shared" ref="R21:S21" si="28">+R6</f>
        <v>2008</v>
      </c>
      <c r="S21" s="128">
        <f t="shared" si="28"/>
        <v>2007</v>
      </c>
    </row>
    <row r="22" spans="2:19" ht="11.45" customHeight="1">
      <c r="B22" s="381" t="s">
        <v>13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569"/>
      <c r="R22" s="382"/>
      <c r="S22" s="382"/>
    </row>
    <row r="23" spans="2:19" ht="11.45" customHeight="1">
      <c r="B23" s="11" t="s">
        <v>14</v>
      </c>
      <c r="C23" s="11"/>
      <c r="D23" s="11"/>
      <c r="E23" s="557"/>
      <c r="F23" s="5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57"/>
      <c r="R23" s="11"/>
      <c r="S23" s="11"/>
    </row>
    <row r="24" spans="2:19" ht="11.45" customHeight="1">
      <c r="B24" s="8" t="s">
        <v>15</v>
      </c>
      <c r="C24" s="9">
        <f>'Balance Sheet Yahoo Input'!B4/1000</f>
        <v>727000</v>
      </c>
      <c r="D24" s="9">
        <f>'Balance Sheet Yahoo Input'!C4/1000</f>
        <v>1149000</v>
      </c>
      <c r="E24" s="558">
        <f>'Balance Sheet Yahoo Input'!D4/1000</f>
        <v>1187000</v>
      </c>
      <c r="F24" s="558">
        <f>'Balance Sheet Yahoo Input'!E4/1000</f>
        <v>1882000</v>
      </c>
      <c r="G24" s="9">
        <f>'Balance Sheet Yahoo Input'!F4/1000</f>
        <v>961000</v>
      </c>
      <c r="H24" s="9">
        <f>'Balance Sheet Yahoo Input'!G4/1000</f>
        <v>686000</v>
      </c>
      <c r="I24" s="9">
        <f>'Balance Sheet Yahoo Input'!H4/1000</f>
        <v>552000</v>
      </c>
      <c r="J24" s="9">
        <f>'Balance Sheet Yahoo Input'!I4/1000</f>
        <v>538000</v>
      </c>
      <c r="K24" s="9">
        <f>'Balance Sheet Yahoo Input'!J4/1000</f>
        <v>503000</v>
      </c>
      <c r="L24" s="9">
        <f>'Balance Sheet Yahoo Input'!K4/1000</f>
        <v>815000</v>
      </c>
      <c r="M24" s="9">
        <f>'Balance Sheet Yahoo Input'!L4/1000</f>
        <v>484000</v>
      </c>
      <c r="N24" s="9">
        <f>'Balance Sheet Yahoo Input'!M4/1000</f>
        <v>927000</v>
      </c>
      <c r="O24" s="9">
        <f>'Balance Sheet Yahoo Input'!N4/1000</f>
        <v>1122000</v>
      </c>
      <c r="P24" s="9">
        <f>'Balance Sheet Yahoo Input'!O4/1000</f>
        <v>1634000</v>
      </c>
      <c r="Q24" s="558">
        <f>'Balance Sheet Yahoo Input'!P4/1000</f>
        <v>1431000</v>
      </c>
      <c r="R24" s="9">
        <f>'Balance Sheet Yahoo Input'!Q4/1000</f>
        <v>428000</v>
      </c>
      <c r="S24" s="9">
        <f>'Balance Sheet Yahoo Input'!R4/1000</f>
        <v>409000</v>
      </c>
    </row>
    <row r="25" spans="2:19" ht="11.45" customHeight="1">
      <c r="B25" s="8" t="s">
        <v>16</v>
      </c>
      <c r="C25" s="12">
        <f>+'Balance Sheet Yahoo Input'!B6/1000</f>
        <v>26000</v>
      </c>
      <c r="D25" s="12">
        <f>+'Balance Sheet Yahoo Input'!C6/1000</f>
        <v>158000</v>
      </c>
      <c r="E25" s="559">
        <f>+'Balance Sheet Yahoo Input'!D6/1000</f>
        <v>227000</v>
      </c>
      <c r="F25" s="559">
        <f>+'Balance Sheet Yahoo Input'!E6/1000</f>
        <v>675000</v>
      </c>
      <c r="G25" s="12">
        <f>+'Balance Sheet Yahoo Input'!F6/1000</f>
        <v>68000</v>
      </c>
      <c r="H25" s="12">
        <f>+'Balance Sheet Yahoo Input'!G6/1000</f>
        <v>116000</v>
      </c>
      <c r="I25" s="12">
        <f>+'Balance Sheet Yahoo Input'!H6/1000</f>
        <v>49000</v>
      </c>
      <c r="J25" s="12">
        <f>+'Balance Sheet Yahoo Input'!I6/1000</f>
        <v>56000</v>
      </c>
      <c r="K25" s="12">
        <f>+'Balance Sheet Yahoo Input'!J6/1000</f>
        <v>46000</v>
      </c>
      <c r="L25" s="12">
        <f>+'Balance Sheet Yahoo Input'!K6/1000</f>
        <v>130000</v>
      </c>
      <c r="M25" s="12">
        <f>+'Balance Sheet Yahoo Input'!L6/1000</f>
        <v>30000</v>
      </c>
      <c r="N25" s="12">
        <f>+'Balance Sheet Yahoo Input'!M6/1000</f>
        <v>514000</v>
      </c>
      <c r="O25" s="12">
        <f>+'Balance Sheet Yahoo Input'!N6/1000</f>
        <v>588000</v>
      </c>
      <c r="P25" s="12">
        <f>+'Balance Sheet Yahoo Input'!O6/1000</f>
        <v>524000</v>
      </c>
      <c r="Q25" s="559">
        <f>+'Balance Sheet Yahoo Input'!P6/1000</f>
        <v>104000</v>
      </c>
      <c r="R25" s="12">
        <f>+'Balance Sheet Yahoo Input'!Q6/1000</f>
        <v>0</v>
      </c>
      <c r="S25" s="12">
        <f>+'Balance Sheet Yahoo Input'!R6/1000</f>
        <v>0</v>
      </c>
    </row>
    <row r="26" spans="2:19" ht="11.45" customHeight="1">
      <c r="B26" s="191" t="s">
        <v>17</v>
      </c>
      <c r="C26" s="185">
        <f>+C24+C25</f>
        <v>753000</v>
      </c>
      <c r="D26" s="185">
        <f t="shared" ref="D26:O26" si="29">+D24+D25</f>
        <v>1307000</v>
      </c>
      <c r="E26" s="558">
        <f t="shared" si="29"/>
        <v>1414000</v>
      </c>
      <c r="F26" s="558">
        <f t="shared" si="29"/>
        <v>2557000</v>
      </c>
      <c r="G26" s="185">
        <f t="shared" si="29"/>
        <v>1029000</v>
      </c>
      <c r="H26" s="185">
        <f t="shared" si="29"/>
        <v>802000</v>
      </c>
      <c r="I26" s="185">
        <f t="shared" si="29"/>
        <v>601000</v>
      </c>
      <c r="J26" s="185">
        <f t="shared" si="29"/>
        <v>594000</v>
      </c>
      <c r="K26" s="185">
        <f t="shared" si="29"/>
        <v>549000</v>
      </c>
      <c r="L26" s="185">
        <f t="shared" si="29"/>
        <v>945000</v>
      </c>
      <c r="M26" s="185">
        <f t="shared" si="29"/>
        <v>514000</v>
      </c>
      <c r="N26" s="185">
        <f t="shared" si="29"/>
        <v>1441000</v>
      </c>
      <c r="O26" s="185">
        <f t="shared" si="29"/>
        <v>1710000</v>
      </c>
      <c r="P26" s="185">
        <f t="shared" ref="P26" si="30">+P24+P25</f>
        <v>2158000</v>
      </c>
      <c r="Q26" s="558">
        <f t="shared" ref="Q26:S26" si="31">+Q24+Q25</f>
        <v>1535000</v>
      </c>
      <c r="R26" s="185">
        <f t="shared" si="31"/>
        <v>428000</v>
      </c>
      <c r="S26" s="185">
        <f t="shared" si="31"/>
        <v>409000</v>
      </c>
    </row>
    <row r="27" spans="2:19" ht="11.45" customHeight="1">
      <c r="B27" s="8" t="s">
        <v>18</v>
      </c>
      <c r="C27" s="9">
        <f>'Balance Sheet Yahoo Input'!B10/1000</f>
        <v>-54000</v>
      </c>
      <c r="D27" s="9">
        <f>'Balance Sheet Yahoo Input'!C10/1000</f>
        <v>-63000</v>
      </c>
      <c r="E27" s="558">
        <f>'Balance Sheet Yahoo Input'!D10/1000</f>
        <v>-53000</v>
      </c>
      <c r="F27" s="558">
        <f>'Balance Sheet Yahoo Input'!E10/1000</f>
        <v>-56000</v>
      </c>
      <c r="G27" s="9">
        <f>'Balance Sheet Yahoo Input'!F10/1000</f>
        <v>-32000</v>
      </c>
      <c r="H27" s="9">
        <f>'Balance Sheet Yahoo Input'!G10/1000</f>
        <v>-26000</v>
      </c>
      <c r="I27" s="9">
        <f>'Balance Sheet Yahoo Input'!H10/1000</f>
        <v>-21000</v>
      </c>
      <c r="J27" s="9">
        <f>'Balance Sheet Yahoo Input'!I10/1000</f>
        <v>-18000</v>
      </c>
      <c r="K27" s="9">
        <f>'Balance Sheet Yahoo Input'!J10/1000</f>
        <v>-15000</v>
      </c>
      <c r="L27" s="9">
        <f>'Balance Sheet Yahoo Input'!K10/1000</f>
        <v>-13000</v>
      </c>
      <c r="M27" s="9">
        <f>'Balance Sheet Yahoo Input'!L10/1000</f>
        <v>-11000</v>
      </c>
      <c r="N27" s="9">
        <f>'Balance Sheet Yahoo Input'!M10/1000</f>
        <v>-11000</v>
      </c>
      <c r="O27" s="9">
        <f>'Balance Sheet Yahoo Input'!N10/1000</f>
        <v>-10000</v>
      </c>
      <c r="P27" s="9">
        <f>'Balance Sheet Yahoo Input'!O10/1000</f>
        <v>0</v>
      </c>
      <c r="Q27" s="558">
        <f>'Balance Sheet Yahoo Input'!P10/1000</f>
        <v>0</v>
      </c>
      <c r="R27" s="9">
        <f>'Balance Sheet Yahoo Input'!Q10/1000</f>
        <v>0</v>
      </c>
      <c r="S27" s="9">
        <f>'Balance Sheet Yahoo Input'!R10/1000</f>
        <v>0</v>
      </c>
    </row>
    <row r="28" spans="2:19" ht="11.45" customHeight="1">
      <c r="B28" s="8" t="s">
        <v>19</v>
      </c>
      <c r="C28" s="9">
        <f>'Balance Sheet Yahoo Input'!B14/1000</f>
        <v>0</v>
      </c>
      <c r="D28" s="9">
        <f>'Balance Sheet Yahoo Input'!C14/1000</f>
        <v>0</v>
      </c>
      <c r="E28" s="558">
        <f>'Balance Sheet Yahoo Input'!D14/1000</f>
        <v>0</v>
      </c>
      <c r="F28" s="558">
        <f>'Balance Sheet Yahoo Input'!E14/1000</f>
        <v>0</v>
      </c>
      <c r="G28" s="9">
        <f>'Balance Sheet Yahoo Input'!F14/1000</f>
        <v>0</v>
      </c>
      <c r="H28" s="9">
        <f>'Balance Sheet Yahoo Input'!G14/1000</f>
        <v>0</v>
      </c>
      <c r="I28" s="9">
        <f>'Balance Sheet Yahoo Input'!H14/1000</f>
        <v>0</v>
      </c>
      <c r="J28" s="9">
        <f>'Balance Sheet Yahoo Input'!I14/1000</f>
        <v>0</v>
      </c>
      <c r="K28" s="9">
        <f>'Balance Sheet Yahoo Input'!J14/1000</f>
        <v>0</v>
      </c>
      <c r="L28" s="9">
        <f>'Balance Sheet Yahoo Input'!K14/1000</f>
        <v>26000</v>
      </c>
      <c r="M28" s="9">
        <f>'Balance Sheet Yahoo Input'!L14/1000</f>
        <v>11000</v>
      </c>
      <c r="N28" s="9">
        <f>'Balance Sheet Yahoo Input'!M14/1000</f>
        <v>19000</v>
      </c>
      <c r="O28" s="9">
        <f>'Balance Sheet Yahoo Input'!N14/1000</f>
        <v>23000</v>
      </c>
      <c r="P28" s="9">
        <f>'Balance Sheet Yahoo Input'!O14/1000</f>
        <v>29000</v>
      </c>
      <c r="Q28" s="558">
        <f>'Balance Sheet Yahoo Input'!P14/1000</f>
        <v>23000</v>
      </c>
      <c r="R28" s="9">
        <f>'Balance Sheet Yahoo Input'!Q14/1000</f>
        <v>51000</v>
      </c>
      <c r="S28" s="9">
        <f>'Balance Sheet Yahoo Input'!R14/1000</f>
        <v>25000</v>
      </c>
    </row>
    <row r="29" spans="2:19" ht="11.45" customHeight="1">
      <c r="B29" s="8" t="s">
        <v>516</v>
      </c>
      <c r="C29" s="9">
        <f>'Balance Sheet Yahoo Input'!B15/1000</f>
        <v>0</v>
      </c>
      <c r="D29" s="9">
        <f>'Balance Sheet Yahoo Input'!C15/1000</f>
        <v>0</v>
      </c>
      <c r="E29" s="558">
        <f>'Balance Sheet Yahoo Input'!D15/1000</f>
        <v>0</v>
      </c>
      <c r="F29" s="558">
        <f>'Balance Sheet Yahoo Input'!E15/1000</f>
        <v>0</v>
      </c>
      <c r="G29" s="9">
        <f>'Balance Sheet Yahoo Input'!F15/1000</f>
        <v>0</v>
      </c>
      <c r="H29" s="9">
        <f>'Balance Sheet Yahoo Input'!G15/1000</f>
        <v>0</v>
      </c>
      <c r="I29" s="9">
        <f>'Balance Sheet Yahoo Input'!H15/1000</f>
        <v>0</v>
      </c>
      <c r="J29" s="9">
        <f>'Balance Sheet Yahoo Input'!I15/1000</f>
        <v>0</v>
      </c>
      <c r="K29" s="9">
        <f>'Balance Sheet Yahoo Input'!J15/1000</f>
        <v>0</v>
      </c>
      <c r="L29" s="9">
        <f>'Balance Sheet Yahoo Input'!K15/1000</f>
        <v>26000</v>
      </c>
      <c r="M29" s="9">
        <f>'Balance Sheet Yahoo Input'!L15/1000</f>
        <v>11000</v>
      </c>
      <c r="N29" s="9">
        <f>'Balance Sheet Yahoo Input'!M15/1000</f>
        <v>19000</v>
      </c>
      <c r="O29" s="9">
        <f>'Balance Sheet Yahoo Input'!N15/1000</f>
        <v>23000</v>
      </c>
      <c r="P29" s="9">
        <f>'Balance Sheet Yahoo Input'!O15/1000</f>
        <v>29000</v>
      </c>
      <c r="Q29" s="558">
        <f>'Balance Sheet Yahoo Input'!P15/1000</f>
        <v>23000</v>
      </c>
      <c r="R29" s="9">
        <f>'Balance Sheet Yahoo Input'!Q15/1000</f>
        <v>51000</v>
      </c>
      <c r="S29" s="9">
        <f>'Balance Sheet Yahoo Input'!R15/1000</f>
        <v>25000</v>
      </c>
    </row>
    <row r="30" spans="2:19" ht="11.45" customHeight="1">
      <c r="B30" s="8" t="s">
        <v>517</v>
      </c>
      <c r="C30" s="9">
        <f>'Balance Sheet Yahoo Input'!B16/1000</f>
        <v>0</v>
      </c>
      <c r="D30" s="9">
        <f>'Balance Sheet Yahoo Input'!C16/1000</f>
        <v>0</v>
      </c>
      <c r="E30" s="558">
        <f>'Balance Sheet Yahoo Input'!D16/1000</f>
        <v>0</v>
      </c>
      <c r="F30" s="558">
        <f>'Balance Sheet Yahoo Input'!E16/1000</f>
        <v>0</v>
      </c>
      <c r="G30" s="9">
        <f>'Balance Sheet Yahoo Input'!F16/1000</f>
        <v>0</v>
      </c>
      <c r="H30" s="9">
        <f>'Balance Sheet Yahoo Input'!G16/1000</f>
        <v>0</v>
      </c>
      <c r="I30" s="9">
        <f>'Balance Sheet Yahoo Input'!H16/1000</f>
        <v>0</v>
      </c>
      <c r="J30" s="9">
        <f>'Balance Sheet Yahoo Input'!I16/1000</f>
        <v>0</v>
      </c>
      <c r="K30" s="9">
        <f>'Balance Sheet Yahoo Input'!J16/1000</f>
        <v>0</v>
      </c>
      <c r="L30" s="9">
        <f>'Balance Sheet Yahoo Input'!K16/1000</f>
        <v>63000</v>
      </c>
      <c r="M30" s="9">
        <f>'Balance Sheet Yahoo Input'!L16/1000</f>
        <v>0</v>
      </c>
      <c r="N30" s="9">
        <f>'Balance Sheet Yahoo Input'!M16/1000</f>
        <v>34000</v>
      </c>
      <c r="O30" s="9">
        <f>'Balance Sheet Yahoo Input'!N16/1000</f>
        <v>0</v>
      </c>
      <c r="P30" s="9">
        <f>'Balance Sheet Yahoo Input'!O16/1000</f>
        <v>0</v>
      </c>
      <c r="Q30" s="558">
        <f>'Balance Sheet Yahoo Input'!P16/1000</f>
        <v>0</v>
      </c>
      <c r="R30" s="9">
        <f>'Balance Sheet Yahoo Input'!Q16/1000</f>
        <v>0</v>
      </c>
      <c r="S30" s="9">
        <f>'Balance Sheet Yahoo Input'!R16/1000</f>
        <v>0</v>
      </c>
    </row>
    <row r="31" spans="2:19" ht="11.45" customHeight="1">
      <c r="B31" s="8" t="s">
        <v>20</v>
      </c>
      <c r="C31" s="15">
        <f t="shared" ref="C31" si="32">SUM(C26:C30)</f>
        <v>699000</v>
      </c>
      <c r="D31" s="15">
        <f t="shared" ref="D31:O31" si="33">SUM(D26:D30)</f>
        <v>1244000</v>
      </c>
      <c r="E31" s="560">
        <f t="shared" si="33"/>
        <v>1361000</v>
      </c>
      <c r="F31" s="560">
        <f t="shared" si="33"/>
        <v>2501000</v>
      </c>
      <c r="G31" s="15">
        <f t="shared" si="33"/>
        <v>997000</v>
      </c>
      <c r="H31" s="15">
        <f t="shared" si="33"/>
        <v>776000</v>
      </c>
      <c r="I31" s="15">
        <f t="shared" si="33"/>
        <v>580000</v>
      </c>
      <c r="J31" s="15">
        <f t="shared" si="33"/>
        <v>576000</v>
      </c>
      <c r="K31" s="15">
        <f t="shared" si="33"/>
        <v>534000</v>
      </c>
      <c r="L31" s="15">
        <f t="shared" si="33"/>
        <v>1047000</v>
      </c>
      <c r="M31" s="15">
        <f t="shared" si="33"/>
        <v>525000</v>
      </c>
      <c r="N31" s="15">
        <f t="shared" si="33"/>
        <v>1502000</v>
      </c>
      <c r="O31" s="15">
        <f t="shared" si="33"/>
        <v>1746000</v>
      </c>
      <c r="P31" s="15">
        <f t="shared" ref="P31:Q31" si="34">SUM(P26:P30)</f>
        <v>2216000</v>
      </c>
      <c r="Q31" s="560">
        <f t="shared" si="34"/>
        <v>1581000</v>
      </c>
      <c r="R31" s="15">
        <f t="shared" ref="R31:S31" si="35">SUM(R26:R30)</f>
        <v>530000</v>
      </c>
      <c r="S31" s="15">
        <f t="shared" si="35"/>
        <v>459000</v>
      </c>
    </row>
    <row r="32" spans="2:19" ht="11.45" customHeight="1">
      <c r="B32" s="14"/>
      <c r="C32" s="9"/>
      <c r="D32" s="9"/>
      <c r="E32" s="558"/>
      <c r="F32" s="558"/>
      <c r="G32" s="9"/>
      <c r="H32" s="9"/>
      <c r="I32" s="9"/>
      <c r="J32" s="9"/>
      <c r="K32" s="9"/>
      <c r="L32" s="9"/>
      <c r="M32" s="9"/>
      <c r="N32" s="9"/>
      <c r="O32" s="9"/>
      <c r="P32" s="9"/>
      <c r="Q32" s="558"/>
      <c r="R32" s="9"/>
      <c r="S32" s="9"/>
    </row>
    <row r="33" spans="2:20" ht="11.45" customHeight="1">
      <c r="B33" s="11" t="s">
        <v>21</v>
      </c>
      <c r="C33" s="9"/>
      <c r="D33" s="9"/>
      <c r="E33" s="558"/>
      <c r="F33" s="558"/>
      <c r="G33" s="9"/>
      <c r="H33" s="9"/>
      <c r="I33" s="9"/>
      <c r="J33" s="9"/>
      <c r="K33" s="9"/>
      <c r="L33" s="9"/>
      <c r="M33" s="9"/>
      <c r="N33" s="9"/>
      <c r="O33" s="9"/>
      <c r="P33" s="9"/>
      <c r="Q33" s="558"/>
      <c r="R33" s="9"/>
      <c r="S33" s="9"/>
    </row>
    <row r="34" spans="2:20" ht="11.45" customHeight="1">
      <c r="B34" s="191" t="s">
        <v>22</v>
      </c>
      <c r="C34" s="185">
        <f>'Balance Sheet Yahoo Input'!B20/1000</f>
        <v>2739000</v>
      </c>
      <c r="D34" s="185">
        <f>'Balance Sheet Yahoo Input'!C20/1000</f>
        <v>4950000</v>
      </c>
      <c r="E34" s="558">
        <f>'Balance Sheet Yahoo Input'!D20/1000</f>
        <v>5612000</v>
      </c>
      <c r="F34" s="558">
        <f>'Balance Sheet Yahoo Input'!E20/1000</f>
        <v>5948000</v>
      </c>
      <c r="G34" s="185">
        <f>'Balance Sheet Yahoo Input'!F20/1000</f>
        <v>6098000</v>
      </c>
      <c r="H34" s="185">
        <f>'Balance Sheet Yahoo Input'!G20/1000</f>
        <v>5847000</v>
      </c>
      <c r="I34" s="185">
        <f>'Balance Sheet Yahoo Input'!H20/1000</f>
        <v>6332000</v>
      </c>
      <c r="J34" s="185">
        <f>'Balance Sheet Yahoo Input'!I20/1000</f>
        <v>6634000</v>
      </c>
      <c r="K34" s="185">
        <f>'Balance Sheet Yahoo Input'!J20/1000</f>
        <v>6252000</v>
      </c>
      <c r="L34" s="185">
        <f>'Balance Sheet Yahoo Input'!K20/1000</f>
        <v>6208000</v>
      </c>
      <c r="M34" s="185">
        <f>'Balance Sheet Yahoo Input'!L20/1000</f>
        <v>7016000</v>
      </c>
      <c r="N34" s="185">
        <f>'Balance Sheet Yahoo Input'!M20/1000</f>
        <v>6351000</v>
      </c>
      <c r="O34" s="185">
        <f>'Balance Sheet Yahoo Input'!N20/1000</f>
        <v>6083000</v>
      </c>
      <c r="P34" s="185">
        <f>'Balance Sheet Yahoo Input'!O20/1000</f>
        <v>5437000</v>
      </c>
      <c r="Q34" s="558">
        <f>'Balance Sheet Yahoo Input'!P20/1000</f>
        <v>5499000</v>
      </c>
      <c r="R34" s="185">
        <f>'Balance Sheet Yahoo Input'!Q20/1000</f>
        <v>5211000</v>
      </c>
      <c r="S34" s="185">
        <f>'Balance Sheet Yahoo Input'!R20/1000</f>
        <v>5211000</v>
      </c>
    </row>
    <row r="35" spans="2:20" ht="11.45" customHeight="1">
      <c r="B35" s="8" t="s">
        <v>23</v>
      </c>
      <c r="C35" s="9">
        <f>+C36-C34</f>
        <v>0</v>
      </c>
      <c r="D35" s="9">
        <f t="shared" ref="D35:O35" si="36">+D36-D34</f>
        <v>-2181000</v>
      </c>
      <c r="E35" s="558">
        <f t="shared" si="36"/>
        <v>-2318000</v>
      </c>
      <c r="F35" s="558">
        <f t="shared" si="36"/>
        <v>-2348000</v>
      </c>
      <c r="G35" s="9">
        <f t="shared" si="36"/>
        <v>-2149000</v>
      </c>
      <c r="H35" s="9">
        <f t="shared" si="36"/>
        <v>-2239000</v>
      </c>
      <c r="I35" s="9">
        <f t="shared" si="36"/>
        <v>-2298000</v>
      </c>
      <c r="J35" s="9">
        <f t="shared" si="36"/>
        <v>-2364000</v>
      </c>
      <c r="K35" s="9">
        <f t="shared" si="36"/>
        <v>-2221000</v>
      </c>
      <c r="L35" s="9">
        <f t="shared" si="36"/>
        <v>-2022000</v>
      </c>
      <c r="M35" s="9">
        <f t="shared" si="36"/>
        <v>-2345000</v>
      </c>
      <c r="N35" s="9">
        <f t="shared" si="36"/>
        <v>-2212000</v>
      </c>
      <c r="O35" s="9">
        <f t="shared" si="36"/>
        <v>-2040000</v>
      </c>
      <c r="P35" s="9">
        <f t="shared" ref="P35" si="37">+P36-P34</f>
        <v>-1984000</v>
      </c>
      <c r="Q35" s="558">
        <f t="shared" ref="Q35:S35" si="38">+Q36-Q34</f>
        <v>-1914000</v>
      </c>
      <c r="R35" s="9">
        <f t="shared" si="38"/>
        <v>-1716000</v>
      </c>
      <c r="S35" s="9">
        <f t="shared" si="38"/>
        <v>-1716000</v>
      </c>
    </row>
    <row r="36" spans="2:20" ht="11.45" customHeight="1">
      <c r="B36" s="8" t="s">
        <v>24</v>
      </c>
      <c r="C36" s="15">
        <f>'Balance Sheet Yahoo Input'!B19/1000</f>
        <v>2739000</v>
      </c>
      <c r="D36" s="15">
        <f>'Balance Sheet Yahoo Input'!C19/1000</f>
        <v>2769000</v>
      </c>
      <c r="E36" s="560">
        <f>'Balance Sheet Yahoo Input'!D19/1000</f>
        <v>3294000</v>
      </c>
      <c r="F36" s="560">
        <f>'Balance Sheet Yahoo Input'!E19/1000</f>
        <v>3600000</v>
      </c>
      <c r="G36" s="15">
        <f>'Balance Sheet Yahoo Input'!F19/1000</f>
        <v>3949000</v>
      </c>
      <c r="H36" s="15">
        <f>'Balance Sheet Yahoo Input'!G19/1000</f>
        <v>3608000</v>
      </c>
      <c r="I36" s="15">
        <f>'Balance Sheet Yahoo Input'!H19/1000</f>
        <v>4034000</v>
      </c>
      <c r="J36" s="15">
        <f>'Balance Sheet Yahoo Input'!I19/1000</f>
        <v>4270000</v>
      </c>
      <c r="K36" s="15">
        <f>'Balance Sheet Yahoo Input'!J19/1000</f>
        <v>4031000</v>
      </c>
      <c r="L36" s="15">
        <f>'Balance Sheet Yahoo Input'!K19/1000</f>
        <v>4186000</v>
      </c>
      <c r="M36" s="15">
        <f>'Balance Sheet Yahoo Input'!L19/1000</f>
        <v>4671000</v>
      </c>
      <c r="N36" s="15">
        <f>'Balance Sheet Yahoo Input'!M19/1000</f>
        <v>4139000</v>
      </c>
      <c r="O36" s="15">
        <f>'Balance Sheet Yahoo Input'!N19/1000</f>
        <v>4043000</v>
      </c>
      <c r="P36" s="15">
        <f>'Balance Sheet Yahoo Input'!O19/1000</f>
        <v>3453000</v>
      </c>
      <c r="Q36" s="560">
        <f>'Balance Sheet Yahoo Input'!P19/1000</f>
        <v>3585000</v>
      </c>
      <c r="R36" s="15">
        <f>'Balance Sheet Yahoo Input'!Q19/1000</f>
        <v>3495000</v>
      </c>
      <c r="S36" s="15">
        <f>'Balance Sheet Yahoo Input'!R19/1000</f>
        <v>3495000</v>
      </c>
    </row>
    <row r="37" spans="2:20" ht="11.45" customHeight="1">
      <c r="B37" s="8" t="s">
        <v>25</v>
      </c>
      <c r="C37" s="9">
        <f>+'Balance Sheet Yahoo Input'!B32/1000</f>
        <v>953000</v>
      </c>
      <c r="D37" s="9">
        <f>+'Balance Sheet Yahoo Input'!C32/1000</f>
        <v>833000</v>
      </c>
      <c r="E37" s="558">
        <f>+'Balance Sheet Yahoo Input'!D32/1000</f>
        <v>954000</v>
      </c>
      <c r="F37" s="558">
        <f>+'Balance Sheet Yahoo Input'!E32/1000</f>
        <v>980000</v>
      </c>
      <c r="G37" s="9">
        <f>+'Balance Sheet Yahoo Input'!F32/1000</f>
        <v>843000</v>
      </c>
      <c r="H37" s="9">
        <f>+'Balance Sheet Yahoo Input'!G32/1000</f>
        <v>735000</v>
      </c>
      <c r="I37" s="9">
        <f>+'Balance Sheet Yahoo Input'!H32/1000</f>
        <v>750000</v>
      </c>
      <c r="J37" s="9">
        <f>+'Balance Sheet Yahoo Input'!I32/1000</f>
        <v>186000</v>
      </c>
      <c r="K37" s="9">
        <f>+'Balance Sheet Yahoo Input'!J32/1000</f>
        <v>327000</v>
      </c>
      <c r="L37" s="9">
        <f>+'Balance Sheet Yahoo Input'!K32/1000</f>
        <v>334000</v>
      </c>
      <c r="M37" s="9">
        <f>+'Balance Sheet Yahoo Input'!L32/1000</f>
        <v>329000</v>
      </c>
      <c r="N37" s="9">
        <f>+'Balance Sheet Yahoo Input'!M32/1000</f>
        <v>283000</v>
      </c>
      <c r="O37" s="9">
        <f>+'Balance Sheet Yahoo Input'!N32/1000</f>
        <v>280000</v>
      </c>
      <c r="P37" s="9">
        <f>+'Balance Sheet Yahoo Input'!O32/1000</f>
        <v>245000</v>
      </c>
      <c r="Q37" s="558">
        <f>+'Balance Sheet Yahoo Input'!P32/1000</f>
        <v>223000</v>
      </c>
      <c r="R37" s="9">
        <f>+'Balance Sheet Yahoo Input'!Q32/1000</f>
        <v>204000</v>
      </c>
      <c r="S37" s="9">
        <f>+'Balance Sheet Yahoo Input'!R32/1000</f>
        <v>324000</v>
      </c>
    </row>
    <row r="38" spans="2:20" ht="11.45" customHeight="1">
      <c r="B38" s="8" t="s">
        <v>26</v>
      </c>
      <c r="C38" s="9">
        <f>+'Balance Sheet Yahoo Input'!B30/1000</f>
        <v>3202000</v>
      </c>
      <c r="D38" s="9">
        <f>+'Balance Sheet Yahoo Input'!C30/1000</f>
        <v>3101000</v>
      </c>
      <c r="E38" s="558">
        <f>+'Balance Sheet Yahoo Input'!D30/1000</f>
        <v>2965000</v>
      </c>
      <c r="F38" s="558">
        <f>+'Balance Sheet Yahoo Input'!E30/1000</f>
        <v>288000</v>
      </c>
      <c r="G38" s="9">
        <f>+'Balance Sheet Yahoo Input'!F30/1000</f>
        <v>326000</v>
      </c>
      <c r="H38" s="9">
        <f>+'Balance Sheet Yahoo Input'!G30/1000</f>
        <v>283000</v>
      </c>
      <c r="I38" s="9">
        <f>+'Balance Sheet Yahoo Input'!H30/1000</f>
        <v>150000</v>
      </c>
      <c r="J38" s="9">
        <f>+'Balance Sheet Yahoo Input'!I30/1000</f>
        <v>125000</v>
      </c>
      <c r="K38" s="9">
        <f>+'Balance Sheet Yahoo Input'!J30/1000</f>
        <v>129000</v>
      </c>
      <c r="L38" s="9">
        <f>+'Balance Sheet Yahoo Input'!K30/1000</f>
        <v>133000</v>
      </c>
      <c r="M38" s="9">
        <f>+'Balance Sheet Yahoo Input'!L30/1000</f>
        <v>147000</v>
      </c>
      <c r="N38" s="9">
        <f>+'Balance Sheet Yahoo Input'!M30/1000</f>
        <v>133000</v>
      </c>
      <c r="O38" s="9">
        <f>+'Balance Sheet Yahoo Input'!N30/1000</f>
        <v>102000</v>
      </c>
      <c r="P38" s="9">
        <f>+'Balance Sheet Yahoo Input'!O30/1000</f>
        <v>102000</v>
      </c>
      <c r="Q38" s="558">
        <f>+'Balance Sheet Yahoo Input'!P30/1000</f>
        <v>113000</v>
      </c>
      <c r="R38" s="9">
        <f>+'Balance Sheet Yahoo Input'!Q30/1000</f>
        <v>120000</v>
      </c>
      <c r="S38" s="9">
        <f>+'Balance Sheet Yahoo Input'!R30/1000</f>
        <v>203000</v>
      </c>
    </row>
    <row r="39" spans="2:20" ht="11.45" customHeight="1">
      <c r="B39" s="8" t="s">
        <v>27</v>
      </c>
      <c r="C39" s="9">
        <f>+'Balance Sheet Yahoo Input'!B31/1000</f>
        <v>1728000</v>
      </c>
      <c r="D39" s="9">
        <f>+'Balance Sheet Yahoo Input'!C31/1000</f>
        <v>1668000</v>
      </c>
      <c r="E39" s="558">
        <f>+'Balance Sheet Yahoo Input'!D31/1000</f>
        <v>1977000</v>
      </c>
      <c r="F39" s="558">
        <f>+'Balance Sheet Yahoo Input'!E31/1000</f>
        <v>385000</v>
      </c>
      <c r="G39" s="9">
        <f>+'Balance Sheet Yahoo Input'!F31/1000</f>
        <v>437000</v>
      </c>
      <c r="H39" s="9">
        <f>+'Balance Sheet Yahoo Input'!G31/1000</f>
        <v>628000</v>
      </c>
      <c r="I39" s="9">
        <f>+'Balance Sheet Yahoo Input'!H31/1000</f>
        <v>305000</v>
      </c>
      <c r="J39" s="9">
        <f>+'Balance Sheet Yahoo Input'!I31/1000</f>
        <v>599000</v>
      </c>
      <c r="K39" s="9">
        <f>+'Balance Sheet Yahoo Input'!J31/1000</f>
        <v>547000</v>
      </c>
      <c r="L39" s="9">
        <f>+'Balance Sheet Yahoo Input'!K31/1000</f>
        <v>552000</v>
      </c>
      <c r="M39" s="9">
        <f>+'Balance Sheet Yahoo Input'!L31/1000</f>
        <v>591000</v>
      </c>
      <c r="N39" s="9">
        <f>+'Balance Sheet Yahoo Input'!M31/1000</f>
        <v>388000</v>
      </c>
      <c r="O39" s="9">
        <f>+'Balance Sheet Yahoo Input'!N31/1000</f>
        <v>359000</v>
      </c>
      <c r="P39" s="9">
        <f>+'Balance Sheet Yahoo Input'!O31/1000</f>
        <v>280000</v>
      </c>
      <c r="Q39" s="558">
        <f>+'Balance Sheet Yahoo Input'!P31/1000</f>
        <v>284000</v>
      </c>
      <c r="R39" s="9">
        <f>+'Balance Sheet Yahoo Input'!Q31/1000</f>
        <v>256000</v>
      </c>
      <c r="S39" s="9">
        <f>+'Balance Sheet Yahoo Input'!R31/1000</f>
        <v>359000</v>
      </c>
    </row>
    <row r="40" spans="2:20" ht="11.45" customHeight="1">
      <c r="B40" s="8" t="s">
        <v>28</v>
      </c>
      <c r="C40" s="12">
        <f>+C42-C39-C38-C37-C36-C31</f>
        <v>2996000</v>
      </c>
      <c r="D40" s="12">
        <f t="shared" ref="D40:O40" si="39">+D42-D39-D38-D37-D36-D31</f>
        <v>2697000</v>
      </c>
      <c r="E40" s="559">
        <f t="shared" si="39"/>
        <v>2052000</v>
      </c>
      <c r="F40" s="559">
        <f t="shared" si="39"/>
        <v>1375000</v>
      </c>
      <c r="G40" s="12">
        <f t="shared" si="39"/>
        <v>1865000</v>
      </c>
      <c r="H40" s="12">
        <f t="shared" si="39"/>
        <v>1613000</v>
      </c>
      <c r="I40" s="12">
        <f t="shared" si="39"/>
        <v>1753000</v>
      </c>
      <c r="J40" s="12">
        <f t="shared" si="39"/>
        <v>1993000</v>
      </c>
      <c r="K40" s="12">
        <f t="shared" si="39"/>
        <v>2023000</v>
      </c>
      <c r="L40" s="12">
        <f t="shared" si="39"/>
        <v>1891000</v>
      </c>
      <c r="M40" s="12">
        <f t="shared" si="39"/>
        <v>1914000</v>
      </c>
      <c r="N40" s="12">
        <f t="shared" si="39"/>
        <v>1185000</v>
      </c>
      <c r="O40" s="12">
        <f t="shared" si="39"/>
        <v>977000</v>
      </c>
      <c r="P40" s="12">
        <f t="shared" ref="P40" si="40">+P42-P39-P38-P37-P36-P31</f>
        <v>947000</v>
      </c>
      <c r="Q40" s="559">
        <f t="shared" ref="Q40:S40" si="41">+Q42-Q39-Q38-Q37-Q36-Q31</f>
        <v>1369000</v>
      </c>
      <c r="R40" s="12">
        <f t="shared" si="41"/>
        <v>1514000</v>
      </c>
      <c r="S40" s="12">
        <f t="shared" si="41"/>
        <v>1408000</v>
      </c>
      <c r="T40" s="380" t="s">
        <v>518</v>
      </c>
    </row>
    <row r="41" spans="2:20" ht="11.45" customHeight="1">
      <c r="B41" s="8" t="s">
        <v>29</v>
      </c>
      <c r="C41" s="9">
        <f>SUM(C36:C40)</f>
        <v>11618000</v>
      </c>
      <c r="D41" s="9">
        <f t="shared" ref="D41:O41" si="42">SUM(D36:D40)</f>
        <v>11068000</v>
      </c>
      <c r="E41" s="558">
        <f t="shared" si="42"/>
        <v>11242000</v>
      </c>
      <c r="F41" s="558">
        <f t="shared" si="42"/>
        <v>6628000</v>
      </c>
      <c r="G41" s="9">
        <f t="shared" si="42"/>
        <v>7420000</v>
      </c>
      <c r="H41" s="9">
        <f t="shared" si="42"/>
        <v>6867000</v>
      </c>
      <c r="I41" s="9">
        <f t="shared" si="42"/>
        <v>6992000</v>
      </c>
      <c r="J41" s="9">
        <f t="shared" si="42"/>
        <v>7173000</v>
      </c>
      <c r="K41" s="9">
        <f t="shared" si="42"/>
        <v>7057000</v>
      </c>
      <c r="L41" s="9">
        <f t="shared" si="42"/>
        <v>7096000</v>
      </c>
      <c r="M41" s="9">
        <f t="shared" si="42"/>
        <v>7652000</v>
      </c>
      <c r="N41" s="9">
        <f t="shared" si="42"/>
        <v>6128000</v>
      </c>
      <c r="O41" s="9">
        <f t="shared" si="42"/>
        <v>5761000</v>
      </c>
      <c r="P41" s="9">
        <f t="shared" ref="P41" si="43">SUM(P36:P40)</f>
        <v>5027000</v>
      </c>
      <c r="Q41" s="558">
        <f t="shared" ref="Q41:S41" si="44">SUM(Q36:Q40)</f>
        <v>5574000</v>
      </c>
      <c r="R41" s="9">
        <f t="shared" si="44"/>
        <v>5589000</v>
      </c>
      <c r="S41" s="9">
        <f t="shared" si="44"/>
        <v>5789000</v>
      </c>
    </row>
    <row r="42" spans="2:20" ht="11.45" customHeight="1" thickBot="1">
      <c r="B42" s="7" t="s">
        <v>30</v>
      </c>
      <c r="C42" s="16">
        <f>+'Balance Sheet Yahoo Input'!B2/1000</f>
        <v>12317000</v>
      </c>
      <c r="D42" s="16">
        <f>+'Balance Sheet Yahoo Input'!C2/1000</f>
        <v>12312000</v>
      </c>
      <c r="E42" s="561">
        <f>+'Balance Sheet Yahoo Input'!D2/1000</f>
        <v>12603000</v>
      </c>
      <c r="F42" s="561">
        <f>+'Balance Sheet Yahoo Input'!E2/1000</f>
        <v>9129000</v>
      </c>
      <c r="G42" s="16">
        <f>+'Balance Sheet Yahoo Input'!F2/1000</f>
        <v>8417000</v>
      </c>
      <c r="H42" s="16">
        <f>+'Balance Sheet Yahoo Input'!G2/1000</f>
        <v>7643000</v>
      </c>
      <c r="I42" s="16">
        <f>+'Balance Sheet Yahoo Input'!H2/1000</f>
        <v>7572000</v>
      </c>
      <c r="J42" s="16">
        <f>+'Balance Sheet Yahoo Input'!I2/1000</f>
        <v>7749000</v>
      </c>
      <c r="K42" s="16">
        <f>+'Balance Sheet Yahoo Input'!J2/1000</f>
        <v>7591000</v>
      </c>
      <c r="L42" s="16">
        <f>+'Balance Sheet Yahoo Input'!K2/1000</f>
        <v>8143000</v>
      </c>
      <c r="M42" s="16">
        <f>+'Balance Sheet Yahoo Input'!L2/1000</f>
        <v>8177000</v>
      </c>
      <c r="N42" s="16">
        <f>+'Balance Sheet Yahoo Input'!M2/1000</f>
        <v>7630000</v>
      </c>
      <c r="O42" s="16">
        <f>+'Balance Sheet Yahoo Input'!N2/1000</f>
        <v>7507000</v>
      </c>
      <c r="P42" s="16">
        <f>+'Balance Sheet Yahoo Input'!O2/1000</f>
        <v>7243000</v>
      </c>
      <c r="Q42" s="561">
        <f>+'Balance Sheet Yahoo Input'!P2/1000</f>
        <v>7155000</v>
      </c>
      <c r="R42" s="16">
        <f>+'Balance Sheet Yahoo Input'!Q2/1000</f>
        <v>6119000</v>
      </c>
      <c r="S42" s="16">
        <f>+'Balance Sheet Yahoo Input'!R2/1000</f>
        <v>6248000</v>
      </c>
    </row>
    <row r="43" spans="2:20" ht="11.45" customHeight="1" thickTop="1"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20" ht="11.45" customHeight="1">
      <c r="B44" s="384" t="s">
        <v>31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</row>
    <row r="45" spans="2:20" ht="11.45" customHeight="1">
      <c r="B45" s="8" t="s">
        <v>32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558"/>
      <c r="R45" s="9"/>
      <c r="S45" s="9"/>
    </row>
    <row r="46" spans="2:20" ht="11.45" customHeight="1">
      <c r="B46" s="8" t="s">
        <v>33</v>
      </c>
      <c r="C46" s="9">
        <f>+'Balance Sheet Yahoo Input'!B46/1000</f>
        <v>369000</v>
      </c>
      <c r="D46" s="9">
        <f>+'Balance Sheet Yahoo Input'!C46/1000</f>
        <v>500000</v>
      </c>
      <c r="E46" s="558">
        <f>+'Balance Sheet Yahoo Input'!D46/1000</f>
        <v>523000</v>
      </c>
      <c r="F46" s="558">
        <f>+'Balance Sheet Yahoo Input'!E46/1000</f>
        <v>102000</v>
      </c>
      <c r="G46" s="9">
        <f>+'Balance Sheet Yahoo Input'!F46/1000</f>
        <v>150000</v>
      </c>
      <c r="H46" s="9">
        <f>+'Balance Sheet Yahoo Input'!G46/1000</f>
        <v>151000</v>
      </c>
      <c r="I46" s="9">
        <f>+'Balance Sheet Yahoo Input'!H46/1000</f>
        <v>136000</v>
      </c>
      <c r="J46" s="9">
        <f>+'Balance Sheet Yahoo Input'!I46/1000</f>
        <v>162000</v>
      </c>
      <c r="K46" s="9">
        <f>+'Balance Sheet Yahoo Input'!J46/1000</f>
        <v>141000</v>
      </c>
      <c r="L46" s="9">
        <f>+'Balance Sheet Yahoo Input'!K46/1000</f>
        <v>130000</v>
      </c>
      <c r="M46" s="9">
        <f>+'Balance Sheet Yahoo Input'!L46/1000</f>
        <v>133000</v>
      </c>
      <c r="N46" s="9">
        <f>+'Balance Sheet Yahoo Input'!M46/1000</f>
        <v>138000</v>
      </c>
      <c r="O46" s="9">
        <f>+'Balance Sheet Yahoo Input'!N46/1000</f>
        <v>144000</v>
      </c>
      <c r="P46" s="9">
        <f>+'Balance Sheet Yahoo Input'!O46/1000</f>
        <v>145000</v>
      </c>
      <c r="Q46" s="558">
        <f>+'Balance Sheet Yahoo Input'!P46/1000</f>
        <v>196000</v>
      </c>
      <c r="R46" s="9">
        <f>+'Balance Sheet Yahoo Input'!Q46/1000</f>
        <v>318000</v>
      </c>
      <c r="S46" s="9">
        <f>+'Balance Sheet Yahoo Input'!R46/1000</f>
        <v>303000</v>
      </c>
    </row>
    <row r="47" spans="2:20" ht="11.45" customHeight="1">
      <c r="B47" s="8" t="s">
        <v>34</v>
      </c>
      <c r="C47" s="9">
        <f>+'Balance Sheet Yahoo Input'!B49/1000</f>
        <v>461000</v>
      </c>
      <c r="D47" s="9">
        <f>+'Balance Sheet Yahoo Input'!C49/1000</f>
        <v>415000</v>
      </c>
      <c r="E47" s="558">
        <f>+'Balance Sheet Yahoo Input'!D49/1000</f>
        <v>299000</v>
      </c>
      <c r="F47" s="558">
        <f>+'Balance Sheet Yahoo Input'!E49/1000</f>
        <v>200000</v>
      </c>
      <c r="G47" s="9">
        <f>+'Balance Sheet Yahoo Input'!F49/1000</f>
        <v>304000</v>
      </c>
      <c r="H47" s="9">
        <f>+'Balance Sheet Yahoo Input'!G49/1000</f>
        <v>361000</v>
      </c>
      <c r="I47" s="9">
        <f>+'Balance Sheet Yahoo Input'!H49/1000</f>
        <v>352000</v>
      </c>
      <c r="J47" s="9">
        <f>+'Balance Sheet Yahoo Input'!I49/1000</f>
        <v>514000</v>
      </c>
      <c r="K47" s="9">
        <f>+'Balance Sheet Yahoo Input'!J49/1000</f>
        <v>516000</v>
      </c>
      <c r="L47" s="9">
        <f>+'Balance Sheet Yahoo Input'!K49/1000</f>
        <v>468000</v>
      </c>
      <c r="M47" s="9">
        <f>+'Balance Sheet Yahoo Input'!L49/1000</f>
        <v>411000</v>
      </c>
      <c r="N47" s="9">
        <f>+'Balance Sheet Yahoo Input'!M49/1000</f>
        <v>338000</v>
      </c>
      <c r="O47" s="9">
        <f>+'Balance Sheet Yahoo Input'!N49/1000</f>
        <v>306000</v>
      </c>
      <c r="P47" s="9">
        <f>+'Balance Sheet Yahoo Input'!O49/1000</f>
        <v>394000</v>
      </c>
      <c r="Q47" s="558">
        <f>+'Balance Sheet Yahoo Input'!P49/1000</f>
        <v>287000</v>
      </c>
      <c r="R47" s="9">
        <f>+'Balance Sheet Yahoo Input'!Q49/1000</f>
        <v>274000</v>
      </c>
      <c r="S47" s="9">
        <f>+'Balance Sheet Yahoo Input'!R49/1000</f>
        <v>306000</v>
      </c>
    </row>
    <row r="48" spans="2:20" ht="11.45" customHeight="1">
      <c r="B48" s="8" t="s">
        <v>519</v>
      </c>
      <c r="C48" s="9">
        <f t="shared" ref="C48" si="45">+C50-C46-C47-C49</f>
        <v>1572000</v>
      </c>
      <c r="D48" s="9">
        <f t="shared" ref="D48:O48" si="46">+D50-D46-D47-D49</f>
        <v>1712000</v>
      </c>
      <c r="E48" s="558">
        <f t="shared" si="46"/>
        <v>1400000</v>
      </c>
      <c r="F48" s="558">
        <f t="shared" si="46"/>
        <v>422000</v>
      </c>
      <c r="G48" s="9">
        <f t="shared" si="46"/>
        <v>621000</v>
      </c>
      <c r="H48" s="9">
        <f t="shared" si="46"/>
        <v>538000</v>
      </c>
      <c r="I48" s="9">
        <f t="shared" si="46"/>
        <v>504000</v>
      </c>
      <c r="J48" s="9">
        <f t="shared" si="46"/>
        <v>248000</v>
      </c>
      <c r="K48" s="9">
        <f t="shared" si="46"/>
        <v>450000</v>
      </c>
      <c r="L48" s="9">
        <f t="shared" si="46"/>
        <v>132000</v>
      </c>
      <c r="M48" s="9">
        <f t="shared" si="46"/>
        <v>327000</v>
      </c>
      <c r="N48" s="9">
        <f t="shared" si="46"/>
        <v>142000</v>
      </c>
      <c r="O48" s="9">
        <f t="shared" si="46"/>
        <v>118000</v>
      </c>
      <c r="P48" s="9">
        <f t="shared" ref="P48:Q48" si="47">+P50-P46-P47-P49</f>
        <v>57000</v>
      </c>
      <c r="Q48" s="558">
        <f t="shared" si="47"/>
        <v>12000</v>
      </c>
      <c r="R48" s="9">
        <f t="shared" ref="R48:S48" si="48">+R50-R46-R47-R49</f>
        <v>61000</v>
      </c>
      <c r="S48" s="9">
        <f t="shared" si="48"/>
        <v>88000</v>
      </c>
      <c r="T48" s="380" t="s">
        <v>520</v>
      </c>
    </row>
    <row r="49" spans="2:20" ht="11.45" customHeight="1">
      <c r="B49" s="191" t="s">
        <v>35</v>
      </c>
      <c r="C49" s="185">
        <f>+'Balance Sheet Yahoo Input'!B53/1000</f>
        <v>6000</v>
      </c>
      <c r="D49" s="185">
        <f>+'Balance Sheet Yahoo Input'!C53/1000</f>
        <v>660000</v>
      </c>
      <c r="E49" s="558">
        <f>+'Balance Sheet Yahoo Input'!D53/1000</f>
        <v>10000</v>
      </c>
      <c r="F49" s="558">
        <f>+'Balance Sheet Yahoo Input'!E53/1000</f>
        <v>260000</v>
      </c>
      <c r="G49" s="185">
        <f>+'Balance Sheet Yahoo Input'!F53/1000</f>
        <v>11000</v>
      </c>
      <c r="H49" s="185">
        <f>+'Balance Sheet Yahoo Input'!G53/1000</f>
        <v>11000</v>
      </c>
      <c r="I49" s="185">
        <f>+'Balance Sheet Yahoo Input'!H53/1000</f>
        <v>0</v>
      </c>
      <c r="J49" s="185">
        <f>+'Balance Sheet Yahoo Input'!I53/1000</f>
        <v>0</v>
      </c>
      <c r="K49" s="185">
        <f>+'Balance Sheet Yahoo Input'!J53/1000</f>
        <v>0</v>
      </c>
      <c r="L49" s="185">
        <f>+'Balance Sheet Yahoo Input'!K53/1000</f>
        <v>0</v>
      </c>
      <c r="M49" s="185">
        <f>+'Balance Sheet Yahoo Input'!L53/1000</f>
        <v>0</v>
      </c>
      <c r="N49" s="185">
        <f>+'Balance Sheet Yahoo Input'!M53/1000</f>
        <v>0</v>
      </c>
      <c r="O49" s="185">
        <f>+'Balance Sheet Yahoo Input'!N53/1000</f>
        <v>0</v>
      </c>
      <c r="P49" s="185">
        <f>+'Balance Sheet Yahoo Input'!O53/1000</f>
        <v>0</v>
      </c>
      <c r="Q49" s="558">
        <f>+'Balance Sheet Yahoo Input'!P53/1000</f>
        <v>0</v>
      </c>
      <c r="R49" s="185">
        <f>+'Balance Sheet Yahoo Input'!Q53/1000</f>
        <v>0</v>
      </c>
      <c r="S49" s="185">
        <f>+'Balance Sheet Yahoo Input'!R53/1000</f>
        <v>0</v>
      </c>
    </row>
    <row r="50" spans="2:20" ht="11.45" customHeight="1">
      <c r="B50" s="8" t="s">
        <v>36</v>
      </c>
      <c r="C50" s="15">
        <f>'Balance Sheet Yahoo Input'!B43/1000</f>
        <v>2408000</v>
      </c>
      <c r="D50" s="15">
        <f>'Balance Sheet Yahoo Input'!C43/1000</f>
        <v>3287000</v>
      </c>
      <c r="E50" s="560">
        <f>'Balance Sheet Yahoo Input'!D43/1000</f>
        <v>2232000</v>
      </c>
      <c r="F50" s="560">
        <f>'Balance Sheet Yahoo Input'!E43/1000</f>
        <v>984000</v>
      </c>
      <c r="G50" s="15">
        <f>'Balance Sheet Yahoo Input'!F43/1000</f>
        <v>1086000</v>
      </c>
      <c r="H50" s="15">
        <f>'Balance Sheet Yahoo Input'!G43/1000</f>
        <v>1061000</v>
      </c>
      <c r="I50" s="15">
        <f>'Balance Sheet Yahoo Input'!H43/1000</f>
        <v>992000</v>
      </c>
      <c r="J50" s="15">
        <f>'Balance Sheet Yahoo Input'!I43/1000</f>
        <v>924000</v>
      </c>
      <c r="K50" s="15">
        <f>'Balance Sheet Yahoo Input'!J43/1000</f>
        <v>1107000</v>
      </c>
      <c r="L50" s="15">
        <f>'Balance Sheet Yahoo Input'!K43/1000</f>
        <v>730000</v>
      </c>
      <c r="M50" s="15">
        <f>'Balance Sheet Yahoo Input'!L43/1000</f>
        <v>871000</v>
      </c>
      <c r="N50" s="15">
        <f>'Balance Sheet Yahoo Input'!M43/1000</f>
        <v>618000</v>
      </c>
      <c r="O50" s="15">
        <f>'Balance Sheet Yahoo Input'!N43/1000</f>
        <v>568000</v>
      </c>
      <c r="P50" s="15">
        <f>'Balance Sheet Yahoo Input'!O43/1000</f>
        <v>596000</v>
      </c>
      <c r="Q50" s="560">
        <f>'Balance Sheet Yahoo Input'!P43/1000</f>
        <v>495000</v>
      </c>
      <c r="R50" s="15">
        <f>'Balance Sheet Yahoo Input'!Q43/1000</f>
        <v>653000</v>
      </c>
      <c r="S50" s="15">
        <f>'Balance Sheet Yahoo Input'!R43/1000</f>
        <v>697000</v>
      </c>
    </row>
    <row r="51" spans="2:20" ht="11.45" customHeight="1">
      <c r="B51" s="17"/>
      <c r="C51" s="9"/>
      <c r="D51" s="9"/>
      <c r="E51" s="558"/>
      <c r="F51" s="558"/>
      <c r="G51" s="9"/>
      <c r="H51" s="9"/>
      <c r="I51" s="9"/>
      <c r="J51" s="9"/>
      <c r="K51" s="9"/>
      <c r="L51" s="9"/>
      <c r="M51" s="9"/>
      <c r="N51" s="9"/>
      <c r="O51" s="9"/>
      <c r="P51" s="9"/>
      <c r="Q51" s="558"/>
      <c r="R51" s="9"/>
      <c r="S51" s="9"/>
    </row>
    <row r="52" spans="2:20" ht="11.45" customHeight="1">
      <c r="B52" s="11" t="s">
        <v>37</v>
      </c>
      <c r="C52" s="9"/>
      <c r="D52" s="9"/>
      <c r="E52" s="558"/>
      <c r="F52" s="558"/>
      <c r="G52" s="9"/>
      <c r="H52" s="9"/>
      <c r="I52" s="9"/>
      <c r="J52" s="9"/>
      <c r="K52" s="9"/>
      <c r="L52" s="9"/>
      <c r="M52" s="9"/>
      <c r="N52" s="9"/>
      <c r="O52" s="9"/>
      <c r="P52" s="9"/>
      <c r="Q52" s="558"/>
      <c r="R52" s="9"/>
      <c r="S52" s="9"/>
    </row>
    <row r="53" spans="2:20" ht="11.45" customHeight="1">
      <c r="B53" s="191" t="s">
        <v>38</v>
      </c>
      <c r="C53" s="185">
        <f>'Balance Sheet Yahoo Input'!B61/1000</f>
        <v>3049000</v>
      </c>
      <c r="D53" s="185">
        <f>'Balance Sheet Yahoo Input'!C61/1000</f>
        <v>2453000</v>
      </c>
      <c r="E53" s="558">
        <f>'Balance Sheet Yahoo Input'!D61/1000</f>
        <v>3968000</v>
      </c>
      <c r="F53" s="558">
        <f>'Balance Sheet Yahoo Input'!E61/1000</f>
        <v>2984000</v>
      </c>
      <c r="G53" s="185">
        <f>'Balance Sheet Yahoo Input'!F61/1000</f>
        <v>1612000</v>
      </c>
      <c r="H53" s="185">
        <f>'Balance Sheet Yahoo Input'!G61/1000</f>
        <v>1623000</v>
      </c>
      <c r="I53" s="185">
        <f>'Balance Sheet Yahoo Input'!H61/1000</f>
        <v>1440000</v>
      </c>
      <c r="J53" s="185">
        <f>'Balance Sheet Yahoo Input'!I61/1000</f>
        <v>1445000</v>
      </c>
      <c r="K53" s="185">
        <f>'Balance Sheet Yahoo Input'!J61/1000</f>
        <v>1042000</v>
      </c>
      <c r="L53" s="185">
        <f>'Balance Sheet Yahoo Input'!K61/1000</f>
        <v>1381000</v>
      </c>
      <c r="M53" s="185">
        <f>'Balance Sheet Yahoo Input'!L61/1000</f>
        <v>1289000</v>
      </c>
      <c r="N53" s="185">
        <f>'Balance Sheet Yahoo Input'!M61/1000</f>
        <v>1229000</v>
      </c>
      <c r="O53" s="185">
        <f>'Balance Sheet Yahoo Input'!N61/1000</f>
        <v>1221000</v>
      </c>
      <c r="P53" s="185">
        <f>'Balance Sheet Yahoo Input'!O61/1000</f>
        <v>1516000</v>
      </c>
      <c r="Q53" s="558">
        <f>'Balance Sheet Yahoo Input'!P61/1000</f>
        <v>1620000</v>
      </c>
      <c r="R53" s="185">
        <f>'Balance Sheet Yahoo Input'!Q61/1000</f>
        <v>1874000</v>
      </c>
      <c r="S53" s="185">
        <f>'Balance Sheet Yahoo Input'!R61/1000</f>
        <v>794000</v>
      </c>
    </row>
    <row r="54" spans="2:20" ht="11.45" customHeight="1">
      <c r="B54" s="8" t="s">
        <v>39</v>
      </c>
      <c r="C54" s="9">
        <f>'Balance Sheet Yahoo Input'!B64/1000</f>
        <v>82000</v>
      </c>
      <c r="D54" s="9">
        <f>'Balance Sheet Yahoo Input'!C64/1000</f>
        <v>72000</v>
      </c>
      <c r="E54" s="558">
        <f>'Balance Sheet Yahoo Input'!D64/1000</f>
        <v>93000</v>
      </c>
      <c r="F54" s="558">
        <f>'Balance Sheet Yahoo Input'!E64/1000</f>
        <v>48000</v>
      </c>
      <c r="G54" s="9">
        <f>'Balance Sheet Yahoo Input'!F64/1000</f>
        <v>47000</v>
      </c>
      <c r="H54" s="9">
        <f>'Balance Sheet Yahoo Input'!G64/1000</f>
        <v>54000</v>
      </c>
      <c r="I54" s="9">
        <f>'Balance Sheet Yahoo Input'!H64/1000</f>
        <v>62000</v>
      </c>
      <c r="J54" s="9">
        <f>'Balance Sheet Yahoo Input'!I64/1000</f>
        <v>57000</v>
      </c>
      <c r="K54" s="9">
        <f>'Balance Sheet Yahoo Input'!J64/1000</f>
        <v>59000</v>
      </c>
      <c r="L54" s="9">
        <f>'Balance Sheet Yahoo Input'!K64/1000</f>
        <v>66000</v>
      </c>
      <c r="M54" s="9">
        <f>'Balance Sheet Yahoo Input'!L64/1000</f>
        <v>74000</v>
      </c>
      <c r="N54" s="9">
        <f>'Balance Sheet Yahoo Input'!M64/1000</f>
        <v>80000</v>
      </c>
      <c r="O54" s="9">
        <f>'Balance Sheet Yahoo Input'!N64/1000</f>
        <v>5000</v>
      </c>
      <c r="P54" s="9">
        <f>'Balance Sheet Yahoo Input'!O64/1000</f>
        <v>0</v>
      </c>
      <c r="Q54" s="558">
        <f>'Balance Sheet Yahoo Input'!P64/1000</f>
        <v>0</v>
      </c>
      <c r="R54" s="9">
        <f>'Balance Sheet Yahoo Input'!Q64/1000</f>
        <v>0</v>
      </c>
      <c r="S54" s="9">
        <f>'Balance Sheet Yahoo Input'!R64/1000</f>
        <v>0</v>
      </c>
    </row>
    <row r="55" spans="2:20" ht="11.45" customHeight="1">
      <c r="B55" s="8" t="s">
        <v>521</v>
      </c>
      <c r="C55" s="12">
        <f>C56-C54-C53</f>
        <v>3189000</v>
      </c>
      <c r="D55" s="12">
        <f t="shared" ref="D55:O55" si="49">D56-D54-D53</f>
        <v>2798000</v>
      </c>
      <c r="E55" s="559">
        <f t="shared" si="49"/>
        <v>2744000</v>
      </c>
      <c r="F55" s="559">
        <f t="shared" si="49"/>
        <v>1899000</v>
      </c>
      <c r="G55" s="12">
        <f t="shared" si="49"/>
        <v>1705000</v>
      </c>
      <c r="H55" s="12">
        <f t="shared" si="49"/>
        <v>1228000</v>
      </c>
      <c r="I55" s="12">
        <f t="shared" si="49"/>
        <v>1225000</v>
      </c>
      <c r="J55" s="12">
        <f t="shared" si="49"/>
        <v>1415000</v>
      </c>
      <c r="K55" s="12">
        <f t="shared" si="49"/>
        <v>1388000</v>
      </c>
      <c r="L55" s="12">
        <f t="shared" si="49"/>
        <v>1335000</v>
      </c>
      <c r="M55" s="12">
        <f t="shared" si="49"/>
        <v>1166000</v>
      </c>
      <c r="N55" s="12">
        <f t="shared" si="49"/>
        <v>882000</v>
      </c>
      <c r="O55" s="12">
        <f t="shared" si="49"/>
        <v>885000</v>
      </c>
      <c r="P55" s="12">
        <f t="shared" ref="P55" si="50">P56-P54-P53</f>
        <v>0</v>
      </c>
      <c r="Q55" s="559">
        <f t="shared" ref="Q55:S55" si="51">Q56-Q54-Q53</f>
        <v>0</v>
      </c>
      <c r="R55" s="12">
        <f t="shared" si="51"/>
        <v>0</v>
      </c>
      <c r="S55" s="12">
        <f t="shared" si="51"/>
        <v>1288000</v>
      </c>
      <c r="T55" s="380" t="s">
        <v>520</v>
      </c>
    </row>
    <row r="56" spans="2:20" ht="11.45" customHeight="1">
      <c r="B56" s="8" t="s">
        <v>40</v>
      </c>
      <c r="C56" s="9">
        <f>C57-C50</f>
        <v>6320000</v>
      </c>
      <c r="D56" s="9">
        <f t="shared" ref="D56:O56" si="52">D57-D50</f>
        <v>5323000</v>
      </c>
      <c r="E56" s="558">
        <f t="shared" si="52"/>
        <v>6805000</v>
      </c>
      <c r="F56" s="558">
        <f t="shared" si="52"/>
        <v>4931000</v>
      </c>
      <c r="G56" s="9">
        <f t="shared" si="52"/>
        <v>3364000</v>
      </c>
      <c r="H56" s="9">
        <f t="shared" si="52"/>
        <v>2905000</v>
      </c>
      <c r="I56" s="9">
        <f t="shared" si="52"/>
        <v>2727000</v>
      </c>
      <c r="J56" s="9">
        <f t="shared" si="52"/>
        <v>2917000</v>
      </c>
      <c r="K56" s="9">
        <f t="shared" si="52"/>
        <v>2489000</v>
      </c>
      <c r="L56" s="9">
        <f t="shared" si="52"/>
        <v>2782000</v>
      </c>
      <c r="M56" s="9">
        <f t="shared" si="52"/>
        <v>2529000</v>
      </c>
      <c r="N56" s="9">
        <f t="shared" si="52"/>
        <v>2191000</v>
      </c>
      <c r="O56" s="9">
        <f t="shared" si="52"/>
        <v>2111000</v>
      </c>
      <c r="P56" s="9">
        <f t="shared" ref="P56" si="53">P57-P50</f>
        <v>1516000</v>
      </c>
      <c r="Q56" s="558">
        <f t="shared" ref="Q56:S56" si="54">Q57-Q50</f>
        <v>1620000</v>
      </c>
      <c r="R56" s="9">
        <f t="shared" si="54"/>
        <v>1874000</v>
      </c>
      <c r="S56" s="9">
        <f t="shared" si="54"/>
        <v>2082000</v>
      </c>
    </row>
    <row r="57" spans="2:20" ht="11.45" customHeight="1">
      <c r="B57" s="8" t="s">
        <v>41</v>
      </c>
      <c r="C57" s="15">
        <f>'Balance Sheet Yahoo Input'!B42/1000</f>
        <v>8728000</v>
      </c>
      <c r="D57" s="15">
        <f>'Balance Sheet Yahoo Input'!C42/1000</f>
        <v>8610000</v>
      </c>
      <c r="E57" s="560">
        <f>'Balance Sheet Yahoo Input'!D42/1000</f>
        <v>9037000</v>
      </c>
      <c r="F57" s="560">
        <f>'Balance Sheet Yahoo Input'!E42/1000</f>
        <v>5915000</v>
      </c>
      <c r="G57" s="15">
        <f>'Balance Sheet Yahoo Input'!F42/1000</f>
        <v>4450000</v>
      </c>
      <c r="H57" s="15">
        <f>'Balance Sheet Yahoo Input'!G42/1000</f>
        <v>3966000</v>
      </c>
      <c r="I57" s="15">
        <f>'Balance Sheet Yahoo Input'!H42/1000</f>
        <v>3719000</v>
      </c>
      <c r="J57" s="15">
        <f>'Balance Sheet Yahoo Input'!I42/1000</f>
        <v>3841000</v>
      </c>
      <c r="K57" s="15">
        <f>'Balance Sheet Yahoo Input'!J42/1000</f>
        <v>3596000</v>
      </c>
      <c r="L57" s="15">
        <f>'Balance Sheet Yahoo Input'!K42/1000</f>
        <v>3512000</v>
      </c>
      <c r="M57" s="15">
        <f>'Balance Sheet Yahoo Input'!L42/1000</f>
        <v>3400000</v>
      </c>
      <c r="N57" s="15">
        <f>'Balance Sheet Yahoo Input'!M42/1000</f>
        <v>2809000</v>
      </c>
      <c r="O57" s="15">
        <f>'Balance Sheet Yahoo Input'!N42/1000</f>
        <v>2679000</v>
      </c>
      <c r="P57" s="15">
        <f>'Balance Sheet Yahoo Input'!O42/1000</f>
        <v>2112000</v>
      </c>
      <c r="Q57" s="560">
        <f>'Balance Sheet Yahoo Input'!P42/1000</f>
        <v>2115000</v>
      </c>
      <c r="R57" s="15">
        <f>'Balance Sheet Yahoo Input'!Q42/1000</f>
        <v>2527000</v>
      </c>
      <c r="S57" s="15">
        <f>'Balance Sheet Yahoo Input'!R42/1000</f>
        <v>2779000</v>
      </c>
    </row>
    <row r="58" spans="2:20" ht="11.45" customHeight="1">
      <c r="B58" s="1"/>
      <c r="C58" s="9"/>
      <c r="D58" s="9"/>
      <c r="E58" s="558"/>
      <c r="F58" s="558"/>
      <c r="G58" s="9"/>
      <c r="H58" s="9"/>
      <c r="I58" s="9"/>
      <c r="J58" s="9"/>
      <c r="K58" s="9"/>
      <c r="L58" s="9"/>
      <c r="M58" s="9"/>
      <c r="N58" s="9"/>
      <c r="O58" s="9"/>
      <c r="P58" s="9"/>
      <c r="Q58" s="558"/>
      <c r="R58" s="9"/>
      <c r="S58" s="9"/>
    </row>
    <row r="59" spans="2:20" ht="11.45" customHeight="1">
      <c r="B59" s="11" t="s">
        <v>523</v>
      </c>
      <c r="C59" s="9">
        <f>+'Balance Sheet Yahoo Input'!B80/1000</f>
        <v>3000</v>
      </c>
      <c r="D59" s="9">
        <f>+'Balance Sheet Yahoo Input'!C80/1000</f>
        <v>3000</v>
      </c>
      <c r="E59" s="558">
        <f>+'Balance Sheet Yahoo Input'!D80/1000</f>
        <v>3000</v>
      </c>
      <c r="F59" s="558">
        <f>+'Balance Sheet Yahoo Input'!E80/1000</f>
        <v>3000</v>
      </c>
      <c r="G59" s="9">
        <f>+'Balance Sheet Yahoo Input'!F80/1000</f>
        <v>5000</v>
      </c>
      <c r="H59" s="9">
        <f>+'Balance Sheet Yahoo Input'!G80/1000</f>
        <v>7000</v>
      </c>
      <c r="I59" s="9">
        <f>+'Balance Sheet Yahoo Input'!H80/1000</f>
        <v>16000</v>
      </c>
      <c r="J59" s="9">
        <f>+'Balance Sheet Yahoo Input'!I80/1000</f>
        <v>5000</v>
      </c>
      <c r="K59" s="9">
        <f>+'Balance Sheet Yahoo Input'!J80/1000</f>
        <v>4000</v>
      </c>
      <c r="L59" s="9">
        <f>+'Balance Sheet Yahoo Input'!K80/1000</f>
        <v>4000</v>
      </c>
      <c r="M59" s="9">
        <f>+'Balance Sheet Yahoo Input'!L80/1000</f>
        <v>8000</v>
      </c>
      <c r="N59" s="9">
        <f>+'Balance Sheet Yahoo Input'!M80/1000</f>
        <v>10000</v>
      </c>
      <c r="O59" s="9">
        <f>+'Balance Sheet Yahoo Input'!N80/1000</f>
        <v>10000</v>
      </c>
      <c r="P59" s="9">
        <f>+'Balance Sheet Yahoo Input'!O80/1000</f>
        <v>13000</v>
      </c>
      <c r="Q59" s="558">
        <f>+'Balance Sheet Yahoo Input'!P80/1000</f>
        <v>24000</v>
      </c>
      <c r="R59" s="9">
        <f>+'Balance Sheet Yahoo Input'!Q80/1000</f>
        <v>28000</v>
      </c>
      <c r="S59" s="9">
        <f>+'Balance Sheet Yahoo Input'!R80/1000</f>
        <v>35000</v>
      </c>
    </row>
    <row r="60" spans="2:20" ht="11.4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2:20" ht="11.45" customHeight="1">
      <c r="B61" s="384" t="s">
        <v>42</v>
      </c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</row>
    <row r="62" spans="2:20" ht="11.45" customHeight="1">
      <c r="B62" s="8" t="s">
        <v>43</v>
      </c>
      <c r="C62" s="9">
        <f>+'Balance Sheet Yahoo Input'!B74/1000</f>
        <v>1000</v>
      </c>
      <c r="D62" s="9">
        <f>+'Balance Sheet Yahoo Input'!C74/1000</f>
        <v>1000</v>
      </c>
      <c r="E62" s="558">
        <f>+'Balance Sheet Yahoo Input'!D74/1000</f>
        <v>1000</v>
      </c>
      <c r="F62" s="558">
        <f>+'Balance Sheet Yahoo Input'!E74/1000</f>
        <v>1000</v>
      </c>
      <c r="G62" s="9">
        <f>+'Balance Sheet Yahoo Input'!F74/1000</f>
        <v>1000</v>
      </c>
      <c r="H62" s="9">
        <f>+'Balance Sheet Yahoo Input'!G74/1000</f>
        <v>1000</v>
      </c>
      <c r="I62" s="9">
        <f>+'Balance Sheet Yahoo Input'!H74/1000</f>
        <v>1000</v>
      </c>
      <c r="J62" s="9">
        <f>+'Balance Sheet Yahoo Input'!I74/1000</f>
        <v>1000</v>
      </c>
      <c r="K62" s="9">
        <f>+'Balance Sheet Yahoo Input'!J74/1000</f>
        <v>1000</v>
      </c>
      <c r="L62" s="9">
        <f>+'Balance Sheet Yahoo Input'!K74/1000</f>
        <v>2000</v>
      </c>
      <c r="M62" s="9">
        <f>+'Balance Sheet Yahoo Input'!L74/1000</f>
        <v>2000</v>
      </c>
      <c r="N62" s="9">
        <f>+'Balance Sheet Yahoo Input'!M74/1000</f>
        <v>2000</v>
      </c>
      <c r="O62" s="9">
        <f>+'Balance Sheet Yahoo Input'!N74/1000</f>
        <v>2000</v>
      </c>
      <c r="P62" s="9">
        <f>+'Balance Sheet Yahoo Input'!O74/1000</f>
        <v>2000</v>
      </c>
      <c r="Q62" s="558">
        <f>+'Balance Sheet Yahoo Input'!P74/1000</f>
        <v>2000</v>
      </c>
      <c r="R62" s="9">
        <f>+'Balance Sheet Yahoo Input'!Q74/1000</f>
        <v>1000</v>
      </c>
      <c r="S62" s="9">
        <f>+'Balance Sheet Yahoo Input'!R74/1000</f>
        <v>1000</v>
      </c>
    </row>
    <row r="63" spans="2:20" ht="11.45" customHeight="1">
      <c r="B63" s="8" t="s">
        <v>522</v>
      </c>
      <c r="C63" s="9">
        <f>+C42-C64-C62-C57</f>
        <v>-196000</v>
      </c>
      <c r="D63" s="9">
        <f t="shared" ref="D63:O63" si="55">+D42-D64-D62-D57</f>
        <v>79000</v>
      </c>
      <c r="E63" s="558">
        <f t="shared" si="55"/>
        <v>398000</v>
      </c>
      <c r="F63" s="558">
        <f t="shared" si="55"/>
        <v>-176000</v>
      </c>
      <c r="G63" s="9">
        <f t="shared" si="55"/>
        <v>-204000</v>
      </c>
      <c r="H63" s="9">
        <f t="shared" si="55"/>
        <v>-143000</v>
      </c>
      <c r="I63" s="9">
        <f t="shared" si="55"/>
        <v>798000</v>
      </c>
      <c r="J63" s="9">
        <f t="shared" si="55"/>
        <v>1414000</v>
      </c>
      <c r="K63" s="9">
        <f t="shared" si="55"/>
        <v>1705000</v>
      </c>
      <c r="L63" s="9">
        <f t="shared" si="55"/>
        <v>2464000</v>
      </c>
      <c r="M63" s="9">
        <f t="shared" si="55"/>
        <v>2954000</v>
      </c>
      <c r="N63" s="9">
        <f t="shared" si="55"/>
        <v>3205000</v>
      </c>
      <c r="O63" s="9">
        <f t="shared" si="55"/>
        <v>3309000</v>
      </c>
      <c r="P63" s="9">
        <f t="shared" ref="P63" si="56">+P42-P64-P62-P57</f>
        <v>3725000</v>
      </c>
      <c r="Q63" s="558">
        <f t="shared" ref="Q63:S63" si="57">+Q42-Q64-Q62-Q57</f>
        <v>3700000</v>
      </c>
      <c r="R63" s="9">
        <f t="shared" si="57"/>
        <v>2210000</v>
      </c>
      <c r="S63" s="9">
        <f t="shared" si="57"/>
        <v>2255000</v>
      </c>
      <c r="T63" s="380" t="s">
        <v>520</v>
      </c>
    </row>
    <row r="64" spans="2:20" ht="11.45" customHeight="1">
      <c r="B64" s="8" t="s">
        <v>44</v>
      </c>
      <c r="C64" s="9">
        <f>+'Balance Sheet Yahoo Input'!B76/1000</f>
        <v>3784000</v>
      </c>
      <c r="D64" s="9">
        <f>+'Balance Sheet Yahoo Input'!C76/1000</f>
        <v>3622000</v>
      </c>
      <c r="E64" s="558">
        <f>+'Balance Sheet Yahoo Input'!D76/1000</f>
        <v>3167000</v>
      </c>
      <c r="F64" s="558">
        <f>+'Balance Sheet Yahoo Input'!E76/1000</f>
        <v>3389000</v>
      </c>
      <c r="G64" s="9">
        <f>+'Balance Sheet Yahoo Input'!F76/1000</f>
        <v>4170000</v>
      </c>
      <c r="H64" s="9">
        <f>+'Balance Sheet Yahoo Input'!G76/1000</f>
        <v>3819000</v>
      </c>
      <c r="I64" s="9">
        <f>+'Balance Sheet Yahoo Input'!H76/1000</f>
        <v>3054000</v>
      </c>
      <c r="J64" s="9">
        <f>+'Balance Sheet Yahoo Input'!I76/1000</f>
        <v>2493000</v>
      </c>
      <c r="K64" s="9">
        <f>+'Balance Sheet Yahoo Input'!J76/1000</f>
        <v>2289000</v>
      </c>
      <c r="L64" s="9">
        <f>+'Balance Sheet Yahoo Input'!K76/1000</f>
        <v>2165000</v>
      </c>
      <c r="M64" s="9">
        <f>+'Balance Sheet Yahoo Input'!L76/1000</f>
        <v>1821000</v>
      </c>
      <c r="N64" s="9">
        <f>+'Balance Sheet Yahoo Input'!M76/1000</f>
        <v>1614000</v>
      </c>
      <c r="O64" s="9">
        <f>+'Balance Sheet Yahoo Input'!N76/1000</f>
        <v>1517000</v>
      </c>
      <c r="P64" s="9">
        <f>+'Balance Sheet Yahoo Input'!O76/1000</f>
        <v>1404000</v>
      </c>
      <c r="Q64" s="558">
        <f>+'Balance Sheet Yahoo Input'!P76/1000</f>
        <v>1338000</v>
      </c>
      <c r="R64" s="9">
        <f>+'Balance Sheet Yahoo Input'!Q76/1000</f>
        <v>1381000</v>
      </c>
      <c r="S64" s="9">
        <f>+'Balance Sheet Yahoo Input'!R76/1000</f>
        <v>1213000</v>
      </c>
    </row>
    <row r="65" spans="2:19" ht="11.45" customHeight="1">
      <c r="B65" s="8" t="s">
        <v>45</v>
      </c>
      <c r="C65" s="15">
        <f>+'Balance Sheet Yahoo Input'!B71/1000</f>
        <v>3586000</v>
      </c>
      <c r="D65" s="15">
        <f>+'Balance Sheet Yahoo Input'!C71/1000</f>
        <v>3699000</v>
      </c>
      <c r="E65" s="560">
        <f>+'Balance Sheet Yahoo Input'!D71/1000</f>
        <v>3563000</v>
      </c>
      <c r="F65" s="560">
        <f>+'Balance Sheet Yahoo Input'!E71/1000</f>
        <v>3211000</v>
      </c>
      <c r="G65" s="15">
        <f>+'Balance Sheet Yahoo Input'!F71/1000</f>
        <v>3962000</v>
      </c>
      <c r="H65" s="15">
        <f>+'Balance Sheet Yahoo Input'!G71/1000</f>
        <v>3670000</v>
      </c>
      <c r="I65" s="15">
        <f>+'Balance Sheet Yahoo Input'!H71/1000</f>
        <v>3837000</v>
      </c>
      <c r="J65" s="15">
        <f>+'Balance Sheet Yahoo Input'!I71/1000</f>
        <v>3903000</v>
      </c>
      <c r="K65" s="15">
        <f>+'Balance Sheet Yahoo Input'!J71/1000</f>
        <v>3991000</v>
      </c>
      <c r="L65" s="15">
        <f>+'Balance Sheet Yahoo Input'!K71/1000</f>
        <v>4627000</v>
      </c>
      <c r="M65" s="15">
        <f>+'Balance Sheet Yahoo Input'!L71/1000</f>
        <v>4769000</v>
      </c>
      <c r="N65" s="15">
        <f>+'Balance Sheet Yahoo Input'!M71/1000</f>
        <v>4811000</v>
      </c>
      <c r="O65" s="15">
        <f>+'Balance Sheet Yahoo Input'!N71/1000</f>
        <v>4818000</v>
      </c>
      <c r="P65" s="15">
        <f>+'Balance Sheet Yahoo Input'!O71/1000</f>
        <v>5118000</v>
      </c>
      <c r="Q65" s="560">
        <f>+'Balance Sheet Yahoo Input'!P71/1000</f>
        <v>5016000</v>
      </c>
      <c r="R65" s="15">
        <f>+'Balance Sheet Yahoo Input'!Q71/1000</f>
        <v>3564000</v>
      </c>
      <c r="S65" s="15">
        <f>+'Balance Sheet Yahoo Input'!R71/1000</f>
        <v>3434000</v>
      </c>
    </row>
    <row r="66" spans="2:19" ht="11.45" customHeight="1">
      <c r="B66" s="17"/>
      <c r="C66" s="9"/>
      <c r="D66" s="9"/>
      <c r="E66" s="558"/>
      <c r="F66" s="558"/>
      <c r="G66" s="9"/>
      <c r="H66" s="9"/>
      <c r="I66" s="9"/>
      <c r="J66" s="9"/>
      <c r="K66" s="9"/>
      <c r="L66" s="9"/>
      <c r="M66" s="9"/>
      <c r="N66" s="9"/>
      <c r="O66" s="9"/>
      <c r="P66" s="9"/>
      <c r="Q66" s="558"/>
      <c r="R66" s="9"/>
      <c r="S66" s="9"/>
    </row>
    <row r="67" spans="2:19" ht="11.45" customHeight="1" thickBot="1">
      <c r="B67" s="18" t="s">
        <v>46</v>
      </c>
      <c r="C67" s="16">
        <f>+C65+C57+C59</f>
        <v>12317000</v>
      </c>
      <c r="D67" s="16">
        <f t="shared" ref="D67:O67" si="58">+D65+D57+D59</f>
        <v>12312000</v>
      </c>
      <c r="E67" s="561">
        <f t="shared" si="58"/>
        <v>12603000</v>
      </c>
      <c r="F67" s="561">
        <f t="shared" si="58"/>
        <v>9129000</v>
      </c>
      <c r="G67" s="16">
        <f t="shared" si="58"/>
        <v>8417000</v>
      </c>
      <c r="H67" s="16">
        <f t="shared" si="58"/>
        <v>7643000</v>
      </c>
      <c r="I67" s="16">
        <f t="shared" si="58"/>
        <v>7572000</v>
      </c>
      <c r="J67" s="16">
        <f t="shared" si="58"/>
        <v>7749000</v>
      </c>
      <c r="K67" s="16">
        <f t="shared" si="58"/>
        <v>7591000</v>
      </c>
      <c r="L67" s="16">
        <f t="shared" si="58"/>
        <v>8143000</v>
      </c>
      <c r="M67" s="16">
        <f t="shared" si="58"/>
        <v>8177000</v>
      </c>
      <c r="N67" s="16">
        <f t="shared" si="58"/>
        <v>7630000</v>
      </c>
      <c r="O67" s="16">
        <f t="shared" si="58"/>
        <v>7507000</v>
      </c>
      <c r="P67" s="16">
        <f t="shared" ref="P67:Q67" si="59">+P65+P57+P59</f>
        <v>7243000</v>
      </c>
      <c r="Q67" s="561">
        <f t="shared" si="59"/>
        <v>7155000</v>
      </c>
      <c r="R67" s="16">
        <f t="shared" ref="R67:S67" si="60">+R65+R57+R59</f>
        <v>6119000</v>
      </c>
      <c r="S67" s="16">
        <f t="shared" si="60"/>
        <v>6248000</v>
      </c>
    </row>
    <row r="68" spans="2:19" ht="11.45" customHeight="1" thickTop="1">
      <c r="B68" s="19" t="s">
        <v>47</v>
      </c>
      <c r="C68" s="20">
        <f t="shared" ref="C68:O68" si="61">+C42-C67</f>
        <v>0</v>
      </c>
      <c r="D68" s="20">
        <f t="shared" si="61"/>
        <v>0</v>
      </c>
      <c r="E68" s="20">
        <f t="shared" si="61"/>
        <v>0</v>
      </c>
      <c r="F68" s="20">
        <f t="shared" si="61"/>
        <v>0</v>
      </c>
      <c r="G68" s="20">
        <f t="shared" si="61"/>
        <v>0</v>
      </c>
      <c r="H68" s="20">
        <f t="shared" si="61"/>
        <v>0</v>
      </c>
      <c r="I68" s="20">
        <f t="shared" si="61"/>
        <v>0</v>
      </c>
      <c r="J68" s="20">
        <f t="shared" si="61"/>
        <v>0</v>
      </c>
      <c r="K68" s="20">
        <f t="shared" si="61"/>
        <v>0</v>
      </c>
      <c r="L68" s="20">
        <f t="shared" si="61"/>
        <v>0</v>
      </c>
      <c r="M68" s="20">
        <f t="shared" si="61"/>
        <v>0</v>
      </c>
      <c r="N68" s="20">
        <f t="shared" si="61"/>
        <v>0</v>
      </c>
      <c r="O68" s="20">
        <f t="shared" si="61"/>
        <v>0</v>
      </c>
      <c r="P68" s="20">
        <f t="shared" ref="P68:Q68" si="62">+P42-P67</f>
        <v>0</v>
      </c>
      <c r="Q68" s="20">
        <f t="shared" si="62"/>
        <v>0</v>
      </c>
      <c r="R68" s="20">
        <f t="shared" ref="R68:S68" si="63">+R42-R67</f>
        <v>0</v>
      </c>
      <c r="S68" s="20">
        <f t="shared" si="63"/>
        <v>0</v>
      </c>
    </row>
    <row r="69" spans="2:19" ht="17.100000000000001" customHeight="1">
      <c r="E69" s="10"/>
      <c r="I69" s="3"/>
      <c r="J69" s="4"/>
      <c r="L69" s="1"/>
      <c r="M69" s="74"/>
      <c r="N69" s="74"/>
      <c r="O69" s="74"/>
      <c r="P69" s="74"/>
      <c r="Q69" s="74"/>
      <c r="R69" s="74"/>
      <c r="S69" s="74"/>
    </row>
    <row r="70" spans="2:19" ht="17.100000000000001" customHeight="1">
      <c r="B70" s="130" t="s">
        <v>496</v>
      </c>
      <c r="C70" s="494" t="s">
        <v>83</v>
      </c>
      <c r="D70" s="130"/>
      <c r="E70" s="131"/>
      <c r="F70" s="131"/>
      <c r="G70" s="131"/>
      <c r="H70" s="131"/>
      <c r="I70" s="132"/>
      <c r="J70" s="133"/>
      <c r="K70" s="133"/>
      <c r="L70" s="134"/>
      <c r="M70" s="134"/>
      <c r="N70" s="134"/>
      <c r="O70" s="134"/>
      <c r="P70" s="134"/>
      <c r="Q70" s="134"/>
      <c r="R70" s="134"/>
      <c r="S70" s="134"/>
    </row>
    <row r="71" spans="2:19" ht="19.7" customHeight="1">
      <c r="B71" s="125"/>
      <c r="C71" s="126" t="str">
        <f>+C5</f>
        <v>Sep 30</v>
      </c>
      <c r="D71" s="126" t="s">
        <v>219</v>
      </c>
      <c r="E71" s="571" t="str">
        <f t="shared" ref="E71:O71" si="64">+E5</f>
        <v>Dec 31</v>
      </c>
      <c r="F71" s="571" t="str">
        <f t="shared" si="64"/>
        <v>Dec 31</v>
      </c>
      <c r="G71" s="129" t="str">
        <f t="shared" si="64"/>
        <v>Dec 31</v>
      </c>
      <c r="H71" s="129" t="str">
        <f t="shared" si="64"/>
        <v>Dec 31</v>
      </c>
      <c r="I71" s="129" t="str">
        <f t="shared" si="64"/>
        <v>Dec 31</v>
      </c>
      <c r="J71" s="129" t="str">
        <f t="shared" si="64"/>
        <v>Dec 31</v>
      </c>
      <c r="K71" s="129" t="str">
        <f t="shared" si="64"/>
        <v>Dec 31</v>
      </c>
      <c r="L71" s="129" t="str">
        <f t="shared" si="64"/>
        <v>Dec 31</v>
      </c>
      <c r="M71" s="129" t="str">
        <f t="shared" si="64"/>
        <v>Dec 31</v>
      </c>
      <c r="N71" s="129" t="str">
        <f t="shared" si="64"/>
        <v>Dec 31</v>
      </c>
      <c r="O71" s="129" t="str">
        <f t="shared" si="64"/>
        <v>Dec 31</v>
      </c>
      <c r="P71" s="129" t="str">
        <f t="shared" ref="P71:Q71" si="65">+P5</f>
        <v>Dec 31</v>
      </c>
      <c r="Q71" s="571" t="str">
        <f t="shared" si="65"/>
        <v>Dec 31</v>
      </c>
      <c r="R71" s="129" t="str">
        <f t="shared" ref="R71:S71" si="66">+R5</f>
        <v>Dec 31</v>
      </c>
      <c r="S71" s="129" t="str">
        <f t="shared" si="66"/>
        <v>Dec 31</v>
      </c>
    </row>
    <row r="72" spans="2:19" ht="17.100000000000001" customHeight="1" thickBot="1">
      <c r="B72" s="127" t="s">
        <v>1</v>
      </c>
      <c r="C72" s="128">
        <f>+C6</f>
        <v>2023</v>
      </c>
      <c r="D72" s="128">
        <f t="shared" ref="D72:O72" si="67">+D21</f>
        <v>2022</v>
      </c>
      <c r="E72" s="563">
        <f t="shared" si="67"/>
        <v>2021</v>
      </c>
      <c r="F72" s="563">
        <f t="shared" si="67"/>
        <v>2020</v>
      </c>
      <c r="G72" s="128">
        <f t="shared" si="67"/>
        <v>2019</v>
      </c>
      <c r="H72" s="128">
        <f t="shared" si="67"/>
        <v>2018</v>
      </c>
      <c r="I72" s="128">
        <f t="shared" si="67"/>
        <v>2017</v>
      </c>
      <c r="J72" s="128">
        <f t="shared" si="67"/>
        <v>2016</v>
      </c>
      <c r="K72" s="128">
        <f t="shared" si="67"/>
        <v>2015</v>
      </c>
      <c r="L72" s="128">
        <f t="shared" si="67"/>
        <v>2014</v>
      </c>
      <c r="M72" s="128">
        <f t="shared" si="67"/>
        <v>2013</v>
      </c>
      <c r="N72" s="128">
        <f t="shared" si="67"/>
        <v>2012</v>
      </c>
      <c r="O72" s="128">
        <f t="shared" si="67"/>
        <v>2011</v>
      </c>
      <c r="P72" s="128">
        <f t="shared" ref="P72:Q72" si="68">+P21</f>
        <v>2010</v>
      </c>
      <c r="Q72" s="563">
        <f t="shared" si="68"/>
        <v>2009</v>
      </c>
      <c r="R72" s="128">
        <f t="shared" ref="R72:S72" si="69">+R21</f>
        <v>2008</v>
      </c>
      <c r="S72" s="128">
        <f t="shared" si="69"/>
        <v>2007</v>
      </c>
    </row>
    <row r="73" spans="2:19" ht="13.7" customHeight="1">
      <c r="B73" s="186" t="s">
        <v>483</v>
      </c>
      <c r="C73" s="187">
        <f>+'Income Stat Yahoo Input'!B8/1000</f>
        <v>403000</v>
      </c>
      <c r="D73" s="187">
        <f>+'Income Stat Yahoo Input'!C8/1000</f>
        <v>426000</v>
      </c>
      <c r="E73" s="572">
        <f>+'Income Stat Yahoo Input'!D8/1000</f>
        <v>310000</v>
      </c>
      <c r="F73" s="572">
        <f>+'Income Stat Yahoo Input'!E8/1000</f>
        <v>310000</v>
      </c>
      <c r="G73" s="187">
        <f>+'Income Stat Yahoo Input'!F8/1000</f>
        <v>329000</v>
      </c>
      <c r="H73" s="187">
        <f>+'Income Stat Yahoo Input'!G8/1000</f>
        <v>327000</v>
      </c>
      <c r="I73" s="187">
        <f>+'Income Stat Yahoo Input'!H8/1000</f>
        <v>348000</v>
      </c>
      <c r="J73" s="187">
        <f>+'Income Stat Yahoo Input'!I8/1000</f>
        <v>326000</v>
      </c>
      <c r="K73" s="187">
        <f>+'Income Stat Yahoo Input'!J8/1000</f>
        <v>320000</v>
      </c>
      <c r="L73" s="187">
        <f>+'Income Stat Yahoo Input'!K8/1000</f>
        <v>354000</v>
      </c>
      <c r="M73" s="187">
        <f>+'Income Stat Yahoo Input'!L8/1000</f>
        <v>345000</v>
      </c>
      <c r="N73" s="187">
        <f>+'Income Stat Yahoo Input'!M8/1000</f>
        <v>353000</v>
      </c>
      <c r="O73" s="187">
        <f>+'Income Stat Yahoo Input'!N8/1000</f>
        <v>305000</v>
      </c>
      <c r="P73" s="187">
        <f>+'Income Stat Yahoo Input'!O8/1000</f>
        <v>279000</v>
      </c>
      <c r="Q73" s="572">
        <f>+'Income Stat Yahoo Input'!P8/1000</f>
        <v>269000</v>
      </c>
      <c r="R73" s="187">
        <f>+'Income Stat Yahoo Input'!Q8/1000</f>
        <v>249000</v>
      </c>
      <c r="S73" s="187">
        <f>+'Income Stat Yahoo Input'!R8/1000</f>
        <v>214000</v>
      </c>
    </row>
    <row r="74" spans="2:19" ht="13.7" customHeight="1">
      <c r="B74" s="18"/>
      <c r="C74" s="24"/>
      <c r="D74" s="24"/>
      <c r="E74" s="572"/>
      <c r="F74" s="572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572"/>
      <c r="R74" s="24"/>
      <c r="S74" s="24"/>
    </row>
    <row r="75" spans="2:19" ht="11.45" customHeight="1">
      <c r="B75" s="188" t="s">
        <v>498</v>
      </c>
      <c r="C75" s="187">
        <f>+'Cash Flow Yahoo Input'!B21/1000</f>
        <v>86000</v>
      </c>
      <c r="D75" s="187">
        <f>+'Cash Flow Yahoo Input'!C21/1000</f>
        <v>167000</v>
      </c>
      <c r="E75" s="572">
        <f>+'Cash Flow Yahoo Input'!D21/1000</f>
        <v>388000</v>
      </c>
      <c r="F75" s="572">
        <f>+'Cash Flow Yahoo Input'!E21/1000</f>
        <v>-424000</v>
      </c>
      <c r="G75" s="187">
        <f>+'Cash Flow Yahoo Input'!F21/1000</f>
        <v>-13000</v>
      </c>
      <c r="H75" s="187">
        <f>+'Cash Flow Yahoo Input'!G21/1000</f>
        <v>-79000</v>
      </c>
      <c r="I75" s="187">
        <f>+'Cash Flow Yahoo Input'!H21/1000</f>
        <v>125000</v>
      </c>
      <c r="J75" s="187">
        <f>+'Cash Flow Yahoo Input'!I21/1000</f>
        <v>-36000</v>
      </c>
      <c r="K75" s="187">
        <f>+'Cash Flow Yahoo Input'!J21/1000</f>
        <v>25000</v>
      </c>
      <c r="L75" s="187">
        <f>+'Cash Flow Yahoo Input'!K21/1000</f>
        <v>24000</v>
      </c>
      <c r="M75" s="187">
        <f>+'Cash Flow Yahoo Input'!L21/1000</f>
        <v>-31000</v>
      </c>
      <c r="N75" s="187">
        <f>+'Cash Flow Yahoo Input'!M21/1000</f>
        <v>-67000</v>
      </c>
      <c r="O75" s="187">
        <f>+'Cash Flow Yahoo Input'!N21/1000</f>
        <v>35000</v>
      </c>
      <c r="P75" s="187">
        <f>+'Cash Flow Yahoo Input'!O21/1000</f>
        <v>70000</v>
      </c>
      <c r="Q75" s="572">
        <f>+'Cash Flow Yahoo Input'!P21/1000</f>
        <v>-82000</v>
      </c>
      <c r="R75" s="187">
        <f>+'Cash Flow Yahoo Input'!Q21/1000</f>
        <v>-179000</v>
      </c>
      <c r="S75" s="187">
        <f>+'Cash Flow Yahoo Input'!R21/1000</f>
        <v>47000</v>
      </c>
    </row>
    <row r="76" spans="2:19" ht="11.45" customHeight="1">
      <c r="B76" s="17"/>
      <c r="C76" s="9"/>
      <c r="D76" s="9"/>
      <c r="E76" s="558"/>
      <c r="F76" s="558"/>
      <c r="G76" s="9"/>
      <c r="H76" s="9"/>
      <c r="I76" s="9"/>
      <c r="J76" s="9"/>
      <c r="K76" s="9"/>
      <c r="L76" s="9"/>
      <c r="M76" s="9"/>
      <c r="N76" s="9"/>
      <c r="O76" s="9"/>
      <c r="P76" s="9"/>
      <c r="Q76" s="558"/>
      <c r="R76" s="9"/>
      <c r="S76" s="9"/>
    </row>
    <row r="77" spans="2:19" ht="11.45" customHeight="1">
      <c r="B77" s="23" t="s">
        <v>49</v>
      </c>
      <c r="C77" s="9"/>
      <c r="D77" s="9"/>
      <c r="E77" s="558"/>
      <c r="F77" s="558"/>
      <c r="G77" s="9"/>
      <c r="H77" s="9"/>
      <c r="I77" s="9"/>
      <c r="J77" s="9"/>
      <c r="K77" s="9"/>
      <c r="L77" s="9"/>
      <c r="M77" s="9"/>
      <c r="N77" s="9"/>
      <c r="O77" s="9"/>
      <c r="P77" s="9"/>
      <c r="Q77" s="558"/>
      <c r="R77" s="9"/>
      <c r="S77" s="9"/>
    </row>
    <row r="78" spans="2:19" ht="11.45" customHeight="1">
      <c r="B78" s="189" t="s">
        <v>50</v>
      </c>
      <c r="C78" s="187">
        <f>+'Cash Flow Yahoo Input'!B35/1000</f>
        <v>-193000</v>
      </c>
      <c r="D78" s="187">
        <f>+'Cash Flow Yahoo Input'!C35/1000</f>
        <v>-201000</v>
      </c>
      <c r="E78" s="572">
        <f>+'Cash Flow Yahoo Input'!D35/1000</f>
        <v>-111000</v>
      </c>
      <c r="F78" s="572">
        <f>+'Cash Flow Yahoo Input'!E35/1000</f>
        <v>-122000</v>
      </c>
      <c r="G78" s="187">
        <f>+'Cash Flow Yahoo Input'!F35/1000</f>
        <v>-369000</v>
      </c>
      <c r="H78" s="187">
        <f>+'Cash Flow Yahoo Input'!G35/1000</f>
        <v>-297000</v>
      </c>
      <c r="I78" s="187">
        <f>+'Cash Flow Yahoo Input'!H35/1000</f>
        <v>-298000</v>
      </c>
      <c r="J78" s="187">
        <f>+'Cash Flow Yahoo Input'!I35/1000</f>
        <v>-211000</v>
      </c>
      <c r="K78" s="187">
        <f>+'Cash Flow Yahoo Input'!J35/1000</f>
        <v>-269000</v>
      </c>
      <c r="L78" s="187">
        <f>+'Cash Flow Yahoo Input'!K35/1000</f>
        <v>-253000</v>
      </c>
      <c r="M78" s="187">
        <f>+'Cash Flow Yahoo Input'!L35/1000</f>
        <v>-232000</v>
      </c>
      <c r="N78" s="187">
        <f>+'Cash Flow Yahoo Input'!M35/1000</f>
        <v>-301000</v>
      </c>
      <c r="O78" s="187">
        <f>+'Cash Flow Yahoo Input'!N35/1000</f>
        <v>-331000</v>
      </c>
      <c r="P78" s="187">
        <f>+'Cash Flow Yahoo Input'!O35/1000</f>
        <v>-310000</v>
      </c>
      <c r="Q78" s="572">
        <f>+'Cash Flow Yahoo Input'!P35/1000</f>
        <v>-216000</v>
      </c>
      <c r="R78" s="187">
        <f>+'Cash Flow Yahoo Input'!Q35/1000</f>
        <v>-258000</v>
      </c>
      <c r="S78" s="187">
        <f>+'Cash Flow Yahoo Input'!R35/1000</f>
        <v>0</v>
      </c>
    </row>
    <row r="79" spans="2:19" ht="11.45" customHeight="1">
      <c r="B79" s="17"/>
      <c r="C79" s="9"/>
      <c r="D79" s="9"/>
      <c r="E79" s="558"/>
      <c r="F79" s="558"/>
      <c r="G79" s="9"/>
      <c r="H79" s="9"/>
      <c r="M79" s="74"/>
      <c r="N79" s="74"/>
      <c r="O79" s="74"/>
      <c r="P79" s="74"/>
      <c r="Q79" s="573"/>
      <c r="R79" s="74"/>
      <c r="S79" s="74"/>
    </row>
    <row r="80" spans="2:19" ht="11.45" customHeight="1">
      <c r="B80" s="23" t="s">
        <v>51</v>
      </c>
      <c r="C80" s="9"/>
      <c r="D80" s="9"/>
      <c r="E80" s="558"/>
      <c r="F80" s="558"/>
      <c r="G80" s="9"/>
      <c r="H80" s="9"/>
      <c r="M80" s="74"/>
      <c r="N80" s="74"/>
      <c r="O80" s="74"/>
      <c r="P80" s="74"/>
      <c r="Q80" s="573"/>
      <c r="R80" s="74"/>
      <c r="S80" s="74"/>
    </row>
    <row r="81" spans="2:19" ht="11.45" customHeight="1">
      <c r="B81" s="21" t="s">
        <v>52</v>
      </c>
      <c r="C81" s="9">
        <f t="shared" ref="C81:N81" si="70">+C49-D49</f>
        <v>-654000</v>
      </c>
      <c r="D81" s="9">
        <f t="shared" si="70"/>
        <v>650000</v>
      </c>
      <c r="E81" s="558">
        <f t="shared" si="70"/>
        <v>-250000</v>
      </c>
      <c r="F81" s="558">
        <f t="shared" si="70"/>
        <v>249000</v>
      </c>
      <c r="G81" s="9">
        <f t="shared" si="70"/>
        <v>0</v>
      </c>
      <c r="H81" s="9">
        <f t="shared" si="70"/>
        <v>11000</v>
      </c>
      <c r="I81" s="9">
        <f t="shared" si="70"/>
        <v>0</v>
      </c>
      <c r="J81" s="9">
        <f t="shared" si="70"/>
        <v>0</v>
      </c>
      <c r="K81" s="9">
        <f t="shared" si="70"/>
        <v>0</v>
      </c>
      <c r="L81" s="9">
        <f t="shared" si="70"/>
        <v>0</v>
      </c>
      <c r="M81" s="9">
        <f t="shared" si="70"/>
        <v>0</v>
      </c>
      <c r="N81" s="9">
        <f t="shared" si="70"/>
        <v>0</v>
      </c>
      <c r="O81" s="9">
        <f>+O49-T49</f>
        <v>0</v>
      </c>
      <c r="P81" s="9">
        <f>+P49-U49</f>
        <v>0</v>
      </c>
      <c r="Q81" s="558">
        <f>+Q49-V49</f>
        <v>0</v>
      </c>
      <c r="R81" s="9">
        <f>+R49-W49</f>
        <v>0</v>
      </c>
      <c r="S81" s="9">
        <f>+S49-X49</f>
        <v>0</v>
      </c>
    </row>
    <row r="82" spans="2:19" ht="11.45" customHeight="1">
      <c r="B82" s="21" t="s">
        <v>53</v>
      </c>
      <c r="C82" s="9">
        <f t="shared" ref="C82:N82" si="71">+C53-D53</f>
        <v>596000</v>
      </c>
      <c r="D82" s="9">
        <f t="shared" si="71"/>
        <v>-1515000</v>
      </c>
      <c r="E82" s="558">
        <f t="shared" si="71"/>
        <v>984000</v>
      </c>
      <c r="F82" s="558">
        <f t="shared" si="71"/>
        <v>1372000</v>
      </c>
      <c r="G82" s="9">
        <f t="shared" si="71"/>
        <v>-11000</v>
      </c>
      <c r="H82" s="9">
        <f t="shared" si="71"/>
        <v>183000</v>
      </c>
      <c r="I82" s="9">
        <f t="shared" si="71"/>
        <v>-5000</v>
      </c>
      <c r="J82" s="9">
        <f t="shared" si="71"/>
        <v>403000</v>
      </c>
      <c r="K82" s="9">
        <f t="shared" si="71"/>
        <v>-339000</v>
      </c>
      <c r="L82" s="9">
        <f t="shared" si="71"/>
        <v>92000</v>
      </c>
      <c r="M82" s="9">
        <f t="shared" si="71"/>
        <v>60000</v>
      </c>
      <c r="N82" s="9">
        <f t="shared" si="71"/>
        <v>8000</v>
      </c>
      <c r="O82" s="9">
        <f>+O53-T53</f>
        <v>1221000</v>
      </c>
      <c r="P82" s="9">
        <f>+P53-U53</f>
        <v>1516000</v>
      </c>
      <c r="Q82" s="558">
        <f>+Q53-V53</f>
        <v>1620000</v>
      </c>
      <c r="R82" s="9">
        <f>+R53-W53</f>
        <v>1874000</v>
      </c>
      <c r="S82" s="9">
        <f>+S53-X53</f>
        <v>794000</v>
      </c>
    </row>
    <row r="83" spans="2:19" ht="11.45" customHeight="1">
      <c r="B83" s="21" t="s">
        <v>54</v>
      </c>
      <c r="C83" s="9">
        <f t="shared" ref="C83:N83" si="72">+C55-D55</f>
        <v>391000</v>
      </c>
      <c r="D83" s="9">
        <f t="shared" si="72"/>
        <v>54000</v>
      </c>
      <c r="E83" s="558">
        <f t="shared" si="72"/>
        <v>845000</v>
      </c>
      <c r="F83" s="558">
        <f t="shared" si="72"/>
        <v>194000</v>
      </c>
      <c r="G83" s="9">
        <f t="shared" si="72"/>
        <v>477000</v>
      </c>
      <c r="H83" s="9">
        <f t="shared" si="72"/>
        <v>3000</v>
      </c>
      <c r="I83" s="9">
        <f t="shared" si="72"/>
        <v>-190000</v>
      </c>
      <c r="J83" s="9">
        <f t="shared" si="72"/>
        <v>27000</v>
      </c>
      <c r="K83" s="9">
        <f t="shared" si="72"/>
        <v>53000</v>
      </c>
      <c r="L83" s="9">
        <f t="shared" si="72"/>
        <v>169000</v>
      </c>
      <c r="M83" s="9">
        <f t="shared" si="72"/>
        <v>284000</v>
      </c>
      <c r="N83" s="9">
        <f t="shared" si="72"/>
        <v>-3000</v>
      </c>
      <c r="O83" s="9"/>
      <c r="P83" s="9"/>
      <c r="Q83" s="558"/>
      <c r="R83" s="9"/>
      <c r="S83" s="9"/>
    </row>
    <row r="84" spans="2:19" ht="11.45" customHeight="1">
      <c r="B84" s="21" t="s">
        <v>55</v>
      </c>
      <c r="C84" s="12">
        <v>0</v>
      </c>
      <c r="D84" s="12">
        <v>0</v>
      </c>
      <c r="E84" s="559">
        <v>0</v>
      </c>
      <c r="F84" s="559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559">
        <v>0</v>
      </c>
      <c r="R84" s="12">
        <v>0</v>
      </c>
      <c r="S84" s="12">
        <v>0</v>
      </c>
    </row>
    <row r="85" spans="2:19" ht="11.45" customHeight="1">
      <c r="B85" s="18" t="s">
        <v>56</v>
      </c>
      <c r="C85" s="24">
        <f>SUM(C81:C84)</f>
        <v>333000</v>
      </c>
      <c r="D85" s="24">
        <f>SUM(D81:D84)</f>
        <v>-811000</v>
      </c>
      <c r="E85" s="572">
        <f>SUM(E81:E84)</f>
        <v>1579000</v>
      </c>
      <c r="F85" s="572">
        <f>SUM(F81:F84)</f>
        <v>1815000</v>
      </c>
      <c r="G85" s="24">
        <f>SUM(G81:G84)</f>
        <v>466000</v>
      </c>
      <c r="H85" s="24">
        <f t="shared" ref="H85:L85" si="73">SUM(H81:H84)</f>
        <v>197000</v>
      </c>
      <c r="I85" s="24">
        <f t="shared" si="73"/>
        <v>-195000</v>
      </c>
      <c r="J85" s="24">
        <f t="shared" si="73"/>
        <v>430000</v>
      </c>
      <c r="K85" s="24">
        <f t="shared" si="73"/>
        <v>-286000</v>
      </c>
      <c r="L85" s="24">
        <f t="shared" si="73"/>
        <v>261000</v>
      </c>
      <c r="M85" s="24">
        <f t="shared" ref="M85:N85" si="74">SUM(M81:M84)</f>
        <v>344000</v>
      </c>
      <c r="N85" s="24">
        <f t="shared" si="74"/>
        <v>5000</v>
      </c>
      <c r="O85" s="24">
        <f t="shared" ref="O85:Q85" si="75">SUM(O81:O84)</f>
        <v>1221000</v>
      </c>
      <c r="P85" s="24">
        <f t="shared" si="75"/>
        <v>1516000</v>
      </c>
      <c r="Q85" s="572">
        <f t="shared" si="75"/>
        <v>1620000</v>
      </c>
      <c r="R85" s="24">
        <f t="shared" ref="R85:S85" si="76">SUM(R81:R84)</f>
        <v>1874000</v>
      </c>
      <c r="S85" s="24">
        <f t="shared" si="76"/>
        <v>794000</v>
      </c>
    </row>
    <row r="86" spans="2:19" ht="11.45" customHeight="1">
      <c r="B86" s="1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2:19" ht="11.45" customHeight="1">
      <c r="B87" s="2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2:19" ht="11.45" customHeight="1">
      <c r="B88" s="130" t="s">
        <v>57</v>
      </c>
      <c r="C88" s="130"/>
      <c r="D88" s="130"/>
      <c r="E88" s="131"/>
      <c r="F88" s="131"/>
      <c r="G88" s="131"/>
      <c r="H88" s="131"/>
      <c r="I88" s="132"/>
      <c r="J88" s="133"/>
      <c r="K88" s="133"/>
      <c r="L88" s="134"/>
      <c r="M88" s="134"/>
      <c r="N88" s="134"/>
      <c r="O88" s="134"/>
      <c r="P88" s="134"/>
      <c r="Q88" s="134"/>
      <c r="R88" s="134"/>
      <c r="S88" s="134"/>
    </row>
    <row r="89" spans="2:19" ht="19.7" customHeight="1">
      <c r="B89" s="5"/>
      <c r="C89" s="126" t="str">
        <f>+C71</f>
        <v>Sep 30</v>
      </c>
      <c r="D89" s="126" t="str">
        <f>+D71</f>
        <v>Dec 31</v>
      </c>
      <c r="E89" s="571" t="s">
        <v>219</v>
      </c>
      <c r="F89" s="571" t="s">
        <v>219</v>
      </c>
      <c r="G89" s="129" t="s">
        <v>219</v>
      </c>
      <c r="H89" s="129" t="s">
        <v>219</v>
      </c>
      <c r="I89" s="129" t="s">
        <v>219</v>
      </c>
      <c r="J89" s="129" t="s">
        <v>219</v>
      </c>
      <c r="K89" s="129" t="s">
        <v>219</v>
      </c>
      <c r="L89" s="129" t="s">
        <v>219</v>
      </c>
      <c r="M89" s="129" t="s">
        <v>507</v>
      </c>
      <c r="N89" s="129" t="s">
        <v>508</v>
      </c>
      <c r="O89" s="129" t="s">
        <v>509</v>
      </c>
      <c r="P89" s="129" t="s">
        <v>559</v>
      </c>
      <c r="Q89" s="571" t="s">
        <v>560</v>
      </c>
      <c r="R89" s="129" t="s">
        <v>560</v>
      </c>
      <c r="S89" s="129" t="s">
        <v>560</v>
      </c>
    </row>
    <row r="90" spans="2:19" ht="20.100000000000001" customHeight="1" thickBot="1">
      <c r="B90" s="26"/>
      <c r="C90" s="128">
        <f t="shared" ref="C90" si="77">+C72</f>
        <v>2023</v>
      </c>
      <c r="D90" s="128">
        <f t="shared" ref="D90:O90" si="78">+D72</f>
        <v>2022</v>
      </c>
      <c r="E90" s="563">
        <f t="shared" si="78"/>
        <v>2021</v>
      </c>
      <c r="F90" s="563">
        <f t="shared" si="78"/>
        <v>2020</v>
      </c>
      <c r="G90" s="128">
        <f t="shared" si="78"/>
        <v>2019</v>
      </c>
      <c r="H90" s="128">
        <f t="shared" si="78"/>
        <v>2018</v>
      </c>
      <c r="I90" s="128">
        <f t="shared" si="78"/>
        <v>2017</v>
      </c>
      <c r="J90" s="128">
        <f t="shared" si="78"/>
        <v>2016</v>
      </c>
      <c r="K90" s="128">
        <f t="shared" si="78"/>
        <v>2015</v>
      </c>
      <c r="L90" s="128">
        <f t="shared" si="78"/>
        <v>2014</v>
      </c>
      <c r="M90" s="128">
        <f t="shared" si="78"/>
        <v>2013</v>
      </c>
      <c r="N90" s="128">
        <f t="shared" si="78"/>
        <v>2012</v>
      </c>
      <c r="O90" s="128">
        <f t="shared" si="78"/>
        <v>2011</v>
      </c>
      <c r="P90" s="128">
        <f t="shared" ref="P90:Q90" si="79">+P72</f>
        <v>2010</v>
      </c>
      <c r="Q90" s="563">
        <f t="shared" si="79"/>
        <v>2009</v>
      </c>
      <c r="R90" s="128">
        <f t="shared" ref="R90:S90" si="80">+R72</f>
        <v>2008</v>
      </c>
      <c r="S90" s="128">
        <f t="shared" si="80"/>
        <v>2007</v>
      </c>
    </row>
    <row r="91" spans="2:19" ht="11.45" customHeight="1">
      <c r="B91" s="27" t="s">
        <v>58</v>
      </c>
      <c r="C91" s="356">
        <f t="shared" ref="C91:O91" si="81">+C11+C73</f>
        <v>755000</v>
      </c>
      <c r="D91" s="356">
        <f t="shared" si="81"/>
        <v>824000</v>
      </c>
      <c r="E91" s="574">
        <f t="shared" si="81"/>
        <v>59000</v>
      </c>
      <c r="F91" s="574">
        <f t="shared" si="81"/>
        <v>-322000</v>
      </c>
      <c r="G91" s="356">
        <f t="shared" si="81"/>
        <v>526000</v>
      </c>
      <c r="H91" s="356">
        <f t="shared" si="81"/>
        <v>659000</v>
      </c>
      <c r="I91" s="356">
        <f t="shared" si="81"/>
        <v>608000</v>
      </c>
      <c r="J91" s="356">
        <f t="shared" si="81"/>
        <v>594000</v>
      </c>
      <c r="K91" s="356">
        <f t="shared" si="81"/>
        <v>643000</v>
      </c>
      <c r="L91" s="356">
        <f t="shared" si="81"/>
        <v>633000</v>
      </c>
      <c r="M91" s="356">
        <f t="shared" si="81"/>
        <v>578000</v>
      </c>
      <c r="N91" s="356">
        <f t="shared" si="81"/>
        <v>512000</v>
      </c>
      <c r="O91" s="356">
        <f t="shared" si="81"/>
        <v>458000</v>
      </c>
      <c r="P91" s="356">
        <f t="shared" ref="P91:Q91" si="82">+P11+P73</f>
        <v>387000</v>
      </c>
      <c r="Q91" s="574">
        <f t="shared" si="82"/>
        <v>318000</v>
      </c>
      <c r="R91" s="356">
        <f t="shared" ref="R91:S91" si="83">+R11+R73</f>
        <v>613000</v>
      </c>
      <c r="S91" s="356">
        <f t="shared" si="83"/>
        <v>599000</v>
      </c>
    </row>
    <row r="92" spans="2:19" ht="11.45" customHeight="1">
      <c r="B92" s="17"/>
      <c r="C92" s="105"/>
      <c r="D92" s="105"/>
      <c r="E92" s="575" t="s">
        <v>484</v>
      </c>
      <c r="F92" s="576"/>
      <c r="G92" s="1"/>
      <c r="H92" s="1"/>
      <c r="M92" s="74"/>
      <c r="N92" s="74"/>
      <c r="O92" s="74"/>
      <c r="P92" s="74"/>
      <c r="Q92" s="573"/>
      <c r="R92" s="74"/>
      <c r="S92" s="74"/>
    </row>
    <row r="93" spans="2:19" ht="11.45" customHeight="1">
      <c r="B93" s="28" t="s">
        <v>59</v>
      </c>
      <c r="C93" s="28"/>
      <c r="D93" s="28"/>
      <c r="E93" s="577"/>
      <c r="F93" s="577"/>
      <c r="G93" s="26"/>
      <c r="H93" s="26"/>
      <c r="M93" s="74"/>
      <c r="N93" s="74"/>
      <c r="O93" s="74"/>
      <c r="P93" s="74"/>
      <c r="Q93" s="573"/>
      <c r="R93" s="74"/>
      <c r="S93" s="74"/>
    </row>
    <row r="94" spans="2:19" ht="11.45" customHeight="1">
      <c r="B94" s="21" t="s">
        <v>60</v>
      </c>
      <c r="C94" s="29">
        <f t="shared" ref="C94:N94" si="84">+C7/D7-1</f>
        <v>0.11950432863690374</v>
      </c>
      <c r="D94" s="29">
        <f t="shared" si="84"/>
        <v>0.94550858652575953</v>
      </c>
      <c r="E94" s="578">
        <f t="shared" si="84"/>
        <v>0.46563407550822844</v>
      </c>
      <c r="F94" s="578">
        <f t="shared" si="84"/>
        <v>-0.58844621513944229</v>
      </c>
      <c r="G94" s="29">
        <f t="shared" si="84"/>
        <v>0.12707678491243835</v>
      </c>
      <c r="H94" s="29">
        <f t="shared" si="84"/>
        <v>-1.7929179740027168E-3</v>
      </c>
      <c r="I94" s="29">
        <f t="shared" si="84"/>
        <v>4.6189917936694025E-2</v>
      </c>
      <c r="J94" s="29">
        <f t="shared" si="84"/>
        <v>-1.455637707948243E-2</v>
      </c>
      <c r="K94" s="29">
        <f t="shared" si="84"/>
        <v>-1.9705549263873134E-2</v>
      </c>
      <c r="L94" s="29">
        <f t="shared" si="84"/>
        <v>5.5210325047801101E-2</v>
      </c>
      <c r="M94" s="29">
        <f t="shared" si="84"/>
        <v>5.950873638895926E-2</v>
      </c>
      <c r="N94" s="29">
        <f t="shared" si="84"/>
        <v>6.7874526771227739E-2</v>
      </c>
      <c r="O94" s="29">
        <f t="shared" ref="O94" si="85">+O7/P7-1</f>
        <v>4.8483130138928354E-2</v>
      </c>
      <c r="P94" s="29">
        <f t="shared" ref="P94" si="86">+P7/Q7-1</f>
        <v>5.9159159159159147E-2</v>
      </c>
      <c r="Q94" s="578">
        <f t="shared" ref="Q94" si="87">+Q7/R7-1</f>
        <v>-0.13213448006254891</v>
      </c>
      <c r="R94" s="29">
        <f t="shared" ref="R94" si="88">+R7/S7-1</f>
        <v>2.6484751203852408E-2</v>
      </c>
      <c r="S94" s="29"/>
    </row>
    <row r="95" spans="2:19" ht="11.45" customHeight="1">
      <c r="B95" s="17"/>
      <c r="C95" s="9"/>
      <c r="D95" s="9"/>
      <c r="E95" s="558"/>
      <c r="F95" s="558"/>
      <c r="G95" s="9"/>
      <c r="H95" s="9"/>
      <c r="I95" s="9"/>
      <c r="J95" s="9"/>
      <c r="K95" s="9"/>
      <c r="L95" s="9"/>
      <c r="M95" s="9"/>
      <c r="N95" s="9"/>
      <c r="O95" s="9"/>
      <c r="P95" s="9"/>
      <c r="Q95" s="558"/>
      <c r="R95" s="9"/>
      <c r="S95" s="9"/>
    </row>
    <row r="96" spans="2:19" ht="11.45" customHeight="1">
      <c r="B96" s="23" t="s">
        <v>61</v>
      </c>
      <c r="C96" s="9"/>
      <c r="D96" s="9"/>
      <c r="E96" s="558"/>
      <c r="F96" s="558"/>
      <c r="G96" s="9"/>
      <c r="H96" s="9"/>
      <c r="I96" s="9"/>
      <c r="J96" s="9"/>
      <c r="K96" s="9"/>
      <c r="L96" s="9"/>
      <c r="M96" s="9"/>
      <c r="N96" s="9"/>
      <c r="O96" s="9"/>
      <c r="P96" s="9"/>
      <c r="Q96" s="558"/>
      <c r="R96" s="9"/>
      <c r="S96" s="9"/>
    </row>
    <row r="97" spans="2:19" ht="11.45" customHeight="1">
      <c r="B97" s="21" t="s">
        <v>62</v>
      </c>
      <c r="C97" s="30">
        <f t="shared" ref="C97:O97" si="89">+C31/C50</f>
        <v>0.29028239202657807</v>
      </c>
      <c r="D97" s="30">
        <f t="shared" si="89"/>
        <v>0.37846060237298451</v>
      </c>
      <c r="E97" s="579">
        <f t="shared" si="89"/>
        <v>0.60976702508960579</v>
      </c>
      <c r="F97" s="579">
        <f t="shared" si="89"/>
        <v>2.5416666666666665</v>
      </c>
      <c r="G97" s="30">
        <f t="shared" si="89"/>
        <v>0.91804788213627997</v>
      </c>
      <c r="H97" s="30">
        <f t="shared" si="89"/>
        <v>0.73138548539114046</v>
      </c>
      <c r="I97" s="30">
        <f t="shared" si="89"/>
        <v>0.58467741935483875</v>
      </c>
      <c r="J97" s="30">
        <f t="shared" si="89"/>
        <v>0.62337662337662336</v>
      </c>
      <c r="K97" s="30">
        <f t="shared" si="89"/>
        <v>0.4823848238482385</v>
      </c>
      <c r="L97" s="30">
        <f t="shared" si="89"/>
        <v>1.4342465753424658</v>
      </c>
      <c r="M97" s="30">
        <f t="shared" si="89"/>
        <v>0.6027554535017221</v>
      </c>
      <c r="N97" s="30">
        <f t="shared" si="89"/>
        <v>2.4304207119741101</v>
      </c>
      <c r="O97" s="30">
        <f t="shared" si="89"/>
        <v>3.073943661971831</v>
      </c>
      <c r="P97" s="30">
        <f t="shared" ref="P97:Q97" si="90">+P31/P50</f>
        <v>3.7181208053691277</v>
      </c>
      <c r="Q97" s="579">
        <f t="shared" si="90"/>
        <v>3.1939393939393939</v>
      </c>
      <c r="R97" s="30">
        <f t="shared" ref="R97:S97" si="91">+R31/R50</f>
        <v>0.81163859111791725</v>
      </c>
      <c r="S97" s="30">
        <f t="shared" si="91"/>
        <v>0.65853658536585369</v>
      </c>
    </row>
    <row r="98" spans="2:19" ht="11.45" customHeight="1">
      <c r="B98" s="21" t="s">
        <v>63</v>
      </c>
      <c r="C98" s="30">
        <f t="shared" ref="C98:O98" si="92">+(C26+C27)/C50</f>
        <v>0.29028239202657807</v>
      </c>
      <c r="D98" s="30">
        <f t="shared" si="92"/>
        <v>0.37846060237298451</v>
      </c>
      <c r="E98" s="579">
        <f t="shared" si="92"/>
        <v>0.60976702508960579</v>
      </c>
      <c r="F98" s="579">
        <f t="shared" si="92"/>
        <v>2.5416666666666665</v>
      </c>
      <c r="G98" s="30">
        <f t="shared" si="92"/>
        <v>0.91804788213627997</v>
      </c>
      <c r="H98" s="30">
        <f t="shared" si="92"/>
        <v>0.73138548539114046</v>
      </c>
      <c r="I98" s="30">
        <f t="shared" si="92"/>
        <v>0.58467741935483875</v>
      </c>
      <c r="J98" s="30">
        <f t="shared" si="92"/>
        <v>0.62337662337662336</v>
      </c>
      <c r="K98" s="30">
        <f t="shared" si="92"/>
        <v>0.4823848238482385</v>
      </c>
      <c r="L98" s="30">
        <f t="shared" si="92"/>
        <v>1.2767123287671234</v>
      </c>
      <c r="M98" s="30">
        <f t="shared" si="92"/>
        <v>0.5774971297359357</v>
      </c>
      <c r="N98" s="30">
        <f t="shared" si="92"/>
        <v>2.3139158576051782</v>
      </c>
      <c r="O98" s="30">
        <f t="shared" si="92"/>
        <v>2.992957746478873</v>
      </c>
      <c r="P98" s="30">
        <f t="shared" ref="P98:Q98" si="93">+(P26+P27)/P50</f>
        <v>3.6208053691275168</v>
      </c>
      <c r="Q98" s="579">
        <f t="shared" si="93"/>
        <v>3.1010101010101012</v>
      </c>
      <c r="R98" s="30">
        <f t="shared" ref="R98:S98" si="94">+(R26+R27)/R50</f>
        <v>0.65543644716692195</v>
      </c>
      <c r="S98" s="30">
        <f t="shared" si="94"/>
        <v>0.58680057388809181</v>
      </c>
    </row>
    <row r="99" spans="2:19" ht="11.45" customHeight="1">
      <c r="B99" s="21" t="s">
        <v>64</v>
      </c>
      <c r="C99" s="30">
        <f t="shared" ref="C99:N99" si="95">+C7/((C27+D27)/2)</f>
        <v>-112.73504273504274</v>
      </c>
      <c r="D99" s="30">
        <f t="shared" si="95"/>
        <v>-101.56896551724138</v>
      </c>
      <c r="E99" s="579">
        <f t="shared" si="95"/>
        <v>-55.559633027522935</v>
      </c>
      <c r="F99" s="579">
        <f t="shared" si="95"/>
        <v>-46.954545454545453</v>
      </c>
      <c r="G99" s="30">
        <f t="shared" si="95"/>
        <v>-173.10344827586206</v>
      </c>
      <c r="H99" s="30">
        <f t="shared" si="95"/>
        <v>-189.53191489361703</v>
      </c>
      <c r="I99" s="30">
        <f t="shared" si="95"/>
        <v>-228.82051282051282</v>
      </c>
      <c r="J99" s="30">
        <f t="shared" si="95"/>
        <v>-258.4848484848485</v>
      </c>
      <c r="K99" s="30">
        <f t="shared" si="95"/>
        <v>-309.14285714285717</v>
      </c>
      <c r="L99" s="30">
        <f t="shared" si="95"/>
        <v>-367.91666666666669</v>
      </c>
      <c r="M99" s="30">
        <f t="shared" si="95"/>
        <v>-380.36363636363637</v>
      </c>
      <c r="N99" s="30">
        <f t="shared" si="95"/>
        <v>-376.09523809523807</v>
      </c>
      <c r="O99" s="30">
        <f>+O7/((O27+T27)/2)</f>
        <v>-739.6</v>
      </c>
      <c r="P99" s="30"/>
      <c r="Q99" s="579"/>
      <c r="R99" s="30"/>
      <c r="S99" s="30"/>
    </row>
    <row r="100" spans="2:19" ht="11.45" customHeight="1">
      <c r="B100" s="21" t="s">
        <v>65</v>
      </c>
      <c r="C100" s="31">
        <f>365/C99</f>
        <v>-3.2376800606520089</v>
      </c>
      <c r="D100" s="31">
        <f>365/D99</f>
        <v>-3.5936173824478015</v>
      </c>
      <c r="E100" s="580">
        <f t="shared" ref="E100:O100" si="96">365/E99</f>
        <v>-6.5695178335535012</v>
      </c>
      <c r="F100" s="580">
        <f t="shared" si="96"/>
        <v>-7.7734753146176185</v>
      </c>
      <c r="G100" s="31">
        <f t="shared" si="96"/>
        <v>-2.108565737051793</v>
      </c>
      <c r="H100" s="31">
        <f t="shared" si="96"/>
        <v>-1.9257970363718007</v>
      </c>
      <c r="I100" s="31">
        <f t="shared" si="96"/>
        <v>-1.5951367099955178</v>
      </c>
      <c r="J100" s="31">
        <f t="shared" si="96"/>
        <v>-1.4120750293083235</v>
      </c>
      <c r="K100" s="31">
        <f t="shared" si="96"/>
        <v>-1.1806839186691311</v>
      </c>
      <c r="L100" s="31">
        <f t="shared" si="96"/>
        <v>-0.99207248018120042</v>
      </c>
      <c r="M100" s="31">
        <f t="shared" si="96"/>
        <v>-0.95960803059273425</v>
      </c>
      <c r="N100" s="31">
        <f t="shared" si="96"/>
        <v>-0.97049886047100542</v>
      </c>
      <c r="O100" s="31">
        <f t="shared" si="96"/>
        <v>-0.49351000540832879</v>
      </c>
      <c r="P100" s="31"/>
      <c r="Q100" s="580"/>
      <c r="R100" s="31"/>
      <c r="S100" s="31"/>
    </row>
    <row r="101" spans="2:19" ht="11.45" customHeight="1">
      <c r="B101" s="17"/>
      <c r="C101" s="9"/>
      <c r="D101" s="9"/>
      <c r="E101" s="558"/>
      <c r="F101" s="55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558"/>
      <c r="R101" s="9"/>
      <c r="S101" s="9"/>
    </row>
    <row r="102" spans="2:19" ht="11.45" customHeight="1">
      <c r="B102" s="23" t="s">
        <v>66</v>
      </c>
      <c r="C102" s="9"/>
      <c r="D102" s="9"/>
      <c r="E102" s="558"/>
      <c r="F102" s="55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558"/>
      <c r="R102" s="9"/>
      <c r="S102" s="9"/>
    </row>
    <row r="103" spans="2:19" ht="11.45" customHeight="1">
      <c r="B103" s="21" t="s">
        <v>67</v>
      </c>
      <c r="C103" s="29">
        <f t="shared" ref="C103:O103" si="97">+(C49+C53)/(C49+C53+C65)</f>
        <v>0.46002108116247553</v>
      </c>
      <c r="D103" s="29">
        <f t="shared" si="97"/>
        <v>0.45698766881972991</v>
      </c>
      <c r="E103" s="578">
        <f t="shared" si="97"/>
        <v>0.5275162445299032</v>
      </c>
      <c r="F103" s="578">
        <f t="shared" si="97"/>
        <v>0.50255615801704101</v>
      </c>
      <c r="G103" s="29">
        <f t="shared" si="97"/>
        <v>0.29059982094897047</v>
      </c>
      <c r="H103" s="29">
        <f t="shared" si="97"/>
        <v>0.30806938159879338</v>
      </c>
      <c r="I103" s="29">
        <f t="shared" si="97"/>
        <v>0.27288231949971575</v>
      </c>
      <c r="J103" s="29">
        <f t="shared" si="97"/>
        <v>0.27019446522064322</v>
      </c>
      <c r="K103" s="29">
        <f t="shared" si="97"/>
        <v>0.20703357838267436</v>
      </c>
      <c r="L103" s="29">
        <f t="shared" si="97"/>
        <v>0.22986018641810918</v>
      </c>
      <c r="M103" s="29">
        <f t="shared" si="97"/>
        <v>0.21277649389237371</v>
      </c>
      <c r="N103" s="29">
        <f t="shared" si="97"/>
        <v>0.20347682119205299</v>
      </c>
      <c r="O103" s="29">
        <f t="shared" si="97"/>
        <v>0.20218579234972678</v>
      </c>
      <c r="P103" s="29">
        <f t="shared" ref="P103:Q103" si="98">+(P49+P53)/(P49+P53+P65)</f>
        <v>0.22851974675911968</v>
      </c>
      <c r="Q103" s="578">
        <f t="shared" si="98"/>
        <v>0.24412296564195299</v>
      </c>
      <c r="R103" s="29">
        <f t="shared" ref="R103:S103" si="99">+(R49+R53)/(R49+R53+R65)</f>
        <v>0.34461198970209633</v>
      </c>
      <c r="S103" s="29">
        <f t="shared" si="99"/>
        <v>0.18779564806054871</v>
      </c>
    </row>
    <row r="104" spans="2:19" ht="11.45" customHeight="1">
      <c r="B104" s="21" t="s">
        <v>68</v>
      </c>
      <c r="C104" s="30">
        <f t="shared" ref="C104:O104" si="100">+C91/C12</f>
        <v>5.4316546762589928</v>
      </c>
      <c r="D104" s="30">
        <f t="shared" si="100"/>
        <v>5.4933333333333332</v>
      </c>
      <c r="E104" s="579">
        <f t="shared" si="100"/>
        <v>0.3619631901840491</v>
      </c>
      <c r="F104" s="579">
        <f t="shared" si="100"/>
        <v>-2.515625</v>
      </c>
      <c r="G104" s="30">
        <f t="shared" si="100"/>
        <v>7.0133333333333336</v>
      </c>
      <c r="H104" s="30">
        <f t="shared" si="100"/>
        <v>8.6710526315789469</v>
      </c>
      <c r="I104" s="30">
        <f t="shared" si="100"/>
        <v>7.6</v>
      </c>
      <c r="J104" s="30">
        <f t="shared" si="100"/>
        <v>7.8157894736842106</v>
      </c>
      <c r="K104" s="30">
        <f t="shared" si="100"/>
        <v>9.4558823529411757</v>
      </c>
      <c r="L104" s="30">
        <f t="shared" si="100"/>
        <v>8.9154929577464781</v>
      </c>
      <c r="M104" s="30">
        <f t="shared" si="100"/>
        <v>8.8923076923076927</v>
      </c>
      <c r="N104" s="30">
        <f t="shared" si="100"/>
        <v>7.3142857142857141</v>
      </c>
      <c r="O104" s="30">
        <f t="shared" si="100"/>
        <v>8.0350877192982448</v>
      </c>
      <c r="P104" s="30">
        <f t="shared" ref="P104:Q104" si="101">+P91/P12</f>
        <v>7.166666666666667</v>
      </c>
      <c r="Q104" s="579">
        <f t="shared" si="101"/>
        <v>5.6785714285714288</v>
      </c>
      <c r="R104" s="30">
        <f t="shared" ref="R104:S104" si="102">+R91/R12</f>
        <v>8.1733333333333338</v>
      </c>
      <c r="S104" s="30">
        <f t="shared" si="102"/>
        <v>13.930232558139535</v>
      </c>
    </row>
    <row r="105" spans="2:19" ht="11.45" customHeight="1">
      <c r="B105" s="21" t="s">
        <v>69</v>
      </c>
      <c r="C105" s="30">
        <f>+(C53+C49)/C91</f>
        <v>4.0463576158940393</v>
      </c>
      <c r="D105" s="30">
        <f t="shared" ref="D105:O105" si="103">+(D53+D49)/D91</f>
        <v>3.7779126213592233</v>
      </c>
      <c r="E105" s="579">
        <f t="shared" si="103"/>
        <v>67.423728813559322</v>
      </c>
      <c r="F105" s="579">
        <f t="shared" si="103"/>
        <v>-10.074534161490684</v>
      </c>
      <c r="G105" s="30">
        <f t="shared" si="103"/>
        <v>3.085551330798479</v>
      </c>
      <c r="H105" s="30">
        <f t="shared" si="103"/>
        <v>2.479514415781487</v>
      </c>
      <c r="I105" s="30">
        <f t="shared" si="103"/>
        <v>2.3684210526315788</v>
      </c>
      <c r="J105" s="30">
        <f t="shared" si="103"/>
        <v>2.4326599326599325</v>
      </c>
      <c r="K105" s="30">
        <f t="shared" si="103"/>
        <v>1.6205287713841368</v>
      </c>
      <c r="L105" s="30">
        <f t="shared" si="103"/>
        <v>2.1816745655608214</v>
      </c>
      <c r="M105" s="30">
        <f t="shared" si="103"/>
        <v>2.2301038062283736</v>
      </c>
      <c r="N105" s="30">
        <f t="shared" si="103"/>
        <v>2.400390625</v>
      </c>
      <c r="O105" s="30">
        <f t="shared" si="103"/>
        <v>2.6659388646288211</v>
      </c>
      <c r="P105" s="30">
        <f t="shared" ref="P105:Q105" si="104">+(P53+P49)/P91</f>
        <v>3.9173126614987082</v>
      </c>
      <c r="Q105" s="579">
        <f t="shared" si="104"/>
        <v>5.0943396226415096</v>
      </c>
      <c r="R105" s="30">
        <f t="shared" ref="R105:S105" si="105">+(R53+R49)/R91</f>
        <v>3.0570962479608483</v>
      </c>
      <c r="S105" s="30">
        <f t="shared" si="105"/>
        <v>1.325542570951586</v>
      </c>
    </row>
    <row r="106" spans="2:19" ht="11.45" customHeight="1">
      <c r="B106" s="17"/>
      <c r="C106" s="9"/>
      <c r="D106" s="9"/>
      <c r="E106" s="558"/>
      <c r="F106" s="55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558"/>
      <c r="R106" s="9"/>
      <c r="S106" s="9"/>
    </row>
    <row r="107" spans="2:19" ht="11.45" customHeight="1">
      <c r="B107" s="23" t="s">
        <v>70</v>
      </c>
      <c r="C107" s="9"/>
      <c r="D107" s="9"/>
      <c r="E107" s="558"/>
      <c r="F107" s="55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558"/>
      <c r="R107" s="9"/>
      <c r="S107" s="9"/>
    </row>
    <row r="108" spans="2:19" ht="11.45" customHeight="1">
      <c r="B108" s="21" t="s">
        <v>4</v>
      </c>
      <c r="C108" s="29">
        <f t="shared" ref="C108:O108" si="106">+C9/C7</f>
        <v>0.20591357088703563</v>
      </c>
      <c r="D108" s="29">
        <f t="shared" si="106"/>
        <v>0.21863860125615345</v>
      </c>
      <c r="E108" s="578">
        <f t="shared" si="106"/>
        <v>0.14035667107001321</v>
      </c>
      <c r="F108" s="578">
        <f t="shared" si="106"/>
        <v>-4.8402710551790902E-4</v>
      </c>
      <c r="G108" s="29">
        <f t="shared" si="106"/>
        <v>0.18784860557768923</v>
      </c>
      <c r="H108" s="29">
        <f t="shared" si="106"/>
        <v>0.21980242478670858</v>
      </c>
      <c r="I108" s="29">
        <f t="shared" si="106"/>
        <v>0.22075302554908113</v>
      </c>
      <c r="J108" s="29">
        <f t="shared" si="106"/>
        <v>0.21313012895662367</v>
      </c>
      <c r="K108" s="29">
        <f t="shared" si="106"/>
        <v>0.21973197781885398</v>
      </c>
      <c r="L108" s="29">
        <f t="shared" si="106"/>
        <v>0.22242355605889014</v>
      </c>
      <c r="M108" s="29">
        <f t="shared" si="106"/>
        <v>0.21534416826003824</v>
      </c>
      <c r="N108" s="29">
        <f t="shared" si="106"/>
        <v>0.20967333502152444</v>
      </c>
      <c r="O108" s="29">
        <f t="shared" si="106"/>
        <v>0.20037858301784747</v>
      </c>
      <c r="P108" s="29">
        <f t="shared" ref="P108:Q108" si="107">+P9/P7</f>
        <v>0.18797845194216048</v>
      </c>
      <c r="Q108" s="578">
        <f t="shared" si="107"/>
        <v>0.17387387387387387</v>
      </c>
      <c r="R108" s="29">
        <f t="shared" ref="R108:S108" si="108">+R9/R7</f>
        <v>0.23534010946051603</v>
      </c>
      <c r="S108" s="29">
        <f t="shared" si="108"/>
        <v>0.23836276083467095</v>
      </c>
    </row>
    <row r="109" spans="2:19" ht="11.45" customHeight="1">
      <c r="B109" s="21" t="s">
        <v>71</v>
      </c>
      <c r="C109" s="29">
        <f t="shared" ref="C109:O109" si="109">+C91/C7</f>
        <v>0.11448066717210008</v>
      </c>
      <c r="D109" s="29">
        <f t="shared" si="109"/>
        <v>0.13987438465455779</v>
      </c>
      <c r="E109" s="578">
        <f t="shared" si="109"/>
        <v>1.9484808454425365E-2</v>
      </c>
      <c r="F109" s="578">
        <f t="shared" si="109"/>
        <v>-0.1558567279767667</v>
      </c>
      <c r="G109" s="29">
        <f t="shared" si="109"/>
        <v>0.1047808764940239</v>
      </c>
      <c r="H109" s="29">
        <f t="shared" si="109"/>
        <v>0.14795689268073642</v>
      </c>
      <c r="I109" s="29">
        <f t="shared" si="109"/>
        <v>0.13626176602420439</v>
      </c>
      <c r="J109" s="29">
        <f t="shared" si="109"/>
        <v>0.13927315357561548</v>
      </c>
      <c r="K109" s="29">
        <f t="shared" si="109"/>
        <v>0.14856746765249537</v>
      </c>
      <c r="L109" s="29">
        <f t="shared" si="109"/>
        <v>0.14337485843714609</v>
      </c>
      <c r="M109" s="29">
        <f t="shared" si="109"/>
        <v>0.1381453154875717</v>
      </c>
      <c r="N109" s="29">
        <f t="shared" si="109"/>
        <v>0.12965307672828563</v>
      </c>
      <c r="O109" s="29">
        <f t="shared" si="109"/>
        <v>0.12385073012439156</v>
      </c>
      <c r="P109" s="29">
        <f t="shared" ref="P109:Q109" si="110">+P91/P7</f>
        <v>0.10972497873546924</v>
      </c>
      <c r="Q109" s="578">
        <f t="shared" si="110"/>
        <v>9.5495495495495492E-2</v>
      </c>
      <c r="R109" s="29">
        <f t="shared" ref="R109:S109" si="111">+R91/R7</f>
        <v>0.15976022934584311</v>
      </c>
      <c r="S109" s="29">
        <f t="shared" si="111"/>
        <v>0.16024612092027823</v>
      </c>
    </row>
    <row r="110" spans="2:19" ht="11.45" customHeight="1">
      <c r="B110" s="21" t="s">
        <v>72</v>
      </c>
      <c r="C110" s="29">
        <f t="shared" ref="C110:N110" si="112">+C17/((C42+D42)/2)</f>
        <v>3.962808071785294E-2</v>
      </c>
      <c r="D110" s="29">
        <f t="shared" si="112"/>
        <v>3.652418221954646E-2</v>
      </c>
      <c r="E110" s="578">
        <f t="shared" si="112"/>
        <v>-2.0430701270016567E-2</v>
      </c>
      <c r="F110" s="578">
        <f t="shared" si="112"/>
        <v>-8.0132223868688027E-2</v>
      </c>
      <c r="G110" s="29">
        <f t="shared" si="112"/>
        <v>9.5392278953922785E-2</v>
      </c>
      <c r="H110" s="29">
        <f t="shared" si="112"/>
        <v>0.10108445612882025</v>
      </c>
      <c r="I110" s="29">
        <f t="shared" si="112"/>
        <v>5.0910514979439984E-2</v>
      </c>
      <c r="J110" s="29">
        <f t="shared" si="112"/>
        <v>2.6857887874837026E-2</v>
      </c>
      <c r="K110" s="29">
        <f t="shared" si="112"/>
        <v>1.5762043981187239E-2</v>
      </c>
      <c r="L110" s="29">
        <f t="shared" si="112"/>
        <v>4.2401960784313728E-2</v>
      </c>
      <c r="M110" s="29">
        <f t="shared" si="112"/>
        <v>2.5937875624723224E-2</v>
      </c>
      <c r="N110" s="29">
        <f t="shared" si="112"/>
        <v>1.1495012221708397E-2</v>
      </c>
      <c r="O110" s="29">
        <f>+O17/((O42+T42)/2)</f>
        <v>2.9572399094178768E-2</v>
      </c>
      <c r="P110" s="29">
        <f>+P17/((P42+U42)/2)</f>
        <v>1.4082562474112936E-2</v>
      </c>
      <c r="Q110" s="578">
        <f>+Q17/((Q42+V42)/2)</f>
        <v>-1.2019566736547868E-2</v>
      </c>
      <c r="R110" s="29">
        <f>+R17/((R42+W42)/2)</f>
        <v>3.7260990357901619E-2</v>
      </c>
      <c r="S110" s="29">
        <f>+S17/((S42+X42)/2)</f>
        <v>8.5147247119078104E-2</v>
      </c>
    </row>
    <row r="111" spans="2:19" ht="11.45" customHeight="1">
      <c r="B111" s="21" t="s">
        <v>73</v>
      </c>
      <c r="C111" s="29">
        <f t="shared" ref="C111:N111" si="113">+C17/((C65+D65)/2)</f>
        <v>0.1339739190116678</v>
      </c>
      <c r="D111" s="29">
        <f t="shared" si="113"/>
        <v>0.12530983200220325</v>
      </c>
      <c r="E111" s="578">
        <f t="shared" si="113"/>
        <v>-6.5544729849424263E-2</v>
      </c>
      <c r="F111" s="578">
        <f t="shared" si="113"/>
        <v>-0.19601282587480831</v>
      </c>
      <c r="G111" s="29">
        <f t="shared" si="113"/>
        <v>0.20073375262054508</v>
      </c>
      <c r="H111" s="29">
        <f t="shared" si="113"/>
        <v>0.20487544958039164</v>
      </c>
      <c r="I111" s="29">
        <f t="shared" si="113"/>
        <v>0.10077519379844961</v>
      </c>
      <c r="J111" s="29">
        <f t="shared" si="113"/>
        <v>5.2191537876868505E-2</v>
      </c>
      <c r="K111" s="29">
        <f t="shared" si="113"/>
        <v>2.8776978417266189E-2</v>
      </c>
      <c r="L111" s="29">
        <f t="shared" si="113"/>
        <v>7.3648361004682847E-2</v>
      </c>
      <c r="M111" s="29">
        <f t="shared" si="113"/>
        <v>4.2797494780793317E-2</v>
      </c>
      <c r="N111" s="29">
        <f t="shared" si="113"/>
        <v>1.8070412296188595E-2</v>
      </c>
      <c r="O111" s="29">
        <f>+O17/((O65+T65)/2)</f>
        <v>4.6077210460772101E-2</v>
      </c>
      <c r="P111" s="29">
        <f>+P17/((P65+U65)/2)</f>
        <v>1.992966002344666E-2</v>
      </c>
      <c r="Q111" s="578">
        <f>+Q17/((Q65+V65)/2)</f>
        <v>-1.7145135566188199E-2</v>
      </c>
      <c r="R111" s="29">
        <f>+R17/((R65+W65)/2)</f>
        <v>6.3973063973063973E-2</v>
      </c>
      <c r="S111" s="29">
        <f>+S17/((S65+X65)/2)</f>
        <v>0.15492137449039023</v>
      </c>
    </row>
    <row r="112" spans="2:19" ht="11.45" customHeight="1">
      <c r="B112" s="25"/>
      <c r="C112" s="25"/>
      <c r="D112" s="25"/>
      <c r="E112" s="9"/>
      <c r="F112" s="9"/>
      <c r="G112" s="9"/>
      <c r="H112" s="9"/>
    </row>
    <row r="113" spans="2:10" ht="11.45" customHeight="1">
      <c r="B113" s="25"/>
      <c r="C113" s="25"/>
      <c r="D113" s="25"/>
      <c r="E113" s="9"/>
      <c r="F113" s="9"/>
      <c r="G113" s="9"/>
      <c r="H113" s="9"/>
    </row>
    <row r="114" spans="2:10" ht="11.45" customHeight="1">
      <c r="B114" s="25"/>
      <c r="C114" s="25"/>
      <c r="D114" s="25"/>
      <c r="E114" s="9"/>
      <c r="F114" s="9"/>
      <c r="G114" s="9"/>
      <c r="H114" s="9"/>
    </row>
    <row r="115" spans="2:10" ht="11.45" customHeight="1">
      <c r="B115" s="25"/>
      <c r="C115" s="25"/>
      <c r="D115" s="25"/>
      <c r="E115" s="9"/>
      <c r="F115" s="9"/>
      <c r="G115" s="9"/>
      <c r="H115" s="9"/>
    </row>
    <row r="116" spans="2:10" ht="11.45" customHeight="1">
      <c r="B116" s="25"/>
      <c r="C116" s="25"/>
      <c r="D116" s="25"/>
      <c r="E116" s="9"/>
      <c r="F116" s="9"/>
      <c r="G116" s="9"/>
      <c r="H116" s="9"/>
    </row>
    <row r="117" spans="2:10" ht="11.45" customHeight="1">
      <c r="B117" s="25"/>
      <c r="C117" s="25"/>
      <c r="D117" s="25"/>
      <c r="E117" s="9"/>
      <c r="F117" s="9"/>
      <c r="G117" s="9"/>
      <c r="H117" s="9"/>
    </row>
    <row r="118" spans="2:10" ht="11.45" customHeight="1">
      <c r="B118" s="25"/>
      <c r="C118" s="25"/>
      <c r="D118" s="25"/>
      <c r="E118" s="9"/>
      <c r="F118" s="9"/>
      <c r="G118" s="9"/>
      <c r="H118" s="9"/>
    </row>
    <row r="119" spans="2:10" ht="11.45" customHeight="1">
      <c r="B119" s="25"/>
      <c r="C119" s="25"/>
      <c r="D119" s="25"/>
      <c r="E119" s="9"/>
      <c r="F119" s="9"/>
      <c r="G119" s="9"/>
      <c r="H119" s="9"/>
    </row>
    <row r="120" spans="2:10" ht="11.45" customHeight="1">
      <c r="B120" s="25"/>
      <c r="C120" s="25"/>
      <c r="D120" s="25"/>
      <c r="E120" s="9"/>
      <c r="F120" s="9"/>
      <c r="G120" s="9"/>
      <c r="H120" s="9"/>
    </row>
    <row r="121" spans="2:10" ht="11.45" customHeight="1">
      <c r="B121" s="25"/>
      <c r="C121" s="25"/>
      <c r="D121" s="25"/>
      <c r="E121" s="9"/>
      <c r="F121" s="9"/>
      <c r="G121" s="9"/>
      <c r="H121" s="9"/>
    </row>
    <row r="122" spans="2:10" ht="11.45" customHeight="1">
      <c r="B122" s="25"/>
      <c r="C122" s="25"/>
      <c r="D122" s="25"/>
      <c r="E122" s="9"/>
      <c r="F122" s="9"/>
      <c r="G122" s="9"/>
      <c r="H122" s="9"/>
    </row>
    <row r="123" spans="2:10" ht="11.45" customHeight="1">
      <c r="B123" s="25"/>
      <c r="C123" s="25"/>
      <c r="D123" s="25"/>
      <c r="E123" s="9"/>
      <c r="F123" s="9"/>
      <c r="G123" s="9"/>
      <c r="H123" s="9"/>
      <c r="I123" s="22"/>
      <c r="J123" s="13"/>
    </row>
    <row r="124" spans="2:10" ht="11.45" customHeight="1">
      <c r="B124" s="25"/>
      <c r="C124" s="25"/>
      <c r="D124" s="25"/>
      <c r="E124" s="9"/>
      <c r="F124" s="9"/>
      <c r="G124" s="9"/>
      <c r="H124" s="9"/>
      <c r="I124" s="22"/>
      <c r="J124" s="13"/>
    </row>
    <row r="125" spans="2:10" ht="11.45" customHeight="1">
      <c r="B125" s="25"/>
      <c r="C125" s="25"/>
      <c r="D125" s="25"/>
      <c r="E125" s="9"/>
      <c r="F125" s="9"/>
      <c r="G125" s="9"/>
      <c r="H125" s="9"/>
      <c r="I125" s="22"/>
      <c r="J125" s="13"/>
    </row>
    <row r="126" spans="2:10" ht="11.45" customHeight="1">
      <c r="B126" s="25"/>
      <c r="C126" s="25"/>
      <c r="D126" s="25"/>
      <c r="E126" s="9"/>
      <c r="F126" s="9"/>
      <c r="G126" s="9"/>
      <c r="H126" s="9"/>
      <c r="I126" s="22"/>
      <c r="J126" s="13"/>
    </row>
    <row r="127" spans="2:10" ht="11.45" customHeight="1">
      <c r="B127" s="25"/>
      <c r="C127" s="25"/>
      <c r="D127" s="25"/>
      <c r="E127" s="9"/>
      <c r="F127" s="9"/>
      <c r="G127" s="9"/>
      <c r="H127" s="9"/>
      <c r="I127" s="22"/>
      <c r="J127" s="13"/>
    </row>
    <row r="128" spans="2:10" ht="11.45" customHeight="1">
      <c r="B128" s="25"/>
      <c r="C128" s="25"/>
      <c r="D128" s="25"/>
      <c r="E128" s="9"/>
      <c r="F128" s="9"/>
      <c r="G128" s="9"/>
      <c r="H128" s="9"/>
      <c r="I128" s="22"/>
      <c r="J128" s="13"/>
    </row>
    <row r="129" spans="2:10" ht="11.45" customHeight="1">
      <c r="B129" s="25"/>
      <c r="C129" s="25"/>
      <c r="D129" s="25"/>
      <c r="E129" s="9"/>
      <c r="F129" s="9"/>
      <c r="G129" s="9"/>
      <c r="H129" s="9"/>
      <c r="I129" s="22"/>
      <c r="J129" s="13"/>
    </row>
    <row r="130" spans="2:10" ht="11.45" customHeight="1">
      <c r="B130" s="25"/>
      <c r="C130" s="25"/>
      <c r="D130" s="25"/>
      <c r="E130" s="9"/>
      <c r="F130" s="9"/>
      <c r="G130" s="9"/>
      <c r="H130" s="9"/>
      <c r="I130" s="22"/>
      <c r="J130" s="13"/>
    </row>
    <row r="131" spans="2:10" ht="11.45" customHeight="1">
      <c r="B131" s="25"/>
      <c r="C131" s="25"/>
      <c r="D131" s="25"/>
      <c r="E131" s="9"/>
      <c r="F131" s="9"/>
      <c r="G131" s="9"/>
      <c r="H131" s="9"/>
      <c r="I131" s="22"/>
      <c r="J131" s="13"/>
    </row>
    <row r="132" spans="2:10" ht="11.45" customHeight="1">
      <c r="B132" s="25"/>
      <c r="C132" s="25"/>
      <c r="D132" s="25"/>
      <c r="E132" s="9"/>
      <c r="F132" s="9"/>
      <c r="G132" s="9"/>
      <c r="H132" s="9"/>
      <c r="I132" s="22"/>
      <c r="J132" s="13"/>
    </row>
    <row r="133" spans="2:10" ht="11.45" customHeight="1">
      <c r="B133" s="25"/>
      <c r="C133" s="25"/>
      <c r="D133" s="25"/>
      <c r="E133" s="9"/>
      <c r="F133" s="9"/>
      <c r="G133" s="9"/>
      <c r="H133" s="9"/>
      <c r="I133" s="22"/>
      <c r="J133" s="13"/>
    </row>
    <row r="134" spans="2:10" ht="11.45" customHeight="1">
      <c r="B134" s="25"/>
      <c r="C134" s="25"/>
      <c r="D134" s="25"/>
      <c r="E134" s="9"/>
      <c r="F134" s="9"/>
      <c r="G134" s="9"/>
      <c r="H134" s="9"/>
      <c r="I134" s="22"/>
      <c r="J134" s="13"/>
    </row>
    <row r="135" spans="2:10" ht="11.45" customHeight="1">
      <c r="B135" s="25"/>
      <c r="C135" s="25"/>
      <c r="D135" s="25"/>
      <c r="E135" s="9"/>
      <c r="F135" s="9"/>
      <c r="G135" s="9"/>
      <c r="H135" s="9"/>
      <c r="I135" s="22"/>
      <c r="J135" s="13"/>
    </row>
    <row r="136" spans="2:10" ht="11.45" customHeight="1">
      <c r="B136" s="25"/>
      <c r="C136" s="25"/>
      <c r="D136" s="25"/>
      <c r="E136" s="9"/>
      <c r="F136" s="9"/>
      <c r="G136" s="9"/>
      <c r="H136" s="9"/>
      <c r="I136" s="22"/>
      <c r="J136" s="13"/>
    </row>
    <row r="137" spans="2:10" ht="11.45" customHeight="1">
      <c r="B137" s="25"/>
      <c r="C137" s="25"/>
      <c r="D137" s="25"/>
      <c r="E137" s="9"/>
      <c r="F137" s="9"/>
      <c r="G137" s="9"/>
      <c r="H137" s="9"/>
      <c r="I137" s="22"/>
      <c r="J137" s="13"/>
    </row>
    <row r="138" spans="2:10" ht="11.45" customHeight="1">
      <c r="B138" s="25"/>
      <c r="C138" s="25"/>
      <c r="D138" s="25"/>
      <c r="E138" s="9"/>
      <c r="F138" s="9"/>
      <c r="G138" s="9"/>
      <c r="H138" s="9"/>
      <c r="I138" s="22"/>
      <c r="J138" s="13"/>
    </row>
    <row r="139" spans="2:10" ht="11.45" customHeight="1">
      <c r="B139" s="25"/>
      <c r="C139" s="25"/>
      <c r="D139" s="25"/>
      <c r="E139" s="9"/>
      <c r="F139" s="9"/>
      <c r="G139" s="9"/>
      <c r="H139" s="9"/>
      <c r="I139" s="22"/>
      <c r="J139" s="13"/>
    </row>
    <row r="140" spans="2:10" ht="11.45" customHeight="1">
      <c r="B140" s="25"/>
      <c r="C140" s="25"/>
      <c r="D140" s="25"/>
      <c r="E140" s="9"/>
      <c r="F140" s="9"/>
      <c r="G140" s="9"/>
      <c r="H140" s="9"/>
      <c r="I140" s="22"/>
      <c r="J140" s="13"/>
    </row>
    <row r="141" spans="2:10" ht="11.45" customHeight="1">
      <c r="B141" s="25"/>
      <c r="C141" s="25"/>
      <c r="D141" s="25"/>
      <c r="E141" s="9"/>
      <c r="F141" s="9"/>
      <c r="G141" s="9"/>
      <c r="H141" s="9"/>
      <c r="I141" s="22"/>
      <c r="J141" s="13"/>
    </row>
    <row r="142" spans="2:10" ht="11.45" customHeight="1">
      <c r="B142" s="25"/>
      <c r="C142" s="25"/>
      <c r="D142" s="25"/>
      <c r="E142" s="9"/>
      <c r="F142" s="9"/>
      <c r="G142" s="9"/>
      <c r="H142" s="9"/>
      <c r="I142" s="22"/>
      <c r="J142" s="13"/>
    </row>
    <row r="143" spans="2:10" ht="11.45" customHeight="1">
      <c r="B143" s="25"/>
      <c r="C143" s="25"/>
      <c r="D143" s="25"/>
      <c r="E143" s="9"/>
      <c r="F143" s="9"/>
      <c r="G143" s="9"/>
      <c r="H143" s="9"/>
      <c r="I143" s="22"/>
      <c r="J143" s="13"/>
    </row>
    <row r="144" spans="2:10" ht="11.45" customHeight="1">
      <c r="B144" s="25"/>
      <c r="C144" s="25"/>
      <c r="D144" s="25"/>
      <c r="E144" s="9"/>
      <c r="F144" s="9"/>
      <c r="G144" s="9"/>
      <c r="H144" s="9"/>
      <c r="I144" s="22"/>
      <c r="J144" s="13"/>
    </row>
    <row r="145" spans="2:10" ht="11.45" customHeight="1">
      <c r="B145" s="25"/>
      <c r="C145" s="25"/>
      <c r="D145" s="25"/>
      <c r="E145" s="9"/>
      <c r="F145" s="9"/>
      <c r="G145" s="9"/>
      <c r="H145" s="9"/>
      <c r="I145" s="22"/>
      <c r="J145" s="13"/>
    </row>
    <row r="146" spans="2:10" ht="11.45" customHeight="1">
      <c r="B146" s="25"/>
      <c r="C146" s="25"/>
      <c r="D146" s="25"/>
      <c r="E146" s="9"/>
      <c r="F146" s="9"/>
      <c r="G146" s="9"/>
      <c r="H146" s="9"/>
      <c r="I146" s="22"/>
      <c r="J146" s="13"/>
    </row>
    <row r="147" spans="2:10" ht="11.45" customHeight="1">
      <c r="B147" s="25"/>
      <c r="C147" s="25"/>
      <c r="D147" s="25"/>
      <c r="E147" s="9"/>
      <c r="F147" s="9"/>
      <c r="G147" s="9"/>
      <c r="H147" s="9"/>
      <c r="I147" s="22"/>
      <c r="J147" s="13"/>
    </row>
    <row r="148" spans="2:10" ht="11.45" customHeight="1">
      <c r="B148" s="25"/>
      <c r="C148" s="25"/>
      <c r="D148" s="25"/>
      <c r="E148" s="9"/>
      <c r="F148" s="9"/>
      <c r="G148" s="9"/>
      <c r="H148" s="9"/>
      <c r="I148" s="22"/>
      <c r="J148" s="13"/>
    </row>
    <row r="149" spans="2:10" ht="11.45" customHeight="1">
      <c r="B149" s="25"/>
      <c r="C149" s="25"/>
      <c r="D149" s="25"/>
      <c r="E149" s="9"/>
      <c r="F149" s="9"/>
      <c r="G149" s="9"/>
      <c r="H149" s="9"/>
      <c r="I149" s="22"/>
      <c r="J149" s="13"/>
    </row>
    <row r="150" spans="2:10" ht="11.45" customHeight="1">
      <c r="B150" s="25"/>
      <c r="C150" s="25"/>
      <c r="D150" s="25"/>
      <c r="E150" s="9"/>
      <c r="F150" s="9"/>
      <c r="G150" s="9"/>
      <c r="H150" s="9"/>
      <c r="I150" s="22"/>
      <c r="J150" s="13"/>
    </row>
    <row r="151" spans="2:10" ht="11.45" customHeight="1">
      <c r="B151" s="25"/>
      <c r="C151" s="25"/>
      <c r="D151" s="25"/>
      <c r="E151" s="9"/>
      <c r="F151" s="9"/>
      <c r="G151" s="9"/>
      <c r="H151" s="9"/>
      <c r="I151" s="22"/>
      <c r="J151" s="13"/>
    </row>
    <row r="152" spans="2:10" ht="11.45" customHeight="1">
      <c r="B152" s="25"/>
      <c r="C152" s="25"/>
      <c r="D152" s="25"/>
      <c r="E152" s="9"/>
      <c r="F152" s="9"/>
      <c r="G152" s="9"/>
      <c r="H152" s="9"/>
      <c r="I152" s="22"/>
      <c r="J152" s="13"/>
    </row>
    <row r="153" spans="2:10" ht="11.45" customHeight="1">
      <c r="B153" s="25"/>
      <c r="C153" s="25"/>
      <c r="D153" s="25"/>
      <c r="E153" s="9"/>
      <c r="F153" s="9"/>
      <c r="G153" s="9"/>
      <c r="H153" s="9"/>
      <c r="I153" s="22"/>
      <c r="J153" s="13"/>
    </row>
    <row r="154" spans="2:10" ht="11.45" customHeight="1">
      <c r="B154" s="25"/>
      <c r="C154" s="25"/>
      <c r="D154" s="25"/>
      <c r="E154" s="9"/>
      <c r="F154" s="9"/>
      <c r="G154" s="9"/>
      <c r="H154" s="9"/>
      <c r="I154" s="22"/>
      <c r="J154" s="13"/>
    </row>
    <row r="155" spans="2:10" ht="11.45" customHeight="1">
      <c r="B155" s="25"/>
      <c r="C155" s="25"/>
      <c r="D155" s="25"/>
      <c r="E155" s="9"/>
      <c r="F155" s="9"/>
      <c r="G155" s="9"/>
      <c r="H155" s="9"/>
      <c r="I155" s="22"/>
      <c r="J155" s="13"/>
    </row>
    <row r="156" spans="2:10" ht="11.45" customHeight="1">
      <c r="B156" s="25"/>
      <c r="C156" s="25"/>
      <c r="D156" s="25"/>
      <c r="E156" s="9"/>
      <c r="F156" s="9"/>
      <c r="G156" s="9"/>
      <c r="H156" s="9"/>
      <c r="I156" s="22"/>
      <c r="J156" s="13"/>
    </row>
    <row r="157" spans="2:10" ht="11.45" customHeight="1">
      <c r="B157" s="25"/>
      <c r="C157" s="25"/>
      <c r="D157" s="25"/>
      <c r="E157" s="9"/>
      <c r="F157" s="9"/>
      <c r="G157" s="9"/>
      <c r="H157" s="9"/>
      <c r="I157" s="22"/>
      <c r="J157" s="13"/>
    </row>
    <row r="158" spans="2:10" ht="11.45" customHeight="1">
      <c r="B158" s="25"/>
      <c r="C158" s="25"/>
      <c r="D158" s="25"/>
      <c r="E158" s="9"/>
      <c r="F158" s="9"/>
      <c r="G158" s="9"/>
      <c r="H158" s="9"/>
      <c r="I158" s="22"/>
      <c r="J158" s="13"/>
    </row>
    <row r="159" spans="2:10" ht="11.45" customHeight="1">
      <c r="B159" s="25"/>
      <c r="C159" s="25"/>
      <c r="D159" s="25"/>
      <c r="E159" s="9"/>
      <c r="F159" s="9"/>
      <c r="G159" s="9"/>
      <c r="H159" s="9"/>
      <c r="I159" s="22"/>
      <c r="J159" s="13"/>
    </row>
    <row r="160" spans="2:10" ht="11.45" customHeight="1">
      <c r="B160" s="25"/>
      <c r="C160" s="25"/>
      <c r="D160" s="25"/>
      <c r="E160" s="9"/>
      <c r="F160" s="9"/>
      <c r="G160" s="9"/>
      <c r="H160" s="9"/>
      <c r="I160" s="22"/>
      <c r="J160" s="13"/>
    </row>
    <row r="161" spans="2:10" ht="11.45" customHeight="1">
      <c r="B161" s="25"/>
      <c r="C161" s="25"/>
      <c r="D161" s="25"/>
      <c r="E161" s="9"/>
      <c r="F161" s="9"/>
      <c r="G161" s="9"/>
      <c r="H161" s="9"/>
      <c r="I161" s="22"/>
      <c r="J161" s="13"/>
    </row>
    <row r="162" spans="2:10" ht="11.45" customHeight="1">
      <c r="B162" s="25"/>
      <c r="C162" s="25"/>
      <c r="D162" s="25"/>
      <c r="E162" s="9"/>
      <c r="F162" s="9"/>
      <c r="G162" s="9"/>
      <c r="H162" s="9"/>
      <c r="I162" s="22"/>
      <c r="J162" s="13"/>
    </row>
    <row r="163" spans="2:10" ht="11.45" customHeight="1">
      <c r="B163" s="25"/>
      <c r="C163" s="25"/>
      <c r="D163" s="25"/>
      <c r="E163" s="9"/>
      <c r="F163" s="9"/>
      <c r="G163" s="9"/>
      <c r="H163" s="9"/>
      <c r="I163" s="22"/>
      <c r="J163" s="13"/>
    </row>
    <row r="164" spans="2:10" ht="11.45" customHeight="1">
      <c r="B164" s="25"/>
      <c r="C164" s="25"/>
      <c r="D164" s="25"/>
      <c r="E164" s="9"/>
      <c r="F164" s="9"/>
      <c r="G164" s="9"/>
      <c r="H164" s="9"/>
      <c r="I164" s="22"/>
      <c r="J164" s="13"/>
    </row>
    <row r="165" spans="2:10" ht="11.45" customHeight="1">
      <c r="B165" s="25"/>
      <c r="C165" s="25"/>
      <c r="D165" s="25"/>
      <c r="E165" s="9"/>
      <c r="F165" s="9"/>
      <c r="G165" s="9"/>
      <c r="H165" s="9"/>
      <c r="I165" s="22"/>
      <c r="J165" s="13"/>
    </row>
    <row r="166" spans="2:10" ht="11.45" customHeight="1">
      <c r="B166" s="25"/>
      <c r="C166" s="25"/>
      <c r="D166" s="25"/>
      <c r="E166" s="9"/>
      <c r="F166" s="9"/>
      <c r="G166" s="9"/>
      <c r="H166" s="9"/>
      <c r="I166" s="22"/>
      <c r="J166" s="13"/>
    </row>
    <row r="167" spans="2:10" ht="11.45" customHeight="1">
      <c r="B167" s="25"/>
      <c r="C167" s="25"/>
      <c r="D167" s="25"/>
      <c r="E167" s="9"/>
      <c r="F167" s="9"/>
      <c r="G167" s="9"/>
      <c r="H167" s="9"/>
      <c r="I167" s="22"/>
      <c r="J167" s="13"/>
    </row>
    <row r="168" spans="2:10" ht="11.45" customHeight="1">
      <c r="B168" s="25"/>
      <c r="C168" s="25"/>
      <c r="D168" s="25"/>
      <c r="E168" s="9"/>
      <c r="F168" s="9"/>
      <c r="G168" s="9"/>
      <c r="H168" s="9"/>
      <c r="I168" s="22"/>
      <c r="J168" s="13"/>
    </row>
    <row r="169" spans="2:10" ht="11.45" customHeight="1">
      <c r="B169" s="25"/>
      <c r="C169" s="25"/>
      <c r="D169" s="25"/>
      <c r="E169" s="9"/>
      <c r="F169" s="9"/>
      <c r="G169" s="9"/>
      <c r="H169" s="9"/>
      <c r="I169" s="22"/>
      <c r="J169" s="13"/>
    </row>
    <row r="170" spans="2:10" ht="11.45" customHeight="1">
      <c r="B170" s="25"/>
      <c r="C170" s="25"/>
      <c r="D170" s="25"/>
      <c r="E170" s="9"/>
      <c r="F170" s="9"/>
      <c r="G170" s="9"/>
      <c r="H170" s="9"/>
      <c r="I170" s="22"/>
      <c r="J170" s="13"/>
    </row>
    <row r="171" spans="2:10" ht="11.45" customHeight="1">
      <c r="B171" s="25"/>
      <c r="C171" s="25"/>
      <c r="D171" s="25"/>
      <c r="E171" s="9"/>
      <c r="F171" s="9"/>
      <c r="G171" s="9"/>
      <c r="H171" s="9"/>
      <c r="I171" s="22"/>
      <c r="J171" s="13"/>
    </row>
    <row r="172" spans="2:10" ht="11.45" customHeight="1">
      <c r="B172" s="25"/>
      <c r="C172" s="25"/>
      <c r="D172" s="25"/>
      <c r="E172" s="9"/>
      <c r="F172" s="9"/>
      <c r="G172" s="9"/>
      <c r="H172" s="9"/>
      <c r="I172" s="22"/>
      <c r="J172" s="13"/>
    </row>
    <row r="173" spans="2:10" ht="17.100000000000001" customHeight="1">
      <c r="B173" s="25"/>
      <c r="C173" s="25"/>
      <c r="D173" s="25"/>
      <c r="E173" s="9"/>
      <c r="F173" s="9"/>
      <c r="G173" s="9"/>
      <c r="H173" s="9"/>
      <c r="I173" s="22"/>
      <c r="J173" s="13"/>
    </row>
    <row r="174" spans="2:10" ht="17.100000000000001" customHeight="1">
      <c r="B174" s="25"/>
      <c r="C174" s="25"/>
      <c r="D174" s="25"/>
      <c r="E174" s="9"/>
      <c r="F174" s="9"/>
      <c r="G174" s="9"/>
      <c r="H174" s="9"/>
      <c r="I174" s="22"/>
      <c r="J174" s="13"/>
    </row>
  </sheetData>
  <phoneticPr fontId="3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E2EB-C7B9-48E4-9B7E-BEFE1F600164}">
  <sheetPr>
    <tabColor rgb="FFFF0000"/>
  </sheetPr>
  <dimension ref="A1:G62"/>
  <sheetViews>
    <sheetView workbookViewId="0">
      <selection activeCell="I14" sqref="I14"/>
    </sheetView>
  </sheetViews>
  <sheetFormatPr defaultRowHeight="15"/>
  <cols>
    <col min="1" max="1" width="9.42578125" bestFit="1" customWidth="1"/>
    <col min="2" max="6" width="10.85546875" bestFit="1" customWidth="1"/>
    <col min="7" max="7" width="8.85546875" bestFit="1" customWidth="1"/>
  </cols>
  <sheetData>
    <row r="1" spans="1:7">
      <c r="A1" t="s">
        <v>238</v>
      </c>
      <c r="B1" t="s">
        <v>239</v>
      </c>
      <c r="C1" t="s">
        <v>240</v>
      </c>
      <c r="D1" t="s">
        <v>241</v>
      </c>
      <c r="E1" t="s">
        <v>242</v>
      </c>
      <c r="F1" t="s">
        <v>495</v>
      </c>
      <c r="G1" t="s">
        <v>503</v>
      </c>
    </row>
    <row r="2" spans="1:7">
      <c r="A2" s="73">
        <v>43525</v>
      </c>
      <c r="B2">
        <v>73.169998000000007</v>
      </c>
      <c r="C2">
        <v>75.569999999999993</v>
      </c>
      <c r="D2">
        <v>70.519997000000004</v>
      </c>
      <c r="E2">
        <v>72.569999999999993</v>
      </c>
      <c r="F2">
        <v>71.564544999999995</v>
      </c>
      <c r="G2">
        <v>17237900</v>
      </c>
    </row>
    <row r="3" spans="1:7">
      <c r="A3" s="73">
        <v>43556</v>
      </c>
      <c r="B3">
        <v>73.169998000000007</v>
      </c>
      <c r="C3">
        <v>77.5</v>
      </c>
      <c r="D3">
        <v>72.860000999999997</v>
      </c>
      <c r="E3">
        <v>76.730002999999996</v>
      </c>
      <c r="F3">
        <v>75.666916000000001</v>
      </c>
      <c r="G3">
        <v>8722800</v>
      </c>
    </row>
    <row r="4" spans="1:7">
      <c r="A4" s="73">
        <v>43586</v>
      </c>
      <c r="B4">
        <v>77.839995999999999</v>
      </c>
      <c r="C4">
        <v>79.650002000000001</v>
      </c>
      <c r="D4">
        <v>71.209998999999996</v>
      </c>
      <c r="E4">
        <v>72.239998</v>
      </c>
      <c r="F4">
        <v>71.239127999999994</v>
      </c>
      <c r="G4">
        <v>12196800</v>
      </c>
    </row>
    <row r="5" spans="1:7">
      <c r="A5" s="73">
        <v>43617</v>
      </c>
      <c r="B5">
        <v>72.25</v>
      </c>
      <c r="C5">
        <v>76.680000000000007</v>
      </c>
      <c r="D5">
        <v>71.010002</v>
      </c>
      <c r="E5">
        <v>76.129997000000003</v>
      </c>
      <c r="F5">
        <v>75.267273000000003</v>
      </c>
      <c r="G5">
        <v>8025800</v>
      </c>
    </row>
    <row r="6" spans="1:7">
      <c r="A6" s="73">
        <v>43647</v>
      </c>
      <c r="B6">
        <v>77.559997999999993</v>
      </c>
      <c r="C6">
        <v>81.569999999999993</v>
      </c>
      <c r="D6">
        <v>75.779999000000004</v>
      </c>
      <c r="E6">
        <v>77.349997999999999</v>
      </c>
      <c r="F6">
        <v>76.473442000000006</v>
      </c>
      <c r="G6">
        <v>11477100</v>
      </c>
    </row>
    <row r="7" spans="1:7">
      <c r="A7" s="73">
        <v>43678</v>
      </c>
      <c r="B7">
        <v>78</v>
      </c>
      <c r="C7">
        <v>78.190002000000007</v>
      </c>
      <c r="D7">
        <v>70.800003000000004</v>
      </c>
      <c r="E7">
        <v>72.150002000000001</v>
      </c>
      <c r="F7">
        <v>71.332358999999997</v>
      </c>
      <c r="G7">
        <v>13925600</v>
      </c>
    </row>
    <row r="8" spans="1:7">
      <c r="A8" s="73">
        <v>43709</v>
      </c>
      <c r="B8">
        <v>71.669998000000007</v>
      </c>
      <c r="C8">
        <v>77.860000999999997</v>
      </c>
      <c r="D8">
        <v>70.870002999999997</v>
      </c>
      <c r="E8">
        <v>73.669998000000007</v>
      </c>
      <c r="F8">
        <v>73.027161000000007</v>
      </c>
      <c r="G8">
        <v>11529800</v>
      </c>
    </row>
    <row r="9" spans="1:7">
      <c r="A9" s="73">
        <v>43739</v>
      </c>
      <c r="B9">
        <v>73.720000999999996</v>
      </c>
      <c r="C9">
        <v>75.639999000000003</v>
      </c>
      <c r="D9">
        <v>69.029999000000004</v>
      </c>
      <c r="E9">
        <v>74.739998</v>
      </c>
      <c r="F9">
        <v>74.087822000000003</v>
      </c>
      <c r="G9">
        <v>14642400</v>
      </c>
    </row>
    <row r="10" spans="1:7">
      <c r="A10" s="73">
        <v>43770</v>
      </c>
      <c r="B10">
        <v>75.150002000000001</v>
      </c>
      <c r="C10">
        <v>81.550003000000004</v>
      </c>
      <c r="D10">
        <v>74.470000999999996</v>
      </c>
      <c r="E10">
        <v>80.800003000000004</v>
      </c>
      <c r="F10">
        <v>80.094954999999999</v>
      </c>
      <c r="G10">
        <v>9090900</v>
      </c>
    </row>
    <row r="11" spans="1:7">
      <c r="A11" s="73">
        <v>43800</v>
      </c>
      <c r="B11">
        <v>80.980002999999996</v>
      </c>
      <c r="C11">
        <v>91.129997000000003</v>
      </c>
      <c r="D11">
        <v>79.080001999999993</v>
      </c>
      <c r="E11">
        <v>89.709998999999996</v>
      </c>
      <c r="F11">
        <v>89.142623999999998</v>
      </c>
      <c r="G11">
        <v>10270600</v>
      </c>
    </row>
    <row r="12" spans="1:7">
      <c r="A12" s="73">
        <v>43831</v>
      </c>
      <c r="B12">
        <v>90.089995999999999</v>
      </c>
      <c r="C12">
        <v>90.57</v>
      </c>
      <c r="D12">
        <v>81.160004000000001</v>
      </c>
      <c r="E12">
        <v>84.540001000000004</v>
      </c>
      <c r="F12">
        <v>84.005318000000003</v>
      </c>
      <c r="G12">
        <v>13225100</v>
      </c>
    </row>
    <row r="13" spans="1:7">
      <c r="A13" s="73">
        <v>43862</v>
      </c>
      <c r="B13">
        <v>85.129997000000003</v>
      </c>
      <c r="C13">
        <v>94.980002999999996</v>
      </c>
      <c r="D13">
        <v>74.5</v>
      </c>
      <c r="E13">
        <v>76.599997999999999</v>
      </c>
      <c r="F13">
        <v>76.115532000000002</v>
      </c>
      <c r="G13">
        <v>18140100</v>
      </c>
    </row>
    <row r="14" spans="1:7">
      <c r="A14" s="73">
        <v>43891</v>
      </c>
      <c r="B14">
        <v>77.120002999999997</v>
      </c>
      <c r="C14">
        <v>77.660004000000001</v>
      </c>
      <c r="D14">
        <v>24.02</v>
      </c>
      <c r="E14">
        <v>47.900002000000001</v>
      </c>
      <c r="F14">
        <v>47.708275</v>
      </c>
      <c r="G14">
        <v>51458000</v>
      </c>
    </row>
    <row r="15" spans="1:7">
      <c r="A15" s="73">
        <v>43922</v>
      </c>
      <c r="B15">
        <v>45</v>
      </c>
      <c r="C15">
        <v>60.029998999999997</v>
      </c>
      <c r="D15">
        <v>36.119999</v>
      </c>
      <c r="E15">
        <v>56.259998000000003</v>
      </c>
      <c r="F15">
        <v>56.034809000000003</v>
      </c>
      <c r="G15">
        <v>37069000</v>
      </c>
    </row>
    <row r="16" spans="1:7">
      <c r="A16" s="73">
        <v>43952</v>
      </c>
      <c r="B16">
        <v>54.060001</v>
      </c>
      <c r="C16">
        <v>59.110000999999997</v>
      </c>
      <c r="D16">
        <v>41.869999</v>
      </c>
      <c r="E16">
        <v>55.09</v>
      </c>
      <c r="F16">
        <v>54.869495000000001</v>
      </c>
      <c r="G16">
        <v>23801900</v>
      </c>
    </row>
    <row r="17" spans="1:7">
      <c r="A17" s="73">
        <v>43983</v>
      </c>
      <c r="B17">
        <v>55.09</v>
      </c>
      <c r="C17">
        <v>68.169998000000007</v>
      </c>
      <c r="D17">
        <v>46.810001</v>
      </c>
      <c r="E17">
        <v>50.290000999999997</v>
      </c>
      <c r="F17">
        <v>50.088706999999999</v>
      </c>
      <c r="G17">
        <v>27123100</v>
      </c>
    </row>
    <row r="18" spans="1:7">
      <c r="A18" s="73">
        <v>44013</v>
      </c>
      <c r="B18">
        <v>51.25</v>
      </c>
      <c r="C18">
        <v>54.279998999999997</v>
      </c>
      <c r="D18">
        <v>46.889999000000003</v>
      </c>
      <c r="E18">
        <v>48</v>
      </c>
      <c r="F18">
        <v>47.807873000000001</v>
      </c>
      <c r="G18">
        <v>16677700</v>
      </c>
    </row>
    <row r="19" spans="1:7">
      <c r="A19" s="73">
        <v>44044</v>
      </c>
      <c r="B19">
        <v>48</v>
      </c>
      <c r="C19">
        <v>59.98</v>
      </c>
      <c r="D19">
        <v>45.619999</v>
      </c>
      <c r="E19">
        <v>56.490001999999997</v>
      </c>
      <c r="F19">
        <v>56.263893000000003</v>
      </c>
      <c r="G19">
        <v>21484500</v>
      </c>
    </row>
    <row r="20" spans="1:7">
      <c r="A20" s="73">
        <v>44075</v>
      </c>
      <c r="B20">
        <v>55.610000999999997</v>
      </c>
      <c r="C20">
        <v>61.560001</v>
      </c>
      <c r="D20">
        <v>51.209999000000003</v>
      </c>
      <c r="E20">
        <v>53.369999</v>
      </c>
      <c r="F20">
        <v>53.156376000000002</v>
      </c>
      <c r="G20">
        <v>17010600</v>
      </c>
    </row>
    <row r="21" spans="1:7">
      <c r="A21" s="73">
        <v>44105</v>
      </c>
      <c r="B21">
        <v>54.060001</v>
      </c>
      <c r="C21">
        <v>60.259998000000003</v>
      </c>
      <c r="D21">
        <v>51.5</v>
      </c>
      <c r="E21">
        <v>55.139999000000003</v>
      </c>
      <c r="F21">
        <v>54.919291999999999</v>
      </c>
      <c r="G21">
        <v>14095700</v>
      </c>
    </row>
    <row r="22" spans="1:7">
      <c r="A22" s="73">
        <v>44136</v>
      </c>
      <c r="B22">
        <v>55.299999</v>
      </c>
      <c r="C22">
        <v>74.540001000000004</v>
      </c>
      <c r="D22">
        <v>54.490001999999997</v>
      </c>
      <c r="E22">
        <v>71.970000999999996</v>
      </c>
      <c r="F22">
        <v>71.681922999999998</v>
      </c>
      <c r="G22">
        <v>19371100</v>
      </c>
    </row>
    <row r="23" spans="1:7">
      <c r="A23" s="73">
        <v>44166</v>
      </c>
      <c r="B23">
        <v>73.089995999999999</v>
      </c>
      <c r="C23">
        <v>76.629997000000003</v>
      </c>
      <c r="D23">
        <v>70.019997000000004</v>
      </c>
      <c r="E23">
        <v>74.25</v>
      </c>
      <c r="F23">
        <v>73.952797000000004</v>
      </c>
      <c r="G23">
        <v>11793500</v>
      </c>
    </row>
    <row r="24" spans="1:7">
      <c r="A24" s="73">
        <v>44197</v>
      </c>
      <c r="B24">
        <v>74.319999999999993</v>
      </c>
      <c r="C24">
        <v>75.529999000000004</v>
      </c>
      <c r="D24">
        <v>65.440002000000007</v>
      </c>
      <c r="E24">
        <v>65.660004000000001</v>
      </c>
      <c r="F24">
        <v>65.397186000000005</v>
      </c>
      <c r="G24">
        <v>12862600</v>
      </c>
    </row>
    <row r="25" spans="1:7">
      <c r="A25" s="73">
        <v>44228</v>
      </c>
      <c r="B25">
        <v>66.800003000000004</v>
      </c>
      <c r="C25">
        <v>92.220000999999996</v>
      </c>
      <c r="D25">
        <v>66.110000999999997</v>
      </c>
      <c r="E25">
        <v>87.949996999999996</v>
      </c>
      <c r="F25">
        <v>87.597960999999998</v>
      </c>
      <c r="G25">
        <v>13942400</v>
      </c>
    </row>
    <row r="26" spans="1:7">
      <c r="A26" s="73">
        <v>44256</v>
      </c>
      <c r="B26">
        <v>90</v>
      </c>
      <c r="C26">
        <v>90.470000999999996</v>
      </c>
      <c r="D26">
        <v>78.180000000000007</v>
      </c>
      <c r="E26">
        <v>82.699996999999996</v>
      </c>
      <c r="F26">
        <v>82.368972999999997</v>
      </c>
      <c r="G26">
        <v>16045400</v>
      </c>
    </row>
    <row r="27" spans="1:7">
      <c r="A27" s="73">
        <v>44287</v>
      </c>
      <c r="B27">
        <v>83.25</v>
      </c>
      <c r="C27">
        <v>87.720000999999996</v>
      </c>
      <c r="D27">
        <v>78.589995999999999</v>
      </c>
      <c r="E27">
        <v>82.330001999999993</v>
      </c>
      <c r="F27">
        <v>82.000465000000005</v>
      </c>
      <c r="G27">
        <v>7973700</v>
      </c>
    </row>
    <row r="28" spans="1:7">
      <c r="A28" s="73">
        <v>44317</v>
      </c>
      <c r="B28">
        <v>82.989998</v>
      </c>
      <c r="C28">
        <v>83.650002000000001</v>
      </c>
      <c r="D28">
        <v>75</v>
      </c>
      <c r="E28">
        <v>78.080001999999993</v>
      </c>
      <c r="F28">
        <v>77.767471</v>
      </c>
      <c r="G28">
        <v>9405300</v>
      </c>
    </row>
    <row r="29" spans="1:7">
      <c r="A29" s="73">
        <v>44348</v>
      </c>
      <c r="B29">
        <v>79.199996999999996</v>
      </c>
      <c r="C29">
        <v>84.620002999999997</v>
      </c>
      <c r="D29">
        <v>76.319999999999993</v>
      </c>
      <c r="E29">
        <v>77.639999000000003</v>
      </c>
      <c r="F29">
        <v>77.329230999999993</v>
      </c>
      <c r="G29">
        <v>13718100</v>
      </c>
    </row>
    <row r="30" spans="1:7">
      <c r="A30" s="73">
        <v>44378</v>
      </c>
      <c r="B30">
        <v>78</v>
      </c>
      <c r="C30">
        <v>81.959998999999996</v>
      </c>
      <c r="D30">
        <v>71.120002999999997</v>
      </c>
      <c r="E30">
        <v>79.870002999999997</v>
      </c>
      <c r="F30">
        <v>79.550308000000001</v>
      </c>
      <c r="G30">
        <v>9500700</v>
      </c>
    </row>
    <row r="31" spans="1:7">
      <c r="A31" s="73">
        <v>44409</v>
      </c>
      <c r="B31">
        <v>80.610000999999997</v>
      </c>
      <c r="C31">
        <v>81.209998999999996</v>
      </c>
      <c r="D31">
        <v>67.699996999999996</v>
      </c>
      <c r="E31">
        <v>73.589995999999999</v>
      </c>
      <c r="F31">
        <v>73.295440999999997</v>
      </c>
      <c r="G31">
        <v>12274100</v>
      </c>
    </row>
    <row r="32" spans="1:7">
      <c r="A32" s="73">
        <v>44440</v>
      </c>
      <c r="B32">
        <v>73.900002000000001</v>
      </c>
      <c r="C32">
        <v>81.360000999999997</v>
      </c>
      <c r="D32">
        <v>70.300003000000004</v>
      </c>
      <c r="E32">
        <v>77.099997999999999</v>
      </c>
      <c r="F32">
        <v>76.791397000000003</v>
      </c>
      <c r="G32">
        <v>20060900</v>
      </c>
    </row>
    <row r="33" spans="1:7">
      <c r="A33" s="73">
        <v>44470</v>
      </c>
      <c r="B33">
        <v>78.470000999999996</v>
      </c>
      <c r="C33">
        <v>87.75</v>
      </c>
      <c r="D33">
        <v>78</v>
      </c>
      <c r="E33">
        <v>85.199996999999996</v>
      </c>
      <c r="F33">
        <v>84.858970999999997</v>
      </c>
      <c r="G33">
        <v>13674300</v>
      </c>
    </row>
    <row r="34" spans="1:7">
      <c r="A34" s="73">
        <v>44501</v>
      </c>
      <c r="B34">
        <v>85.449996999999996</v>
      </c>
      <c r="C34">
        <v>94.919998000000007</v>
      </c>
      <c r="D34">
        <v>74.910004000000001</v>
      </c>
      <c r="E34">
        <v>78.769997000000004</v>
      </c>
      <c r="F34">
        <v>78.454712000000001</v>
      </c>
      <c r="G34">
        <v>16758300</v>
      </c>
    </row>
    <row r="35" spans="1:7">
      <c r="A35" s="73">
        <v>44531</v>
      </c>
      <c r="B35">
        <v>80.389999000000003</v>
      </c>
      <c r="C35">
        <v>97.150002000000001</v>
      </c>
      <c r="D35">
        <v>77.699996999999996</v>
      </c>
      <c r="E35">
        <v>95.900002000000001</v>
      </c>
      <c r="F35">
        <v>95.516150999999994</v>
      </c>
      <c r="G35">
        <v>20032400</v>
      </c>
    </row>
    <row r="36" spans="1:7">
      <c r="A36" s="73">
        <v>44562</v>
      </c>
      <c r="B36">
        <v>96.550003000000004</v>
      </c>
      <c r="C36">
        <v>99</v>
      </c>
      <c r="D36">
        <v>83.309997999999993</v>
      </c>
      <c r="E36">
        <v>91.610000999999997</v>
      </c>
      <c r="F36">
        <v>91.243317000000005</v>
      </c>
      <c r="G36">
        <v>18722300</v>
      </c>
    </row>
    <row r="37" spans="1:7">
      <c r="A37" s="73">
        <v>44593</v>
      </c>
      <c r="B37">
        <v>92.190002000000007</v>
      </c>
      <c r="C37">
        <v>108.099998</v>
      </c>
      <c r="D37">
        <v>90.839995999999999</v>
      </c>
      <c r="E37">
        <v>97.110000999999997</v>
      </c>
      <c r="F37">
        <v>96.721305999999998</v>
      </c>
      <c r="G37">
        <v>23879700</v>
      </c>
    </row>
    <row r="38" spans="1:7">
      <c r="A38" s="73">
        <v>44621</v>
      </c>
      <c r="B38">
        <v>96.080001999999993</v>
      </c>
      <c r="C38">
        <v>98.900002000000001</v>
      </c>
      <c r="D38">
        <v>81.769997000000004</v>
      </c>
      <c r="E38">
        <v>95.449996999999996</v>
      </c>
      <c r="F38">
        <v>95.067947000000004</v>
      </c>
      <c r="G38">
        <v>20771000</v>
      </c>
    </row>
    <row r="39" spans="1:7">
      <c r="A39" s="73">
        <v>44652</v>
      </c>
      <c r="B39">
        <v>96.580001999999993</v>
      </c>
      <c r="C39">
        <v>102.529999</v>
      </c>
      <c r="D39">
        <v>86.129997000000003</v>
      </c>
      <c r="E39">
        <v>94.959998999999996</v>
      </c>
      <c r="F39">
        <v>94.579903000000002</v>
      </c>
      <c r="G39">
        <v>18046800</v>
      </c>
    </row>
    <row r="40" spans="1:7">
      <c r="A40" s="73">
        <v>44682</v>
      </c>
      <c r="B40">
        <v>95.949996999999996</v>
      </c>
      <c r="C40">
        <v>96.389999000000003</v>
      </c>
      <c r="D40">
        <v>78.029999000000004</v>
      </c>
      <c r="E40">
        <v>88.389999000000003</v>
      </c>
      <c r="F40">
        <v>88.036201000000005</v>
      </c>
      <c r="G40">
        <v>24612700</v>
      </c>
    </row>
    <row r="41" spans="1:7">
      <c r="A41" s="73">
        <v>44713</v>
      </c>
      <c r="B41">
        <v>88.379997000000003</v>
      </c>
      <c r="C41">
        <v>95.589995999999999</v>
      </c>
      <c r="D41">
        <v>70.120002999999997</v>
      </c>
      <c r="E41">
        <v>73.910004000000001</v>
      </c>
      <c r="F41">
        <v>73.614165999999997</v>
      </c>
      <c r="G41">
        <v>16590000</v>
      </c>
    </row>
    <row r="42" spans="1:7">
      <c r="A42" s="73">
        <v>44743</v>
      </c>
      <c r="B42">
        <v>73.629997000000003</v>
      </c>
      <c r="C42">
        <v>84.190002000000007</v>
      </c>
      <c r="D42">
        <v>71.669998000000007</v>
      </c>
      <c r="E42">
        <v>82.75</v>
      </c>
      <c r="F42">
        <v>82.418785</v>
      </c>
      <c r="G42">
        <v>10834500</v>
      </c>
    </row>
    <row r="43" spans="1:7">
      <c r="A43" s="73">
        <v>44774</v>
      </c>
      <c r="B43">
        <v>82.43</v>
      </c>
      <c r="C43">
        <v>96.809997999999993</v>
      </c>
      <c r="D43">
        <v>81.449996999999996</v>
      </c>
      <c r="E43">
        <v>89.620002999999997</v>
      </c>
      <c r="F43">
        <v>89.261275999999995</v>
      </c>
      <c r="G43">
        <v>15566200</v>
      </c>
    </row>
    <row r="44" spans="1:7">
      <c r="A44" s="73">
        <v>44805</v>
      </c>
      <c r="B44">
        <v>88.949996999999996</v>
      </c>
      <c r="C44">
        <v>96.709998999999996</v>
      </c>
      <c r="D44">
        <v>77.699996999999996</v>
      </c>
      <c r="E44">
        <v>80.959998999999996</v>
      </c>
      <c r="F44">
        <v>80.635941000000003</v>
      </c>
      <c r="G44">
        <v>21004800</v>
      </c>
    </row>
    <row r="45" spans="1:7">
      <c r="A45" s="73">
        <v>44835</v>
      </c>
      <c r="B45">
        <v>81.699996999999996</v>
      </c>
      <c r="C45">
        <v>94.870002999999997</v>
      </c>
      <c r="D45">
        <v>79.519997000000004</v>
      </c>
      <c r="E45">
        <v>94.209998999999996</v>
      </c>
      <c r="F45">
        <v>93.832909000000001</v>
      </c>
      <c r="G45">
        <v>13625700</v>
      </c>
    </row>
    <row r="46" spans="1:7">
      <c r="A46" s="73">
        <v>44866</v>
      </c>
      <c r="B46">
        <v>95.790001000000004</v>
      </c>
      <c r="C46">
        <v>100.550003</v>
      </c>
      <c r="D46">
        <v>87.589995999999999</v>
      </c>
      <c r="E46">
        <v>100.32</v>
      </c>
      <c r="F46">
        <v>99.918457000000004</v>
      </c>
      <c r="G46">
        <v>15769500</v>
      </c>
    </row>
    <row r="47" spans="1:7">
      <c r="A47" s="73">
        <v>44896</v>
      </c>
      <c r="B47">
        <v>100.230003</v>
      </c>
      <c r="C47">
        <v>103.5</v>
      </c>
      <c r="D47">
        <v>88.010002</v>
      </c>
      <c r="E47">
        <v>90.449996999999996</v>
      </c>
      <c r="F47">
        <v>90.087958999999998</v>
      </c>
      <c r="G47">
        <v>15400700</v>
      </c>
    </row>
    <row r="48" spans="1:7">
      <c r="A48" s="73">
        <v>44927</v>
      </c>
      <c r="B48">
        <v>91.370002999999997</v>
      </c>
      <c r="C48">
        <v>113.19000200000001</v>
      </c>
      <c r="D48">
        <v>88.800003000000004</v>
      </c>
      <c r="E48">
        <v>109.120003</v>
      </c>
      <c r="F48">
        <v>108.683235</v>
      </c>
      <c r="G48">
        <v>16743600</v>
      </c>
    </row>
    <row r="49" spans="1:7">
      <c r="A49" s="73">
        <v>44958</v>
      </c>
      <c r="B49">
        <v>108.699997</v>
      </c>
      <c r="C49">
        <v>119.370003</v>
      </c>
      <c r="D49">
        <v>107.120003</v>
      </c>
      <c r="E49">
        <v>116.239998</v>
      </c>
      <c r="F49">
        <v>115.774734</v>
      </c>
      <c r="G49">
        <v>19006700</v>
      </c>
    </row>
    <row r="50" spans="1:7">
      <c r="A50" s="73">
        <v>44986</v>
      </c>
      <c r="B50">
        <v>116.489998</v>
      </c>
      <c r="C50">
        <v>125.07</v>
      </c>
      <c r="D50">
        <v>101.230003</v>
      </c>
      <c r="E50">
        <v>111.790001</v>
      </c>
      <c r="F50">
        <v>111.342545</v>
      </c>
      <c r="G50">
        <v>22250400</v>
      </c>
    </row>
    <row r="51" spans="1:7">
      <c r="A51" s="73">
        <v>45017</v>
      </c>
      <c r="B51">
        <v>111.589996</v>
      </c>
      <c r="C51">
        <v>117.91999800000001</v>
      </c>
      <c r="D51">
        <v>106.230003</v>
      </c>
      <c r="E51">
        <v>114.300003</v>
      </c>
      <c r="F51">
        <v>113.842499</v>
      </c>
      <c r="G51">
        <v>13204900</v>
      </c>
    </row>
    <row r="52" spans="1:7">
      <c r="A52" s="73">
        <v>45047</v>
      </c>
      <c r="B52">
        <v>113.870003</v>
      </c>
      <c r="C52">
        <v>122</v>
      </c>
      <c r="D52">
        <v>106.339996</v>
      </c>
      <c r="E52">
        <v>107.480003</v>
      </c>
      <c r="F52">
        <v>107.04980500000001</v>
      </c>
      <c r="G52">
        <v>21637200</v>
      </c>
    </row>
    <row r="53" spans="1:7">
      <c r="A53" s="73">
        <v>45078</v>
      </c>
      <c r="B53">
        <v>107.5</v>
      </c>
      <c r="C53">
        <v>119.16999800000001</v>
      </c>
      <c r="D53">
        <v>106.599998</v>
      </c>
      <c r="E53">
        <v>114.58000199999999</v>
      </c>
      <c r="F53">
        <v>114.277733</v>
      </c>
      <c r="G53">
        <v>13205600</v>
      </c>
    </row>
    <row r="54" spans="1:7">
      <c r="A54" s="73">
        <v>45108</v>
      </c>
      <c r="B54">
        <v>113.629997</v>
      </c>
      <c r="C54">
        <v>127.800003</v>
      </c>
      <c r="D54">
        <v>110.389999</v>
      </c>
      <c r="E54">
        <v>126.349998</v>
      </c>
      <c r="F54">
        <v>126.016685</v>
      </c>
      <c r="G54">
        <v>10423800</v>
      </c>
    </row>
    <row r="55" spans="1:7">
      <c r="A55" s="73">
        <v>45139</v>
      </c>
      <c r="B55">
        <v>125.75</v>
      </c>
      <c r="C55">
        <v>126.349998</v>
      </c>
      <c r="D55">
        <v>110.5</v>
      </c>
      <c r="E55">
        <v>112.410004</v>
      </c>
      <c r="F55">
        <v>112.113457</v>
      </c>
      <c r="G55">
        <v>17475400</v>
      </c>
    </row>
    <row r="56" spans="1:7">
      <c r="A56" s="73">
        <v>45170</v>
      </c>
      <c r="B56">
        <v>113.370003</v>
      </c>
      <c r="C56">
        <v>114.959999</v>
      </c>
      <c r="D56">
        <v>102.18</v>
      </c>
      <c r="E56">
        <v>106.08000199999999</v>
      </c>
      <c r="F56">
        <v>105.941895</v>
      </c>
      <c r="G56">
        <v>13273700</v>
      </c>
    </row>
    <row r="57" spans="1:7">
      <c r="A57" s="73">
        <v>45200</v>
      </c>
      <c r="B57">
        <v>105.900002</v>
      </c>
      <c r="C57">
        <v>112.970001</v>
      </c>
      <c r="D57">
        <v>98.769997000000004</v>
      </c>
      <c r="E57">
        <v>102.44000200000001</v>
      </c>
      <c r="F57">
        <v>102.30663300000001</v>
      </c>
      <c r="G57">
        <v>28805400</v>
      </c>
    </row>
    <row r="58" spans="1:7">
      <c r="A58" s="73">
        <v>45231</v>
      </c>
      <c r="B58">
        <v>102.980003</v>
      </c>
      <c r="C58">
        <v>117.58000199999999</v>
      </c>
      <c r="D58">
        <v>96.769997000000004</v>
      </c>
      <c r="E58">
        <v>114.760002</v>
      </c>
      <c r="F58">
        <v>114.61058800000001</v>
      </c>
      <c r="G58">
        <v>17023900</v>
      </c>
    </row>
    <row r="59" spans="1:7">
      <c r="A59" s="73">
        <v>45261</v>
      </c>
      <c r="B59">
        <v>114.75</v>
      </c>
      <c r="C59">
        <v>133.61999499999999</v>
      </c>
      <c r="D59">
        <v>114.019997</v>
      </c>
      <c r="E59">
        <v>130.41000399999999</v>
      </c>
      <c r="F59">
        <v>130.41000399999999</v>
      </c>
      <c r="G59">
        <v>16946300</v>
      </c>
    </row>
    <row r="60" spans="1:7">
      <c r="A60" s="73">
        <v>45292</v>
      </c>
      <c r="B60">
        <v>129.979996</v>
      </c>
      <c r="C60">
        <v>133.429993</v>
      </c>
      <c r="D60">
        <v>124.400002</v>
      </c>
      <c r="E60">
        <v>128.36999499999999</v>
      </c>
      <c r="F60">
        <v>128.36999499999999</v>
      </c>
      <c r="G60">
        <v>14031900</v>
      </c>
    </row>
    <row r="61" spans="1:7">
      <c r="A61" s="73">
        <v>45323</v>
      </c>
      <c r="B61">
        <v>128.71000699999999</v>
      </c>
      <c r="C61">
        <v>132.800003</v>
      </c>
      <c r="D61">
        <v>125.449997</v>
      </c>
      <c r="E61">
        <v>129.070007</v>
      </c>
      <c r="F61">
        <v>129.070007</v>
      </c>
      <c r="G61">
        <v>7218900</v>
      </c>
    </row>
    <row r="62" spans="1:7">
      <c r="A62" s="73">
        <v>45337</v>
      </c>
      <c r="B62">
        <v>130.320007</v>
      </c>
      <c r="C62">
        <v>134.93949900000001</v>
      </c>
      <c r="D62">
        <v>129.20500200000001</v>
      </c>
      <c r="E62">
        <v>134.33000200000001</v>
      </c>
      <c r="F62">
        <v>134.33000200000001</v>
      </c>
      <c r="G62">
        <v>1369227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DB3F-7620-4036-BD63-A563BBF43C34}">
  <dimension ref="A1:P55"/>
  <sheetViews>
    <sheetView workbookViewId="0">
      <selection activeCell="B24" sqref="B24"/>
    </sheetView>
  </sheetViews>
  <sheetFormatPr defaultRowHeight="15"/>
  <cols>
    <col min="1" max="1" width="49.42578125" bestFit="1" customWidth="1"/>
    <col min="2" max="13" width="12.140625" bestFit="1" customWidth="1"/>
    <col min="14" max="14" width="12.85546875" bestFit="1" customWidth="1"/>
    <col min="15" max="16" width="12.140625" bestFit="1" customWidth="1"/>
  </cols>
  <sheetData>
    <row r="1" spans="1:16">
      <c r="A1" t="s">
        <v>260</v>
      </c>
      <c r="B1" t="s">
        <v>261</v>
      </c>
      <c r="C1" s="73">
        <v>44196</v>
      </c>
      <c r="D1" s="73">
        <v>43830</v>
      </c>
      <c r="E1" s="73">
        <v>43465</v>
      </c>
      <c r="F1" s="73">
        <v>43100</v>
      </c>
      <c r="G1" s="73">
        <v>42735</v>
      </c>
      <c r="H1" s="73">
        <v>42369</v>
      </c>
      <c r="I1" s="73">
        <v>42004</v>
      </c>
      <c r="J1" s="73">
        <v>41639</v>
      </c>
      <c r="K1" s="73">
        <v>41274</v>
      </c>
      <c r="L1" s="73">
        <v>40908</v>
      </c>
      <c r="M1" s="73">
        <v>40543</v>
      </c>
      <c r="N1" s="73">
        <v>40178</v>
      </c>
      <c r="O1" s="73">
        <v>39813</v>
      </c>
      <c r="P1" s="73">
        <v>39447</v>
      </c>
    </row>
    <row r="2" spans="1:16">
      <c r="A2" t="s">
        <v>262</v>
      </c>
      <c r="B2" s="45">
        <v>2066000000</v>
      </c>
      <c r="C2" s="45">
        <v>2066000000</v>
      </c>
      <c r="D2" s="45">
        <v>5020000000</v>
      </c>
      <c r="E2" s="45">
        <v>4454000000</v>
      </c>
      <c r="F2" s="45">
        <v>4685000000</v>
      </c>
      <c r="G2" s="45">
        <v>4429000000</v>
      </c>
      <c r="H2" s="45">
        <v>4328000000</v>
      </c>
      <c r="I2" s="45">
        <v>4415000000</v>
      </c>
      <c r="J2" s="45">
        <v>4184000000</v>
      </c>
      <c r="K2" s="45">
        <v>3949000000</v>
      </c>
      <c r="L2" s="45">
        <v>3698000000</v>
      </c>
      <c r="M2" s="45">
        <v>3527000000</v>
      </c>
      <c r="N2" s="45">
        <v>3332000000</v>
      </c>
      <c r="O2" s="45">
        <v>3837000000</v>
      </c>
      <c r="P2" s="45">
        <v>3738000000</v>
      </c>
    </row>
    <row r="3" spans="1:16">
      <c r="A3" t="s">
        <v>263</v>
      </c>
      <c r="B3" s="45">
        <v>752000000</v>
      </c>
      <c r="C3" s="45">
        <v>752000000</v>
      </c>
      <c r="D3" s="45">
        <v>2456000000</v>
      </c>
      <c r="E3" s="45">
        <v>2470000000</v>
      </c>
      <c r="F3" s="45">
        <v>2697000000</v>
      </c>
      <c r="G3" s="45">
        <v>2556000000</v>
      </c>
      <c r="H3" s="45">
        <v>2506000000</v>
      </c>
      <c r="I3" s="45">
        <v>2633000000</v>
      </c>
      <c r="J3" s="45">
        <v>2484000000</v>
      </c>
      <c r="K3" s="45">
        <v>2328000000</v>
      </c>
      <c r="L3" s="45">
        <v>3698000000</v>
      </c>
      <c r="M3" s="45">
        <v>3527000000</v>
      </c>
      <c r="N3" s="45">
        <v>3332000000</v>
      </c>
      <c r="O3" s="45">
        <v>3837000000</v>
      </c>
      <c r="P3" s="45">
        <v>3738000000</v>
      </c>
    </row>
    <row r="4" spans="1:16">
      <c r="A4" t="s">
        <v>264</v>
      </c>
      <c r="B4" s="45">
        <v>2067000000</v>
      </c>
      <c r="C4" s="45">
        <v>2067000000</v>
      </c>
      <c r="D4" s="45">
        <v>4077000000</v>
      </c>
      <c r="E4" s="45">
        <v>3475000000</v>
      </c>
      <c r="F4" s="45">
        <v>3638000000</v>
      </c>
      <c r="G4" s="45">
        <v>3473000000</v>
      </c>
      <c r="H4" s="45">
        <v>3377000000</v>
      </c>
      <c r="I4" s="45">
        <v>3433000000</v>
      </c>
      <c r="J4" s="45">
        <v>3283000000</v>
      </c>
      <c r="K4" s="45">
        <v>3121000000</v>
      </c>
      <c r="L4" s="45">
        <v>2957000000</v>
      </c>
      <c r="M4" s="45">
        <v>2864000000</v>
      </c>
      <c r="N4" s="45">
        <v>2753000000</v>
      </c>
      <c r="O4" s="45">
        <v>2934000000</v>
      </c>
      <c r="P4" s="45">
        <v>2847000000</v>
      </c>
    </row>
    <row r="5" spans="1:16">
      <c r="A5" t="s">
        <v>265</v>
      </c>
      <c r="B5" s="45">
        <v>-1000000</v>
      </c>
      <c r="C5" s="45">
        <v>-1000000</v>
      </c>
      <c r="D5" s="45">
        <v>943000000</v>
      </c>
      <c r="E5" s="45">
        <v>979000000</v>
      </c>
      <c r="F5" s="45">
        <v>1047000000</v>
      </c>
      <c r="G5" s="45">
        <v>956000000</v>
      </c>
      <c r="H5" s="45">
        <v>951000000</v>
      </c>
      <c r="I5" s="45">
        <v>982000000</v>
      </c>
      <c r="J5" s="45">
        <v>901000000</v>
      </c>
      <c r="K5" s="45">
        <v>828000000</v>
      </c>
      <c r="L5" s="45">
        <v>741000000</v>
      </c>
      <c r="M5" s="45">
        <v>663000000</v>
      </c>
      <c r="N5" s="45">
        <v>579000000</v>
      </c>
      <c r="O5" s="45">
        <v>903000000</v>
      </c>
      <c r="P5" s="45">
        <v>891000000</v>
      </c>
    </row>
    <row r="6" spans="1:16">
      <c r="A6" t="s">
        <v>266</v>
      </c>
      <c r="B6" s="45">
        <v>631000000</v>
      </c>
      <c r="C6" s="45">
        <v>631000000</v>
      </c>
      <c r="D6" s="45">
        <v>746000000</v>
      </c>
      <c r="E6" s="45">
        <v>647000000</v>
      </c>
      <c r="F6" s="45">
        <v>745000000</v>
      </c>
      <c r="G6" s="45">
        <v>657000000</v>
      </c>
      <c r="H6" s="45">
        <v>628000000</v>
      </c>
      <c r="I6" s="45">
        <v>703000000</v>
      </c>
      <c r="J6" s="45">
        <v>668000000</v>
      </c>
      <c r="K6" s="45">
        <v>669000000</v>
      </c>
      <c r="L6" s="45">
        <v>588000000</v>
      </c>
      <c r="M6" s="45">
        <v>555000000</v>
      </c>
      <c r="N6" s="45">
        <v>531000000</v>
      </c>
      <c r="O6" s="45">
        <v>539000000</v>
      </c>
      <c r="P6" s="45">
        <v>506000000</v>
      </c>
    </row>
    <row r="7" spans="1:16">
      <c r="A7" t="s">
        <v>267</v>
      </c>
      <c r="B7" s="45">
        <v>321000000</v>
      </c>
      <c r="C7" s="45">
        <v>321000000</v>
      </c>
      <c r="D7" s="45">
        <v>417000000</v>
      </c>
      <c r="E7" s="45">
        <v>320000000</v>
      </c>
      <c r="F7" s="45">
        <v>379000000</v>
      </c>
      <c r="G7" s="45">
        <v>315000000</v>
      </c>
      <c r="H7" s="45">
        <v>308000000</v>
      </c>
      <c r="I7" s="45">
        <v>349000000</v>
      </c>
      <c r="J7" s="45">
        <v>323000000</v>
      </c>
      <c r="K7" s="45">
        <v>316000000</v>
      </c>
      <c r="L7" s="45">
        <v>283000000</v>
      </c>
      <c r="M7" s="45">
        <v>276000000</v>
      </c>
      <c r="N7" s="45">
        <v>261000000</v>
      </c>
      <c r="O7" s="45">
        <v>290000000</v>
      </c>
      <c r="P7" s="45">
        <v>292000000</v>
      </c>
    </row>
    <row r="8" spans="1:16">
      <c r="A8" t="s">
        <v>268</v>
      </c>
      <c r="B8" s="45">
        <v>310000000</v>
      </c>
      <c r="C8" s="45">
        <v>310000000</v>
      </c>
      <c r="D8" s="45">
        <v>329000000</v>
      </c>
      <c r="E8" s="45">
        <v>327000000</v>
      </c>
      <c r="F8" s="45">
        <v>366000000</v>
      </c>
      <c r="G8" s="45">
        <v>342000000</v>
      </c>
      <c r="H8" s="45">
        <v>320000000</v>
      </c>
      <c r="I8" s="45">
        <v>354000000</v>
      </c>
      <c r="J8" s="45">
        <v>345000000</v>
      </c>
      <c r="K8" s="45">
        <v>353000000</v>
      </c>
      <c r="L8" s="45">
        <v>305000000</v>
      </c>
      <c r="M8" s="45">
        <v>279000000</v>
      </c>
      <c r="N8" s="45">
        <v>270000000</v>
      </c>
      <c r="O8" s="45">
        <v>249000000</v>
      </c>
      <c r="P8" s="45">
        <v>214000000</v>
      </c>
    </row>
    <row r="9" spans="1:16">
      <c r="A9" t="s">
        <v>269</v>
      </c>
      <c r="B9" s="45">
        <v>310000000</v>
      </c>
      <c r="C9" s="45">
        <v>310000000</v>
      </c>
      <c r="D9" s="45">
        <v>329000000</v>
      </c>
      <c r="E9" s="45">
        <v>327000000</v>
      </c>
      <c r="F9" s="45">
        <v>366000000</v>
      </c>
      <c r="G9" s="45">
        <v>342000000</v>
      </c>
      <c r="H9" s="45">
        <v>320000000</v>
      </c>
      <c r="I9" s="45">
        <v>354000000</v>
      </c>
      <c r="J9" s="45">
        <v>345000000</v>
      </c>
      <c r="K9" s="45">
        <v>353000000</v>
      </c>
      <c r="L9" s="45">
        <v>305000000</v>
      </c>
      <c r="M9" s="45">
        <v>279000000</v>
      </c>
      <c r="N9" s="45">
        <v>270000000</v>
      </c>
      <c r="O9" s="45">
        <v>249000000</v>
      </c>
      <c r="P9" s="45">
        <v>214000000</v>
      </c>
    </row>
    <row r="10" spans="1:16">
      <c r="A10" t="s">
        <v>270</v>
      </c>
      <c r="B10" s="45">
        <v>-632000000</v>
      </c>
      <c r="C10" s="45">
        <v>-632000000</v>
      </c>
      <c r="D10" s="45">
        <v>197000000</v>
      </c>
      <c r="E10" s="45">
        <v>332000000</v>
      </c>
      <c r="F10" s="45">
        <v>302000000</v>
      </c>
      <c r="G10" s="45">
        <v>299000000</v>
      </c>
      <c r="H10" s="45">
        <v>323000000</v>
      </c>
      <c r="I10" s="45">
        <v>279000000</v>
      </c>
      <c r="J10" s="45">
        <v>233000000</v>
      </c>
      <c r="K10" s="45">
        <v>159000000</v>
      </c>
      <c r="L10" s="45">
        <v>153000000</v>
      </c>
      <c r="M10" s="45">
        <v>108000000</v>
      </c>
      <c r="N10" s="45">
        <v>48000000</v>
      </c>
      <c r="O10" s="45">
        <v>364000000</v>
      </c>
      <c r="P10" s="45">
        <v>385000000</v>
      </c>
    </row>
    <row r="11" spans="1:16">
      <c r="A11" t="s">
        <v>271</v>
      </c>
      <c r="B11" s="45">
        <v>-98000000</v>
      </c>
      <c r="C11" s="45">
        <v>-98000000</v>
      </c>
      <c r="D11" s="45">
        <v>-50000000</v>
      </c>
      <c r="E11" s="45">
        <v>-48000000</v>
      </c>
      <c r="F11" s="45">
        <v>21000000</v>
      </c>
      <c r="G11" s="45">
        <v>-57000000</v>
      </c>
      <c r="H11" s="45">
        <v>-60000000</v>
      </c>
      <c r="I11" s="45">
        <v>-60000000</v>
      </c>
      <c r="J11" s="45">
        <v>-48000000</v>
      </c>
      <c r="K11" s="45">
        <v>-47000000</v>
      </c>
      <c r="L11" s="45">
        <v>-57000000</v>
      </c>
      <c r="M11" s="45">
        <v>-54000000</v>
      </c>
      <c r="N11" s="45">
        <v>-56000000</v>
      </c>
      <c r="O11" s="45">
        <v>-75000000</v>
      </c>
      <c r="P11" s="45">
        <v>-43000000</v>
      </c>
    </row>
    <row r="12" spans="1:16">
      <c r="A12" t="s">
        <v>272</v>
      </c>
      <c r="B12" s="45">
        <v>30000000</v>
      </c>
      <c r="C12" s="45">
        <v>30000000</v>
      </c>
      <c r="D12" s="45">
        <v>25000000</v>
      </c>
      <c r="E12" s="45">
        <v>28000000</v>
      </c>
      <c r="F12" s="45">
        <v>101000000</v>
      </c>
      <c r="G12" s="45">
        <v>19000000</v>
      </c>
      <c r="H12" s="45">
        <v>8000000</v>
      </c>
      <c r="I12" s="45">
        <v>11000000</v>
      </c>
      <c r="J12" s="45">
        <v>17000000</v>
      </c>
      <c r="K12" s="45">
        <v>23000000</v>
      </c>
    </row>
    <row r="13" spans="1:16">
      <c r="A13" t="s">
        <v>273</v>
      </c>
      <c r="B13" s="45">
        <v>128000000</v>
      </c>
      <c r="C13" s="45">
        <v>128000000</v>
      </c>
      <c r="D13" s="45">
        <v>75000000</v>
      </c>
      <c r="E13" s="45">
        <v>76000000</v>
      </c>
      <c r="F13" s="45">
        <v>80000000</v>
      </c>
      <c r="G13" s="45">
        <v>76000000</v>
      </c>
      <c r="H13" s="45">
        <v>68000000</v>
      </c>
      <c r="I13" s="45">
        <v>71000000</v>
      </c>
      <c r="J13" s="45">
        <v>65000000</v>
      </c>
      <c r="K13" s="45">
        <v>70000000</v>
      </c>
      <c r="L13" s="45">
        <v>57000000</v>
      </c>
      <c r="M13" s="45">
        <v>54000000</v>
      </c>
      <c r="N13" s="45">
        <v>56000000</v>
      </c>
      <c r="O13" s="45">
        <v>75000000</v>
      </c>
      <c r="P13" s="45">
        <v>43000000</v>
      </c>
    </row>
    <row r="14" spans="1:16">
      <c r="A14" t="s">
        <v>274</v>
      </c>
      <c r="D14" s="45">
        <v>-18000000</v>
      </c>
      <c r="E14" s="45">
        <v>-11000000</v>
      </c>
      <c r="F14" s="45">
        <v>-10000000</v>
      </c>
    </row>
    <row r="15" spans="1:16">
      <c r="A15" t="s">
        <v>275</v>
      </c>
      <c r="B15" s="45">
        <v>-230000000</v>
      </c>
      <c r="C15" s="45">
        <v>-230000000</v>
      </c>
      <c r="D15" s="45">
        <v>859000000</v>
      </c>
      <c r="E15" s="45">
        <v>667000000</v>
      </c>
      <c r="F15" s="45">
        <v>250000000</v>
      </c>
      <c r="G15" s="45">
        <v>47000000</v>
      </c>
      <c r="H15" s="45">
        <v>-69000000</v>
      </c>
      <c r="I15" s="45">
        <v>306000000</v>
      </c>
      <c r="J15" s="45">
        <v>136000000</v>
      </c>
      <c r="K15" s="45">
        <v>-17000000</v>
      </c>
      <c r="L15" s="45">
        <v>-13000000</v>
      </c>
      <c r="M15" s="45">
        <v>34000000</v>
      </c>
      <c r="N15" s="45">
        <v>-47000000</v>
      </c>
      <c r="O15" s="45">
        <v>-85000000</v>
      </c>
      <c r="P15" s="45">
        <v>132000000</v>
      </c>
    </row>
    <row r="16" spans="1:16">
      <c r="A16" t="s">
        <v>276</v>
      </c>
      <c r="B16" s="45">
        <v>17000000</v>
      </c>
      <c r="C16" s="45">
        <v>17000000</v>
      </c>
      <c r="D16" s="45">
        <v>814000000</v>
      </c>
      <c r="E16" s="45">
        <v>715000000</v>
      </c>
      <c r="F16" s="45">
        <v>56000000</v>
      </c>
      <c r="G16" s="45">
        <v>-9000000</v>
      </c>
      <c r="H16" s="45">
        <v>-1000000</v>
      </c>
      <c r="I16" s="45">
        <v>324000000</v>
      </c>
      <c r="J16" s="45">
        <v>206000000</v>
      </c>
      <c r="K16" s="45">
        <v>35000000</v>
      </c>
      <c r="M16" s="45">
        <v>21000000</v>
      </c>
      <c r="N16" s="45">
        <v>29000000</v>
      </c>
      <c r="O16" s="45">
        <v>-36000000</v>
      </c>
      <c r="P16" s="45">
        <v>15000000</v>
      </c>
    </row>
    <row r="17" spans="1:16">
      <c r="A17" t="s">
        <v>277</v>
      </c>
      <c r="B17" s="45">
        <v>-70000000</v>
      </c>
      <c r="C17" s="45">
        <v>-70000000</v>
      </c>
      <c r="D17" s="45">
        <v>-10000000</v>
      </c>
      <c r="E17" s="45">
        <v>8000000</v>
      </c>
      <c r="F17" s="45">
        <v>220000000</v>
      </c>
      <c r="G17" s="45">
        <v>68000000</v>
      </c>
      <c r="H17" s="45">
        <v>-64000000</v>
      </c>
      <c r="I17" s="45">
        <v>25000000</v>
      </c>
      <c r="J17" s="45">
        <v>-1000000</v>
      </c>
      <c r="K17" s="45">
        <v>-22000000</v>
      </c>
      <c r="L17" s="45">
        <v>4000000</v>
      </c>
      <c r="M17" s="45">
        <v>-40000000</v>
      </c>
      <c r="N17" s="45">
        <v>-13000000</v>
      </c>
      <c r="O17" s="45">
        <v>14000000</v>
      </c>
      <c r="P17" s="45">
        <v>11000000</v>
      </c>
    </row>
    <row r="18" spans="1:16">
      <c r="A18" t="s">
        <v>278</v>
      </c>
      <c r="B18" s="45">
        <v>-140000000</v>
      </c>
      <c r="C18" s="45">
        <v>-140000000</v>
      </c>
      <c r="D18" s="45">
        <v>53000000</v>
      </c>
      <c r="E18" s="45">
        <v>-28000000</v>
      </c>
      <c r="F18" s="45">
        <v>24000000</v>
      </c>
      <c r="G18" s="45">
        <v>-4000000</v>
      </c>
      <c r="H18" s="45">
        <v>25000000</v>
      </c>
      <c r="I18" s="45">
        <v>-17000000</v>
      </c>
      <c r="J18" s="45">
        <v>-48000000</v>
      </c>
      <c r="K18" s="45">
        <v>-25000000</v>
      </c>
      <c r="L18" s="45">
        <v>-17000000</v>
      </c>
      <c r="M18" s="45">
        <v>53000000</v>
      </c>
      <c r="N18" s="45">
        <v>-63000000</v>
      </c>
      <c r="O18" s="45">
        <v>-63000000</v>
      </c>
      <c r="P18" s="45">
        <v>106000000</v>
      </c>
    </row>
    <row r="19" spans="1:16">
      <c r="A19" t="s">
        <v>279</v>
      </c>
      <c r="B19" s="45">
        <v>72000000</v>
      </c>
      <c r="C19" s="45">
        <v>72000000</v>
      </c>
      <c r="D19" s="45">
        <v>-30000000</v>
      </c>
      <c r="H19">
        <v>0</v>
      </c>
      <c r="I19" s="45">
        <v>7000000</v>
      </c>
      <c r="J19">
        <v>0</v>
      </c>
      <c r="K19" s="45">
        <v>21000000</v>
      </c>
    </row>
    <row r="20" spans="1:16">
      <c r="A20" t="s">
        <v>280</v>
      </c>
      <c r="B20" s="45">
        <v>62000000</v>
      </c>
      <c r="C20" s="45">
        <v>62000000</v>
      </c>
      <c r="D20" s="45">
        <v>18000000</v>
      </c>
      <c r="E20" s="45">
        <v>25000000</v>
      </c>
      <c r="F20">
        <v>0</v>
      </c>
      <c r="G20">
        <v>0</v>
      </c>
      <c r="H20" s="45">
        <v>5000000</v>
      </c>
      <c r="I20" s="45">
        <v>17000000</v>
      </c>
      <c r="J20" s="45">
        <v>22000000</v>
      </c>
      <c r="K20">
        <v>0</v>
      </c>
      <c r="L20" s="45">
        <v>6000000</v>
      </c>
      <c r="M20" s="45">
        <v>44000000</v>
      </c>
      <c r="N20" s="45">
        <v>15000000</v>
      </c>
      <c r="O20" s="45">
        <v>86000000</v>
      </c>
      <c r="P20" s="45">
        <v>61000000</v>
      </c>
    </row>
    <row r="21" spans="1:16">
      <c r="A21" t="s">
        <v>281</v>
      </c>
      <c r="B21" s="45">
        <v>29000000</v>
      </c>
      <c r="C21" s="45">
        <v>29000000</v>
      </c>
      <c r="D21">
        <v>0</v>
      </c>
      <c r="E21" s="45">
        <v>22000000</v>
      </c>
      <c r="I21">
        <v>0</v>
      </c>
      <c r="J21">
        <v>0</v>
      </c>
      <c r="K21" s="45">
        <v>4000000</v>
      </c>
    </row>
    <row r="22" spans="1:16">
      <c r="A22" t="s">
        <v>282</v>
      </c>
      <c r="B22" s="45">
        <v>-23000000</v>
      </c>
      <c r="C22" s="45">
        <v>-23000000</v>
      </c>
      <c r="D22" s="45">
        <v>-25000000</v>
      </c>
      <c r="E22" s="45">
        <v>-19000000</v>
      </c>
      <c r="F22" s="45">
        <v>-24000000</v>
      </c>
      <c r="G22" s="45">
        <v>4000000</v>
      </c>
      <c r="H22" s="45">
        <v>-30000000</v>
      </c>
      <c r="I22" s="45">
        <v>-7000000</v>
      </c>
      <c r="J22" s="45">
        <v>55000000</v>
      </c>
      <c r="L22" s="45">
        <v>9000000</v>
      </c>
      <c r="M22" s="45">
        <v>-71000000</v>
      </c>
      <c r="N22" s="45">
        <v>48000000</v>
      </c>
      <c r="O22" s="45">
        <v>-23000000</v>
      </c>
      <c r="P22" s="45">
        <v>-145000000</v>
      </c>
    </row>
    <row r="23" spans="1:16">
      <c r="A23" t="s">
        <v>283</v>
      </c>
      <c r="B23">
        <v>0</v>
      </c>
      <c r="C23">
        <v>0</v>
      </c>
      <c r="D23" s="45">
        <v>16000000</v>
      </c>
      <c r="E23" s="45">
        <v>772000000</v>
      </c>
      <c r="F23" s="45">
        <v>51000000</v>
      </c>
      <c r="G23" s="45">
        <v>-23000000</v>
      </c>
      <c r="H23">
        <v>0</v>
      </c>
      <c r="I23">
        <v>0</v>
      </c>
      <c r="J23" s="45">
        <v>29000000</v>
      </c>
      <c r="K23">
        <v>0</v>
      </c>
      <c r="L23" s="45">
        <v>-2000000</v>
      </c>
      <c r="M23" s="45">
        <v>26000000</v>
      </c>
      <c r="N23">
        <v>0</v>
      </c>
      <c r="O23">
        <v>0</v>
      </c>
      <c r="P23" s="45">
        <v>22000000</v>
      </c>
    </row>
    <row r="24" spans="1:16">
      <c r="A24" t="s">
        <v>284</v>
      </c>
      <c r="B24" s="45">
        <v>-37000000</v>
      </c>
      <c r="C24" s="45">
        <v>-37000000</v>
      </c>
      <c r="D24" s="45">
        <v>2000000</v>
      </c>
      <c r="E24" s="45">
        <v>-28000000</v>
      </c>
      <c r="F24" s="45">
        <v>-50000000</v>
      </c>
      <c r="G24" s="45">
        <v>-8000000</v>
      </c>
      <c r="H24" s="45">
        <v>-29000000</v>
      </c>
      <c r="I24" s="45">
        <v>-26000000</v>
      </c>
      <c r="J24" s="45">
        <v>-21000000</v>
      </c>
      <c r="K24" s="45">
        <v>-5000000</v>
      </c>
    </row>
    <row r="25" spans="1:16">
      <c r="A25" t="s">
        <v>285</v>
      </c>
      <c r="B25" s="45">
        <v>-960000000</v>
      </c>
      <c r="C25" s="45">
        <v>-960000000</v>
      </c>
      <c r="D25" s="45">
        <v>1006000000</v>
      </c>
      <c r="E25" s="45">
        <v>951000000</v>
      </c>
      <c r="F25" s="45">
        <v>573000000</v>
      </c>
      <c r="G25" s="45">
        <v>289000000</v>
      </c>
      <c r="H25" s="45">
        <v>194000000</v>
      </c>
      <c r="I25" s="45">
        <v>525000000</v>
      </c>
      <c r="J25" s="45">
        <v>321000000</v>
      </c>
      <c r="K25" s="45">
        <v>95000000</v>
      </c>
      <c r="L25" s="45">
        <v>83000000</v>
      </c>
      <c r="M25" s="45">
        <v>88000000</v>
      </c>
      <c r="N25" s="45">
        <v>-55000000</v>
      </c>
      <c r="O25" s="45">
        <v>204000000</v>
      </c>
      <c r="P25" s="45">
        <v>474000000</v>
      </c>
    </row>
    <row r="26" spans="1:16">
      <c r="A26" t="s">
        <v>286</v>
      </c>
      <c r="B26" s="45">
        <v>-257000000</v>
      </c>
      <c r="C26" s="45">
        <v>-257000000</v>
      </c>
      <c r="D26" s="45">
        <v>240000000</v>
      </c>
      <c r="E26" s="45">
        <v>182000000</v>
      </c>
      <c r="F26" s="45">
        <v>323000000</v>
      </c>
      <c r="G26" s="45">
        <v>85000000</v>
      </c>
      <c r="H26" s="45">
        <v>70000000</v>
      </c>
      <c r="I26" s="45">
        <v>179000000</v>
      </c>
      <c r="J26" s="45">
        <v>116000000</v>
      </c>
      <c r="K26" s="45">
        <v>8000000</v>
      </c>
      <c r="L26" s="45">
        <v>-28000000</v>
      </c>
      <c r="M26" s="45">
        <v>37000000</v>
      </c>
      <c r="N26" s="45">
        <v>-10000000</v>
      </c>
      <c r="O26" s="45">
        <v>90000000</v>
      </c>
      <c r="P26" s="45">
        <v>208000000</v>
      </c>
    </row>
    <row r="27" spans="1:16">
      <c r="A27" t="s">
        <v>287</v>
      </c>
      <c r="B27" s="45">
        <v>-703000000</v>
      </c>
      <c r="C27" s="45">
        <v>-703000000</v>
      </c>
      <c r="D27" s="45">
        <v>766000000</v>
      </c>
      <c r="E27" s="45">
        <v>769000000</v>
      </c>
      <c r="F27" s="45">
        <v>249000000</v>
      </c>
      <c r="G27" s="45">
        <v>204000000</v>
      </c>
      <c r="H27" s="45">
        <v>124000000</v>
      </c>
      <c r="I27" s="45">
        <v>344000000</v>
      </c>
      <c r="J27" s="45">
        <v>207000000</v>
      </c>
      <c r="K27" s="45">
        <v>88000000</v>
      </c>
      <c r="L27" s="45">
        <v>113000000</v>
      </c>
      <c r="M27" s="45">
        <v>66000000</v>
      </c>
      <c r="N27" s="45">
        <v>-43000000</v>
      </c>
      <c r="O27" s="45">
        <v>170000000</v>
      </c>
      <c r="P27" s="45">
        <v>271000000</v>
      </c>
    </row>
    <row r="28" spans="1:16">
      <c r="A28" t="s">
        <v>288</v>
      </c>
      <c r="B28" s="45">
        <v>-703000000</v>
      </c>
      <c r="C28" s="45">
        <v>-703000000</v>
      </c>
      <c r="D28" s="45">
        <v>766000000</v>
      </c>
      <c r="E28" s="45">
        <v>769000000</v>
      </c>
      <c r="F28" s="45">
        <v>249000000</v>
      </c>
      <c r="G28" s="45">
        <v>204000000</v>
      </c>
      <c r="H28" s="45">
        <v>124000000</v>
      </c>
      <c r="I28" s="45">
        <v>344000000</v>
      </c>
      <c r="J28" s="45">
        <v>207000000</v>
      </c>
      <c r="K28" s="45">
        <v>88000000</v>
      </c>
      <c r="L28" s="45">
        <v>113000000</v>
      </c>
      <c r="M28" s="45">
        <v>66000000</v>
      </c>
      <c r="N28" s="45">
        <v>-43000000</v>
      </c>
      <c r="O28" s="45">
        <v>170000000</v>
      </c>
      <c r="P28" s="45">
        <v>271000000</v>
      </c>
    </row>
    <row r="29" spans="1:16">
      <c r="A29" t="s">
        <v>289</v>
      </c>
      <c r="B29" s="45">
        <v>-703000000</v>
      </c>
      <c r="C29" s="45">
        <v>-703000000</v>
      </c>
      <c r="D29" s="45">
        <v>766000000</v>
      </c>
      <c r="E29" s="45">
        <v>769000000</v>
      </c>
      <c r="F29" s="45">
        <v>250000000</v>
      </c>
      <c r="G29" s="45">
        <v>204000000</v>
      </c>
      <c r="H29" s="45">
        <v>124000000</v>
      </c>
      <c r="I29" s="45">
        <v>346000000</v>
      </c>
      <c r="J29" s="45">
        <v>205000000</v>
      </c>
      <c r="K29" s="45">
        <v>87000000</v>
      </c>
      <c r="L29" s="45">
        <v>111000000</v>
      </c>
      <c r="M29" s="45">
        <v>55000000</v>
      </c>
      <c r="N29" s="45">
        <v>-46000000</v>
      </c>
      <c r="O29" s="45">
        <v>168000000</v>
      </c>
      <c r="P29" s="45">
        <v>270000000</v>
      </c>
    </row>
    <row r="30" spans="1:16">
      <c r="A30" t="s">
        <v>290</v>
      </c>
      <c r="B30" s="45">
        <v>-703000000</v>
      </c>
      <c r="C30" s="45">
        <v>-703000000</v>
      </c>
      <c r="D30" s="45">
        <v>766000000</v>
      </c>
      <c r="E30" s="45">
        <v>769000000</v>
      </c>
      <c r="F30" s="45">
        <v>250000000</v>
      </c>
      <c r="G30" s="45">
        <v>204000000</v>
      </c>
      <c r="H30" s="45">
        <v>124000000</v>
      </c>
      <c r="I30" s="45">
        <v>346000000</v>
      </c>
      <c r="J30" s="45">
        <v>205000000</v>
      </c>
      <c r="K30" s="45">
        <v>87000000</v>
      </c>
      <c r="L30" s="45">
        <v>111000000</v>
      </c>
      <c r="M30" s="45">
        <v>51000000</v>
      </c>
      <c r="N30" s="45">
        <v>-45000000</v>
      </c>
      <c r="O30" s="45">
        <v>114000000</v>
      </c>
      <c r="P30" s="45">
        <v>266000000</v>
      </c>
    </row>
    <row r="31" spans="1:16">
      <c r="A31" t="s">
        <v>291</v>
      </c>
      <c r="K31">
        <v>0</v>
      </c>
      <c r="L31">
        <v>0</v>
      </c>
      <c r="M31" s="45">
        <v>4000000</v>
      </c>
      <c r="N31" s="45">
        <v>-1000000</v>
      </c>
      <c r="O31" s="45">
        <v>56000000</v>
      </c>
      <c r="P31" s="45">
        <v>5000000</v>
      </c>
    </row>
    <row r="32" spans="1:16">
      <c r="A32" t="s">
        <v>292</v>
      </c>
      <c r="O32">
        <v>0</v>
      </c>
      <c r="P32">
        <v>0</v>
      </c>
    </row>
    <row r="33" spans="1:16">
      <c r="A33" t="s">
        <v>293</v>
      </c>
      <c r="O33" s="45">
        <v>-2000000</v>
      </c>
      <c r="P33" s="45">
        <v>-1000000</v>
      </c>
    </row>
    <row r="34" spans="1:16">
      <c r="A34" t="s">
        <v>294</v>
      </c>
      <c r="B34">
        <v>0</v>
      </c>
      <c r="C34">
        <v>0</v>
      </c>
      <c r="D34">
        <v>0</v>
      </c>
      <c r="E34">
        <v>0</v>
      </c>
      <c r="F34" s="45">
        <v>-1000000</v>
      </c>
      <c r="G34">
        <v>0</v>
      </c>
      <c r="I34" s="45">
        <v>-2000000</v>
      </c>
      <c r="J34" s="45">
        <v>2000000</v>
      </c>
      <c r="K34" s="45">
        <v>1000000</v>
      </c>
      <c r="L34" s="45">
        <v>2000000</v>
      </c>
      <c r="M34" s="45">
        <v>11000000</v>
      </c>
      <c r="N34" s="45">
        <v>3000000</v>
      </c>
      <c r="O34" s="45">
        <v>-2000000</v>
      </c>
      <c r="P34" s="45">
        <v>-1000000</v>
      </c>
    </row>
    <row r="35" spans="1:16">
      <c r="A35" t="s">
        <v>295</v>
      </c>
      <c r="B35" s="45">
        <v>-703000000</v>
      </c>
      <c r="C35" s="45">
        <v>-703000000</v>
      </c>
      <c r="D35" s="45">
        <v>766000000</v>
      </c>
      <c r="E35" s="45">
        <v>769000000</v>
      </c>
      <c r="F35" s="45">
        <v>249000000</v>
      </c>
      <c r="G35" s="45">
        <v>204000000</v>
      </c>
      <c r="H35" s="45">
        <v>124000000</v>
      </c>
      <c r="I35" s="45">
        <v>344000000</v>
      </c>
      <c r="J35" s="45">
        <v>207000000</v>
      </c>
      <c r="K35" s="45">
        <v>88000000</v>
      </c>
      <c r="L35" s="45">
        <v>113000000</v>
      </c>
      <c r="M35" s="45">
        <v>66000000</v>
      </c>
      <c r="N35" s="45">
        <v>-43000000</v>
      </c>
      <c r="O35" s="45">
        <v>170000000</v>
      </c>
      <c r="P35" s="45">
        <v>271000000</v>
      </c>
    </row>
    <row r="36" spans="1:16">
      <c r="A36" t="s">
        <v>296</v>
      </c>
      <c r="D36">
        <v>7.33</v>
      </c>
      <c r="E36">
        <v>6.79</v>
      </c>
      <c r="F36">
        <v>1.99</v>
      </c>
      <c r="G36">
        <v>1.53</v>
      </c>
      <c r="H36">
        <v>0.87</v>
      </c>
      <c r="I36">
        <v>2.25</v>
      </c>
      <c r="J36">
        <v>1.3</v>
      </c>
      <c r="K36">
        <v>0.53</v>
      </c>
      <c r="L36">
        <v>0.67</v>
      </c>
      <c r="M36">
        <v>0.38</v>
      </c>
      <c r="N36">
        <v>-0.28000000000000003</v>
      </c>
      <c r="O36">
        <v>1.31</v>
      </c>
      <c r="P36">
        <v>2.0099999999999998</v>
      </c>
    </row>
    <row r="37" spans="1:16">
      <c r="A37" t="s">
        <v>297</v>
      </c>
      <c r="D37">
        <v>7.21</v>
      </c>
      <c r="E37">
        <v>6.68</v>
      </c>
      <c r="F37">
        <v>1.97</v>
      </c>
      <c r="G37">
        <v>1.52</v>
      </c>
      <c r="H37">
        <v>0.86</v>
      </c>
      <c r="I37">
        <v>2.23</v>
      </c>
      <c r="J37">
        <v>1.3</v>
      </c>
      <c r="K37">
        <v>0.53</v>
      </c>
      <c r="L37">
        <v>0.67</v>
      </c>
      <c r="M37">
        <v>0.38</v>
      </c>
      <c r="N37">
        <v>-0.28000000000000003</v>
      </c>
      <c r="O37">
        <v>1.31</v>
      </c>
      <c r="P37">
        <v>2.0099999999999998</v>
      </c>
    </row>
    <row r="38" spans="1:16">
      <c r="A38" t="s">
        <v>298</v>
      </c>
      <c r="D38" s="45">
        <v>104600000</v>
      </c>
      <c r="E38" s="45">
        <v>113300000</v>
      </c>
      <c r="F38" s="45">
        <v>124800000</v>
      </c>
      <c r="G38" s="45">
        <v>132930578</v>
      </c>
      <c r="H38" s="45">
        <v>142800000</v>
      </c>
      <c r="I38" s="45">
        <v>153100000</v>
      </c>
      <c r="J38" s="45">
        <v>158500000</v>
      </c>
      <c r="K38" s="45">
        <v>165017485</v>
      </c>
      <c r="L38" s="45">
        <v>168800000</v>
      </c>
      <c r="M38" s="45">
        <v>174115200</v>
      </c>
      <c r="N38" s="45">
        <v>153571429</v>
      </c>
      <c r="O38" s="45">
        <v>128037000</v>
      </c>
      <c r="P38" s="45">
        <v>134585000</v>
      </c>
    </row>
    <row r="39" spans="1:16">
      <c r="A39" t="s">
        <v>299</v>
      </c>
      <c r="D39" s="45">
        <v>106300000</v>
      </c>
      <c r="E39" s="45">
        <v>115100000</v>
      </c>
      <c r="F39" s="45">
        <v>126300000</v>
      </c>
      <c r="G39" s="45">
        <v>133939331</v>
      </c>
      <c r="H39" s="45">
        <v>144000000</v>
      </c>
      <c r="I39" s="45">
        <v>154400000</v>
      </c>
      <c r="J39" s="45">
        <v>159200000</v>
      </c>
      <c r="K39" s="45">
        <v>165377328</v>
      </c>
      <c r="L39" s="45">
        <v>169200000</v>
      </c>
      <c r="M39" s="45">
        <v>174354202</v>
      </c>
      <c r="N39" s="45">
        <v>153571429</v>
      </c>
      <c r="O39" s="45">
        <v>128061000</v>
      </c>
      <c r="P39" s="45">
        <v>134634000</v>
      </c>
    </row>
    <row r="40" spans="1:16">
      <c r="A40" t="s">
        <v>300</v>
      </c>
      <c r="B40" s="45">
        <v>2698000000</v>
      </c>
      <c r="C40" s="45">
        <v>2698000000</v>
      </c>
      <c r="D40" s="45">
        <v>4823000000</v>
      </c>
      <c r="E40" s="45">
        <v>4122000000</v>
      </c>
      <c r="F40" s="45">
        <v>4383000000</v>
      </c>
      <c r="G40" s="45">
        <v>4130000000</v>
      </c>
      <c r="H40" s="45">
        <v>4005000000</v>
      </c>
      <c r="I40" s="45">
        <v>4136000000</v>
      </c>
      <c r="J40" s="45">
        <v>3951000000</v>
      </c>
      <c r="K40" s="45">
        <v>3790000000</v>
      </c>
      <c r="L40" s="45">
        <v>3545000000</v>
      </c>
      <c r="M40" s="45">
        <v>3419000000</v>
      </c>
      <c r="N40" s="45">
        <v>3284000000</v>
      </c>
      <c r="O40" s="45">
        <v>3473000000</v>
      </c>
      <c r="P40" s="45">
        <v>3353000000</v>
      </c>
    </row>
    <row r="41" spans="1:16">
      <c r="A41" t="s">
        <v>301</v>
      </c>
      <c r="B41" s="45">
        <v>-703000000</v>
      </c>
      <c r="C41" s="45">
        <v>-703000000</v>
      </c>
      <c r="D41" s="45">
        <v>766000000</v>
      </c>
      <c r="E41" s="45">
        <v>769000000</v>
      </c>
      <c r="F41" s="45">
        <v>249000000</v>
      </c>
      <c r="G41" s="45">
        <v>204000000</v>
      </c>
      <c r="H41" s="45">
        <v>124000000</v>
      </c>
      <c r="I41" s="45">
        <v>344000000</v>
      </c>
      <c r="J41" s="45">
        <v>207000000</v>
      </c>
      <c r="K41" s="45">
        <v>88000000</v>
      </c>
      <c r="L41" s="45">
        <v>113000000</v>
      </c>
      <c r="M41" s="45">
        <v>66000000</v>
      </c>
      <c r="N41" s="45">
        <v>-43000000</v>
      </c>
      <c r="O41" s="45">
        <v>172000000</v>
      </c>
      <c r="P41" s="45">
        <v>272000000</v>
      </c>
    </row>
    <row r="42" spans="1:16">
      <c r="A42" t="s">
        <v>302</v>
      </c>
      <c r="B42" s="45">
        <v>-612964000</v>
      </c>
      <c r="C42" s="45">
        <v>-612964000</v>
      </c>
      <c r="D42" s="45">
        <v>106213000</v>
      </c>
      <c r="E42" s="45">
        <v>213217000</v>
      </c>
      <c r="F42" s="45">
        <v>201000000</v>
      </c>
      <c r="G42" s="45">
        <v>213165000</v>
      </c>
      <c r="H42" s="45">
        <v>108688000</v>
      </c>
      <c r="I42" s="45">
        <v>141687000</v>
      </c>
      <c r="J42" s="45">
        <v>106196000</v>
      </c>
      <c r="K42" s="45">
        <v>78830000</v>
      </c>
      <c r="L42" s="45">
        <v>124050000</v>
      </c>
      <c r="M42" s="45">
        <v>13900000</v>
      </c>
      <c r="N42" s="122">
        <v>-14181818.182</v>
      </c>
      <c r="O42" s="45">
        <v>180350000</v>
      </c>
      <c r="P42" s="45">
        <v>188350000</v>
      </c>
    </row>
    <row r="43" spans="1:16">
      <c r="A43" t="s">
        <v>303</v>
      </c>
      <c r="B43" s="45">
        <v>30000000</v>
      </c>
      <c r="C43" s="45">
        <v>30000000</v>
      </c>
      <c r="D43" s="45">
        <v>25000000</v>
      </c>
      <c r="E43" s="45">
        <v>28000000</v>
      </c>
      <c r="F43" s="45">
        <v>101000000</v>
      </c>
      <c r="G43" s="45">
        <v>19000000</v>
      </c>
      <c r="H43" s="45">
        <v>8000000</v>
      </c>
      <c r="I43" s="45">
        <v>11000000</v>
      </c>
      <c r="J43" s="45">
        <v>17000000</v>
      </c>
      <c r="K43" s="45">
        <v>23000000</v>
      </c>
    </row>
    <row r="44" spans="1:16">
      <c r="A44" t="s">
        <v>304</v>
      </c>
      <c r="B44" s="45">
        <v>128000000</v>
      </c>
      <c r="C44" s="45">
        <v>128000000</v>
      </c>
      <c r="D44" s="45">
        <v>75000000</v>
      </c>
      <c r="E44" s="45">
        <v>76000000</v>
      </c>
      <c r="F44" s="45">
        <v>80000000</v>
      </c>
      <c r="G44" s="45">
        <v>76000000</v>
      </c>
      <c r="H44" s="45">
        <v>68000000</v>
      </c>
      <c r="I44" s="45">
        <v>71000000</v>
      </c>
      <c r="J44" s="45">
        <v>65000000</v>
      </c>
      <c r="K44" s="45">
        <v>70000000</v>
      </c>
      <c r="L44" s="45">
        <v>57000000</v>
      </c>
      <c r="M44" s="45">
        <v>54000000</v>
      </c>
      <c r="N44" s="45">
        <v>56000000</v>
      </c>
      <c r="O44" s="45">
        <v>75000000</v>
      </c>
      <c r="P44" s="45">
        <v>43000000</v>
      </c>
    </row>
    <row r="45" spans="1:16">
      <c r="A45" t="s">
        <v>305</v>
      </c>
      <c r="B45" s="45">
        <v>-98000000</v>
      </c>
      <c r="C45" s="45">
        <v>-98000000</v>
      </c>
      <c r="D45" s="45">
        <v>-50000000</v>
      </c>
      <c r="E45" s="45">
        <v>-48000000</v>
      </c>
      <c r="F45" s="45">
        <v>21000000</v>
      </c>
      <c r="G45" s="45">
        <v>-57000000</v>
      </c>
      <c r="H45" s="45">
        <v>-60000000</v>
      </c>
      <c r="I45" s="45">
        <v>-60000000</v>
      </c>
      <c r="J45" s="45">
        <v>-48000000</v>
      </c>
      <c r="K45" s="45">
        <v>-47000000</v>
      </c>
      <c r="L45" s="45">
        <v>-57000000</v>
      </c>
      <c r="M45" s="45">
        <v>-54000000</v>
      </c>
      <c r="N45" s="45">
        <v>-56000000</v>
      </c>
      <c r="O45" s="45">
        <v>-75000000</v>
      </c>
      <c r="P45" s="45">
        <v>-43000000</v>
      </c>
    </row>
    <row r="46" spans="1:16">
      <c r="A46" t="s">
        <v>306</v>
      </c>
      <c r="B46" s="45">
        <v>-832000000</v>
      </c>
      <c r="C46" s="45">
        <v>-832000000</v>
      </c>
      <c r="D46" s="45">
        <v>1081000000</v>
      </c>
      <c r="E46" s="45">
        <v>1027000000</v>
      </c>
      <c r="F46" s="45">
        <v>653000000</v>
      </c>
      <c r="G46" s="45">
        <v>365000000</v>
      </c>
      <c r="H46" s="45">
        <v>262000000</v>
      </c>
      <c r="I46" s="45">
        <v>596000000</v>
      </c>
      <c r="J46" s="45">
        <v>386000000</v>
      </c>
      <c r="K46" s="45">
        <v>165000000</v>
      </c>
      <c r="L46" s="45">
        <v>140000000</v>
      </c>
      <c r="M46" s="45">
        <v>142000000</v>
      </c>
      <c r="N46" s="45">
        <v>1000000</v>
      </c>
      <c r="O46" s="45">
        <v>279000000</v>
      </c>
      <c r="P46" s="45">
        <v>517000000</v>
      </c>
    </row>
    <row r="47" spans="1:16">
      <c r="A47" t="s">
        <v>103</v>
      </c>
      <c r="B47" s="45">
        <v>-491000000</v>
      </c>
    </row>
    <row r="48" spans="1:16">
      <c r="A48" t="s">
        <v>307</v>
      </c>
      <c r="B48" s="45">
        <v>2036000000</v>
      </c>
      <c r="C48" s="45">
        <v>2036000000</v>
      </c>
      <c r="D48" s="45">
        <v>4042000000</v>
      </c>
      <c r="E48" s="45">
        <v>3475000000</v>
      </c>
      <c r="F48" s="45">
        <v>3638000000</v>
      </c>
      <c r="G48" s="45">
        <v>3473000000</v>
      </c>
      <c r="H48" s="45">
        <v>3377000000</v>
      </c>
      <c r="I48" s="45">
        <v>3433000000</v>
      </c>
      <c r="J48" s="45">
        <v>3283000000</v>
      </c>
      <c r="K48" s="45">
        <v>3121000000</v>
      </c>
      <c r="L48" s="45">
        <v>2957000000</v>
      </c>
      <c r="M48" s="45">
        <v>2864000000</v>
      </c>
      <c r="N48" s="45">
        <v>2753000000</v>
      </c>
      <c r="O48" s="45">
        <v>2934000000</v>
      </c>
      <c r="P48" s="45">
        <v>2847000000</v>
      </c>
    </row>
    <row r="49" spans="1:16">
      <c r="A49" t="s">
        <v>308</v>
      </c>
      <c r="B49" s="45">
        <v>341000000</v>
      </c>
      <c r="C49" s="45">
        <v>341000000</v>
      </c>
      <c r="D49" s="45">
        <v>364000000</v>
      </c>
      <c r="E49" s="45">
        <v>327000000</v>
      </c>
      <c r="F49" s="45">
        <v>366000000</v>
      </c>
      <c r="G49" s="45">
        <v>342000000</v>
      </c>
      <c r="H49" s="45">
        <v>320000000</v>
      </c>
      <c r="I49" s="45">
        <v>354000000</v>
      </c>
      <c r="J49" s="45">
        <v>345000000</v>
      </c>
      <c r="K49" s="45">
        <v>353000000</v>
      </c>
      <c r="L49" s="45">
        <v>305000000</v>
      </c>
      <c r="M49" s="45">
        <v>279000000</v>
      </c>
      <c r="N49" s="45">
        <v>270000000</v>
      </c>
      <c r="O49" s="45">
        <v>249000000</v>
      </c>
      <c r="P49" s="45">
        <v>214000000</v>
      </c>
    </row>
    <row r="50" spans="1:16">
      <c r="A50" t="s">
        <v>309</v>
      </c>
      <c r="B50" s="45">
        <v>-703000000</v>
      </c>
      <c r="C50" s="45">
        <v>-703000000</v>
      </c>
      <c r="D50" s="45">
        <v>766000000</v>
      </c>
      <c r="E50" s="45">
        <v>769000000</v>
      </c>
      <c r="F50" s="45">
        <v>249000000</v>
      </c>
      <c r="G50" s="45">
        <v>204000000</v>
      </c>
      <c r="H50" s="45">
        <v>124000000</v>
      </c>
      <c r="I50" s="45">
        <v>344000000</v>
      </c>
      <c r="J50" s="45">
        <v>207000000</v>
      </c>
      <c r="K50" s="45">
        <v>88000000</v>
      </c>
      <c r="L50" s="45">
        <v>113000000</v>
      </c>
      <c r="M50" s="45">
        <v>62000000</v>
      </c>
      <c r="N50" s="45">
        <v>-42000000</v>
      </c>
      <c r="O50" s="45">
        <v>116000000</v>
      </c>
      <c r="P50" s="45">
        <v>267000000</v>
      </c>
    </row>
    <row r="51" spans="1:16">
      <c r="A51" t="s">
        <v>310</v>
      </c>
      <c r="B51" s="45">
        <v>-123000000</v>
      </c>
      <c r="C51" s="45">
        <v>-123000000</v>
      </c>
      <c r="D51" s="45">
        <v>867000000</v>
      </c>
      <c r="E51" s="45">
        <v>687000000</v>
      </c>
      <c r="F51" s="45">
        <v>80000000</v>
      </c>
      <c r="G51" s="45">
        <v>-13000000</v>
      </c>
      <c r="H51" s="45">
        <v>24000000</v>
      </c>
      <c r="I51" s="45">
        <v>307000000</v>
      </c>
      <c r="J51" s="45">
        <v>158000000</v>
      </c>
      <c r="K51" s="45">
        <v>10000000</v>
      </c>
      <c r="L51" s="45">
        <v>-17000000</v>
      </c>
      <c r="M51" s="45">
        <v>74000000</v>
      </c>
      <c r="N51" s="45">
        <v>-34000000</v>
      </c>
      <c r="O51" s="45">
        <v>-99000000</v>
      </c>
      <c r="P51" s="45">
        <v>121000000</v>
      </c>
    </row>
    <row r="52" spans="1:16">
      <c r="A52" t="s">
        <v>311</v>
      </c>
      <c r="B52" s="45">
        <v>-123000000</v>
      </c>
      <c r="C52" s="45">
        <v>-123000000</v>
      </c>
      <c r="D52" s="45">
        <v>867000000</v>
      </c>
      <c r="E52" s="45">
        <v>687000000</v>
      </c>
      <c r="F52" s="45">
        <v>80000000</v>
      </c>
      <c r="G52" s="45">
        <v>-13000000</v>
      </c>
      <c r="H52" s="45">
        <v>24000000</v>
      </c>
      <c r="I52" s="45">
        <v>307000000</v>
      </c>
      <c r="J52" s="45">
        <v>158000000</v>
      </c>
      <c r="K52" s="45">
        <v>10000000</v>
      </c>
      <c r="L52" s="45">
        <v>-17000000</v>
      </c>
      <c r="M52" s="45">
        <v>74000000</v>
      </c>
      <c r="N52" s="45">
        <v>-34000000</v>
      </c>
      <c r="O52" s="45">
        <v>-99000000</v>
      </c>
      <c r="P52" s="45">
        <v>121000000</v>
      </c>
    </row>
    <row r="53" spans="1:16">
      <c r="A53" t="s">
        <v>312</v>
      </c>
      <c r="B53" s="45">
        <v>-368000000</v>
      </c>
      <c r="C53" s="45">
        <v>-368000000</v>
      </c>
      <c r="D53" s="45">
        <v>578000000</v>
      </c>
      <c r="E53" s="45">
        <v>667000000</v>
      </c>
      <c r="F53" s="45">
        <v>939000000</v>
      </c>
      <c r="G53" s="45">
        <v>720000000</v>
      </c>
      <c r="H53" s="45">
        <v>558000000</v>
      </c>
      <c r="I53" s="45">
        <v>643000000</v>
      </c>
      <c r="J53" s="45">
        <v>573000000</v>
      </c>
      <c r="K53" s="45">
        <v>508000000</v>
      </c>
      <c r="L53" s="45">
        <v>462000000</v>
      </c>
      <c r="M53" s="45">
        <v>347000000</v>
      </c>
      <c r="N53" s="45">
        <v>305000000</v>
      </c>
      <c r="O53" s="45">
        <v>627000000</v>
      </c>
      <c r="P53" s="45">
        <v>610000000</v>
      </c>
    </row>
    <row r="54" spans="1:16">
      <c r="A54" t="s">
        <v>313</v>
      </c>
      <c r="B54">
        <v>0.26800000000000002</v>
      </c>
      <c r="C54">
        <v>0.26800000000000002</v>
      </c>
      <c r="D54">
        <v>0.23899999999999999</v>
      </c>
      <c r="E54">
        <v>0.191</v>
      </c>
      <c r="F54">
        <v>0.4</v>
      </c>
      <c r="G54">
        <v>0.29499999999999998</v>
      </c>
      <c r="H54">
        <v>0.36199999999999999</v>
      </c>
      <c r="I54">
        <v>0.34100000000000003</v>
      </c>
      <c r="J54">
        <v>0.36199999999999999</v>
      </c>
      <c r="K54">
        <v>8.3000000000000004E-2</v>
      </c>
      <c r="L54">
        <v>0.35</v>
      </c>
      <c r="M54">
        <v>0.35</v>
      </c>
      <c r="N54">
        <v>0.182</v>
      </c>
      <c r="O54">
        <v>0.35</v>
      </c>
      <c r="P54">
        <v>0.35</v>
      </c>
    </row>
    <row r="55" spans="1:16">
      <c r="A55" t="s">
        <v>314</v>
      </c>
      <c r="B55" s="45">
        <v>-32964000</v>
      </c>
      <c r="C55" s="45">
        <v>-32964000</v>
      </c>
      <c r="D55" s="45">
        <v>207213000</v>
      </c>
      <c r="E55" s="45">
        <v>131217000</v>
      </c>
      <c r="F55" s="45">
        <v>32000000</v>
      </c>
      <c r="G55" s="45">
        <v>-3835000</v>
      </c>
      <c r="H55" s="45">
        <v>8688000</v>
      </c>
      <c r="I55" s="45">
        <v>104687000</v>
      </c>
      <c r="J55" s="45">
        <v>57196000</v>
      </c>
      <c r="K55" s="45">
        <v>830000</v>
      </c>
      <c r="L55" s="45">
        <v>-5950000</v>
      </c>
      <c r="M55" s="45">
        <v>25900000</v>
      </c>
      <c r="N55" s="122">
        <v>-6181818.182</v>
      </c>
      <c r="O55" s="45">
        <v>-34650000</v>
      </c>
      <c r="P55" s="45">
        <v>42350000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E1DE-7F91-4F27-A935-163C5D6FF376}">
  <sheetPr>
    <tabColor rgb="FF0066FF"/>
  </sheetPr>
  <dimension ref="B1:Y98"/>
  <sheetViews>
    <sheetView showGridLines="0" topLeftCell="A27" zoomScale="110" zoomScaleNormal="110" workbookViewId="0">
      <selection activeCell="B32" sqref="B32:U48"/>
    </sheetView>
  </sheetViews>
  <sheetFormatPr defaultColWidth="24.42578125" defaultRowHeight="15"/>
  <cols>
    <col min="1" max="1" width="3.85546875" style="1" customWidth="1"/>
    <col min="2" max="2" width="27.42578125" style="10" customWidth="1"/>
    <col min="3" max="9" width="10" style="10" bestFit="1" customWidth="1"/>
    <col min="10" max="13" width="10" style="3" bestFit="1" customWidth="1"/>
    <col min="14" max="15" width="10" style="10" bestFit="1" customWidth="1"/>
    <col min="16" max="16" width="10" bestFit="1" customWidth="1"/>
    <col min="17" max="17" width="10" style="4" bestFit="1" customWidth="1"/>
    <col min="18" max="19" width="10" style="1" bestFit="1" customWidth="1"/>
    <col min="20" max="20" width="10.7109375" style="74" bestFit="1" customWidth="1"/>
    <col min="21" max="21" width="10.7109375" style="1" bestFit="1" customWidth="1"/>
    <col min="22" max="22" width="5.85546875" style="1" customWidth="1"/>
    <col min="23" max="23" width="52.42578125" style="1" bestFit="1" customWidth="1"/>
    <col min="24" max="24" width="11.140625" style="1" customWidth="1"/>
    <col min="25" max="266" width="24.42578125" style="1"/>
    <col min="267" max="267" width="3.85546875" style="1" customWidth="1"/>
    <col min="268" max="268" width="32.28515625" style="1" customWidth="1"/>
    <col min="269" max="272" width="13.85546875" style="1" customWidth="1"/>
    <col min="273" max="276" width="7.5703125" style="1" customWidth="1"/>
    <col min="277" max="522" width="24.42578125" style="1"/>
    <col min="523" max="523" width="3.85546875" style="1" customWidth="1"/>
    <col min="524" max="524" width="32.28515625" style="1" customWidth="1"/>
    <col min="525" max="528" width="13.85546875" style="1" customWidth="1"/>
    <col min="529" max="532" width="7.5703125" style="1" customWidth="1"/>
    <col min="533" max="778" width="24.42578125" style="1"/>
    <col min="779" max="779" width="3.85546875" style="1" customWidth="1"/>
    <col min="780" max="780" width="32.28515625" style="1" customWidth="1"/>
    <col min="781" max="784" width="13.85546875" style="1" customWidth="1"/>
    <col min="785" max="788" width="7.5703125" style="1" customWidth="1"/>
    <col min="789" max="1034" width="24.42578125" style="1"/>
    <col min="1035" max="1035" width="3.85546875" style="1" customWidth="1"/>
    <col min="1036" max="1036" width="32.28515625" style="1" customWidth="1"/>
    <col min="1037" max="1040" width="13.85546875" style="1" customWidth="1"/>
    <col min="1041" max="1044" width="7.5703125" style="1" customWidth="1"/>
    <col min="1045" max="1290" width="24.42578125" style="1"/>
    <col min="1291" max="1291" width="3.85546875" style="1" customWidth="1"/>
    <col min="1292" max="1292" width="32.28515625" style="1" customWidth="1"/>
    <col min="1293" max="1296" width="13.85546875" style="1" customWidth="1"/>
    <col min="1297" max="1300" width="7.5703125" style="1" customWidth="1"/>
    <col min="1301" max="1546" width="24.42578125" style="1"/>
    <col min="1547" max="1547" width="3.85546875" style="1" customWidth="1"/>
    <col min="1548" max="1548" width="32.28515625" style="1" customWidth="1"/>
    <col min="1549" max="1552" width="13.85546875" style="1" customWidth="1"/>
    <col min="1553" max="1556" width="7.5703125" style="1" customWidth="1"/>
    <col min="1557" max="1802" width="24.42578125" style="1"/>
    <col min="1803" max="1803" width="3.85546875" style="1" customWidth="1"/>
    <col min="1804" max="1804" width="32.28515625" style="1" customWidth="1"/>
    <col min="1805" max="1808" width="13.85546875" style="1" customWidth="1"/>
    <col min="1809" max="1812" width="7.5703125" style="1" customWidth="1"/>
    <col min="1813" max="2058" width="24.42578125" style="1"/>
    <col min="2059" max="2059" width="3.85546875" style="1" customWidth="1"/>
    <col min="2060" max="2060" width="32.28515625" style="1" customWidth="1"/>
    <col min="2061" max="2064" width="13.85546875" style="1" customWidth="1"/>
    <col min="2065" max="2068" width="7.5703125" style="1" customWidth="1"/>
    <col min="2069" max="2314" width="24.42578125" style="1"/>
    <col min="2315" max="2315" width="3.85546875" style="1" customWidth="1"/>
    <col min="2316" max="2316" width="32.28515625" style="1" customWidth="1"/>
    <col min="2317" max="2320" width="13.85546875" style="1" customWidth="1"/>
    <col min="2321" max="2324" width="7.5703125" style="1" customWidth="1"/>
    <col min="2325" max="2570" width="24.42578125" style="1"/>
    <col min="2571" max="2571" width="3.85546875" style="1" customWidth="1"/>
    <col min="2572" max="2572" width="32.28515625" style="1" customWidth="1"/>
    <col min="2573" max="2576" width="13.85546875" style="1" customWidth="1"/>
    <col min="2577" max="2580" width="7.5703125" style="1" customWidth="1"/>
    <col min="2581" max="2826" width="24.42578125" style="1"/>
    <col min="2827" max="2827" width="3.85546875" style="1" customWidth="1"/>
    <col min="2828" max="2828" width="32.28515625" style="1" customWidth="1"/>
    <col min="2829" max="2832" width="13.85546875" style="1" customWidth="1"/>
    <col min="2833" max="2836" width="7.5703125" style="1" customWidth="1"/>
    <col min="2837" max="3082" width="24.42578125" style="1"/>
    <col min="3083" max="3083" width="3.85546875" style="1" customWidth="1"/>
    <col min="3084" max="3084" width="32.28515625" style="1" customWidth="1"/>
    <col min="3085" max="3088" width="13.85546875" style="1" customWidth="1"/>
    <col min="3089" max="3092" width="7.5703125" style="1" customWidth="1"/>
    <col min="3093" max="3338" width="24.42578125" style="1"/>
    <col min="3339" max="3339" width="3.85546875" style="1" customWidth="1"/>
    <col min="3340" max="3340" width="32.28515625" style="1" customWidth="1"/>
    <col min="3341" max="3344" width="13.85546875" style="1" customWidth="1"/>
    <col min="3345" max="3348" width="7.5703125" style="1" customWidth="1"/>
    <col min="3349" max="3594" width="24.42578125" style="1"/>
    <col min="3595" max="3595" width="3.85546875" style="1" customWidth="1"/>
    <col min="3596" max="3596" width="32.28515625" style="1" customWidth="1"/>
    <col min="3597" max="3600" width="13.85546875" style="1" customWidth="1"/>
    <col min="3601" max="3604" width="7.5703125" style="1" customWidth="1"/>
    <col min="3605" max="3850" width="24.42578125" style="1"/>
    <col min="3851" max="3851" width="3.85546875" style="1" customWidth="1"/>
    <col min="3852" max="3852" width="32.28515625" style="1" customWidth="1"/>
    <col min="3853" max="3856" width="13.85546875" style="1" customWidth="1"/>
    <col min="3857" max="3860" width="7.5703125" style="1" customWidth="1"/>
    <col min="3861" max="4106" width="24.42578125" style="1"/>
    <col min="4107" max="4107" width="3.85546875" style="1" customWidth="1"/>
    <col min="4108" max="4108" width="32.28515625" style="1" customWidth="1"/>
    <col min="4109" max="4112" width="13.85546875" style="1" customWidth="1"/>
    <col min="4113" max="4116" width="7.5703125" style="1" customWidth="1"/>
    <col min="4117" max="4362" width="24.42578125" style="1"/>
    <col min="4363" max="4363" width="3.85546875" style="1" customWidth="1"/>
    <col min="4364" max="4364" width="32.28515625" style="1" customWidth="1"/>
    <col min="4365" max="4368" width="13.85546875" style="1" customWidth="1"/>
    <col min="4369" max="4372" width="7.5703125" style="1" customWidth="1"/>
    <col min="4373" max="4618" width="24.42578125" style="1"/>
    <col min="4619" max="4619" width="3.85546875" style="1" customWidth="1"/>
    <col min="4620" max="4620" width="32.28515625" style="1" customWidth="1"/>
    <col min="4621" max="4624" width="13.85546875" style="1" customWidth="1"/>
    <col min="4625" max="4628" width="7.5703125" style="1" customWidth="1"/>
    <col min="4629" max="4874" width="24.42578125" style="1"/>
    <col min="4875" max="4875" width="3.85546875" style="1" customWidth="1"/>
    <col min="4876" max="4876" width="32.28515625" style="1" customWidth="1"/>
    <col min="4877" max="4880" width="13.85546875" style="1" customWidth="1"/>
    <col min="4881" max="4884" width="7.5703125" style="1" customWidth="1"/>
    <col min="4885" max="5130" width="24.42578125" style="1"/>
    <col min="5131" max="5131" width="3.85546875" style="1" customWidth="1"/>
    <col min="5132" max="5132" width="32.28515625" style="1" customWidth="1"/>
    <col min="5133" max="5136" width="13.85546875" style="1" customWidth="1"/>
    <col min="5137" max="5140" width="7.5703125" style="1" customWidth="1"/>
    <col min="5141" max="5386" width="24.42578125" style="1"/>
    <col min="5387" max="5387" width="3.85546875" style="1" customWidth="1"/>
    <col min="5388" max="5388" width="32.28515625" style="1" customWidth="1"/>
    <col min="5389" max="5392" width="13.85546875" style="1" customWidth="1"/>
    <col min="5393" max="5396" width="7.5703125" style="1" customWidth="1"/>
    <col min="5397" max="5642" width="24.42578125" style="1"/>
    <col min="5643" max="5643" width="3.85546875" style="1" customWidth="1"/>
    <col min="5644" max="5644" width="32.28515625" style="1" customWidth="1"/>
    <col min="5645" max="5648" width="13.85546875" style="1" customWidth="1"/>
    <col min="5649" max="5652" width="7.5703125" style="1" customWidth="1"/>
    <col min="5653" max="5898" width="24.42578125" style="1"/>
    <col min="5899" max="5899" width="3.85546875" style="1" customWidth="1"/>
    <col min="5900" max="5900" width="32.28515625" style="1" customWidth="1"/>
    <col min="5901" max="5904" width="13.85546875" style="1" customWidth="1"/>
    <col min="5905" max="5908" width="7.5703125" style="1" customWidth="1"/>
    <col min="5909" max="6154" width="24.42578125" style="1"/>
    <col min="6155" max="6155" width="3.85546875" style="1" customWidth="1"/>
    <col min="6156" max="6156" width="32.28515625" style="1" customWidth="1"/>
    <col min="6157" max="6160" width="13.85546875" style="1" customWidth="1"/>
    <col min="6161" max="6164" width="7.5703125" style="1" customWidth="1"/>
    <col min="6165" max="6410" width="24.42578125" style="1"/>
    <col min="6411" max="6411" width="3.85546875" style="1" customWidth="1"/>
    <col min="6412" max="6412" width="32.28515625" style="1" customWidth="1"/>
    <col min="6413" max="6416" width="13.85546875" style="1" customWidth="1"/>
    <col min="6417" max="6420" width="7.5703125" style="1" customWidth="1"/>
    <col min="6421" max="6666" width="24.42578125" style="1"/>
    <col min="6667" max="6667" width="3.85546875" style="1" customWidth="1"/>
    <col min="6668" max="6668" width="32.28515625" style="1" customWidth="1"/>
    <col min="6669" max="6672" width="13.85546875" style="1" customWidth="1"/>
    <col min="6673" max="6676" width="7.5703125" style="1" customWidth="1"/>
    <col min="6677" max="6922" width="24.42578125" style="1"/>
    <col min="6923" max="6923" width="3.85546875" style="1" customWidth="1"/>
    <col min="6924" max="6924" width="32.28515625" style="1" customWidth="1"/>
    <col min="6925" max="6928" width="13.85546875" style="1" customWidth="1"/>
    <col min="6929" max="6932" width="7.5703125" style="1" customWidth="1"/>
    <col min="6933" max="7178" width="24.42578125" style="1"/>
    <col min="7179" max="7179" width="3.85546875" style="1" customWidth="1"/>
    <col min="7180" max="7180" width="32.28515625" style="1" customWidth="1"/>
    <col min="7181" max="7184" width="13.85546875" style="1" customWidth="1"/>
    <col min="7185" max="7188" width="7.5703125" style="1" customWidth="1"/>
    <col min="7189" max="7434" width="24.42578125" style="1"/>
    <col min="7435" max="7435" width="3.85546875" style="1" customWidth="1"/>
    <col min="7436" max="7436" width="32.28515625" style="1" customWidth="1"/>
    <col min="7437" max="7440" width="13.85546875" style="1" customWidth="1"/>
    <col min="7441" max="7444" width="7.5703125" style="1" customWidth="1"/>
    <col min="7445" max="7690" width="24.42578125" style="1"/>
    <col min="7691" max="7691" width="3.85546875" style="1" customWidth="1"/>
    <col min="7692" max="7692" width="32.28515625" style="1" customWidth="1"/>
    <col min="7693" max="7696" width="13.85546875" style="1" customWidth="1"/>
    <col min="7697" max="7700" width="7.5703125" style="1" customWidth="1"/>
    <col min="7701" max="7946" width="24.42578125" style="1"/>
    <col min="7947" max="7947" width="3.85546875" style="1" customWidth="1"/>
    <col min="7948" max="7948" width="32.28515625" style="1" customWidth="1"/>
    <col min="7949" max="7952" width="13.85546875" style="1" customWidth="1"/>
    <col min="7953" max="7956" width="7.5703125" style="1" customWidth="1"/>
    <col min="7957" max="8202" width="24.42578125" style="1"/>
    <col min="8203" max="8203" width="3.85546875" style="1" customWidth="1"/>
    <col min="8204" max="8204" width="32.28515625" style="1" customWidth="1"/>
    <col min="8205" max="8208" width="13.85546875" style="1" customWidth="1"/>
    <col min="8209" max="8212" width="7.5703125" style="1" customWidth="1"/>
    <col min="8213" max="8458" width="24.42578125" style="1"/>
    <col min="8459" max="8459" width="3.85546875" style="1" customWidth="1"/>
    <col min="8460" max="8460" width="32.28515625" style="1" customWidth="1"/>
    <col min="8461" max="8464" width="13.85546875" style="1" customWidth="1"/>
    <col min="8465" max="8468" width="7.5703125" style="1" customWidth="1"/>
    <col min="8469" max="8714" width="24.42578125" style="1"/>
    <col min="8715" max="8715" width="3.85546875" style="1" customWidth="1"/>
    <col min="8716" max="8716" width="32.28515625" style="1" customWidth="1"/>
    <col min="8717" max="8720" width="13.85546875" style="1" customWidth="1"/>
    <col min="8721" max="8724" width="7.5703125" style="1" customWidth="1"/>
    <col min="8725" max="8970" width="24.42578125" style="1"/>
    <col min="8971" max="8971" width="3.85546875" style="1" customWidth="1"/>
    <col min="8972" max="8972" width="32.28515625" style="1" customWidth="1"/>
    <col min="8973" max="8976" width="13.85546875" style="1" customWidth="1"/>
    <col min="8977" max="8980" width="7.5703125" style="1" customWidth="1"/>
    <col min="8981" max="9226" width="24.42578125" style="1"/>
    <col min="9227" max="9227" width="3.85546875" style="1" customWidth="1"/>
    <col min="9228" max="9228" width="32.28515625" style="1" customWidth="1"/>
    <col min="9229" max="9232" width="13.85546875" style="1" customWidth="1"/>
    <col min="9233" max="9236" width="7.5703125" style="1" customWidth="1"/>
    <col min="9237" max="9482" width="24.42578125" style="1"/>
    <col min="9483" max="9483" width="3.85546875" style="1" customWidth="1"/>
    <col min="9484" max="9484" width="32.28515625" style="1" customWidth="1"/>
    <col min="9485" max="9488" width="13.85546875" style="1" customWidth="1"/>
    <col min="9489" max="9492" width="7.5703125" style="1" customWidth="1"/>
    <col min="9493" max="9738" width="24.42578125" style="1"/>
    <col min="9739" max="9739" width="3.85546875" style="1" customWidth="1"/>
    <col min="9740" max="9740" width="32.28515625" style="1" customWidth="1"/>
    <col min="9741" max="9744" width="13.85546875" style="1" customWidth="1"/>
    <col min="9745" max="9748" width="7.5703125" style="1" customWidth="1"/>
    <col min="9749" max="9994" width="24.42578125" style="1"/>
    <col min="9995" max="9995" width="3.85546875" style="1" customWidth="1"/>
    <col min="9996" max="9996" width="32.28515625" style="1" customWidth="1"/>
    <col min="9997" max="10000" width="13.85546875" style="1" customWidth="1"/>
    <col min="10001" max="10004" width="7.5703125" style="1" customWidth="1"/>
    <col min="10005" max="10250" width="24.42578125" style="1"/>
    <col min="10251" max="10251" width="3.85546875" style="1" customWidth="1"/>
    <col min="10252" max="10252" width="32.28515625" style="1" customWidth="1"/>
    <col min="10253" max="10256" width="13.85546875" style="1" customWidth="1"/>
    <col min="10257" max="10260" width="7.5703125" style="1" customWidth="1"/>
    <col min="10261" max="10506" width="24.42578125" style="1"/>
    <col min="10507" max="10507" width="3.85546875" style="1" customWidth="1"/>
    <col min="10508" max="10508" width="32.28515625" style="1" customWidth="1"/>
    <col min="10509" max="10512" width="13.85546875" style="1" customWidth="1"/>
    <col min="10513" max="10516" width="7.5703125" style="1" customWidth="1"/>
    <col min="10517" max="10762" width="24.42578125" style="1"/>
    <col min="10763" max="10763" width="3.85546875" style="1" customWidth="1"/>
    <col min="10764" max="10764" width="32.28515625" style="1" customWidth="1"/>
    <col min="10765" max="10768" width="13.85546875" style="1" customWidth="1"/>
    <col min="10769" max="10772" width="7.5703125" style="1" customWidth="1"/>
    <col min="10773" max="11018" width="24.42578125" style="1"/>
    <col min="11019" max="11019" width="3.85546875" style="1" customWidth="1"/>
    <col min="11020" max="11020" width="32.28515625" style="1" customWidth="1"/>
    <col min="11021" max="11024" width="13.85546875" style="1" customWidth="1"/>
    <col min="11025" max="11028" width="7.5703125" style="1" customWidth="1"/>
    <col min="11029" max="11274" width="24.42578125" style="1"/>
    <col min="11275" max="11275" width="3.85546875" style="1" customWidth="1"/>
    <col min="11276" max="11276" width="32.28515625" style="1" customWidth="1"/>
    <col min="11277" max="11280" width="13.85546875" style="1" customWidth="1"/>
    <col min="11281" max="11284" width="7.5703125" style="1" customWidth="1"/>
    <col min="11285" max="11530" width="24.42578125" style="1"/>
    <col min="11531" max="11531" width="3.85546875" style="1" customWidth="1"/>
    <col min="11532" max="11532" width="32.28515625" style="1" customWidth="1"/>
    <col min="11533" max="11536" width="13.85546875" style="1" customWidth="1"/>
    <col min="11537" max="11540" width="7.5703125" style="1" customWidth="1"/>
    <col min="11541" max="11786" width="24.42578125" style="1"/>
    <col min="11787" max="11787" width="3.85546875" style="1" customWidth="1"/>
    <col min="11788" max="11788" width="32.28515625" style="1" customWidth="1"/>
    <col min="11789" max="11792" width="13.85546875" style="1" customWidth="1"/>
    <col min="11793" max="11796" width="7.5703125" style="1" customWidth="1"/>
    <col min="11797" max="12042" width="24.42578125" style="1"/>
    <col min="12043" max="12043" width="3.85546875" style="1" customWidth="1"/>
    <col min="12044" max="12044" width="32.28515625" style="1" customWidth="1"/>
    <col min="12045" max="12048" width="13.85546875" style="1" customWidth="1"/>
    <col min="12049" max="12052" width="7.5703125" style="1" customWidth="1"/>
    <col min="12053" max="12298" width="24.42578125" style="1"/>
    <col min="12299" max="12299" width="3.85546875" style="1" customWidth="1"/>
    <col min="12300" max="12300" width="32.28515625" style="1" customWidth="1"/>
    <col min="12301" max="12304" width="13.85546875" style="1" customWidth="1"/>
    <col min="12305" max="12308" width="7.5703125" style="1" customWidth="1"/>
    <col min="12309" max="12554" width="24.42578125" style="1"/>
    <col min="12555" max="12555" width="3.85546875" style="1" customWidth="1"/>
    <col min="12556" max="12556" width="32.28515625" style="1" customWidth="1"/>
    <col min="12557" max="12560" width="13.85546875" style="1" customWidth="1"/>
    <col min="12561" max="12564" width="7.5703125" style="1" customWidth="1"/>
    <col min="12565" max="12810" width="24.42578125" style="1"/>
    <col min="12811" max="12811" width="3.85546875" style="1" customWidth="1"/>
    <col min="12812" max="12812" width="32.28515625" style="1" customWidth="1"/>
    <col min="12813" max="12816" width="13.85546875" style="1" customWidth="1"/>
    <col min="12817" max="12820" width="7.5703125" style="1" customWidth="1"/>
    <col min="12821" max="13066" width="24.42578125" style="1"/>
    <col min="13067" max="13067" width="3.85546875" style="1" customWidth="1"/>
    <col min="13068" max="13068" width="32.28515625" style="1" customWidth="1"/>
    <col min="13069" max="13072" width="13.85546875" style="1" customWidth="1"/>
    <col min="13073" max="13076" width="7.5703125" style="1" customWidth="1"/>
    <col min="13077" max="13322" width="24.42578125" style="1"/>
    <col min="13323" max="13323" width="3.85546875" style="1" customWidth="1"/>
    <col min="13324" max="13324" width="32.28515625" style="1" customWidth="1"/>
    <col min="13325" max="13328" width="13.85546875" style="1" customWidth="1"/>
    <col min="13329" max="13332" width="7.5703125" style="1" customWidth="1"/>
    <col min="13333" max="13578" width="24.42578125" style="1"/>
    <col min="13579" max="13579" width="3.85546875" style="1" customWidth="1"/>
    <col min="13580" max="13580" width="32.28515625" style="1" customWidth="1"/>
    <col min="13581" max="13584" width="13.85546875" style="1" customWidth="1"/>
    <col min="13585" max="13588" width="7.5703125" style="1" customWidth="1"/>
    <col min="13589" max="13834" width="24.42578125" style="1"/>
    <col min="13835" max="13835" width="3.85546875" style="1" customWidth="1"/>
    <col min="13836" max="13836" width="32.28515625" style="1" customWidth="1"/>
    <col min="13837" max="13840" width="13.85546875" style="1" customWidth="1"/>
    <col min="13841" max="13844" width="7.5703125" style="1" customWidth="1"/>
    <col min="13845" max="14090" width="24.42578125" style="1"/>
    <col min="14091" max="14091" width="3.85546875" style="1" customWidth="1"/>
    <col min="14092" max="14092" width="32.28515625" style="1" customWidth="1"/>
    <col min="14093" max="14096" width="13.85546875" style="1" customWidth="1"/>
    <col min="14097" max="14100" width="7.5703125" style="1" customWidth="1"/>
    <col min="14101" max="14346" width="24.42578125" style="1"/>
    <col min="14347" max="14347" width="3.85546875" style="1" customWidth="1"/>
    <col min="14348" max="14348" width="32.28515625" style="1" customWidth="1"/>
    <col min="14349" max="14352" width="13.85546875" style="1" customWidth="1"/>
    <col min="14353" max="14356" width="7.5703125" style="1" customWidth="1"/>
    <col min="14357" max="14602" width="24.42578125" style="1"/>
    <col min="14603" max="14603" width="3.85546875" style="1" customWidth="1"/>
    <col min="14604" max="14604" width="32.28515625" style="1" customWidth="1"/>
    <col min="14605" max="14608" width="13.85546875" style="1" customWidth="1"/>
    <col min="14609" max="14612" width="7.5703125" style="1" customWidth="1"/>
    <col min="14613" max="14858" width="24.42578125" style="1"/>
    <col min="14859" max="14859" width="3.85546875" style="1" customWidth="1"/>
    <col min="14860" max="14860" width="32.28515625" style="1" customWidth="1"/>
    <col min="14861" max="14864" width="13.85546875" style="1" customWidth="1"/>
    <col min="14865" max="14868" width="7.5703125" style="1" customWidth="1"/>
    <col min="14869" max="15114" width="24.42578125" style="1"/>
    <col min="15115" max="15115" width="3.85546875" style="1" customWidth="1"/>
    <col min="15116" max="15116" width="32.28515625" style="1" customWidth="1"/>
    <col min="15117" max="15120" width="13.85546875" style="1" customWidth="1"/>
    <col min="15121" max="15124" width="7.5703125" style="1" customWidth="1"/>
    <col min="15125" max="15370" width="24.42578125" style="1"/>
    <col min="15371" max="15371" width="3.85546875" style="1" customWidth="1"/>
    <col min="15372" max="15372" width="32.28515625" style="1" customWidth="1"/>
    <col min="15373" max="15376" width="13.85546875" style="1" customWidth="1"/>
    <col min="15377" max="15380" width="7.5703125" style="1" customWidth="1"/>
    <col min="15381" max="15626" width="24.42578125" style="1"/>
    <col min="15627" max="15627" width="3.85546875" style="1" customWidth="1"/>
    <col min="15628" max="15628" width="32.28515625" style="1" customWidth="1"/>
    <col min="15629" max="15632" width="13.85546875" style="1" customWidth="1"/>
    <col min="15633" max="15636" width="7.5703125" style="1" customWidth="1"/>
    <col min="15637" max="15882" width="24.42578125" style="1"/>
    <col min="15883" max="15883" width="3.85546875" style="1" customWidth="1"/>
    <col min="15884" max="15884" width="32.28515625" style="1" customWidth="1"/>
    <col min="15885" max="15888" width="13.85546875" style="1" customWidth="1"/>
    <col min="15889" max="15892" width="7.5703125" style="1" customWidth="1"/>
    <col min="15893" max="16138" width="24.42578125" style="1"/>
    <col min="16139" max="16139" width="3.85546875" style="1" customWidth="1"/>
    <col min="16140" max="16140" width="32.28515625" style="1" customWidth="1"/>
    <col min="16141" max="16144" width="13.85546875" style="1" customWidth="1"/>
    <col min="16145" max="16148" width="7.5703125" style="1" customWidth="1"/>
    <col min="16149" max="16384" width="24.42578125" style="1"/>
  </cols>
  <sheetData>
    <row r="1" spans="2:24" ht="19.350000000000001" customHeight="1">
      <c r="B1" s="2" t="s">
        <v>0</v>
      </c>
      <c r="C1" s="2"/>
      <c r="D1" s="2"/>
      <c r="E1" s="2"/>
      <c r="F1" s="2"/>
      <c r="G1" s="2"/>
      <c r="H1" s="2"/>
      <c r="I1" s="2"/>
      <c r="N1" s="2"/>
      <c r="O1" s="2"/>
    </row>
    <row r="2" spans="2:24" ht="10.7" customHeight="1">
      <c r="B2" s="68" t="s">
        <v>231</v>
      </c>
      <c r="C2" s="68"/>
      <c r="D2" s="68"/>
      <c r="E2" s="68"/>
      <c r="F2" s="68"/>
      <c r="G2" s="68"/>
      <c r="H2" s="68"/>
      <c r="I2" s="68"/>
      <c r="N2" s="2"/>
      <c r="O2" s="2"/>
    </row>
    <row r="3" spans="2:24" ht="19.7" customHeight="1">
      <c r="B3" s="5"/>
      <c r="C3" s="5"/>
      <c r="D3" s="5"/>
      <c r="E3" s="5"/>
      <c r="F3" s="5"/>
      <c r="G3" s="5"/>
      <c r="H3" s="5"/>
      <c r="I3" s="5"/>
      <c r="N3" s="5"/>
      <c r="O3" s="5"/>
    </row>
    <row r="4" spans="2:24" ht="19.7" customHeight="1">
      <c r="B4" s="130"/>
      <c r="C4" s="540" t="s">
        <v>233</v>
      </c>
      <c r="D4" s="540"/>
      <c r="E4" s="540"/>
      <c r="F4" s="540"/>
      <c r="G4" s="543"/>
      <c r="H4" s="543"/>
      <c r="I4" s="543"/>
      <c r="J4" s="543"/>
      <c r="K4" s="543"/>
      <c r="L4" s="543"/>
      <c r="M4" s="543"/>
      <c r="N4" s="543"/>
      <c r="O4" s="544"/>
      <c r="P4" s="540" t="s">
        <v>234</v>
      </c>
      <c r="Q4" s="541"/>
      <c r="R4" s="541"/>
      <c r="S4" s="541"/>
      <c r="T4" s="541"/>
      <c r="U4" s="542"/>
    </row>
    <row r="5" spans="2:24" ht="30.6" customHeight="1">
      <c r="B5" s="135"/>
      <c r="C5" s="136" t="s">
        <v>219</v>
      </c>
      <c r="D5" s="136" t="s">
        <v>219</v>
      </c>
      <c r="E5" s="136" t="s">
        <v>219</v>
      </c>
      <c r="F5" s="136" t="s">
        <v>219</v>
      </c>
      <c r="G5" s="136" t="s">
        <v>219</v>
      </c>
      <c r="H5" s="136" t="s">
        <v>219</v>
      </c>
      <c r="I5" s="136" t="s">
        <v>219</v>
      </c>
      <c r="J5" s="136" t="s">
        <v>219</v>
      </c>
      <c r="K5" s="136" t="s">
        <v>219</v>
      </c>
      <c r="L5" s="136" t="s">
        <v>219</v>
      </c>
      <c r="M5" s="136" t="s">
        <v>219</v>
      </c>
      <c r="N5" s="136" t="str">
        <f>+M5</f>
        <v>Dec 31</v>
      </c>
      <c r="O5" s="374" t="str">
        <f>+'Historical Analysis'!C5</f>
        <v>Sep 30</v>
      </c>
      <c r="P5" s="136" t="s">
        <v>219</v>
      </c>
      <c r="Q5" s="136" t="str">
        <f>+P5</f>
        <v>Dec 31</v>
      </c>
      <c r="R5" s="136" t="str">
        <f>+Q5</f>
        <v>Dec 31</v>
      </c>
      <c r="S5" s="136" t="str">
        <f>+R5</f>
        <v>Dec 31</v>
      </c>
      <c r="T5" s="136" t="str">
        <f>+S5</f>
        <v>Dec 31</v>
      </c>
      <c r="U5" s="136" t="str">
        <f>+T5</f>
        <v>Dec 31</v>
      </c>
    </row>
    <row r="6" spans="2:24" s="6" customFormat="1" ht="15" customHeight="1" thickBot="1">
      <c r="B6" s="137" t="s">
        <v>1</v>
      </c>
      <c r="C6" s="138">
        <f>+'Historical Analysis'!O6</f>
        <v>2011</v>
      </c>
      <c r="D6" s="138">
        <f>+'Historical Analysis'!N6</f>
        <v>2012</v>
      </c>
      <c r="E6" s="138">
        <f>+'Historical Analysis'!M6</f>
        <v>2013</v>
      </c>
      <c r="F6" s="138">
        <f>+'Historical Analysis'!L6</f>
        <v>2014</v>
      </c>
      <c r="G6" s="138">
        <f>+'Historical Analysis'!K6</f>
        <v>2015</v>
      </c>
      <c r="H6" s="138">
        <f>+'Historical Analysis'!J6</f>
        <v>2016</v>
      </c>
      <c r="I6" s="138">
        <f>+'Historical Analysis'!I6</f>
        <v>2017</v>
      </c>
      <c r="J6" s="138">
        <f>+'Historical Analysis'!H6</f>
        <v>2018</v>
      </c>
      <c r="K6" s="138">
        <f>+'Historical Analysis'!G6</f>
        <v>2019</v>
      </c>
      <c r="L6" s="138">
        <f>+'Historical Analysis'!F6</f>
        <v>2020</v>
      </c>
      <c r="M6" s="138">
        <f>+'Historical Analysis'!E6</f>
        <v>2021</v>
      </c>
      <c r="N6" s="138">
        <f>+'Historical Analysis'!D6</f>
        <v>2022</v>
      </c>
      <c r="O6" s="357">
        <f>+'Historical Analysis'!C6</f>
        <v>2023</v>
      </c>
      <c r="P6" s="138">
        <f>O6</f>
        <v>2023</v>
      </c>
      <c r="Q6" s="138">
        <f t="shared" ref="Q6:U6" si="0">+P6+1</f>
        <v>2024</v>
      </c>
      <c r="R6" s="138">
        <f t="shared" si="0"/>
        <v>2025</v>
      </c>
      <c r="S6" s="138">
        <f t="shared" si="0"/>
        <v>2026</v>
      </c>
      <c r="T6" s="138">
        <f t="shared" si="0"/>
        <v>2027</v>
      </c>
      <c r="U6" s="138">
        <f t="shared" si="0"/>
        <v>2028</v>
      </c>
    </row>
    <row r="7" spans="2:24" ht="14.45" customHeight="1">
      <c r="B7" s="7" t="s">
        <v>2</v>
      </c>
      <c r="C7" s="98">
        <f>+'Historical Analysis'!O7</f>
        <v>3698000</v>
      </c>
      <c r="D7" s="98">
        <f>+'Historical Analysis'!N7</f>
        <v>3949000</v>
      </c>
      <c r="E7" s="98">
        <f>+'Historical Analysis'!M7</f>
        <v>4184000</v>
      </c>
      <c r="F7" s="98">
        <f>+'Historical Analysis'!L7</f>
        <v>4415000</v>
      </c>
      <c r="G7" s="98">
        <f>+'Historical Analysis'!K7</f>
        <v>4328000</v>
      </c>
      <c r="H7" s="98">
        <f>+'Historical Analysis'!J7</f>
        <v>4265000</v>
      </c>
      <c r="I7" s="98">
        <f>+'Historical Analysis'!I7</f>
        <v>4462000</v>
      </c>
      <c r="J7" s="98">
        <f>+'Historical Analysis'!H7</f>
        <v>4454000</v>
      </c>
      <c r="K7" s="98">
        <f>+'Historical Analysis'!G7</f>
        <v>5020000</v>
      </c>
      <c r="L7" s="98">
        <f>+'Historical Analysis'!F7</f>
        <v>2066000</v>
      </c>
      <c r="M7" s="98">
        <f>+'Historical Analysis'!E7</f>
        <v>3028000</v>
      </c>
      <c r="N7" s="98">
        <f>+'Historical Analysis'!D7</f>
        <v>5891000</v>
      </c>
      <c r="O7" s="358">
        <f>+'Historical Analysis'!C7</f>
        <v>6595000</v>
      </c>
      <c r="P7" s="417">
        <f>+O7*(1+P36)</f>
        <v>7386400.0000000009</v>
      </c>
      <c r="Q7" s="417">
        <f t="shared" ref="Q7:U7" si="1">+P7*(1+Q36)</f>
        <v>8125040.0000000019</v>
      </c>
      <c r="R7" s="417">
        <f t="shared" si="1"/>
        <v>8775043.200000003</v>
      </c>
      <c r="S7" s="417">
        <f t="shared" si="1"/>
        <v>9477046.6560000032</v>
      </c>
      <c r="T7" s="417">
        <f t="shared" si="1"/>
        <v>10235210.388480004</v>
      </c>
      <c r="U7" s="417">
        <f t="shared" si="1"/>
        <v>11054027.219558405</v>
      </c>
      <c r="X7" s="6"/>
    </row>
    <row r="8" spans="2:24" ht="14.45" customHeight="1">
      <c r="B8" s="99" t="s">
        <v>193</v>
      </c>
      <c r="C8" s="359"/>
      <c r="D8" s="360">
        <f t="shared" ref="D8" si="2">+D7/C7-1</f>
        <v>6.7874526771227739E-2</v>
      </c>
      <c r="E8" s="360">
        <f t="shared" ref="E8" si="3">+E7/D7-1</f>
        <v>5.950873638895926E-2</v>
      </c>
      <c r="F8" s="360">
        <f t="shared" ref="F8" si="4">+F7/E7-1</f>
        <v>5.5210325047801101E-2</v>
      </c>
      <c r="G8" s="360">
        <f t="shared" ref="G8" si="5">+G7/F7-1</f>
        <v>-1.9705549263873134E-2</v>
      </c>
      <c r="H8" s="360">
        <f t="shared" ref="H8" si="6">+H7/G7-1</f>
        <v>-1.455637707948243E-2</v>
      </c>
      <c r="I8" s="360">
        <f t="shared" ref="I8" si="7">+I7/H7-1</f>
        <v>4.6189917936694025E-2</v>
      </c>
      <c r="J8" s="360">
        <f t="shared" ref="J8" si="8">+J7/I7-1</f>
        <v>-1.7929179740027168E-3</v>
      </c>
      <c r="K8" s="360">
        <f t="shared" ref="K8" si="9">+K7/J7-1</f>
        <v>0.12707678491243835</v>
      </c>
      <c r="L8" s="360">
        <f t="shared" ref="L8" si="10">+L7/K7-1</f>
        <v>-0.58844621513944229</v>
      </c>
      <c r="M8" s="360">
        <f t="shared" ref="M8" si="11">+M7/L7-1</f>
        <v>0.46563407550822844</v>
      </c>
      <c r="N8" s="360">
        <f t="shared" ref="N8" si="12">+N7/M7-1</f>
        <v>0.94550858652575953</v>
      </c>
      <c r="O8" s="361">
        <f>+O7/N7-1</f>
        <v>0.11950432863690374</v>
      </c>
      <c r="P8" s="418">
        <f>+P7/O7-1</f>
        <v>0.12000000000000011</v>
      </c>
      <c r="Q8" s="418">
        <f t="shared" ref="Q8:U8" si="13">+Q7/P7-1</f>
        <v>0.10000000000000009</v>
      </c>
      <c r="R8" s="418">
        <f t="shared" si="13"/>
        <v>8.0000000000000071E-2</v>
      </c>
      <c r="S8" s="418">
        <f t="shared" si="13"/>
        <v>8.0000000000000071E-2</v>
      </c>
      <c r="T8" s="418">
        <f t="shared" si="13"/>
        <v>8.0000000000000071E-2</v>
      </c>
      <c r="U8" s="418">
        <f t="shared" si="13"/>
        <v>8.0000000000000071E-2</v>
      </c>
      <c r="X8" s="6"/>
    </row>
    <row r="9" spans="2:24" ht="14.45" customHeight="1">
      <c r="B9" s="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58"/>
      <c r="P9" s="417"/>
      <c r="Q9" s="417"/>
      <c r="R9" s="417"/>
      <c r="S9" s="417"/>
      <c r="T9" s="417"/>
      <c r="U9" s="417"/>
      <c r="X9" s="6"/>
    </row>
    <row r="10" spans="2:24" ht="14.45" customHeight="1">
      <c r="B10" s="8" t="s">
        <v>3</v>
      </c>
      <c r="C10" s="92">
        <f>+'Historical Analysis'!O8</f>
        <v>2957000</v>
      </c>
      <c r="D10" s="92">
        <f>+'Historical Analysis'!N8</f>
        <v>3121000</v>
      </c>
      <c r="E10" s="92">
        <f>+'Historical Analysis'!M8</f>
        <v>3283000</v>
      </c>
      <c r="F10" s="92">
        <f>+'Historical Analysis'!L8</f>
        <v>3433000</v>
      </c>
      <c r="G10" s="92">
        <f>+'Historical Analysis'!K8</f>
        <v>3377000</v>
      </c>
      <c r="H10" s="92">
        <f>+'Historical Analysis'!J8</f>
        <v>3356000</v>
      </c>
      <c r="I10" s="92">
        <f>+'Historical Analysis'!I8</f>
        <v>3477000</v>
      </c>
      <c r="J10" s="92">
        <f>+'Historical Analysis'!H8</f>
        <v>3475000</v>
      </c>
      <c r="K10" s="92">
        <f>+'Historical Analysis'!G8</f>
        <v>4077000</v>
      </c>
      <c r="L10" s="92">
        <f>+'Historical Analysis'!F8</f>
        <v>2067000</v>
      </c>
      <c r="M10" s="92">
        <f>+'Historical Analysis'!E8</f>
        <v>2603000</v>
      </c>
      <c r="N10" s="92">
        <f>+'Historical Analysis'!D8</f>
        <v>4603000</v>
      </c>
      <c r="O10" s="362">
        <f>+'Historical Analysis'!C8</f>
        <v>5237000</v>
      </c>
      <c r="P10" s="419">
        <f>P38*P7</f>
        <v>5865440.0000000009</v>
      </c>
      <c r="Q10" s="419">
        <f>Q7*Q38</f>
        <v>6451984.0000000009</v>
      </c>
      <c r="R10" s="419">
        <f t="shared" ref="R10:U10" si="14">+R7*R38</f>
        <v>6968142.7200000025</v>
      </c>
      <c r="S10" s="419">
        <f t="shared" si="14"/>
        <v>7525594.1376000019</v>
      </c>
      <c r="T10" s="419">
        <f t="shared" si="14"/>
        <v>8127641.6686080033</v>
      </c>
      <c r="U10" s="419">
        <f t="shared" si="14"/>
        <v>8777853.0020966437</v>
      </c>
      <c r="X10" s="6"/>
    </row>
    <row r="11" spans="2:24" ht="14.45" customHeight="1">
      <c r="B11" s="8" t="s">
        <v>4</v>
      </c>
      <c r="C11" s="90">
        <f>+C7-C10</f>
        <v>741000</v>
      </c>
      <c r="D11" s="90">
        <f t="shared" ref="D11:E11" si="15">+D7-D10</f>
        <v>828000</v>
      </c>
      <c r="E11" s="90">
        <f t="shared" si="15"/>
        <v>901000</v>
      </c>
      <c r="F11" s="90">
        <f t="shared" ref="F11" si="16">+F7-F10</f>
        <v>982000</v>
      </c>
      <c r="G11" s="90">
        <f t="shared" ref="G11" si="17">+G7-G10</f>
        <v>951000</v>
      </c>
      <c r="H11" s="90">
        <f t="shared" ref="H11" si="18">+H7-H10</f>
        <v>909000</v>
      </c>
      <c r="I11" s="90">
        <f t="shared" ref="I11" si="19">+I7-I10</f>
        <v>985000</v>
      </c>
      <c r="J11" s="90">
        <f t="shared" ref="J11" si="20">+J7-J10</f>
        <v>979000</v>
      </c>
      <c r="K11" s="90">
        <f t="shared" ref="K11" si="21">+K7-K10</f>
        <v>943000</v>
      </c>
      <c r="L11" s="90">
        <f t="shared" ref="L11" si="22">+L7-L10</f>
        <v>-1000</v>
      </c>
      <c r="M11" s="90">
        <f t="shared" ref="M11" si="23">+M7-M10</f>
        <v>425000</v>
      </c>
      <c r="N11" s="90">
        <f t="shared" ref="N11" si="24">+N7-N10</f>
        <v>1288000</v>
      </c>
      <c r="O11" s="363">
        <f>+O7-O10</f>
        <v>1358000</v>
      </c>
      <c r="P11" s="420">
        <f>+P7-P10</f>
        <v>1520960</v>
      </c>
      <c r="Q11" s="420">
        <f t="shared" ref="Q11:U11" si="25">+Q7-Q10</f>
        <v>1673056.0000000009</v>
      </c>
      <c r="R11" s="420">
        <f t="shared" si="25"/>
        <v>1806900.4800000004</v>
      </c>
      <c r="S11" s="420">
        <f t="shared" si="25"/>
        <v>1951452.5184000013</v>
      </c>
      <c r="T11" s="420">
        <f t="shared" si="25"/>
        <v>2107568.7198720006</v>
      </c>
      <c r="U11" s="420">
        <f t="shared" si="25"/>
        <v>2276174.2174617611</v>
      </c>
      <c r="X11" s="6"/>
    </row>
    <row r="12" spans="2:24" ht="14.45" customHeight="1">
      <c r="B12" s="99" t="s">
        <v>232</v>
      </c>
      <c r="C12" s="100">
        <f>+C11/C7</f>
        <v>0.20037858301784747</v>
      </c>
      <c r="D12" s="100">
        <f t="shared" ref="D12:E12" si="26">+D11/D7</f>
        <v>0.20967333502152444</v>
      </c>
      <c r="E12" s="100">
        <f t="shared" si="26"/>
        <v>0.21534416826003824</v>
      </c>
      <c r="F12" s="100">
        <f t="shared" ref="F12" si="27">+F11/F7</f>
        <v>0.22242355605889014</v>
      </c>
      <c r="G12" s="100">
        <f t="shared" ref="G12" si="28">+G11/G7</f>
        <v>0.21973197781885398</v>
      </c>
      <c r="H12" s="100">
        <f t="shared" ref="H12" si="29">+H11/H7</f>
        <v>0.21313012895662367</v>
      </c>
      <c r="I12" s="100">
        <f t="shared" ref="I12" si="30">+I11/I7</f>
        <v>0.22075302554908113</v>
      </c>
      <c r="J12" s="100">
        <f t="shared" ref="J12" si="31">+J11/J7</f>
        <v>0.21980242478670858</v>
      </c>
      <c r="K12" s="100">
        <f t="shared" ref="K12" si="32">+K11/K7</f>
        <v>0.18784860557768923</v>
      </c>
      <c r="L12" s="100">
        <f t="shared" ref="L12" si="33">+L11/L7</f>
        <v>-4.8402710551790902E-4</v>
      </c>
      <c r="M12" s="100">
        <f t="shared" ref="M12" si="34">+M11/M7</f>
        <v>0.14035667107001321</v>
      </c>
      <c r="N12" s="100">
        <f t="shared" ref="N12" si="35">+N11/N7</f>
        <v>0.21863860125615345</v>
      </c>
      <c r="O12" s="364">
        <f>+O11/O7</f>
        <v>0.20591357088703563</v>
      </c>
      <c r="P12" s="421">
        <f>+P11/P7</f>
        <v>0.2059135708870356</v>
      </c>
      <c r="Q12" s="421">
        <f t="shared" ref="Q12:U12" si="36">+Q11/Q7</f>
        <v>0.20591357088703571</v>
      </c>
      <c r="R12" s="421">
        <f t="shared" si="36"/>
        <v>0.2059135708870356</v>
      </c>
      <c r="S12" s="421">
        <f t="shared" si="36"/>
        <v>0.20591357088703571</v>
      </c>
      <c r="T12" s="421">
        <f t="shared" si="36"/>
        <v>0.2059135708870356</v>
      </c>
      <c r="U12" s="421">
        <f t="shared" si="36"/>
        <v>0.20591357088703563</v>
      </c>
      <c r="X12" s="6"/>
    </row>
    <row r="13" spans="2:24" ht="14.45" customHeight="1">
      <c r="B13" s="8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365"/>
      <c r="P13" s="422"/>
      <c r="Q13" s="422"/>
      <c r="R13" s="422"/>
      <c r="S13" s="422"/>
      <c r="T13" s="422"/>
      <c r="U13" s="422"/>
      <c r="X13" s="6"/>
    </row>
    <row r="14" spans="2:24" ht="14.45" customHeight="1">
      <c r="B14" s="7" t="s">
        <v>5</v>
      </c>
      <c r="C14" s="91">
        <f>+'Historical Analysis'!O10</f>
        <v>588000</v>
      </c>
      <c r="D14" s="91">
        <f>+'Historical Analysis'!N10</f>
        <v>669000</v>
      </c>
      <c r="E14" s="91">
        <f>+'Historical Analysis'!M10</f>
        <v>668000</v>
      </c>
      <c r="F14" s="91">
        <f>+'Historical Analysis'!L10</f>
        <v>703000</v>
      </c>
      <c r="G14" s="91">
        <f>+'Historical Analysis'!K10</f>
        <v>628000</v>
      </c>
      <c r="H14" s="91">
        <f>+'Historical Analysis'!J10</f>
        <v>641000</v>
      </c>
      <c r="I14" s="91">
        <f>+'Historical Analysis'!I10</f>
        <v>725000</v>
      </c>
      <c r="J14" s="91">
        <f>+'Historical Analysis'!H10</f>
        <v>647000</v>
      </c>
      <c r="K14" s="91">
        <f>+'Historical Analysis'!G10</f>
        <v>746000</v>
      </c>
      <c r="L14" s="91">
        <f>+'Historical Analysis'!F10</f>
        <v>631000</v>
      </c>
      <c r="M14" s="91">
        <f>+'Historical Analysis'!E10</f>
        <v>676000</v>
      </c>
      <c r="N14" s="91">
        <f>+'Historical Analysis'!D10</f>
        <v>890000</v>
      </c>
      <c r="O14" s="366">
        <f>+'Historical Analysis'!C10</f>
        <v>1006000</v>
      </c>
      <c r="P14" s="423">
        <f>P7*P39</f>
        <v>1126720.0000000002</v>
      </c>
      <c r="Q14" s="423">
        <f t="shared" ref="Q14:U14" si="37">Q7*Q39</f>
        <v>1239392.0000000002</v>
      </c>
      <c r="R14" s="423">
        <f t="shared" si="37"/>
        <v>1338543.3600000006</v>
      </c>
      <c r="S14" s="423">
        <f t="shared" si="37"/>
        <v>1445626.8288000005</v>
      </c>
      <c r="T14" s="423">
        <f t="shared" si="37"/>
        <v>1561276.9751040007</v>
      </c>
      <c r="U14" s="423">
        <f t="shared" si="37"/>
        <v>1686179.1331123207</v>
      </c>
      <c r="X14" s="6"/>
    </row>
    <row r="15" spans="2:24" ht="14.45" customHeight="1" thickBot="1">
      <c r="B15" s="7" t="s">
        <v>6</v>
      </c>
      <c r="C15" s="97">
        <f>+C11-C14</f>
        <v>153000</v>
      </c>
      <c r="D15" s="97">
        <f t="shared" ref="D15:E15" si="38">+D11-D14</f>
        <v>159000</v>
      </c>
      <c r="E15" s="97">
        <f t="shared" si="38"/>
        <v>233000</v>
      </c>
      <c r="F15" s="97">
        <f t="shared" ref="F15" si="39">+F11-F14</f>
        <v>279000</v>
      </c>
      <c r="G15" s="97">
        <f t="shared" ref="G15" si="40">+G11-G14</f>
        <v>323000</v>
      </c>
      <c r="H15" s="97">
        <f t="shared" ref="H15" si="41">+H11-H14</f>
        <v>268000</v>
      </c>
      <c r="I15" s="97">
        <f t="shared" ref="I15" si="42">+I11-I14</f>
        <v>260000</v>
      </c>
      <c r="J15" s="97">
        <f t="shared" ref="J15" si="43">+J11-J14</f>
        <v>332000</v>
      </c>
      <c r="K15" s="97">
        <f t="shared" ref="K15" si="44">+K11-K14</f>
        <v>197000</v>
      </c>
      <c r="L15" s="97">
        <f t="shared" ref="L15" si="45">+L11-L14</f>
        <v>-632000</v>
      </c>
      <c r="M15" s="97">
        <f t="shared" ref="M15" si="46">+M11-M14</f>
        <v>-251000</v>
      </c>
      <c r="N15" s="97">
        <f t="shared" ref="N15" si="47">+N11-N14</f>
        <v>398000</v>
      </c>
      <c r="O15" s="367">
        <f>+O11-O14</f>
        <v>352000</v>
      </c>
      <c r="P15" s="424">
        <f>+P11-P14</f>
        <v>394239.99999999977</v>
      </c>
      <c r="Q15" s="424">
        <f t="shared" ref="Q15:U15" si="48">+Q11-Q14</f>
        <v>433664.0000000007</v>
      </c>
      <c r="R15" s="424">
        <f t="shared" si="48"/>
        <v>468357.11999999988</v>
      </c>
      <c r="S15" s="424">
        <f t="shared" si="48"/>
        <v>505825.68960000086</v>
      </c>
      <c r="T15" s="424">
        <f t="shared" si="48"/>
        <v>546291.74476799998</v>
      </c>
      <c r="U15" s="424">
        <f t="shared" si="48"/>
        <v>589995.08434944041</v>
      </c>
      <c r="X15" s="6"/>
    </row>
    <row r="16" spans="2:24" ht="14.45" customHeight="1" thickTop="1">
      <c r="B16" s="7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62"/>
      <c r="P16" s="425"/>
      <c r="Q16" s="425"/>
      <c r="R16" s="425"/>
      <c r="S16" s="425"/>
      <c r="T16" s="425"/>
      <c r="U16" s="425"/>
      <c r="X16" s="6"/>
    </row>
    <row r="17" spans="2:24" ht="14.45" customHeight="1">
      <c r="B17" s="8" t="s">
        <v>7</v>
      </c>
      <c r="C17" s="91">
        <f>+'Historical Analysis'!O12</f>
        <v>57000</v>
      </c>
      <c r="D17" s="91">
        <f>+'Historical Analysis'!N12</f>
        <v>70000</v>
      </c>
      <c r="E17" s="91">
        <f>+'Historical Analysis'!M12</f>
        <v>65000</v>
      </c>
      <c r="F17" s="91">
        <f>+'Historical Analysis'!L12</f>
        <v>71000</v>
      </c>
      <c r="G17" s="91">
        <f>+'Historical Analysis'!K12</f>
        <v>68000</v>
      </c>
      <c r="H17" s="91">
        <f>+'Historical Analysis'!J12</f>
        <v>76000</v>
      </c>
      <c r="I17" s="91">
        <f>+'Historical Analysis'!I12</f>
        <v>80000</v>
      </c>
      <c r="J17" s="91">
        <f>+'Historical Analysis'!H12</f>
        <v>76000</v>
      </c>
      <c r="K17" s="91">
        <f>+'Historical Analysis'!G12</f>
        <v>75000</v>
      </c>
      <c r="L17" s="91">
        <f>+'Historical Analysis'!F12</f>
        <v>128000</v>
      </c>
      <c r="M17" s="91">
        <f>+'Historical Analysis'!E12</f>
        <v>163000</v>
      </c>
      <c r="N17" s="91">
        <f>+'Historical Analysis'!D12</f>
        <v>150000</v>
      </c>
      <c r="O17" s="366">
        <f>+'Historical Analysis'!C12</f>
        <v>139000</v>
      </c>
      <c r="P17" s="426"/>
      <c r="Q17" s="426"/>
      <c r="R17" s="426"/>
      <c r="S17" s="426"/>
      <c r="T17" s="426"/>
      <c r="U17" s="426"/>
      <c r="X17" s="6"/>
    </row>
    <row r="18" spans="2:24" ht="14.45" customHeight="1">
      <c r="B18" s="8" t="s">
        <v>8</v>
      </c>
      <c r="C18" s="92">
        <f t="shared" ref="C18" si="49">+C15-C17</f>
        <v>96000</v>
      </c>
      <c r="D18" s="92">
        <f t="shared" ref="D18:E18" si="50">+D15-D17</f>
        <v>89000</v>
      </c>
      <c r="E18" s="92">
        <f t="shared" si="50"/>
        <v>168000</v>
      </c>
      <c r="F18" s="92">
        <f t="shared" ref="F18:N18" si="51">+F15-F17</f>
        <v>208000</v>
      </c>
      <c r="G18" s="92">
        <f t="shared" si="51"/>
        <v>255000</v>
      </c>
      <c r="H18" s="92">
        <f t="shared" si="51"/>
        <v>192000</v>
      </c>
      <c r="I18" s="92">
        <f t="shared" si="51"/>
        <v>180000</v>
      </c>
      <c r="J18" s="92">
        <f t="shared" si="51"/>
        <v>256000</v>
      </c>
      <c r="K18" s="92">
        <f t="shared" si="51"/>
        <v>122000</v>
      </c>
      <c r="L18" s="92">
        <f t="shared" si="51"/>
        <v>-760000</v>
      </c>
      <c r="M18" s="92">
        <f t="shared" si="51"/>
        <v>-414000</v>
      </c>
      <c r="N18" s="92">
        <f t="shared" si="51"/>
        <v>248000</v>
      </c>
      <c r="O18" s="362">
        <f>+O15-O17</f>
        <v>213000</v>
      </c>
      <c r="P18" s="426"/>
      <c r="Q18" s="426"/>
      <c r="R18" s="426"/>
      <c r="S18" s="426"/>
      <c r="T18" s="426"/>
      <c r="U18" s="426"/>
      <c r="X18" s="6"/>
    </row>
    <row r="19" spans="2:24" ht="14.45" customHeight="1">
      <c r="B19" s="8" t="s">
        <v>9</v>
      </c>
      <c r="C19" s="91">
        <f>+'Historical Analysis'!O14</f>
        <v>13000</v>
      </c>
      <c r="D19" s="91">
        <f>+'Historical Analysis'!N14</f>
        <v>-6000</v>
      </c>
      <c r="E19" s="91">
        <f>+'Historical Analysis'!M14</f>
        <v>-153000</v>
      </c>
      <c r="F19" s="91">
        <f>+'Historical Analysis'!L14</f>
        <v>-317000</v>
      </c>
      <c r="G19" s="91">
        <f>+'Historical Analysis'!K14</f>
        <v>61000</v>
      </c>
      <c r="H19" s="91">
        <f>+'Historical Analysis'!J14</f>
        <v>-90000</v>
      </c>
      <c r="I19" s="91">
        <f>+'Historical Analysis'!I14</f>
        <v>-542000</v>
      </c>
      <c r="J19" s="91">
        <f>+'Historical Analysis'!H14</f>
        <v>-695000</v>
      </c>
      <c r="K19" s="91">
        <f>+'Historical Analysis'!G14</f>
        <v>-884000</v>
      </c>
      <c r="L19" s="91">
        <f>+'Historical Analysis'!F14</f>
        <v>200000</v>
      </c>
      <c r="M19" s="91">
        <f>+'Historical Analysis'!E14</f>
        <v>-458000</v>
      </c>
      <c r="N19" s="91">
        <f>+'Historical Analysis'!D14</f>
        <v>-115000</v>
      </c>
      <c r="O19" s="366">
        <f>+'Historical Analysis'!C14</f>
        <v>-147000</v>
      </c>
      <c r="P19" s="426"/>
      <c r="Q19" s="426"/>
      <c r="R19" s="426"/>
      <c r="S19" s="426"/>
      <c r="T19" s="426"/>
      <c r="U19" s="426"/>
      <c r="X19" s="6"/>
    </row>
    <row r="20" spans="2:24" ht="14.45" customHeight="1">
      <c r="B20" s="8" t="s">
        <v>10</v>
      </c>
      <c r="C20" s="95">
        <f>+'Historical Analysis'!O15</f>
        <v>83000</v>
      </c>
      <c r="D20" s="95">
        <f>+'Historical Analysis'!N15</f>
        <v>95000</v>
      </c>
      <c r="E20" s="95">
        <f>+'Historical Analysis'!M15</f>
        <v>321000</v>
      </c>
      <c r="F20" s="95">
        <f>+'Historical Analysis'!L15</f>
        <v>525000</v>
      </c>
      <c r="G20" s="95">
        <f>+'Historical Analysis'!K15</f>
        <v>194000</v>
      </c>
      <c r="H20" s="95">
        <f>+'Historical Analysis'!J15</f>
        <v>282000</v>
      </c>
      <c r="I20" s="95">
        <f>+'Historical Analysis'!I15</f>
        <v>722000</v>
      </c>
      <c r="J20" s="95">
        <f>+'Historical Analysis'!H15</f>
        <v>951000</v>
      </c>
      <c r="K20" s="95">
        <f>+'Historical Analysis'!G15</f>
        <v>1006000</v>
      </c>
      <c r="L20" s="95">
        <f>+'Historical Analysis'!F15</f>
        <v>-960000</v>
      </c>
      <c r="M20" s="95">
        <f>+'Historical Analysis'!E15</f>
        <v>44000</v>
      </c>
      <c r="N20" s="95">
        <f>+'Historical Analysis'!D15</f>
        <v>363000</v>
      </c>
      <c r="O20" s="365">
        <f>+'Historical Analysis'!C15</f>
        <v>360000</v>
      </c>
      <c r="P20" s="426"/>
      <c r="Q20" s="426"/>
      <c r="R20" s="426"/>
      <c r="S20" s="426"/>
      <c r="T20" s="426"/>
      <c r="U20" s="426"/>
      <c r="X20" s="6"/>
    </row>
    <row r="21" spans="2:24" ht="14.45" customHeight="1">
      <c r="B21" s="8" t="s">
        <v>11</v>
      </c>
      <c r="C21" s="95">
        <f>+'Historical Analysis'!O16</f>
        <v>-28000</v>
      </c>
      <c r="D21" s="95">
        <f>+'Historical Analysis'!N16</f>
        <v>8000</v>
      </c>
      <c r="E21" s="95">
        <f>+'Historical Analysis'!M16</f>
        <v>116000</v>
      </c>
      <c r="F21" s="95">
        <f>+'Historical Analysis'!L16</f>
        <v>179000</v>
      </c>
      <c r="G21" s="95">
        <f>+'Historical Analysis'!K16</f>
        <v>70000</v>
      </c>
      <c r="H21" s="95">
        <f>+'Historical Analysis'!J16</f>
        <v>76000</v>
      </c>
      <c r="I21" s="95">
        <f>+'Historical Analysis'!I16</f>
        <v>332000</v>
      </c>
      <c r="J21" s="95">
        <f>+'Historical Analysis'!H16</f>
        <v>182000</v>
      </c>
      <c r="K21" s="95">
        <f>+'Historical Analysis'!G16</f>
        <v>240000</v>
      </c>
      <c r="L21" s="95">
        <f>+'Historical Analysis'!F16</f>
        <v>-257000</v>
      </c>
      <c r="M21" s="95">
        <f>+'Historical Analysis'!E16</f>
        <v>266000</v>
      </c>
      <c r="N21" s="95">
        <f>+'Historical Analysis'!D16</f>
        <v>-92000</v>
      </c>
      <c r="O21" s="365">
        <f>+'Historical Analysis'!C16</f>
        <v>-128000</v>
      </c>
      <c r="P21" s="426"/>
      <c r="Q21" s="426"/>
      <c r="R21" s="426"/>
      <c r="S21" s="426"/>
      <c r="T21" s="426"/>
      <c r="U21" s="426"/>
    </row>
    <row r="22" spans="2:24" ht="14.45" customHeight="1" thickBot="1">
      <c r="B22" s="7" t="s">
        <v>12</v>
      </c>
      <c r="C22" s="94">
        <f>+'Historical Analysis'!O17</f>
        <v>111000</v>
      </c>
      <c r="D22" s="94">
        <f>+'Historical Analysis'!N17</f>
        <v>87000</v>
      </c>
      <c r="E22" s="94">
        <f>+'Historical Analysis'!M17</f>
        <v>205000</v>
      </c>
      <c r="F22" s="94">
        <f>+'Historical Analysis'!L17</f>
        <v>346000</v>
      </c>
      <c r="G22" s="94">
        <f>+'Historical Analysis'!K17</f>
        <v>124000</v>
      </c>
      <c r="H22" s="94">
        <f>+'Historical Analysis'!J17</f>
        <v>206000</v>
      </c>
      <c r="I22" s="94">
        <f>+'Historical Analysis'!I17</f>
        <v>390000</v>
      </c>
      <c r="J22" s="94">
        <f>+'Historical Analysis'!H17</f>
        <v>769000</v>
      </c>
      <c r="K22" s="94">
        <f>+'Historical Analysis'!G17</f>
        <v>766000</v>
      </c>
      <c r="L22" s="94">
        <f>+'Historical Analysis'!F17</f>
        <v>-703000</v>
      </c>
      <c r="M22" s="94">
        <f>+'Historical Analysis'!E17</f>
        <v>-222000</v>
      </c>
      <c r="N22" s="94">
        <f>+'Historical Analysis'!D17</f>
        <v>455000</v>
      </c>
      <c r="O22" s="368">
        <f>+O20-O21</f>
        <v>488000</v>
      </c>
      <c r="P22" s="426"/>
      <c r="Q22" s="426"/>
      <c r="R22" s="426"/>
      <c r="S22" s="426"/>
      <c r="T22" s="426"/>
      <c r="U22" s="426"/>
    </row>
    <row r="23" spans="2:24" ht="14.45" customHeight="1" thickTop="1"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70"/>
      <c r="P23" s="426"/>
      <c r="Q23" s="426"/>
      <c r="R23" s="426"/>
      <c r="S23" s="426"/>
      <c r="T23" s="426"/>
      <c r="U23" s="426"/>
    </row>
    <row r="24" spans="2:24" ht="14.45" customHeight="1">
      <c r="B24" s="8" t="s">
        <v>48</v>
      </c>
      <c r="C24" s="95">
        <f>+'Historical Analysis'!O73</f>
        <v>305000</v>
      </c>
      <c r="D24" s="95">
        <f>+'Historical Analysis'!N73</f>
        <v>353000</v>
      </c>
      <c r="E24" s="95">
        <f>+'Historical Analysis'!M73</f>
        <v>345000</v>
      </c>
      <c r="F24" s="95">
        <f>+'Historical Analysis'!L73</f>
        <v>354000</v>
      </c>
      <c r="G24" s="95">
        <f>+'Historical Analysis'!K73</f>
        <v>320000</v>
      </c>
      <c r="H24" s="95">
        <f>+'Historical Analysis'!J73</f>
        <v>326000</v>
      </c>
      <c r="I24" s="95">
        <f>+'Historical Analysis'!I73</f>
        <v>348000</v>
      </c>
      <c r="J24" s="95">
        <f>+'Historical Analysis'!H73</f>
        <v>327000</v>
      </c>
      <c r="K24" s="95">
        <f>+'Historical Analysis'!G73</f>
        <v>329000</v>
      </c>
      <c r="L24" s="95">
        <f>+'Historical Analysis'!F73</f>
        <v>310000</v>
      </c>
      <c r="M24" s="95">
        <f>+'Historical Analysis'!E73</f>
        <v>310000</v>
      </c>
      <c r="N24" s="95">
        <f>+'Historical Analysis'!D73</f>
        <v>426000</v>
      </c>
      <c r="O24" s="365">
        <f>+'Historical Analysis'!C73</f>
        <v>403000</v>
      </c>
      <c r="P24" s="427">
        <f>+P44*P7</f>
        <v>617998.44907617185</v>
      </c>
      <c r="Q24" s="427">
        <f t="shared" ref="Q24:U24" si="52">+Q44*Q7</f>
        <v>679798.29398378916</v>
      </c>
      <c r="R24" s="427">
        <f t="shared" si="52"/>
        <v>734182.15750249242</v>
      </c>
      <c r="S24" s="427">
        <f t="shared" si="52"/>
        <v>792916.7301026918</v>
      </c>
      <c r="T24" s="427">
        <f t="shared" si="52"/>
        <v>856350.06851090712</v>
      </c>
      <c r="U24" s="427">
        <f t="shared" si="52"/>
        <v>924858.0739917797</v>
      </c>
      <c r="V24" s="93"/>
    </row>
    <row r="25" spans="2:24" ht="14.45" customHeight="1">
      <c r="B25" s="8" t="s">
        <v>229</v>
      </c>
      <c r="C25" s="96">
        <f>+'Historical Analysis'!O75</f>
        <v>35000</v>
      </c>
      <c r="D25" s="96">
        <f>+'Historical Analysis'!N75</f>
        <v>-67000</v>
      </c>
      <c r="E25" s="96">
        <f>+'Historical Analysis'!M75</f>
        <v>-31000</v>
      </c>
      <c r="F25" s="96">
        <f>+'Historical Analysis'!L75</f>
        <v>24000</v>
      </c>
      <c r="G25" s="96">
        <f>+'Historical Analysis'!K75</f>
        <v>25000</v>
      </c>
      <c r="H25" s="96">
        <f>+'Historical Analysis'!J75</f>
        <v>-36000</v>
      </c>
      <c r="I25" s="96">
        <f>+'Historical Analysis'!I75</f>
        <v>125000</v>
      </c>
      <c r="J25" s="96">
        <f>+'Historical Analysis'!H75</f>
        <v>-79000</v>
      </c>
      <c r="K25" s="96">
        <f>+'Historical Analysis'!G75</f>
        <v>-13000</v>
      </c>
      <c r="L25" s="96">
        <f>+'Historical Analysis'!F75</f>
        <v>-424000</v>
      </c>
      <c r="M25" s="96">
        <f>+'Historical Analysis'!E75</f>
        <v>388000</v>
      </c>
      <c r="N25" s="96">
        <f>+'Historical Analysis'!D75</f>
        <v>167000</v>
      </c>
      <c r="O25" s="371">
        <f>+'Historical Analysis'!C75</f>
        <v>86000</v>
      </c>
      <c r="P25" s="428">
        <f>-P41*P7</f>
        <v>-22814.389981032578</v>
      </c>
      <c r="Q25" s="428">
        <f t="shared" ref="Q25:U25" si="53">-Q41*Q7</f>
        <v>-25095.82897913584</v>
      </c>
      <c r="R25" s="428">
        <f t="shared" si="53"/>
        <v>-27103.49529746671</v>
      </c>
      <c r="S25" s="428">
        <f t="shared" si="53"/>
        <v>-29271.774921264045</v>
      </c>
      <c r="T25" s="428">
        <f t="shared" si="53"/>
        <v>-31613.51691496517</v>
      </c>
      <c r="U25" s="428">
        <f t="shared" si="53"/>
        <v>-34142.598268162386</v>
      </c>
      <c r="V25" s="96"/>
    </row>
    <row r="26" spans="2:24" ht="14.45" customHeight="1">
      <c r="B26" s="8" t="s">
        <v>50</v>
      </c>
      <c r="C26" s="95">
        <f>+'Historical Analysis'!O78</f>
        <v>-331000</v>
      </c>
      <c r="D26" s="95">
        <f>+'Historical Analysis'!N78</f>
        <v>-301000</v>
      </c>
      <c r="E26" s="95">
        <f>+'Historical Analysis'!M78</f>
        <v>-232000</v>
      </c>
      <c r="F26" s="95">
        <f>+'Historical Analysis'!L78</f>
        <v>-253000</v>
      </c>
      <c r="G26" s="95">
        <f>+'Historical Analysis'!K78</f>
        <v>-269000</v>
      </c>
      <c r="H26" s="95">
        <f>+'Historical Analysis'!J78</f>
        <v>-211000</v>
      </c>
      <c r="I26" s="95">
        <f>+'Historical Analysis'!I78</f>
        <v>-298000</v>
      </c>
      <c r="J26" s="95">
        <f>+'Historical Analysis'!H78</f>
        <v>-297000</v>
      </c>
      <c r="K26" s="95">
        <f>+'Historical Analysis'!G78</f>
        <v>-369000</v>
      </c>
      <c r="L26" s="95">
        <f>+'Historical Analysis'!F78</f>
        <v>-122000</v>
      </c>
      <c r="M26" s="95">
        <f>+'Historical Analysis'!E78</f>
        <v>-111000</v>
      </c>
      <c r="N26" s="95">
        <f>+'Historical Analysis'!D78</f>
        <v>-201000</v>
      </c>
      <c r="O26" s="365">
        <f>+'Historical Analysis'!C78</f>
        <v>-193000</v>
      </c>
      <c r="P26" s="422">
        <f>-P42*P7</f>
        <v>-429648.09494248271</v>
      </c>
      <c r="Q26" s="422">
        <f t="shared" ref="Q26:U26" si="54">-Q42*Q7</f>
        <v>-472612.90443673101</v>
      </c>
      <c r="R26" s="422">
        <f t="shared" si="54"/>
        <v>-510421.93679166958</v>
      </c>
      <c r="S26" s="422">
        <f t="shared" si="54"/>
        <v>-551255.69173500314</v>
      </c>
      <c r="T26" s="422">
        <f t="shared" si="54"/>
        <v>-595356.14707380347</v>
      </c>
      <c r="U26" s="422">
        <f t="shared" si="54"/>
        <v>-642984.63883970771</v>
      </c>
      <c r="V26" s="95"/>
    </row>
    <row r="27" spans="2:24" ht="14.45" customHeight="1">
      <c r="B27" s="2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365"/>
      <c r="P27" s="422"/>
      <c r="Q27" s="422"/>
      <c r="R27" s="422"/>
      <c r="S27" s="422"/>
      <c r="T27" s="422"/>
      <c r="U27" s="422"/>
      <c r="V27" s="45"/>
    </row>
    <row r="28" spans="2:24" ht="14.45" customHeight="1">
      <c r="B28" s="8" t="s">
        <v>35</v>
      </c>
      <c r="C28" s="95">
        <f>+'Historical Analysis'!O49</f>
        <v>0</v>
      </c>
      <c r="D28" s="95">
        <f>+'Historical Analysis'!N49</f>
        <v>0</v>
      </c>
      <c r="E28" s="95">
        <f>+'Historical Analysis'!M49</f>
        <v>0</v>
      </c>
      <c r="F28" s="95">
        <f>+'Historical Analysis'!L49</f>
        <v>0</v>
      </c>
      <c r="G28" s="95">
        <f>+'Historical Analysis'!K49</f>
        <v>0</v>
      </c>
      <c r="H28" s="95">
        <f>+'Historical Analysis'!J49</f>
        <v>0</v>
      </c>
      <c r="I28" s="95">
        <f>+'Historical Analysis'!I49</f>
        <v>0</v>
      </c>
      <c r="J28" s="95">
        <f>+'Historical Analysis'!H49</f>
        <v>11000</v>
      </c>
      <c r="K28" s="95">
        <f>+'Historical Analysis'!G49</f>
        <v>11000</v>
      </c>
      <c r="L28" s="95">
        <f>+'Historical Analysis'!F49</f>
        <v>260000</v>
      </c>
      <c r="M28" s="95">
        <f>+'Historical Analysis'!E49</f>
        <v>10000</v>
      </c>
      <c r="N28" s="95">
        <f>+'Historical Analysis'!D49</f>
        <v>660000</v>
      </c>
      <c r="O28" s="365">
        <f>+'Historical Analysis'!C49</f>
        <v>6000</v>
      </c>
      <c r="P28" s="422"/>
      <c r="Q28" s="422"/>
      <c r="R28" s="422"/>
      <c r="S28" s="422"/>
      <c r="T28" s="422"/>
      <c r="U28" s="422"/>
      <c r="V28"/>
    </row>
    <row r="29" spans="2:24" ht="14.45" customHeight="1">
      <c r="B29" s="8" t="s">
        <v>38</v>
      </c>
      <c r="C29" s="95">
        <f>+'Historical Analysis'!O53</f>
        <v>1221000</v>
      </c>
      <c r="D29" s="95">
        <f>+'Historical Analysis'!N53</f>
        <v>1229000</v>
      </c>
      <c r="E29" s="95">
        <f>+'Historical Analysis'!M53</f>
        <v>1289000</v>
      </c>
      <c r="F29" s="95">
        <f>+'Historical Analysis'!L53</f>
        <v>1381000</v>
      </c>
      <c r="G29" s="95">
        <f>+'Historical Analysis'!K53</f>
        <v>1042000</v>
      </c>
      <c r="H29" s="95">
        <f>+'Historical Analysis'!J53</f>
        <v>1445000</v>
      </c>
      <c r="I29" s="95">
        <f>+'Historical Analysis'!I53</f>
        <v>1440000</v>
      </c>
      <c r="J29" s="95">
        <f>+'Historical Analysis'!H53</f>
        <v>1623000</v>
      </c>
      <c r="K29" s="95">
        <f>+'Historical Analysis'!G53</f>
        <v>1612000</v>
      </c>
      <c r="L29" s="95">
        <f>+'Historical Analysis'!F53</f>
        <v>2984000</v>
      </c>
      <c r="M29" s="95">
        <f>+'Historical Analysis'!E53</f>
        <v>3968000</v>
      </c>
      <c r="N29" s="95">
        <f>+'Historical Analysis'!D53</f>
        <v>2453000</v>
      </c>
      <c r="O29" s="365">
        <f>+'Historical Analysis'!C53</f>
        <v>3049000</v>
      </c>
      <c r="P29" s="422"/>
      <c r="Q29" s="422"/>
      <c r="R29" s="422"/>
      <c r="S29" s="422"/>
      <c r="T29" s="422"/>
      <c r="U29" s="422"/>
      <c r="V29"/>
    </row>
    <row r="30" spans="2:24" ht="14.45" customHeight="1">
      <c r="B30" s="8" t="s">
        <v>128</v>
      </c>
      <c r="C30" s="101">
        <f t="shared" ref="C30" si="55">SUM(C28:C29)</f>
        <v>1221000</v>
      </c>
      <c r="D30" s="101">
        <f t="shared" ref="D30:E30" si="56">SUM(D28:D29)</f>
        <v>1229000</v>
      </c>
      <c r="E30" s="101">
        <f t="shared" si="56"/>
        <v>1289000</v>
      </c>
      <c r="F30" s="101">
        <f t="shared" ref="F30:N30" si="57">SUM(F28:F29)</f>
        <v>1381000</v>
      </c>
      <c r="G30" s="101">
        <f t="shared" si="57"/>
        <v>1042000</v>
      </c>
      <c r="H30" s="101">
        <f t="shared" si="57"/>
        <v>1445000</v>
      </c>
      <c r="I30" s="101">
        <f t="shared" si="57"/>
        <v>1440000</v>
      </c>
      <c r="J30" s="101">
        <f t="shared" si="57"/>
        <v>1634000</v>
      </c>
      <c r="K30" s="101">
        <f t="shared" si="57"/>
        <v>1623000</v>
      </c>
      <c r="L30" s="101">
        <f t="shared" si="57"/>
        <v>3244000</v>
      </c>
      <c r="M30" s="101">
        <f t="shared" si="57"/>
        <v>3978000</v>
      </c>
      <c r="N30" s="101">
        <f t="shared" si="57"/>
        <v>3113000</v>
      </c>
      <c r="O30" s="372">
        <f>+O29+O28</f>
        <v>3055000</v>
      </c>
      <c r="P30" s="429">
        <f>+P46</f>
        <v>2960250</v>
      </c>
      <c r="Q30" s="429">
        <f t="shared" ref="Q30:U30" si="58">+Q46</f>
        <v>2807500</v>
      </c>
      <c r="R30" s="429">
        <f t="shared" si="58"/>
        <v>2654750</v>
      </c>
      <c r="S30" s="429">
        <f t="shared" si="58"/>
        <v>2502000</v>
      </c>
      <c r="T30" s="429">
        <f t="shared" si="58"/>
        <v>2349250</v>
      </c>
      <c r="U30" s="429">
        <f t="shared" si="58"/>
        <v>2196500</v>
      </c>
      <c r="V30"/>
    </row>
    <row r="31" spans="2:24" ht="11.45" customHeight="1">
      <c r="B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373"/>
      <c r="Q31" s="22"/>
      <c r="R31" s="13"/>
      <c r="U31"/>
      <c r="V31" s="45"/>
    </row>
    <row r="32" spans="2:24" ht="19.7" customHeight="1">
      <c r="B32" s="135" t="s">
        <v>140</v>
      </c>
      <c r="C32" s="136" t="s">
        <v>219</v>
      </c>
      <c r="D32" s="136" t="s">
        <v>219</v>
      </c>
      <c r="E32" s="136" t="s">
        <v>219</v>
      </c>
      <c r="F32" s="136" t="s">
        <v>219</v>
      </c>
      <c r="G32" s="136" t="s">
        <v>219</v>
      </c>
      <c r="H32" s="136" t="s">
        <v>219</v>
      </c>
      <c r="I32" s="136" t="s">
        <v>219</v>
      </c>
      <c r="J32" s="136" t="s">
        <v>219</v>
      </c>
      <c r="K32" s="136" t="s">
        <v>219</v>
      </c>
      <c r="L32" s="136" t="s">
        <v>219</v>
      </c>
      <c r="M32" s="136" t="s">
        <v>219</v>
      </c>
      <c r="N32" s="136" t="s">
        <v>219</v>
      </c>
      <c r="O32" s="374" t="str">
        <f>+O5</f>
        <v>Sep 30</v>
      </c>
      <c r="P32" s="136" t="s">
        <v>219</v>
      </c>
      <c r="Q32" s="136" t="str">
        <f>+P32</f>
        <v>Dec 31</v>
      </c>
      <c r="R32" s="136" t="str">
        <f>+Q32</f>
        <v>Dec 31</v>
      </c>
      <c r="S32" s="136" t="str">
        <f>+R32</f>
        <v>Dec 31</v>
      </c>
      <c r="T32" s="136" t="str">
        <f>+S32</f>
        <v>Dec 31</v>
      </c>
      <c r="U32" s="136" t="str">
        <f>+T32</f>
        <v>Dec 31</v>
      </c>
      <c r="V32" s="45"/>
    </row>
    <row r="33" spans="2:25" ht="20.100000000000001" customHeight="1" thickBot="1">
      <c r="B33" s="137"/>
      <c r="C33" s="138">
        <f>+C6</f>
        <v>2011</v>
      </c>
      <c r="D33" s="138">
        <f t="shared" ref="D33:E33" si="59">+D6</f>
        <v>2012</v>
      </c>
      <c r="E33" s="138">
        <f t="shared" si="59"/>
        <v>2013</v>
      </c>
      <c r="F33" s="138">
        <f t="shared" ref="F33:N33" si="60">+F6</f>
        <v>2014</v>
      </c>
      <c r="G33" s="138">
        <f t="shared" si="60"/>
        <v>2015</v>
      </c>
      <c r="H33" s="138">
        <f t="shared" si="60"/>
        <v>2016</v>
      </c>
      <c r="I33" s="138">
        <f t="shared" si="60"/>
        <v>2017</v>
      </c>
      <c r="J33" s="138">
        <f t="shared" si="60"/>
        <v>2018</v>
      </c>
      <c r="K33" s="138">
        <f t="shared" si="60"/>
        <v>2019</v>
      </c>
      <c r="L33" s="138">
        <f t="shared" si="60"/>
        <v>2020</v>
      </c>
      <c r="M33" s="138">
        <f t="shared" si="60"/>
        <v>2021</v>
      </c>
      <c r="N33" s="138">
        <f t="shared" si="60"/>
        <v>2022</v>
      </c>
      <c r="O33" s="357">
        <f>+O6</f>
        <v>2023</v>
      </c>
      <c r="P33" s="138">
        <f t="shared" ref="P33:U33" si="61">+P6</f>
        <v>2023</v>
      </c>
      <c r="Q33" s="138">
        <f t="shared" si="61"/>
        <v>2024</v>
      </c>
      <c r="R33" s="138">
        <f t="shared" si="61"/>
        <v>2025</v>
      </c>
      <c r="S33" s="138">
        <f t="shared" si="61"/>
        <v>2026</v>
      </c>
      <c r="T33" s="138">
        <f t="shared" si="61"/>
        <v>2027</v>
      </c>
      <c r="U33" s="138">
        <f t="shared" si="61"/>
        <v>2028</v>
      </c>
      <c r="V33" s="45"/>
      <c r="W33" s="394" t="s">
        <v>236</v>
      </c>
      <c r="X33" s="139"/>
      <c r="Y33" s="139"/>
    </row>
    <row r="34" spans="2:25" ht="14.45" customHeight="1">
      <c r="B34" s="27" t="s">
        <v>58</v>
      </c>
      <c r="C34" s="24">
        <f>C15+C24</f>
        <v>458000</v>
      </c>
      <c r="D34" s="24">
        <f t="shared" ref="D34:E34" si="62">D15+D24</f>
        <v>512000</v>
      </c>
      <c r="E34" s="24">
        <f t="shared" si="62"/>
        <v>578000</v>
      </c>
      <c r="F34" s="24">
        <f t="shared" ref="F34:O34" si="63">F15+F24</f>
        <v>633000</v>
      </c>
      <c r="G34" s="24">
        <f t="shared" si="63"/>
        <v>643000</v>
      </c>
      <c r="H34" s="24">
        <f t="shared" si="63"/>
        <v>594000</v>
      </c>
      <c r="I34" s="24">
        <f t="shared" si="63"/>
        <v>608000</v>
      </c>
      <c r="J34" s="24">
        <f t="shared" si="63"/>
        <v>659000</v>
      </c>
      <c r="K34" s="24">
        <f t="shared" si="63"/>
        <v>526000</v>
      </c>
      <c r="L34" s="24">
        <f t="shared" si="63"/>
        <v>-322000</v>
      </c>
      <c r="M34" s="24">
        <f t="shared" si="63"/>
        <v>59000</v>
      </c>
      <c r="N34" s="24">
        <f t="shared" si="63"/>
        <v>824000</v>
      </c>
      <c r="O34" s="375">
        <f t="shared" si="63"/>
        <v>755000</v>
      </c>
      <c r="P34" s="24">
        <f t="shared" ref="P34:U34" si="64">P15+P24</f>
        <v>1012238.4490761716</v>
      </c>
      <c r="Q34" s="24">
        <f t="shared" si="64"/>
        <v>1113462.2939837899</v>
      </c>
      <c r="R34" s="24">
        <f t="shared" si="64"/>
        <v>1202539.2775024923</v>
      </c>
      <c r="S34" s="24">
        <f t="shared" si="64"/>
        <v>1298742.4197026927</v>
      </c>
      <c r="T34" s="24">
        <f t="shared" si="64"/>
        <v>1402641.813278907</v>
      </c>
      <c r="U34" s="24">
        <f t="shared" si="64"/>
        <v>1514853.1583412201</v>
      </c>
      <c r="V34" s="45"/>
      <c r="W34" s="51" t="s">
        <v>525</v>
      </c>
    </row>
    <row r="35" spans="2:25" ht="14.45" customHeight="1"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76"/>
      <c r="P35" s="50"/>
      <c r="Q35" s="50"/>
      <c r="R35" s="50"/>
      <c r="S35" s="50"/>
      <c r="T35" s="50"/>
      <c r="U35" s="50"/>
      <c r="V35" s="45"/>
    </row>
    <row r="36" spans="2:25" ht="14.45" customHeight="1">
      <c r="B36" s="25" t="s">
        <v>60</v>
      </c>
      <c r="C36" s="9"/>
      <c r="D36" s="377">
        <f>+D8</f>
        <v>6.7874526771227739E-2</v>
      </c>
      <c r="E36" s="377">
        <f t="shared" ref="E36:N36" si="65">+E8</f>
        <v>5.950873638895926E-2</v>
      </c>
      <c r="F36" s="377">
        <f t="shared" si="65"/>
        <v>5.5210325047801101E-2</v>
      </c>
      <c r="G36" s="377">
        <f t="shared" si="65"/>
        <v>-1.9705549263873134E-2</v>
      </c>
      <c r="H36" s="377">
        <f t="shared" si="65"/>
        <v>-1.455637707948243E-2</v>
      </c>
      <c r="I36" s="377">
        <f t="shared" si="65"/>
        <v>4.6189917936694025E-2</v>
      </c>
      <c r="J36" s="377">
        <f t="shared" si="65"/>
        <v>-1.7929179740027168E-3</v>
      </c>
      <c r="K36" s="377">
        <f t="shared" si="65"/>
        <v>0.12707678491243835</v>
      </c>
      <c r="L36" s="377">
        <f t="shared" si="65"/>
        <v>-0.58844621513944229</v>
      </c>
      <c r="M36" s="377">
        <f t="shared" si="65"/>
        <v>0.46563407550822844</v>
      </c>
      <c r="N36" s="377">
        <f t="shared" si="65"/>
        <v>0.94550858652575953</v>
      </c>
      <c r="O36" s="378">
        <f t="shared" ref="O36" si="66">+O8</f>
        <v>0.11950432863690374</v>
      </c>
      <c r="P36" s="180">
        <v>0.12</v>
      </c>
      <c r="Q36" s="85">
        <v>0.1</v>
      </c>
      <c r="R36" s="85">
        <v>0.08</v>
      </c>
      <c r="S36" s="85">
        <v>0.08</v>
      </c>
      <c r="T36" s="85">
        <v>0.08</v>
      </c>
      <c r="U36" s="85">
        <v>0.08</v>
      </c>
      <c r="W36" s="392" t="s">
        <v>561</v>
      </c>
      <c r="X36" s="393"/>
      <c r="Y36" s="393"/>
    </row>
    <row r="37" spans="2:25" ht="14.45" customHeight="1">
      <c r="B37" s="2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73"/>
      <c r="P37" s="124"/>
      <c r="Q37" s="123"/>
      <c r="R37" s="84"/>
      <c r="S37" s="84"/>
      <c r="T37" s="84"/>
      <c r="U37" s="84"/>
      <c r="W37" s="393"/>
      <c r="X37" s="393"/>
      <c r="Y37" s="393"/>
    </row>
    <row r="38" spans="2:25" ht="14.45" customHeight="1">
      <c r="B38" s="25" t="s">
        <v>226</v>
      </c>
      <c r="C38" s="377">
        <f>C10/C7</f>
        <v>0.7996214169821525</v>
      </c>
      <c r="D38" s="377">
        <f t="shared" ref="D38:E38" si="67">D10/D7</f>
        <v>0.79032666497847559</v>
      </c>
      <c r="E38" s="377">
        <f t="shared" si="67"/>
        <v>0.78465583173996178</v>
      </c>
      <c r="F38" s="377">
        <f t="shared" ref="F38:N38" si="68">F10/F7</f>
        <v>0.77757644394110981</v>
      </c>
      <c r="G38" s="377">
        <f t="shared" si="68"/>
        <v>0.78026802218114599</v>
      </c>
      <c r="H38" s="377">
        <f t="shared" si="68"/>
        <v>0.78686987104337636</v>
      </c>
      <c r="I38" s="377">
        <f t="shared" si="68"/>
        <v>0.77924697445091884</v>
      </c>
      <c r="J38" s="377">
        <f t="shared" si="68"/>
        <v>0.78019757521329147</v>
      </c>
      <c r="K38" s="377">
        <f t="shared" si="68"/>
        <v>0.81215139442231077</v>
      </c>
      <c r="L38" s="377">
        <f t="shared" si="68"/>
        <v>1.000484027105518</v>
      </c>
      <c r="M38" s="377">
        <f t="shared" si="68"/>
        <v>0.85964332892998674</v>
      </c>
      <c r="N38" s="377">
        <f t="shared" si="68"/>
        <v>0.78136139874384658</v>
      </c>
      <c r="O38" s="378">
        <f t="shared" ref="O38" si="69">O10/O7</f>
        <v>0.79408642911296434</v>
      </c>
      <c r="P38" s="124">
        <f>+O38</f>
        <v>0.79408642911296434</v>
      </c>
      <c r="Q38" s="123">
        <f>+P38</f>
        <v>0.79408642911296434</v>
      </c>
      <c r="R38" s="123">
        <f t="shared" ref="R38:U38" si="70">+Q38</f>
        <v>0.79408642911296434</v>
      </c>
      <c r="S38" s="123">
        <f t="shared" si="70"/>
        <v>0.79408642911296434</v>
      </c>
      <c r="T38" s="123">
        <f t="shared" si="70"/>
        <v>0.79408642911296434</v>
      </c>
      <c r="U38" s="123">
        <f t="shared" si="70"/>
        <v>0.79408642911296434</v>
      </c>
      <c r="W38" s="51" t="s">
        <v>531</v>
      </c>
      <c r="X38" s="393"/>
      <c r="Y38" s="393"/>
    </row>
    <row r="39" spans="2:25" ht="14.45" customHeight="1">
      <c r="B39" s="25" t="s">
        <v>227</v>
      </c>
      <c r="C39" s="377">
        <f>C14/C7</f>
        <v>0.15900486749594375</v>
      </c>
      <c r="D39" s="377">
        <f t="shared" ref="D39:N39" si="71">D14/D7</f>
        <v>0.16940997720942011</v>
      </c>
      <c r="E39" s="377">
        <f t="shared" si="71"/>
        <v>0.15965583173996176</v>
      </c>
      <c r="F39" s="377">
        <f t="shared" si="71"/>
        <v>0.15922989807474519</v>
      </c>
      <c r="G39" s="377">
        <f t="shared" si="71"/>
        <v>0.14510166358595195</v>
      </c>
      <c r="H39" s="377">
        <f t="shared" si="71"/>
        <v>0.15029308323563892</v>
      </c>
      <c r="I39" s="377">
        <f t="shared" si="71"/>
        <v>0.16248319139399373</v>
      </c>
      <c r="J39" s="377">
        <f t="shared" si="71"/>
        <v>0.14526268522676247</v>
      </c>
      <c r="K39" s="377">
        <f t="shared" si="71"/>
        <v>0.14860557768924304</v>
      </c>
      <c r="L39" s="377">
        <f t="shared" si="71"/>
        <v>0.30542110358180058</v>
      </c>
      <c r="M39" s="377">
        <f t="shared" si="71"/>
        <v>0.22324966974900926</v>
      </c>
      <c r="N39" s="377">
        <f t="shared" si="71"/>
        <v>0.15107791546426752</v>
      </c>
      <c r="O39" s="378">
        <f t="shared" ref="O39" si="72">O14/O7</f>
        <v>0.15253980288097044</v>
      </c>
      <c r="P39" s="124">
        <f>O39</f>
        <v>0.15253980288097044</v>
      </c>
      <c r="Q39" s="123">
        <f t="shared" ref="Q39:U44" si="73">+P39</f>
        <v>0.15253980288097044</v>
      </c>
      <c r="R39" s="123">
        <f t="shared" si="73"/>
        <v>0.15253980288097044</v>
      </c>
      <c r="S39" s="123">
        <f t="shared" si="73"/>
        <v>0.15253980288097044</v>
      </c>
      <c r="T39" s="123">
        <f t="shared" si="73"/>
        <v>0.15253980288097044</v>
      </c>
      <c r="U39" s="123">
        <f t="shared" si="73"/>
        <v>0.15253980288097044</v>
      </c>
      <c r="W39" s="51" t="s">
        <v>510</v>
      </c>
    </row>
    <row r="40" spans="2:25" ht="14.45" customHeight="1">
      <c r="B40" s="2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373"/>
      <c r="P40" s="124"/>
      <c r="Q40" s="123"/>
      <c r="R40" s="123"/>
      <c r="S40" s="123"/>
      <c r="T40" s="123"/>
      <c r="U40" s="123"/>
      <c r="W40" s="51"/>
    </row>
    <row r="41" spans="2:25" ht="14.45" customHeight="1">
      <c r="B41" s="25" t="s">
        <v>228</v>
      </c>
      <c r="C41" s="377">
        <f>-C25/C7</f>
        <v>-9.4645754461871283E-3</v>
      </c>
      <c r="D41" s="377">
        <f t="shared" ref="D41:E41" si="74">-D25/D7</f>
        <v>1.6966320587490504E-2</v>
      </c>
      <c r="E41" s="377">
        <f t="shared" si="74"/>
        <v>7.4091778202676865E-3</v>
      </c>
      <c r="F41" s="377">
        <f t="shared" ref="F41:N41" si="75">-F25/F7</f>
        <v>-5.4360135900339748E-3</v>
      </c>
      <c r="G41" s="377">
        <f t="shared" si="75"/>
        <v>-5.7763401109057304E-3</v>
      </c>
      <c r="H41" s="377">
        <f t="shared" si="75"/>
        <v>8.440797186400938E-3</v>
      </c>
      <c r="I41" s="377">
        <f t="shared" si="75"/>
        <v>-2.8014343343792023E-2</v>
      </c>
      <c r="J41" s="377">
        <f t="shared" si="75"/>
        <v>1.7736865738661876E-2</v>
      </c>
      <c r="K41" s="377">
        <f t="shared" si="75"/>
        <v>2.5896414342629482E-3</v>
      </c>
      <c r="L41" s="377">
        <f t="shared" si="75"/>
        <v>0.20522749273959343</v>
      </c>
      <c r="M41" s="377">
        <f t="shared" si="75"/>
        <v>-0.12813738441215325</v>
      </c>
      <c r="N41" s="377">
        <f t="shared" si="75"/>
        <v>-2.8348327957901886E-2</v>
      </c>
      <c r="O41" s="378">
        <f t="shared" ref="O41" si="76">-O25/O7</f>
        <v>-1.3040181956027293E-2</v>
      </c>
      <c r="P41" s="124">
        <f>AVERAGE(C41:O41)</f>
        <v>3.088702206898161E-3</v>
      </c>
      <c r="Q41" s="123">
        <f t="shared" si="73"/>
        <v>3.088702206898161E-3</v>
      </c>
      <c r="R41" s="123">
        <f t="shared" si="73"/>
        <v>3.088702206898161E-3</v>
      </c>
      <c r="S41" s="123">
        <f t="shared" si="73"/>
        <v>3.088702206898161E-3</v>
      </c>
      <c r="T41" s="123">
        <f t="shared" si="73"/>
        <v>3.088702206898161E-3</v>
      </c>
      <c r="U41" s="123">
        <f t="shared" si="73"/>
        <v>3.088702206898161E-3</v>
      </c>
      <c r="W41" s="51" t="s">
        <v>499</v>
      </c>
    </row>
    <row r="42" spans="2:25" ht="14.45" customHeight="1">
      <c r="B42" s="25" t="s">
        <v>155</v>
      </c>
      <c r="C42" s="377">
        <f>-C26/C7</f>
        <v>8.9507842076798266E-2</v>
      </c>
      <c r="D42" s="377">
        <f t="shared" ref="D42:E42" si="77">-D26/D7</f>
        <v>7.6221828310964801E-2</v>
      </c>
      <c r="E42" s="377">
        <f t="shared" si="77"/>
        <v>5.5449330783938815E-2</v>
      </c>
      <c r="F42" s="377">
        <f t="shared" ref="F42:N42" si="78">-F26/F7</f>
        <v>5.7304643261608154E-2</v>
      </c>
      <c r="G42" s="377">
        <f t="shared" si="78"/>
        <v>6.2153419593345659E-2</v>
      </c>
      <c r="H42" s="377">
        <f t="shared" si="78"/>
        <v>4.947245017584994E-2</v>
      </c>
      <c r="I42" s="377">
        <f t="shared" si="78"/>
        <v>6.6786194531600174E-2</v>
      </c>
      <c r="J42" s="377">
        <f t="shared" si="78"/>
        <v>6.6681634485855415E-2</v>
      </c>
      <c r="K42" s="377">
        <f t="shared" si="78"/>
        <v>7.3505976095617528E-2</v>
      </c>
      <c r="L42" s="377">
        <f t="shared" si="78"/>
        <v>5.9051306873184897E-2</v>
      </c>
      <c r="M42" s="377">
        <f t="shared" si="78"/>
        <v>3.6657859973579919E-2</v>
      </c>
      <c r="N42" s="377">
        <f t="shared" si="78"/>
        <v>3.4119843829570534E-2</v>
      </c>
      <c r="O42" s="378">
        <f t="shared" ref="O42" si="79">-O26/O7</f>
        <v>2.9264594389689157E-2</v>
      </c>
      <c r="P42" s="124">
        <f>AVERAGE(C42:O42)</f>
        <v>5.8167455721661793E-2</v>
      </c>
      <c r="Q42" s="123">
        <f t="shared" si="73"/>
        <v>5.8167455721661793E-2</v>
      </c>
      <c r="R42" s="123">
        <f t="shared" si="73"/>
        <v>5.8167455721661793E-2</v>
      </c>
      <c r="S42" s="123">
        <f t="shared" si="73"/>
        <v>5.8167455721661793E-2</v>
      </c>
      <c r="T42" s="123">
        <f t="shared" si="73"/>
        <v>5.8167455721661793E-2</v>
      </c>
      <c r="U42" s="123">
        <f t="shared" si="73"/>
        <v>5.8167455721661793E-2</v>
      </c>
      <c r="W42" s="51" t="s">
        <v>511</v>
      </c>
    </row>
    <row r="43" spans="2:25" ht="14.45" customHeight="1">
      <c r="B43" s="25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8"/>
      <c r="P43" s="124"/>
      <c r="Q43" s="123"/>
      <c r="R43" s="123"/>
      <c r="S43" s="123"/>
      <c r="T43" s="123"/>
      <c r="U43" s="123"/>
      <c r="W43" s="51"/>
    </row>
    <row r="44" spans="2:25" ht="14.45" customHeight="1">
      <c r="B44" s="25" t="s">
        <v>153</v>
      </c>
      <c r="C44" s="377">
        <f>C24/C7</f>
        <v>8.2477014602487825E-2</v>
      </c>
      <c r="D44" s="377">
        <f t="shared" ref="D44:E44" si="80">D24/D7</f>
        <v>8.9389718916181318E-2</v>
      </c>
      <c r="E44" s="377">
        <f t="shared" si="80"/>
        <v>8.2456978967495223E-2</v>
      </c>
      <c r="F44" s="377">
        <f t="shared" ref="F44:N44" si="81">F24/F7</f>
        <v>8.0181200453001131E-2</v>
      </c>
      <c r="G44" s="377">
        <f t="shared" si="81"/>
        <v>7.3937153419593352E-2</v>
      </c>
      <c r="H44" s="377">
        <f t="shared" si="81"/>
        <v>7.6436107854630717E-2</v>
      </c>
      <c r="I44" s="377">
        <f t="shared" si="81"/>
        <v>7.7991931869116987E-2</v>
      </c>
      <c r="J44" s="377">
        <f t="shared" si="81"/>
        <v>7.3417153120790307E-2</v>
      </c>
      <c r="K44" s="377">
        <f t="shared" si="81"/>
        <v>6.5537848605577695E-2</v>
      </c>
      <c r="L44" s="377">
        <f t="shared" si="81"/>
        <v>0.15004840271055178</v>
      </c>
      <c r="M44" s="377">
        <f t="shared" si="81"/>
        <v>0.1023778071334214</v>
      </c>
      <c r="N44" s="377">
        <f t="shared" si="81"/>
        <v>7.2313698862671874E-2</v>
      </c>
      <c r="O44" s="378">
        <f t="shared" ref="O44" si="82">O24/O7</f>
        <v>6.1106899166034873E-2</v>
      </c>
      <c r="P44" s="124">
        <f>AVERAGE(C44:O44)</f>
        <v>8.3667070437042648E-2</v>
      </c>
      <c r="Q44" s="123">
        <f t="shared" si="73"/>
        <v>8.3667070437042648E-2</v>
      </c>
      <c r="R44" s="123">
        <f t="shared" si="73"/>
        <v>8.3667070437042648E-2</v>
      </c>
      <c r="S44" s="123">
        <f t="shared" si="73"/>
        <v>8.3667070437042648E-2</v>
      </c>
      <c r="T44" s="123">
        <f t="shared" si="73"/>
        <v>8.3667070437042648E-2</v>
      </c>
      <c r="U44" s="123">
        <f t="shared" si="73"/>
        <v>8.3667070437042648E-2</v>
      </c>
      <c r="W44" s="51" t="s">
        <v>512</v>
      </c>
    </row>
    <row r="45" spans="2:25" ht="14.4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79"/>
      <c r="P45" s="9"/>
      <c r="Q45" s="9"/>
      <c r="R45" s="86"/>
      <c r="S45" s="87"/>
      <c r="T45" s="88"/>
      <c r="U45" s="87"/>
      <c r="W45" s="51"/>
    </row>
    <row r="46" spans="2:25" ht="14.45" customHeight="1">
      <c r="B46" s="68" t="s">
        <v>128</v>
      </c>
      <c r="C46" s="24">
        <f>+C30</f>
        <v>1221000</v>
      </c>
      <c r="D46" s="24">
        <f t="shared" ref="D46:E46" si="83">+D30</f>
        <v>1229000</v>
      </c>
      <c r="E46" s="24">
        <f t="shared" si="83"/>
        <v>1289000</v>
      </c>
      <c r="F46" s="24">
        <f t="shared" ref="F46:O46" si="84">+F30</f>
        <v>1381000</v>
      </c>
      <c r="G46" s="24">
        <f t="shared" si="84"/>
        <v>1042000</v>
      </c>
      <c r="H46" s="24">
        <f t="shared" si="84"/>
        <v>1445000</v>
      </c>
      <c r="I46" s="24">
        <f t="shared" si="84"/>
        <v>1440000</v>
      </c>
      <c r="J46" s="24">
        <f t="shared" si="84"/>
        <v>1634000</v>
      </c>
      <c r="K46" s="24">
        <f t="shared" si="84"/>
        <v>1623000</v>
      </c>
      <c r="L46" s="24">
        <f t="shared" si="84"/>
        <v>3244000</v>
      </c>
      <c r="M46" s="24">
        <f t="shared" si="84"/>
        <v>3978000</v>
      </c>
      <c r="N46" s="24">
        <f t="shared" si="84"/>
        <v>3113000</v>
      </c>
      <c r="O46" s="375">
        <f t="shared" si="84"/>
        <v>3055000</v>
      </c>
      <c r="P46" s="24">
        <f>+N46-P47</f>
        <v>2960250</v>
      </c>
      <c r="Q46" s="24">
        <f t="shared" ref="Q46:U46" si="85">+P46-Q47</f>
        <v>2807500</v>
      </c>
      <c r="R46" s="24">
        <f t="shared" si="85"/>
        <v>2654750</v>
      </c>
      <c r="S46" s="24">
        <f t="shared" si="85"/>
        <v>2502000</v>
      </c>
      <c r="T46" s="24">
        <f t="shared" si="85"/>
        <v>2349250</v>
      </c>
      <c r="U46" s="24">
        <f t="shared" si="85"/>
        <v>2196500</v>
      </c>
    </row>
    <row r="47" spans="2:25" ht="14.45" customHeight="1">
      <c r="B47" s="25" t="s">
        <v>230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79"/>
      <c r="P47" s="9">
        <f>+O46*$P$48</f>
        <v>152750</v>
      </c>
      <c r="Q47" s="9">
        <f>+P47</f>
        <v>152750</v>
      </c>
      <c r="R47" s="9">
        <f t="shared" ref="R47:U47" si="86">+Q47</f>
        <v>152750</v>
      </c>
      <c r="S47" s="9">
        <f t="shared" si="86"/>
        <v>152750</v>
      </c>
      <c r="T47" s="9">
        <f t="shared" si="86"/>
        <v>152750</v>
      </c>
      <c r="U47" s="9">
        <f t="shared" si="86"/>
        <v>152750</v>
      </c>
    </row>
    <row r="48" spans="2:25" ht="14.45" customHeight="1">
      <c r="B48" s="25" t="s">
        <v>558</v>
      </c>
      <c r="C48" s="25"/>
      <c r="D48" s="25"/>
      <c r="E48" s="25"/>
      <c r="F48" s="25"/>
      <c r="G48" s="25"/>
      <c r="H48" s="25"/>
      <c r="I48" s="25"/>
      <c r="J48" s="9"/>
      <c r="K48" s="9"/>
      <c r="L48" s="9"/>
      <c r="M48" s="9"/>
      <c r="N48" s="9"/>
      <c r="O48" s="373"/>
      <c r="P48" s="123">
        <v>0.05</v>
      </c>
      <c r="Q48" s="9"/>
      <c r="R48" s="9"/>
      <c r="S48" s="9"/>
      <c r="T48" s="9"/>
      <c r="U48" s="9"/>
    </row>
    <row r="49" spans="2:18" ht="14.45" customHeight="1">
      <c r="B49" s="25"/>
      <c r="C49" s="25"/>
      <c r="D49" s="25"/>
      <c r="E49" s="25"/>
      <c r="F49" s="25"/>
      <c r="G49" s="25"/>
      <c r="H49" s="25"/>
      <c r="I49" s="25"/>
      <c r="J49" s="9"/>
      <c r="K49" s="9"/>
      <c r="L49" s="9"/>
      <c r="M49" s="9"/>
      <c r="N49" s="9"/>
      <c r="O49" s="9"/>
      <c r="P49" s="9"/>
      <c r="Q49" s="9"/>
      <c r="R49" s="9"/>
    </row>
    <row r="50" spans="2:18" ht="11.45" customHeight="1">
      <c r="B50" s="25"/>
      <c r="C50" s="25"/>
      <c r="D50" s="25"/>
      <c r="E50" s="25"/>
      <c r="F50" s="25"/>
      <c r="G50" s="25"/>
      <c r="H50" s="25"/>
      <c r="I50" s="25"/>
      <c r="J50" s="9"/>
      <c r="K50" s="9"/>
      <c r="L50" s="9"/>
      <c r="M50" s="9"/>
      <c r="N50" s="25"/>
      <c r="O50" s="25"/>
      <c r="Q50" s="22"/>
      <c r="R50" s="13"/>
    </row>
    <row r="51" spans="2:18" ht="11.45" customHeight="1">
      <c r="B51" s="25"/>
      <c r="C51" s="25"/>
      <c r="D51" s="25"/>
      <c r="E51" s="25"/>
      <c r="F51" s="25"/>
      <c r="G51" s="25"/>
      <c r="H51" s="25"/>
      <c r="I51" s="25"/>
      <c r="J51" s="9"/>
      <c r="K51" s="9"/>
      <c r="L51" s="9"/>
      <c r="M51" s="9"/>
      <c r="N51" s="25"/>
      <c r="O51" s="25"/>
      <c r="Q51" s="22"/>
      <c r="R51" s="13"/>
    </row>
    <row r="52" spans="2:18" ht="11.45" customHeight="1">
      <c r="B52" s="25"/>
      <c r="C52" s="25"/>
      <c r="D52" s="25"/>
      <c r="E52" s="25"/>
      <c r="F52" s="25"/>
      <c r="G52" s="25"/>
      <c r="H52" s="25"/>
      <c r="I52" s="25"/>
      <c r="J52" s="9"/>
      <c r="K52" s="9"/>
      <c r="L52" s="9"/>
      <c r="M52" s="9"/>
      <c r="N52" s="25"/>
      <c r="O52" s="25"/>
      <c r="Q52" s="22"/>
      <c r="R52" s="13"/>
    </row>
    <row r="53" spans="2:18" ht="11.45" customHeight="1">
      <c r="B53" s="25"/>
      <c r="C53" s="25"/>
      <c r="D53" s="25"/>
      <c r="E53" s="25"/>
      <c r="F53" s="25"/>
      <c r="G53" s="25"/>
      <c r="H53" s="25"/>
      <c r="I53" s="25"/>
      <c r="J53" s="9"/>
      <c r="K53" s="9"/>
      <c r="L53" s="9"/>
      <c r="M53" s="9"/>
      <c r="N53" s="25"/>
      <c r="O53" s="25"/>
      <c r="Q53" s="22"/>
      <c r="R53" s="13"/>
    </row>
    <row r="54" spans="2:18" ht="11.45" customHeight="1">
      <c r="B54" s="25"/>
      <c r="C54" s="25"/>
      <c r="D54" s="25"/>
      <c r="E54" s="25"/>
      <c r="F54" s="25"/>
      <c r="G54" s="25"/>
      <c r="H54" s="25"/>
      <c r="I54" s="25"/>
      <c r="J54" s="9"/>
      <c r="K54" s="9"/>
      <c r="L54" s="9"/>
      <c r="M54" s="9"/>
      <c r="N54" s="25"/>
      <c r="O54" s="25"/>
      <c r="Q54" s="22"/>
      <c r="R54" s="13"/>
    </row>
    <row r="55" spans="2:18" ht="11.45" customHeight="1">
      <c r="B55" s="25"/>
      <c r="C55" s="25"/>
      <c r="D55" s="25"/>
      <c r="E55" s="25"/>
      <c r="F55" s="25"/>
      <c r="G55" s="25"/>
      <c r="H55" s="25"/>
      <c r="I55" s="25"/>
      <c r="J55" s="9"/>
      <c r="K55" s="9"/>
      <c r="L55" s="9"/>
      <c r="M55" s="9"/>
      <c r="N55" s="25"/>
      <c r="O55" s="25"/>
      <c r="Q55" s="22"/>
      <c r="R55" s="13"/>
    </row>
    <row r="56" spans="2:18" ht="11.45" customHeight="1">
      <c r="B56" s="25"/>
      <c r="C56" s="25"/>
      <c r="D56" s="25"/>
      <c r="E56" s="25"/>
      <c r="F56" s="25"/>
      <c r="G56" s="25"/>
      <c r="H56" s="25"/>
      <c r="I56" s="25"/>
      <c r="J56" s="9"/>
      <c r="K56" s="9"/>
      <c r="L56" s="9"/>
      <c r="M56" s="9"/>
      <c r="N56" s="25"/>
      <c r="O56" s="25"/>
      <c r="Q56" s="22"/>
      <c r="R56" s="13"/>
    </row>
    <row r="57" spans="2:18" ht="11.45" customHeight="1">
      <c r="B57" s="25"/>
      <c r="C57" s="25"/>
      <c r="D57" s="25"/>
      <c r="E57" s="25"/>
      <c r="F57" s="25"/>
      <c r="G57" s="25"/>
      <c r="H57" s="25"/>
      <c r="I57" s="25"/>
      <c r="J57" s="9"/>
      <c r="K57" s="9"/>
      <c r="L57" s="9"/>
      <c r="M57" s="9"/>
      <c r="N57" s="25"/>
      <c r="O57" s="25"/>
      <c r="Q57" s="22"/>
      <c r="R57" s="13"/>
    </row>
    <row r="58" spans="2:18" ht="11.45" customHeight="1">
      <c r="B58" s="25"/>
      <c r="C58" s="25"/>
      <c r="D58" s="25"/>
      <c r="E58" s="25"/>
      <c r="F58" s="25"/>
      <c r="G58" s="25"/>
      <c r="H58" s="25"/>
      <c r="I58" s="25"/>
      <c r="J58" s="9"/>
      <c r="K58" s="9"/>
      <c r="L58" s="9"/>
      <c r="M58" s="9"/>
      <c r="N58" s="25"/>
      <c r="O58" s="25"/>
      <c r="Q58" s="22"/>
      <c r="R58" s="13"/>
    </row>
    <row r="59" spans="2:18" ht="11.45" customHeight="1">
      <c r="B59" s="25"/>
      <c r="C59" s="25"/>
      <c r="D59" s="25"/>
      <c r="E59" s="25"/>
      <c r="F59" s="25"/>
      <c r="G59" s="25"/>
      <c r="H59" s="25"/>
      <c r="I59" s="25"/>
      <c r="J59" s="9"/>
      <c r="K59" s="9"/>
      <c r="L59" s="9"/>
      <c r="M59" s="9"/>
      <c r="N59" s="25"/>
      <c r="O59" s="25"/>
      <c r="Q59" s="22"/>
      <c r="R59" s="13"/>
    </row>
    <row r="60" spans="2:18" ht="11.45" customHeight="1">
      <c r="B60" s="25"/>
      <c r="C60" s="25"/>
      <c r="D60" s="25"/>
      <c r="E60" s="25"/>
      <c r="F60" s="25"/>
      <c r="G60" s="25"/>
      <c r="H60" s="25"/>
      <c r="I60" s="25"/>
      <c r="J60" s="9"/>
      <c r="K60" s="9"/>
      <c r="L60" s="9"/>
      <c r="M60" s="9"/>
      <c r="N60" s="25"/>
      <c r="O60" s="25"/>
      <c r="Q60" s="22"/>
      <c r="R60" s="13"/>
    </row>
    <row r="61" spans="2:18" ht="11.45" customHeight="1">
      <c r="B61" s="25"/>
      <c r="C61" s="25"/>
      <c r="D61" s="25"/>
      <c r="E61" s="25"/>
      <c r="F61" s="25"/>
      <c r="G61" s="25"/>
      <c r="H61" s="25"/>
      <c r="I61" s="25"/>
      <c r="J61" s="9"/>
      <c r="K61" s="9"/>
      <c r="L61" s="9"/>
      <c r="M61" s="9"/>
      <c r="N61" s="25"/>
      <c r="O61" s="25"/>
      <c r="Q61" s="22"/>
      <c r="R61" s="13"/>
    </row>
    <row r="62" spans="2:18" ht="11.45" customHeight="1">
      <c r="B62" s="25"/>
      <c r="C62" s="25"/>
      <c r="D62" s="25"/>
      <c r="E62" s="25"/>
      <c r="F62" s="25"/>
      <c r="G62" s="25"/>
      <c r="H62" s="25"/>
      <c r="I62" s="25"/>
      <c r="J62" s="9"/>
      <c r="K62" s="9"/>
      <c r="L62" s="9"/>
      <c r="M62" s="9"/>
      <c r="N62" s="25"/>
      <c r="O62" s="25"/>
      <c r="Q62" s="22"/>
      <c r="R62" s="13"/>
    </row>
    <row r="63" spans="2:18" ht="11.45" customHeight="1">
      <c r="B63" s="25"/>
      <c r="C63" s="25"/>
      <c r="D63" s="25"/>
      <c r="E63" s="25"/>
      <c r="F63" s="25"/>
      <c r="G63" s="25"/>
      <c r="H63" s="25"/>
      <c r="I63" s="25"/>
      <c r="J63" s="9"/>
      <c r="K63" s="9"/>
      <c r="L63" s="9"/>
      <c r="M63" s="9"/>
      <c r="N63" s="25"/>
      <c r="O63" s="25"/>
      <c r="Q63" s="22"/>
      <c r="R63" s="13"/>
    </row>
    <row r="64" spans="2:18" ht="11.45" customHeight="1">
      <c r="B64" s="25"/>
      <c r="C64" s="25"/>
      <c r="D64" s="25"/>
      <c r="E64" s="25"/>
      <c r="F64" s="25"/>
      <c r="G64" s="25"/>
      <c r="H64" s="25"/>
      <c r="I64" s="25"/>
      <c r="J64" s="9"/>
      <c r="K64" s="9"/>
      <c r="L64" s="9"/>
      <c r="M64" s="9"/>
      <c r="N64" s="25"/>
      <c r="O64" s="25"/>
      <c r="Q64" s="22"/>
      <c r="R64" s="13"/>
    </row>
    <row r="65" spans="2:18" ht="11.45" customHeight="1">
      <c r="B65" s="25"/>
      <c r="C65" s="25"/>
      <c r="D65" s="25"/>
      <c r="E65" s="25"/>
      <c r="F65" s="25"/>
      <c r="G65" s="25"/>
      <c r="H65" s="25"/>
      <c r="I65" s="25"/>
      <c r="J65" s="9"/>
      <c r="K65" s="9"/>
      <c r="L65" s="9"/>
      <c r="M65" s="9"/>
      <c r="N65" s="25"/>
      <c r="O65" s="25"/>
      <c r="Q65" s="22"/>
      <c r="R65" s="13"/>
    </row>
    <row r="66" spans="2:18" ht="11.45" customHeight="1">
      <c r="B66" s="25"/>
      <c r="C66" s="25"/>
      <c r="D66" s="25"/>
      <c r="E66" s="25"/>
      <c r="F66" s="25"/>
      <c r="G66" s="25"/>
      <c r="H66" s="25"/>
      <c r="I66" s="25"/>
      <c r="J66" s="9"/>
      <c r="K66" s="9"/>
      <c r="L66" s="9"/>
      <c r="M66" s="9"/>
      <c r="N66" s="25"/>
      <c r="O66" s="25"/>
      <c r="Q66" s="22"/>
      <c r="R66" s="13"/>
    </row>
    <row r="67" spans="2:18" ht="11.45" customHeight="1">
      <c r="B67" s="25"/>
      <c r="C67" s="25"/>
      <c r="D67" s="25"/>
      <c r="E67" s="25"/>
      <c r="F67" s="25"/>
      <c r="G67" s="25"/>
      <c r="H67" s="25"/>
      <c r="I67" s="25"/>
      <c r="J67" s="9"/>
      <c r="K67" s="9"/>
      <c r="L67" s="9"/>
      <c r="M67" s="9"/>
      <c r="N67" s="25"/>
      <c r="O67" s="25"/>
      <c r="Q67" s="22"/>
      <c r="R67" s="13"/>
    </row>
    <row r="68" spans="2:18" ht="11.45" customHeight="1">
      <c r="B68" s="25"/>
      <c r="C68" s="25"/>
      <c r="D68" s="25"/>
      <c r="E68" s="25"/>
      <c r="F68" s="25"/>
      <c r="G68" s="25"/>
      <c r="H68" s="25"/>
      <c r="I68" s="25"/>
      <c r="J68" s="9"/>
      <c r="K68" s="9"/>
      <c r="L68" s="9"/>
      <c r="M68" s="9"/>
      <c r="N68" s="25"/>
      <c r="O68" s="25"/>
      <c r="Q68" s="22"/>
      <c r="R68" s="13"/>
    </row>
    <row r="69" spans="2:18" ht="11.45" customHeight="1">
      <c r="B69" s="25"/>
      <c r="C69" s="25"/>
      <c r="D69" s="25"/>
      <c r="E69" s="25"/>
      <c r="F69" s="25"/>
      <c r="G69" s="25"/>
      <c r="H69" s="25"/>
      <c r="I69" s="25"/>
      <c r="J69" s="9"/>
      <c r="K69" s="9"/>
      <c r="L69" s="9"/>
      <c r="M69" s="9"/>
      <c r="N69" s="25"/>
      <c r="O69" s="25"/>
      <c r="Q69" s="22"/>
      <c r="R69" s="13"/>
    </row>
    <row r="70" spans="2:18" ht="11.45" customHeight="1">
      <c r="B70" s="25"/>
      <c r="C70" s="25"/>
      <c r="D70" s="25"/>
      <c r="E70" s="25"/>
      <c r="F70" s="25"/>
      <c r="G70" s="25"/>
      <c r="H70" s="25"/>
      <c r="I70" s="25"/>
      <c r="J70" s="9"/>
      <c r="K70" s="9"/>
      <c r="L70" s="9"/>
      <c r="M70" s="9"/>
      <c r="N70" s="25"/>
      <c r="O70" s="25"/>
      <c r="Q70" s="22"/>
      <c r="R70" s="13"/>
    </row>
    <row r="71" spans="2:18" ht="11.45" customHeight="1">
      <c r="B71" s="25"/>
      <c r="C71" s="25"/>
      <c r="D71" s="25"/>
      <c r="E71" s="25"/>
      <c r="F71" s="25"/>
      <c r="G71" s="25"/>
      <c r="H71" s="25"/>
      <c r="I71" s="25"/>
      <c r="J71" s="9"/>
      <c r="K71" s="9"/>
      <c r="L71" s="9"/>
      <c r="M71" s="9"/>
      <c r="N71" s="25"/>
      <c r="O71" s="25"/>
      <c r="Q71" s="22"/>
      <c r="R71" s="13"/>
    </row>
    <row r="72" spans="2:18" ht="11.45" customHeight="1">
      <c r="B72" s="25"/>
      <c r="C72" s="25"/>
      <c r="D72" s="25"/>
      <c r="E72" s="25"/>
      <c r="F72" s="25"/>
      <c r="G72" s="25"/>
      <c r="H72" s="25"/>
      <c r="I72" s="25"/>
      <c r="J72" s="9"/>
      <c r="K72" s="9"/>
      <c r="L72" s="9"/>
      <c r="M72" s="9"/>
      <c r="N72" s="25"/>
      <c r="O72" s="25"/>
      <c r="Q72" s="22"/>
      <c r="R72" s="13"/>
    </row>
    <row r="73" spans="2:18" ht="11.45" customHeight="1">
      <c r="B73" s="25"/>
      <c r="C73" s="25"/>
      <c r="D73" s="25"/>
      <c r="E73" s="25"/>
      <c r="F73" s="25"/>
      <c r="G73" s="25"/>
      <c r="H73" s="25"/>
      <c r="I73" s="25"/>
      <c r="J73" s="9"/>
      <c r="K73" s="9"/>
      <c r="L73" s="9"/>
      <c r="M73" s="9"/>
      <c r="N73" s="25"/>
      <c r="O73" s="25"/>
      <c r="Q73" s="22"/>
      <c r="R73" s="13"/>
    </row>
    <row r="74" spans="2:18" ht="11.45" customHeight="1">
      <c r="B74" s="25"/>
      <c r="C74" s="25"/>
      <c r="D74" s="25"/>
      <c r="E74" s="25"/>
      <c r="F74" s="25"/>
      <c r="G74" s="25"/>
      <c r="H74" s="25"/>
      <c r="I74" s="25"/>
      <c r="J74" s="9"/>
      <c r="K74" s="9"/>
      <c r="L74" s="9"/>
      <c r="M74" s="9"/>
      <c r="N74" s="25"/>
      <c r="O74" s="25"/>
      <c r="Q74" s="22"/>
      <c r="R74" s="13"/>
    </row>
    <row r="75" spans="2:18" ht="11.45" customHeight="1">
      <c r="B75" s="25"/>
      <c r="C75" s="25"/>
      <c r="D75" s="25"/>
      <c r="E75" s="25"/>
      <c r="F75" s="25"/>
      <c r="G75" s="25"/>
      <c r="H75" s="25"/>
      <c r="I75" s="25"/>
      <c r="J75" s="9"/>
      <c r="K75" s="9"/>
      <c r="L75" s="9"/>
      <c r="M75" s="9"/>
      <c r="N75" s="25"/>
      <c r="O75" s="25"/>
      <c r="Q75" s="22"/>
      <c r="R75" s="13"/>
    </row>
    <row r="76" spans="2:18" ht="11.45" customHeight="1">
      <c r="B76" s="25"/>
      <c r="C76" s="25"/>
      <c r="D76" s="25"/>
      <c r="E76" s="25"/>
      <c r="F76" s="25"/>
      <c r="G76" s="25"/>
      <c r="H76" s="25"/>
      <c r="I76" s="25"/>
      <c r="J76" s="9"/>
      <c r="K76" s="9"/>
      <c r="L76" s="9"/>
      <c r="M76" s="9"/>
      <c r="N76" s="25"/>
      <c r="O76" s="25"/>
      <c r="Q76" s="22"/>
      <c r="R76" s="13"/>
    </row>
    <row r="77" spans="2:18" ht="11.45" customHeight="1">
      <c r="B77" s="25"/>
      <c r="C77" s="25"/>
      <c r="D77" s="25"/>
      <c r="E77" s="25"/>
      <c r="F77" s="25"/>
      <c r="G77" s="25"/>
      <c r="H77" s="25"/>
      <c r="I77" s="25"/>
      <c r="J77" s="9"/>
      <c r="K77" s="9"/>
      <c r="L77" s="9"/>
      <c r="M77" s="9"/>
      <c r="N77" s="25"/>
      <c r="O77" s="25"/>
      <c r="Q77" s="22"/>
      <c r="R77" s="13"/>
    </row>
    <row r="78" spans="2:18" ht="11.45" customHeight="1">
      <c r="B78" s="25"/>
      <c r="C78" s="25"/>
      <c r="D78" s="25"/>
      <c r="E78" s="25"/>
      <c r="F78" s="25"/>
      <c r="G78" s="25"/>
      <c r="H78" s="25"/>
      <c r="I78" s="25"/>
      <c r="J78" s="9"/>
      <c r="K78" s="9"/>
      <c r="L78" s="9"/>
      <c r="M78" s="9"/>
      <c r="N78" s="25"/>
      <c r="O78" s="25"/>
      <c r="Q78" s="22"/>
      <c r="R78" s="13"/>
    </row>
    <row r="79" spans="2:18" ht="11.45" customHeight="1">
      <c r="B79" s="25"/>
      <c r="C79" s="25"/>
      <c r="D79" s="25"/>
      <c r="E79" s="25"/>
      <c r="F79" s="25"/>
      <c r="G79" s="25"/>
      <c r="H79" s="25"/>
      <c r="I79" s="25"/>
      <c r="J79" s="9"/>
      <c r="K79" s="9"/>
      <c r="L79" s="9"/>
      <c r="M79" s="9"/>
      <c r="N79" s="25"/>
      <c r="O79" s="25"/>
      <c r="Q79" s="22"/>
      <c r="R79" s="13"/>
    </row>
    <row r="80" spans="2:18" ht="11.45" customHeight="1">
      <c r="B80" s="25"/>
      <c r="C80" s="25"/>
      <c r="D80" s="25"/>
      <c r="E80" s="25"/>
      <c r="F80" s="25"/>
      <c r="G80" s="25"/>
      <c r="H80" s="25"/>
      <c r="I80" s="25"/>
      <c r="J80" s="9"/>
      <c r="K80" s="9"/>
      <c r="L80" s="9"/>
      <c r="M80" s="9"/>
      <c r="N80" s="25"/>
      <c r="O80" s="25"/>
      <c r="Q80" s="22"/>
      <c r="R80" s="13"/>
    </row>
    <row r="81" spans="2:18" ht="11.45" customHeight="1">
      <c r="B81" s="25"/>
      <c r="C81" s="25"/>
      <c r="D81" s="25"/>
      <c r="E81" s="25"/>
      <c r="F81" s="25"/>
      <c r="G81" s="25"/>
      <c r="H81" s="25"/>
      <c r="I81" s="25"/>
      <c r="J81" s="9"/>
      <c r="K81" s="9"/>
      <c r="L81" s="9"/>
      <c r="M81" s="9"/>
      <c r="N81" s="25"/>
      <c r="O81" s="25"/>
      <c r="Q81" s="22"/>
      <c r="R81" s="13"/>
    </row>
    <row r="82" spans="2:18" ht="11.45" customHeight="1">
      <c r="B82" s="25"/>
      <c r="C82" s="25"/>
      <c r="D82" s="25"/>
      <c r="E82" s="25"/>
      <c r="F82" s="25"/>
      <c r="G82" s="25"/>
      <c r="H82" s="25"/>
      <c r="I82" s="25"/>
      <c r="J82" s="9"/>
      <c r="K82" s="9"/>
      <c r="L82" s="9"/>
      <c r="M82" s="9"/>
      <c r="N82" s="25"/>
      <c r="O82" s="25"/>
      <c r="Q82" s="22"/>
      <c r="R82" s="13"/>
    </row>
    <row r="83" spans="2:18" ht="11.45" customHeight="1">
      <c r="B83" s="25"/>
      <c r="C83" s="25"/>
      <c r="D83" s="25"/>
      <c r="E83" s="25"/>
      <c r="F83" s="25"/>
      <c r="G83" s="25"/>
      <c r="H83" s="25"/>
      <c r="I83" s="25"/>
      <c r="J83" s="9"/>
      <c r="K83" s="9"/>
      <c r="L83" s="9"/>
      <c r="M83" s="9"/>
      <c r="N83" s="25"/>
      <c r="O83" s="25"/>
      <c r="Q83" s="22"/>
      <c r="R83" s="13"/>
    </row>
    <row r="84" spans="2:18" ht="11.45" customHeight="1">
      <c r="B84" s="25"/>
      <c r="C84" s="25"/>
      <c r="D84" s="25"/>
      <c r="E84" s="25"/>
      <c r="F84" s="25"/>
      <c r="G84" s="25"/>
      <c r="H84" s="25"/>
      <c r="I84" s="25"/>
      <c r="J84" s="9"/>
      <c r="K84" s="9"/>
      <c r="L84" s="9"/>
      <c r="M84" s="9"/>
      <c r="N84" s="25"/>
      <c r="O84" s="25"/>
      <c r="Q84" s="22"/>
      <c r="R84" s="13"/>
    </row>
    <row r="85" spans="2:18" ht="11.45" customHeight="1">
      <c r="B85" s="25"/>
      <c r="C85" s="25"/>
      <c r="D85" s="25"/>
      <c r="E85" s="25"/>
      <c r="F85" s="25"/>
      <c r="G85" s="25"/>
      <c r="H85" s="25"/>
      <c r="I85" s="25"/>
      <c r="J85" s="9"/>
      <c r="K85" s="9"/>
      <c r="L85" s="9"/>
      <c r="M85" s="9"/>
      <c r="N85" s="25"/>
      <c r="O85" s="25"/>
      <c r="Q85" s="22"/>
      <c r="R85" s="13"/>
    </row>
    <row r="86" spans="2:18" ht="11.45" customHeight="1">
      <c r="B86" s="25"/>
      <c r="C86" s="25"/>
      <c r="D86" s="25"/>
      <c r="E86" s="25"/>
      <c r="F86" s="25"/>
      <c r="G86" s="25"/>
      <c r="H86" s="25"/>
      <c r="I86" s="25"/>
      <c r="J86" s="9"/>
      <c r="K86" s="9"/>
      <c r="L86" s="9"/>
      <c r="M86" s="9"/>
      <c r="N86" s="25"/>
      <c r="O86" s="25"/>
      <c r="Q86" s="22"/>
      <c r="R86" s="13"/>
    </row>
    <row r="87" spans="2:18" ht="11.45" customHeight="1">
      <c r="B87" s="25"/>
      <c r="C87" s="25"/>
      <c r="D87" s="25"/>
      <c r="E87" s="25"/>
      <c r="F87" s="25"/>
      <c r="G87" s="25"/>
      <c r="H87" s="25"/>
      <c r="I87" s="25"/>
      <c r="J87" s="9"/>
      <c r="K87" s="9"/>
      <c r="L87" s="9"/>
      <c r="M87" s="9"/>
      <c r="N87" s="25"/>
      <c r="O87" s="25"/>
      <c r="Q87" s="22"/>
      <c r="R87" s="13"/>
    </row>
    <row r="88" spans="2:18" ht="11.45" customHeight="1">
      <c r="B88" s="25"/>
      <c r="C88" s="25"/>
      <c r="D88" s="25"/>
      <c r="E88" s="25"/>
      <c r="F88" s="25"/>
      <c r="G88" s="25"/>
      <c r="H88" s="25"/>
      <c r="I88" s="25"/>
      <c r="J88" s="9"/>
      <c r="K88" s="9"/>
      <c r="L88" s="9"/>
      <c r="M88" s="9"/>
      <c r="N88" s="25"/>
      <c r="O88" s="25"/>
      <c r="Q88" s="22"/>
      <c r="R88" s="13"/>
    </row>
    <row r="89" spans="2:18" ht="11.45" customHeight="1">
      <c r="B89" s="25"/>
      <c r="C89" s="25"/>
      <c r="D89" s="25"/>
      <c r="E89" s="25"/>
      <c r="F89" s="25"/>
      <c r="G89" s="25"/>
      <c r="H89" s="25"/>
      <c r="I89" s="25"/>
      <c r="J89" s="9"/>
      <c r="K89" s="9"/>
      <c r="L89" s="9"/>
      <c r="M89" s="9"/>
      <c r="N89" s="25"/>
      <c r="O89" s="25"/>
      <c r="Q89" s="22"/>
      <c r="R89" s="13"/>
    </row>
    <row r="90" spans="2:18" ht="11.45" customHeight="1">
      <c r="B90" s="25"/>
      <c r="C90" s="25"/>
      <c r="D90" s="25"/>
      <c r="E90" s="25"/>
      <c r="F90" s="25"/>
      <c r="G90" s="25"/>
      <c r="H90" s="25"/>
      <c r="I90" s="25"/>
      <c r="J90" s="9"/>
      <c r="K90" s="9"/>
      <c r="L90" s="9"/>
      <c r="M90" s="9"/>
      <c r="N90" s="25"/>
      <c r="O90" s="25"/>
      <c r="Q90" s="22"/>
      <c r="R90" s="13"/>
    </row>
    <row r="91" spans="2:18" ht="11.45" customHeight="1">
      <c r="B91" s="25"/>
      <c r="C91" s="25"/>
      <c r="D91" s="25"/>
      <c r="E91" s="25"/>
      <c r="F91" s="25"/>
      <c r="G91" s="25"/>
      <c r="H91" s="25"/>
      <c r="I91" s="25"/>
      <c r="J91" s="9"/>
      <c r="K91" s="9"/>
      <c r="L91" s="9"/>
      <c r="M91" s="9"/>
      <c r="N91" s="25"/>
      <c r="O91" s="25"/>
      <c r="Q91" s="22"/>
      <c r="R91" s="13"/>
    </row>
    <row r="92" spans="2:18" ht="11.45" customHeight="1">
      <c r="B92" s="25"/>
      <c r="C92" s="25"/>
      <c r="D92" s="25"/>
      <c r="E92" s="25"/>
      <c r="F92" s="25"/>
      <c r="G92" s="25"/>
      <c r="H92" s="25"/>
      <c r="I92" s="25"/>
      <c r="J92" s="9"/>
      <c r="K92" s="9"/>
      <c r="L92" s="9"/>
      <c r="M92" s="9"/>
      <c r="N92" s="25"/>
      <c r="O92" s="25"/>
      <c r="Q92" s="22"/>
      <c r="R92" s="13"/>
    </row>
    <row r="93" spans="2:18" ht="11.45" customHeight="1">
      <c r="B93" s="25"/>
      <c r="C93" s="25"/>
      <c r="D93" s="25"/>
      <c r="E93" s="25"/>
      <c r="F93" s="25"/>
      <c r="G93" s="25"/>
      <c r="H93" s="25"/>
      <c r="I93" s="25"/>
      <c r="J93" s="9"/>
      <c r="K93" s="9"/>
      <c r="L93" s="9"/>
      <c r="M93" s="9"/>
      <c r="N93" s="25"/>
      <c r="O93" s="25"/>
      <c r="Q93" s="22"/>
      <c r="R93" s="13"/>
    </row>
    <row r="94" spans="2:18" ht="11.45" customHeight="1">
      <c r="B94" s="25"/>
      <c r="C94" s="25"/>
      <c r="D94" s="25"/>
      <c r="E94" s="25"/>
      <c r="F94" s="25"/>
      <c r="G94" s="25"/>
      <c r="H94" s="25"/>
      <c r="I94" s="25"/>
      <c r="J94" s="9"/>
      <c r="K94" s="9"/>
      <c r="L94" s="9"/>
      <c r="M94" s="9"/>
      <c r="N94" s="25"/>
      <c r="O94" s="25"/>
      <c r="Q94" s="22"/>
      <c r="R94" s="13"/>
    </row>
    <row r="95" spans="2:18" ht="11.45" customHeight="1">
      <c r="B95" s="25"/>
      <c r="C95" s="25"/>
      <c r="D95" s="25"/>
      <c r="E95" s="25"/>
      <c r="F95" s="25"/>
      <c r="G95" s="25"/>
      <c r="H95" s="25"/>
      <c r="I95" s="25"/>
      <c r="J95" s="9"/>
      <c r="K95" s="9"/>
      <c r="L95" s="9"/>
      <c r="M95" s="9"/>
      <c r="N95" s="25"/>
      <c r="O95" s="25"/>
      <c r="Q95" s="22"/>
      <c r="R95" s="13"/>
    </row>
    <row r="96" spans="2:18" ht="11.45" customHeight="1">
      <c r="B96" s="25"/>
      <c r="C96" s="25"/>
      <c r="D96" s="25"/>
      <c r="E96" s="25"/>
      <c r="F96" s="25"/>
      <c r="G96" s="25"/>
      <c r="H96" s="25"/>
      <c r="I96" s="25"/>
      <c r="J96" s="9"/>
      <c r="K96" s="9"/>
      <c r="L96" s="9"/>
      <c r="M96" s="9"/>
      <c r="N96" s="25"/>
      <c r="O96" s="25"/>
      <c r="Q96" s="22"/>
      <c r="R96" s="13"/>
    </row>
    <row r="97" spans="2:18" ht="17.100000000000001" customHeight="1">
      <c r="B97" s="25"/>
      <c r="C97" s="25"/>
      <c r="D97" s="25"/>
      <c r="E97" s="25"/>
      <c r="F97" s="25"/>
      <c r="G97" s="25"/>
      <c r="H97" s="25"/>
      <c r="I97" s="25"/>
      <c r="J97" s="9"/>
      <c r="K97" s="9"/>
      <c r="L97" s="9"/>
      <c r="M97" s="9"/>
      <c r="N97" s="25"/>
      <c r="O97" s="25"/>
      <c r="Q97" s="22"/>
      <c r="R97" s="13"/>
    </row>
    <row r="98" spans="2:18" ht="17.100000000000001" customHeight="1">
      <c r="B98" s="25"/>
      <c r="C98" s="25"/>
      <c r="D98" s="25"/>
      <c r="E98" s="25"/>
      <c r="F98" s="25"/>
      <c r="G98" s="25"/>
      <c r="H98" s="25"/>
      <c r="I98" s="25"/>
      <c r="J98" s="9"/>
      <c r="K98" s="9"/>
      <c r="L98" s="9"/>
      <c r="M98" s="9"/>
      <c r="N98" s="25"/>
      <c r="O98" s="25"/>
      <c r="Q98" s="22"/>
      <c r="R98" s="13"/>
    </row>
  </sheetData>
  <mergeCells count="2">
    <mergeCell ref="P4:U4"/>
    <mergeCell ref="C4:O4"/>
  </mergeCells>
  <phoneticPr fontId="30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F418-C846-4939-AD08-2FE86EDE6457}">
  <sheetPr>
    <tabColor rgb="FF0066FF"/>
  </sheetPr>
  <dimension ref="A1:AB173"/>
  <sheetViews>
    <sheetView topLeftCell="A31" workbookViewId="0">
      <selection activeCell="L36" sqref="L36"/>
    </sheetView>
  </sheetViews>
  <sheetFormatPr defaultRowHeight="15"/>
  <cols>
    <col min="1" max="1" width="34.85546875" customWidth="1"/>
    <col min="2" max="2" width="13.42578125" customWidth="1"/>
    <col min="3" max="3" width="13.28515625" customWidth="1"/>
    <col min="4" max="4" width="11.7109375" customWidth="1"/>
    <col min="5" max="5" width="13.140625" customWidth="1"/>
    <col min="6" max="6" width="12.42578125" customWidth="1"/>
    <col min="7" max="7" width="12.5703125" customWidth="1"/>
    <col min="8" max="8" width="12.28515625" customWidth="1"/>
    <col min="9" max="9" width="15.7109375" customWidth="1"/>
    <col min="10" max="10" width="12.7109375" customWidth="1"/>
    <col min="11" max="11" width="12.5703125" bestFit="1" customWidth="1"/>
    <col min="12" max="12" width="2.7109375" customWidth="1"/>
    <col min="13" max="13" width="12.28515625" style="35" customWidth="1"/>
    <col min="14" max="14" width="10.85546875" customWidth="1"/>
    <col min="15" max="15" width="18.85546875" customWidth="1"/>
    <col min="16" max="19" width="12.28515625" customWidth="1"/>
    <col min="20" max="21" width="10.42578125" customWidth="1"/>
    <col min="22" max="22" width="12.42578125" customWidth="1"/>
    <col min="23" max="27" width="10.85546875" customWidth="1"/>
    <col min="28" max="28" width="12.42578125" bestFit="1" customWidth="1"/>
  </cols>
  <sheetData>
    <row r="1" spans="1:27" ht="28.7" customHeight="1" thickBot="1">
      <c r="A1" s="434" t="s">
        <v>75</v>
      </c>
      <c r="B1" s="104" t="s">
        <v>76</v>
      </c>
      <c r="C1" s="435" t="s">
        <v>77</v>
      </c>
      <c r="D1" s="102"/>
      <c r="E1" s="102"/>
      <c r="F1" s="103"/>
      <c r="G1" s="32" t="s">
        <v>78</v>
      </c>
      <c r="H1" s="436">
        <v>45337</v>
      </c>
      <c r="U1" s="33" t="s">
        <v>79</v>
      </c>
      <c r="V1" s="33"/>
      <c r="W1" s="34"/>
      <c r="X1" s="34"/>
      <c r="Y1" s="34"/>
      <c r="Z1" s="34"/>
      <c r="AA1" s="34"/>
    </row>
    <row r="2" spans="1:27" ht="18" customHeight="1" thickBot="1">
      <c r="A2" s="121" t="s">
        <v>259</v>
      </c>
      <c r="B2" s="36"/>
      <c r="G2" s="37" t="s">
        <v>235</v>
      </c>
      <c r="H2" s="436">
        <v>45199</v>
      </c>
      <c r="U2" s="38" t="s">
        <v>80</v>
      </c>
    </row>
    <row r="3" spans="1:27" ht="10.5" customHeight="1" thickBot="1"/>
    <row r="4" spans="1:27" ht="16.5" thickBot="1">
      <c r="A4" s="140" t="s">
        <v>81</v>
      </c>
      <c r="B4" s="141"/>
      <c r="C4" s="141"/>
      <c r="D4" s="141"/>
      <c r="E4" s="141"/>
      <c r="F4" s="141"/>
      <c r="G4" s="141"/>
      <c r="H4" s="142"/>
      <c r="I4" s="141"/>
      <c r="J4" s="141"/>
      <c r="U4" s="39" t="s">
        <v>82</v>
      </c>
      <c r="V4" s="39"/>
      <c r="W4" s="40" t="s">
        <v>83</v>
      </c>
      <c r="X4" s="41"/>
      <c r="Y4" s="41"/>
      <c r="Z4" s="41"/>
      <c r="AA4" s="41"/>
    </row>
    <row r="5" spans="1:27" s="352" customFormat="1" ht="44.45" customHeight="1" thickBot="1">
      <c r="A5" s="348"/>
      <c r="B5" s="349"/>
      <c r="C5" s="350" t="s">
        <v>84</v>
      </c>
      <c r="D5" s="350" t="s">
        <v>85</v>
      </c>
      <c r="E5" s="350" t="s">
        <v>86</v>
      </c>
      <c r="F5" s="350" t="s">
        <v>87</v>
      </c>
      <c r="G5" s="350" t="s">
        <v>88</v>
      </c>
      <c r="H5" s="351" t="s">
        <v>89</v>
      </c>
      <c r="I5" s="350" t="s">
        <v>537</v>
      </c>
      <c r="J5" s="327" t="s">
        <v>538</v>
      </c>
      <c r="M5" s="112"/>
      <c r="U5" s="42" t="s">
        <v>90</v>
      </c>
      <c r="V5" s="42"/>
      <c r="W5" s="43">
        <v>44012</v>
      </c>
      <c r="X5" s="44">
        <v>43830</v>
      </c>
      <c r="Y5" s="44">
        <v>43465</v>
      </c>
      <c r="Z5" s="44">
        <v>43100</v>
      </c>
      <c r="AA5" s="44">
        <v>42735</v>
      </c>
    </row>
    <row r="6" spans="1:27">
      <c r="A6" s="328" t="s">
        <v>91</v>
      </c>
      <c r="B6" s="329"/>
      <c r="C6" s="329">
        <f>+F6+D6-E6</f>
        <v>16182796.200000003</v>
      </c>
      <c r="D6" s="329">
        <f>+'Historical Analysis'!C49+'Historical Analysis'!C53</f>
        <v>3055000</v>
      </c>
      <c r="E6" s="329">
        <f>'Historical Analysis'!C24</f>
        <v>727000</v>
      </c>
      <c r="F6" s="329">
        <f>+H6*G6</f>
        <v>13854796.200000001</v>
      </c>
      <c r="G6" s="385">
        <f>'Yahoo Input Val'!B6*1000</f>
        <v>103140</v>
      </c>
      <c r="H6" s="505">
        <f>'Yahoo Input Val'!B4</f>
        <v>134.33000000000001</v>
      </c>
      <c r="I6" s="330"/>
      <c r="J6" s="330"/>
      <c r="K6" s="352"/>
      <c r="U6" s="45" t="s">
        <v>92</v>
      </c>
      <c r="W6" s="77">
        <f>+'Historical Analysis'!D7</f>
        <v>5891000</v>
      </c>
      <c r="X6" s="69">
        <f>+'Historical Analysis'!E7</f>
        <v>3028000</v>
      </c>
      <c r="Y6" s="69">
        <f>+'Historical Analysis'!F7</f>
        <v>2066000</v>
      </c>
      <c r="Z6" s="69">
        <f>+'Historical Analysis'!G7</f>
        <v>5020000</v>
      </c>
      <c r="AA6" s="69">
        <f>+'Historical Analysis'!H7</f>
        <v>4454000</v>
      </c>
    </row>
    <row r="7" spans="1:27">
      <c r="A7" s="331"/>
      <c r="B7" s="332"/>
      <c r="C7" s="332"/>
      <c r="D7" s="332"/>
      <c r="E7" s="332"/>
      <c r="F7" s="332"/>
      <c r="G7" s="332"/>
      <c r="H7" s="333"/>
      <c r="I7" s="334"/>
      <c r="J7" s="334"/>
      <c r="K7" s="352"/>
      <c r="U7" t="s">
        <v>3</v>
      </c>
      <c r="W7" s="77">
        <f>+'Historical Analysis'!D8</f>
        <v>4603000</v>
      </c>
      <c r="X7" s="69">
        <f>+'Historical Analysis'!E8</f>
        <v>2603000</v>
      </c>
      <c r="Y7" s="69">
        <f>+'Historical Analysis'!F8</f>
        <v>2067000</v>
      </c>
      <c r="Z7" s="69">
        <f>+'Historical Analysis'!G8</f>
        <v>4077000</v>
      </c>
      <c r="AA7" s="69">
        <f>+'Historical Analysis'!H8</f>
        <v>3475000</v>
      </c>
    </row>
    <row r="8" spans="1:27" ht="15.75" thickBot="1">
      <c r="A8" s="331" t="s">
        <v>93</v>
      </c>
      <c r="B8" s="332"/>
      <c r="C8" s="332">
        <f>+D8+F8-E8</f>
        <v>16465669.782130606</v>
      </c>
      <c r="D8" s="332">
        <f>+D6</f>
        <v>3055000</v>
      </c>
      <c r="E8" s="332">
        <f>+E6</f>
        <v>727000</v>
      </c>
      <c r="F8" s="332">
        <f>+G8*H8</f>
        <v>14137669.782130608</v>
      </c>
      <c r="G8" s="332">
        <f>+G6</f>
        <v>103140</v>
      </c>
      <c r="H8" s="333">
        <f>+E40</f>
        <v>137.07261762779336</v>
      </c>
      <c r="I8" s="334" t="str">
        <f>IF(J8&lt;0,"Sell",IF(J8&gt;0.1,"Buy","Hold"))</f>
        <v>Hold</v>
      </c>
      <c r="J8" s="345">
        <f t="shared" ref="J8:J13" si="0">+H8/$H$6-1</f>
        <v>2.0417015021166884E-2</v>
      </c>
      <c r="K8" s="352"/>
      <c r="U8" s="45" t="s">
        <v>94</v>
      </c>
      <c r="W8" s="78">
        <f>+W6-W7</f>
        <v>1288000</v>
      </c>
      <c r="X8" s="47">
        <f>+X6-X7</f>
        <v>425000</v>
      </c>
      <c r="Y8" s="47">
        <f>+Y6-Y7</f>
        <v>-1000</v>
      </c>
      <c r="Z8" s="47">
        <f>+Z6-Z7</f>
        <v>943000</v>
      </c>
      <c r="AA8" s="47">
        <f>+AA6-AA7</f>
        <v>979000</v>
      </c>
    </row>
    <row r="9" spans="1:27" ht="15.75" thickTop="1">
      <c r="A9" s="331" t="s">
        <v>95</v>
      </c>
      <c r="B9" s="332"/>
      <c r="C9" s="332">
        <f>+D9+F9-E9</f>
        <v>9719476.6739648953</v>
      </c>
      <c r="D9" s="332">
        <f>+D8</f>
        <v>3055000</v>
      </c>
      <c r="E9" s="332">
        <f>+E8</f>
        <v>727000</v>
      </c>
      <c r="F9" s="332">
        <f>+G9*H9</f>
        <v>7391476.6739648953</v>
      </c>
      <c r="G9" s="332">
        <f>+G8</f>
        <v>103140</v>
      </c>
      <c r="H9" s="333">
        <f>+B48</f>
        <v>71.664501395820196</v>
      </c>
      <c r="I9" s="334" t="str">
        <f t="shared" ref="I9:I13" si="1">IF(J9&lt;0,"Sell",IF(J9&gt;0.1,"Buy","Hold"))</f>
        <v>Sell</v>
      </c>
      <c r="J9" s="345">
        <f t="shared" si="0"/>
        <v>-0.46650412122519025</v>
      </c>
      <c r="U9" s="45" t="s">
        <v>96</v>
      </c>
      <c r="W9" s="79">
        <f>+'Historical Analysis'!D10</f>
        <v>890000</v>
      </c>
      <c r="X9" s="70">
        <f>+'Historical Analysis'!E10</f>
        <v>676000</v>
      </c>
      <c r="Y9" s="70">
        <f>+'Historical Analysis'!F10</f>
        <v>631000</v>
      </c>
      <c r="Z9" s="70">
        <f>+'Historical Analysis'!G10</f>
        <v>746000</v>
      </c>
      <c r="AA9" s="70">
        <f>+'Historical Analysis'!H10</f>
        <v>647000</v>
      </c>
    </row>
    <row r="10" spans="1:27">
      <c r="A10" s="335" t="s">
        <v>97</v>
      </c>
      <c r="B10" s="332"/>
      <c r="C10" s="336">
        <f>+B68</f>
        <v>12286623.038644934</v>
      </c>
      <c r="D10" s="332">
        <f>+D8</f>
        <v>3055000</v>
      </c>
      <c r="E10" s="332">
        <f>+E8</f>
        <v>727000</v>
      </c>
      <c r="F10" s="332">
        <f>+C10-D10+E10</f>
        <v>9958623.0386449341</v>
      </c>
      <c r="G10" s="332">
        <f>+G8</f>
        <v>103140</v>
      </c>
      <c r="H10" s="333">
        <f>+F10/G10</f>
        <v>96.554421549786056</v>
      </c>
      <c r="I10" s="334" t="str">
        <f t="shared" si="1"/>
        <v>Sell</v>
      </c>
      <c r="J10" s="345">
        <f t="shared" si="0"/>
        <v>-0.28121475806010532</v>
      </c>
      <c r="U10" s="45" t="s">
        <v>221</v>
      </c>
      <c r="W10" s="77">
        <f>+W8-W9</f>
        <v>398000</v>
      </c>
      <c r="X10" s="49">
        <f>+X8-X9</f>
        <v>-251000</v>
      </c>
      <c r="Y10" s="49">
        <f>+Y8-Y9</f>
        <v>-632000</v>
      </c>
      <c r="Z10" s="49">
        <f>+Z8-Z9</f>
        <v>197000</v>
      </c>
      <c r="AA10" s="49">
        <f>+AA8-AA9</f>
        <v>332000</v>
      </c>
    </row>
    <row r="11" spans="1:27">
      <c r="A11" s="335" t="s">
        <v>548</v>
      </c>
      <c r="B11" s="332"/>
      <c r="C11" s="332">
        <f>+D11+F11-E11</f>
        <v>16591455.525156096</v>
      </c>
      <c r="D11" s="332">
        <f>+D10</f>
        <v>3055000</v>
      </c>
      <c r="E11" s="332">
        <f>+E10</f>
        <v>727000</v>
      </c>
      <c r="F11" s="332">
        <f>+G11*H11</f>
        <v>14263455.525156094</v>
      </c>
      <c r="G11" s="332">
        <f>+G9</f>
        <v>103140</v>
      </c>
      <c r="H11" s="333">
        <f>+E66</f>
        <v>138.29218077521907</v>
      </c>
      <c r="I11" s="334" t="str">
        <f t="shared" si="1"/>
        <v>Hold</v>
      </c>
      <c r="J11" s="345">
        <f t="shared" si="0"/>
        <v>2.9495874154835455E-2</v>
      </c>
      <c r="U11" s="45"/>
      <c r="W11" s="77"/>
      <c r="X11" s="49"/>
      <c r="Y11" s="49"/>
      <c r="Z11" s="49"/>
      <c r="AA11" s="49"/>
    </row>
    <row r="12" spans="1:27">
      <c r="A12" s="335" t="s">
        <v>98</v>
      </c>
      <c r="B12" s="332"/>
      <c r="C12" s="336">
        <f>+B90</f>
        <v>11832787.174142936</v>
      </c>
      <c r="D12" s="332">
        <f>+D10</f>
        <v>3055000</v>
      </c>
      <c r="E12" s="332">
        <f>+E10</f>
        <v>727000</v>
      </c>
      <c r="F12" s="332">
        <f>+C12-D12+E12</f>
        <v>9504787.1741429362</v>
      </c>
      <c r="G12" s="332">
        <f>+G10</f>
        <v>103140</v>
      </c>
      <c r="H12" s="333">
        <f>+F12/G12</f>
        <v>92.154228952326321</v>
      </c>
      <c r="I12" s="334" t="str">
        <f t="shared" si="1"/>
        <v>Sell</v>
      </c>
      <c r="J12" s="345">
        <f t="shared" si="0"/>
        <v>-0.31397134703844032</v>
      </c>
      <c r="U12" s="45" t="s">
        <v>222</v>
      </c>
      <c r="W12" s="80">
        <f>+'Historical Analysis'!D12</f>
        <v>150000</v>
      </c>
      <c r="X12" s="48">
        <f>+'Historical Analysis'!E12</f>
        <v>163000</v>
      </c>
      <c r="Y12" s="48">
        <f>+'Historical Analysis'!F12</f>
        <v>128000</v>
      </c>
      <c r="Z12" s="48">
        <f>+'Historical Analysis'!G12</f>
        <v>75000</v>
      </c>
      <c r="AA12" s="48">
        <f>+'Historical Analysis'!H12</f>
        <v>76000</v>
      </c>
    </row>
    <row r="13" spans="1:27">
      <c r="A13" s="331" t="s">
        <v>99</v>
      </c>
      <c r="B13" s="332"/>
      <c r="C13" s="332">
        <f>+D13+F13-E13</f>
        <v>17055737.125962924</v>
      </c>
      <c r="D13" s="332">
        <f>+D12</f>
        <v>3055000</v>
      </c>
      <c r="E13" s="332">
        <f>+E12</f>
        <v>727000</v>
      </c>
      <c r="F13" s="332">
        <f>+D117</f>
        <v>14727737.125962924</v>
      </c>
      <c r="G13" s="332">
        <f>+G12</f>
        <v>103140</v>
      </c>
      <c r="H13" s="333">
        <f>+F13/G13</f>
        <v>142.7936506298519</v>
      </c>
      <c r="I13" s="334" t="str">
        <f t="shared" si="1"/>
        <v>Hold</v>
      </c>
      <c r="J13" s="345">
        <f t="shared" si="0"/>
        <v>6.3006406832813777E-2</v>
      </c>
      <c r="U13" s="45" t="s">
        <v>224</v>
      </c>
      <c r="W13" s="81">
        <f>+W10-W12</f>
        <v>248000</v>
      </c>
      <c r="X13" s="50">
        <f>+X10-X12</f>
        <v>-414000</v>
      </c>
      <c r="Y13" s="50">
        <f>+Y10-Y12</f>
        <v>-760000</v>
      </c>
      <c r="Z13" s="50">
        <f>+Z10-Z12</f>
        <v>122000</v>
      </c>
      <c r="AA13" s="50">
        <f>+AA10-AA12</f>
        <v>256000</v>
      </c>
    </row>
    <row r="14" spans="1:27">
      <c r="A14" s="331" t="s">
        <v>601</v>
      </c>
      <c r="B14" s="332"/>
      <c r="C14" s="332">
        <f>+F14+D14-E14</f>
        <v>11876865.926013548</v>
      </c>
      <c r="D14" s="332">
        <f>+D13</f>
        <v>3055000</v>
      </c>
      <c r="E14" s="332">
        <f>+E13</f>
        <v>727000</v>
      </c>
      <c r="F14" s="332">
        <f>+H14*G14</f>
        <v>9548865.9260135479</v>
      </c>
      <c r="G14" s="332">
        <f>+G13</f>
        <v>103140</v>
      </c>
      <c r="H14" s="333">
        <f>+D173</f>
        <v>92.581597110854645</v>
      </c>
      <c r="I14" s="334" t="str">
        <f t="shared" ref="I14" si="2">IF(J14&lt;0,"Sell",IF(J14&gt;0.1,"Buy","Hold"))</f>
        <v>Sell</v>
      </c>
      <c r="J14" s="345">
        <f t="shared" ref="J14" si="3">+H14/$H$6-1</f>
        <v>-0.31078986740970271</v>
      </c>
      <c r="U14" s="45"/>
      <c r="W14" s="81"/>
      <c r="X14" s="50"/>
      <c r="Y14" s="50"/>
      <c r="Z14" s="50"/>
      <c r="AA14" s="50"/>
    </row>
    <row r="15" spans="1:27">
      <c r="A15" s="337"/>
      <c r="B15" s="194"/>
      <c r="C15" s="199"/>
      <c r="D15" s="199"/>
      <c r="E15" s="199"/>
      <c r="F15" s="199"/>
      <c r="G15" s="199"/>
      <c r="H15" s="338"/>
      <c r="I15" s="339"/>
      <c r="J15" s="346"/>
      <c r="U15" s="45" t="s">
        <v>223</v>
      </c>
      <c r="W15" s="82">
        <f>+'Historical Analysis'!D14</f>
        <v>-115000</v>
      </c>
      <c r="X15" s="71">
        <f>+'Historical Analysis'!E14</f>
        <v>-458000</v>
      </c>
      <c r="Y15" s="71">
        <f>+'Historical Analysis'!F14</f>
        <v>200000</v>
      </c>
      <c r="Z15" s="71">
        <f>+'Historical Analysis'!G14</f>
        <v>-884000</v>
      </c>
      <c r="AA15" s="71">
        <f>+'Historical Analysis'!H14</f>
        <v>-695000</v>
      </c>
    </row>
    <row r="16" spans="1:27" ht="15.75" thickBot="1">
      <c r="A16" s="340" t="s">
        <v>100</v>
      </c>
      <c r="B16" s="208"/>
      <c r="C16" s="341">
        <f>AVERAGE(C8:C13)</f>
        <v>13991958.220000399</v>
      </c>
      <c r="D16" s="341"/>
      <c r="E16" s="341"/>
      <c r="F16" s="341">
        <f>AVERAGE(F8:F13)</f>
        <v>11663958.220000399</v>
      </c>
      <c r="G16" s="341"/>
      <c r="H16" s="406">
        <f>AVERAGE(H8:H13)</f>
        <v>113.08860015513282</v>
      </c>
      <c r="I16" s="342" t="s">
        <v>237</v>
      </c>
      <c r="J16" s="347">
        <f>+H16/$H$6-1</f>
        <v>-0.15812848838581994</v>
      </c>
      <c r="U16" s="45" t="s">
        <v>10</v>
      </c>
      <c r="W16" s="77">
        <f>+W15+W13</f>
        <v>133000</v>
      </c>
      <c r="X16" s="72">
        <f>+X15+X13</f>
        <v>-872000</v>
      </c>
      <c r="Y16" s="72">
        <f>+Y15+Y13</f>
        <v>-560000</v>
      </c>
      <c r="Z16" s="72">
        <f>+Z15+Z13</f>
        <v>-762000</v>
      </c>
      <c r="AA16" s="72">
        <f>+AA15+AA13</f>
        <v>-439000</v>
      </c>
    </row>
    <row r="17" spans="1:27">
      <c r="A17" s="343"/>
      <c r="B17" s="344"/>
      <c r="C17" s="344"/>
      <c r="D17" s="344"/>
      <c r="E17" s="344"/>
      <c r="F17" s="344"/>
      <c r="G17" s="344"/>
      <c r="H17" s="344"/>
      <c r="I17" s="344"/>
      <c r="J17" s="344"/>
      <c r="U17" s="45" t="s">
        <v>225</v>
      </c>
      <c r="W17" s="83">
        <f>+'Historical Analysis'!D16</f>
        <v>-92000</v>
      </c>
      <c r="X17" s="69">
        <f>+'Historical Analysis'!E16</f>
        <v>266000</v>
      </c>
      <c r="Y17" s="69">
        <f>+'Historical Analysis'!F16</f>
        <v>-257000</v>
      </c>
      <c r="Z17" s="69">
        <f>+'Historical Analysis'!G16</f>
        <v>240000</v>
      </c>
      <c r="AA17" s="69">
        <f>+'Historical Analysis'!H16</f>
        <v>182000</v>
      </c>
    </row>
    <row r="18" spans="1:27" ht="9.6" customHeight="1" thickBot="1">
      <c r="U18" s="45" t="s">
        <v>12</v>
      </c>
      <c r="W18" s="78">
        <f>+W16-W17</f>
        <v>225000</v>
      </c>
      <c r="X18" s="47">
        <f>+X16-X17</f>
        <v>-1138000</v>
      </c>
      <c r="Y18" s="47">
        <f>+Y16-Y17</f>
        <v>-303000</v>
      </c>
      <c r="Z18" s="47">
        <f>+Z16-Z17</f>
        <v>-1002000</v>
      </c>
      <c r="AA18" s="47">
        <f>+AA16-AA17</f>
        <v>-621000</v>
      </c>
    </row>
    <row r="19" spans="1:27" ht="16.5" thickTop="1">
      <c r="A19" s="143" t="s">
        <v>91</v>
      </c>
      <c r="B19" s="144"/>
      <c r="C19" s="133"/>
      <c r="D19" s="133"/>
      <c r="E19" s="133"/>
      <c r="F19" s="133"/>
      <c r="G19" s="133"/>
      <c r="H19" s="133"/>
      <c r="U19" s="45" t="s">
        <v>101</v>
      </c>
      <c r="W19" s="46">
        <v>103329.27324401138</v>
      </c>
    </row>
    <row r="20" spans="1:27" ht="7.5" customHeight="1">
      <c r="U20" s="45" t="s">
        <v>102</v>
      </c>
      <c r="W20" s="52">
        <f>+W18/W19</f>
        <v>2.1775049115913556</v>
      </c>
      <c r="X20" s="50"/>
      <c r="Y20" s="50"/>
      <c r="Z20" s="50"/>
      <c r="AA20" s="50"/>
    </row>
    <row r="21" spans="1:27" ht="45.75" thickBot="1">
      <c r="A21" s="443" t="s">
        <v>104</v>
      </c>
      <c r="B21" s="451" t="s">
        <v>105</v>
      </c>
      <c r="C21" s="454" t="s">
        <v>551</v>
      </c>
      <c r="D21" s="454" t="s">
        <v>106</v>
      </c>
      <c r="E21" s="454" t="s">
        <v>107</v>
      </c>
      <c r="F21" s="454" t="s">
        <v>600</v>
      </c>
      <c r="G21" s="444" t="s">
        <v>552</v>
      </c>
      <c r="H21" s="454" t="s">
        <v>108</v>
      </c>
      <c r="U21" s="42" t="s">
        <v>90</v>
      </c>
      <c r="V21" s="42"/>
      <c r="W21" s="43">
        <f>+W5</f>
        <v>44012</v>
      </c>
      <c r="X21" s="44">
        <v>43830</v>
      </c>
      <c r="Y21" s="44">
        <v>43465</v>
      </c>
      <c r="Z21" s="44">
        <v>43100</v>
      </c>
      <c r="AA21" s="44">
        <v>42735</v>
      </c>
    </row>
    <row r="22" spans="1:27" ht="20.100000000000001" hidden="1" customHeight="1">
      <c r="A22" s="447" t="s">
        <v>109</v>
      </c>
      <c r="B22" s="233" t="s">
        <v>110</v>
      </c>
      <c r="C22" s="234">
        <v>64.37</v>
      </c>
      <c r="D22" s="235">
        <v>32.695999999999998</v>
      </c>
      <c r="E22" s="236">
        <v>2104.6415200000001</v>
      </c>
      <c r="F22" s="236">
        <v>328.71</v>
      </c>
      <c r="G22" s="456"/>
      <c r="H22" s="459">
        <v>2433.3515200000002</v>
      </c>
      <c r="W22" s="53"/>
    </row>
    <row r="23" spans="1:27" ht="30" hidden="1" customHeight="1">
      <c r="A23" s="448" t="s">
        <v>111</v>
      </c>
      <c r="B23" s="237" t="s">
        <v>112</v>
      </c>
      <c r="C23" s="238">
        <v>30.76</v>
      </c>
      <c r="D23" s="239">
        <v>74.518000000000001</v>
      </c>
      <c r="E23" s="236">
        <v>2292.1736800000003</v>
      </c>
      <c r="F23" s="462">
        <v>402.1</v>
      </c>
      <c r="G23" s="457"/>
      <c r="H23" s="460">
        <v>2694.2736800000002</v>
      </c>
      <c r="W23" s="53"/>
    </row>
    <row r="24" spans="1:27" ht="15.75" hidden="1" customHeight="1">
      <c r="A24" s="448" t="s">
        <v>113</v>
      </c>
      <c r="B24" s="237" t="s">
        <v>114</v>
      </c>
      <c r="C24" s="238">
        <v>24.35</v>
      </c>
      <c r="D24" s="239">
        <v>380.96499999999997</v>
      </c>
      <c r="E24" s="236">
        <v>9276.4977500000005</v>
      </c>
      <c r="F24" s="462">
        <v>3647</v>
      </c>
      <c r="G24" s="457"/>
      <c r="H24" s="460">
        <v>12923.49775</v>
      </c>
      <c r="W24" s="53"/>
    </row>
    <row r="25" spans="1:27" ht="30" hidden="1" customHeight="1">
      <c r="A25" s="448" t="s">
        <v>115</v>
      </c>
      <c r="B25" s="237" t="s">
        <v>116</v>
      </c>
      <c r="C25" s="238">
        <v>23.6</v>
      </c>
      <c r="D25" s="239">
        <v>5.2530000000000001</v>
      </c>
      <c r="E25" s="236">
        <v>123.97080000000001</v>
      </c>
      <c r="F25" s="462">
        <v>765.2</v>
      </c>
      <c r="G25" s="457"/>
      <c r="H25" s="460">
        <v>889.1708000000001</v>
      </c>
      <c r="W25" s="53"/>
    </row>
    <row r="26" spans="1:27" ht="20.100000000000001" hidden="1" customHeight="1">
      <c r="A26" s="448" t="s">
        <v>117</v>
      </c>
      <c r="B26" s="237" t="s">
        <v>118</v>
      </c>
      <c r="C26" s="238">
        <v>8.52</v>
      </c>
      <c r="D26" s="239">
        <v>201.8</v>
      </c>
      <c r="E26" s="236">
        <v>1719.336</v>
      </c>
      <c r="F26" s="462">
        <v>925.61</v>
      </c>
      <c r="G26" s="457"/>
      <c r="H26" s="460">
        <v>2644.9459999999999</v>
      </c>
      <c r="W26" s="53"/>
    </row>
    <row r="27" spans="1:27" ht="20.100000000000001" hidden="1" customHeight="1">
      <c r="A27" s="448" t="s">
        <v>119</v>
      </c>
      <c r="B27" s="238" t="s">
        <v>120</v>
      </c>
      <c r="C27" s="238">
        <v>19.920000000000002</v>
      </c>
      <c r="D27" s="239">
        <v>21.282</v>
      </c>
      <c r="E27" s="236">
        <v>423.93744000000004</v>
      </c>
      <c r="F27" s="462">
        <v>198.43</v>
      </c>
      <c r="G27" s="457"/>
      <c r="H27" s="460">
        <v>622.36743999999999</v>
      </c>
      <c r="W27" s="53"/>
    </row>
    <row r="28" spans="1:27" ht="20.100000000000001" hidden="1" customHeight="1">
      <c r="A28" s="448" t="s">
        <v>121</v>
      </c>
      <c r="B28" s="238" t="s">
        <v>122</v>
      </c>
      <c r="C28" s="238">
        <v>67.510000000000005</v>
      </c>
      <c r="D28" s="239">
        <v>216.71100000000001</v>
      </c>
      <c r="E28" s="236">
        <v>14630.159610000002</v>
      </c>
      <c r="F28" s="462">
        <v>1325</v>
      </c>
      <c r="G28" s="457"/>
      <c r="H28" s="460">
        <v>15955.159610000002</v>
      </c>
      <c r="W28" s="53"/>
    </row>
    <row r="29" spans="1:27" ht="20.100000000000001" hidden="1" customHeight="1">
      <c r="A29" s="449" t="s">
        <v>123</v>
      </c>
      <c r="B29" s="437" t="s">
        <v>124</v>
      </c>
      <c r="C29" s="438">
        <v>28.92</v>
      </c>
      <c r="D29" s="439">
        <v>31.791</v>
      </c>
      <c r="E29" s="440">
        <v>919.3957200000001</v>
      </c>
      <c r="F29" s="463">
        <v>626.63</v>
      </c>
      <c r="G29" s="458"/>
      <c r="H29" s="461">
        <v>1546.0257200000001</v>
      </c>
      <c r="W29" s="53"/>
    </row>
    <row r="30" spans="1:27" ht="20.100000000000001" customHeight="1" thickBot="1">
      <c r="A30" s="445"/>
      <c r="B30" s="452"/>
      <c r="C30" s="455">
        <f>+H1</f>
        <v>45337</v>
      </c>
      <c r="D30" s="455">
        <f>+H1</f>
        <v>45337</v>
      </c>
      <c r="E30" s="455">
        <f>+H1</f>
        <v>45337</v>
      </c>
      <c r="F30" s="455">
        <f>+H2</f>
        <v>45199</v>
      </c>
      <c r="G30" s="446">
        <f>+H2</f>
        <v>45199</v>
      </c>
      <c r="H30" s="455">
        <f>+H1</f>
        <v>45337</v>
      </c>
      <c r="W30" s="53"/>
    </row>
    <row r="31" spans="1:27" ht="30.95" customHeight="1" thickTop="1">
      <c r="A31" s="450" t="s">
        <v>125</v>
      </c>
      <c r="B31" s="441" t="s">
        <v>126</v>
      </c>
      <c r="C31" s="441">
        <f>+H6</f>
        <v>134.33000000000001</v>
      </c>
      <c r="D31" s="240">
        <f>+G6</f>
        <v>103140</v>
      </c>
      <c r="E31" s="453">
        <f>+D31*C31</f>
        <v>13854796.200000001</v>
      </c>
      <c r="F31" s="442">
        <f>'Historical Analysis'!C53+'Historical Analysis'!C49</f>
        <v>3055000</v>
      </c>
      <c r="G31" s="240">
        <f>'Historical Analysis'!C24</f>
        <v>727000</v>
      </c>
      <c r="H31" s="240">
        <f>+E31+F31-G31</f>
        <v>16182796.200000003</v>
      </c>
      <c r="U31" t="s">
        <v>127</v>
      </c>
      <c r="W31" s="54">
        <f>+'Historical Analysis'!E24</f>
        <v>1187000</v>
      </c>
      <c r="X31" s="49">
        <f>+'Historical Analysis'!F24</f>
        <v>1882000</v>
      </c>
      <c r="Y31" s="49">
        <f>+'Historical Analysis'!G24</f>
        <v>961000</v>
      </c>
      <c r="Z31" s="49">
        <f>+'Historical Analysis'!H24</f>
        <v>686000</v>
      </c>
      <c r="AA31" s="49">
        <f>+'Historical Analysis'!I24</f>
        <v>552000</v>
      </c>
    </row>
    <row r="32" spans="1:27" ht="15.75" thickBot="1">
      <c r="U32" s="55" t="s">
        <v>30</v>
      </c>
      <c r="V32" s="76"/>
      <c r="W32" s="56">
        <f>+'Historical Analysis'!E42</f>
        <v>12603000</v>
      </c>
      <c r="X32" s="57">
        <f>+'Historical Analysis'!F42</f>
        <v>9129000</v>
      </c>
      <c r="Y32" s="57">
        <f>+'Historical Analysis'!G42</f>
        <v>8417000</v>
      </c>
      <c r="Z32" s="57">
        <f>+'Historical Analysis'!H42</f>
        <v>7643000</v>
      </c>
      <c r="AA32" s="57">
        <f>+'Historical Analysis'!I42</f>
        <v>7572000</v>
      </c>
    </row>
    <row r="33" spans="1:28" ht="16.5" thickTop="1">
      <c r="A33" s="143" t="s">
        <v>93</v>
      </c>
      <c r="B33" s="133"/>
      <c r="C33" s="133"/>
      <c r="D33" s="133"/>
      <c r="E33" s="133"/>
      <c r="F33" s="133"/>
      <c r="G33" s="133"/>
      <c r="H33" s="145"/>
      <c r="I33" s="145"/>
      <c r="U33" t="s">
        <v>128</v>
      </c>
      <c r="W33" s="54">
        <f>+'Historical Analysis'!E37</f>
        <v>954000</v>
      </c>
      <c r="X33" s="49">
        <f>+'Historical Analysis'!F37</f>
        <v>980000</v>
      </c>
      <c r="Y33" s="49">
        <f>+'Historical Analysis'!G37</f>
        <v>843000</v>
      </c>
      <c r="Z33" s="49">
        <f>+'Historical Analysis'!H37</f>
        <v>735000</v>
      </c>
      <c r="AA33" s="49">
        <f>+'Historical Analysis'!I37</f>
        <v>750000</v>
      </c>
    </row>
    <row r="34" spans="1:28">
      <c r="A34" s="241"/>
      <c r="B34" s="201"/>
      <c r="C34" s="201"/>
      <c r="D34" s="201"/>
      <c r="E34" s="201"/>
      <c r="F34" s="201"/>
      <c r="G34" s="201"/>
      <c r="H34" s="201"/>
      <c r="I34" s="201"/>
      <c r="U34" t="s">
        <v>41</v>
      </c>
      <c r="W34" s="54">
        <f>+'Historical Analysis'!E57</f>
        <v>9037000</v>
      </c>
      <c r="X34" s="49">
        <f>+'Historical Analysis'!F57</f>
        <v>5915000</v>
      </c>
      <c r="Y34" s="49">
        <f>+'Historical Analysis'!G57</f>
        <v>4450000</v>
      </c>
      <c r="Z34" s="49">
        <f>+'Historical Analysis'!H57</f>
        <v>3966000</v>
      </c>
      <c r="AA34" s="49">
        <f>+'Historical Analysis'!I57</f>
        <v>3719000</v>
      </c>
    </row>
    <row r="35" spans="1:28" ht="16.5" customHeight="1">
      <c r="A35" s="242" t="s">
        <v>129</v>
      </c>
      <c r="B35" s="208"/>
      <c r="C35" s="201"/>
      <c r="D35" s="242" t="s">
        <v>130</v>
      </c>
      <c r="E35" s="208"/>
      <c r="F35" s="201"/>
      <c r="G35" s="201"/>
      <c r="H35" s="201"/>
      <c r="I35" s="201"/>
      <c r="U35" t="s">
        <v>43</v>
      </c>
      <c r="W35" s="54">
        <f>+W32-W34</f>
        <v>3566000</v>
      </c>
      <c r="X35" s="49">
        <f>+X32-X34</f>
        <v>3214000</v>
      </c>
      <c r="Y35" s="49">
        <f>+Y32-Y34</f>
        <v>3967000</v>
      </c>
      <c r="Z35" s="49">
        <f>+Z32-Z34</f>
        <v>3677000</v>
      </c>
      <c r="AA35" s="49">
        <f>+AA32-AA34</f>
        <v>3853000</v>
      </c>
    </row>
    <row r="36" spans="1:28" ht="16.5" customHeight="1">
      <c r="A36" s="208" t="s">
        <v>526</v>
      </c>
      <c r="B36" s="387">
        <v>4.87E-2</v>
      </c>
      <c r="C36" s="208"/>
      <c r="D36" s="208" t="s">
        <v>131</v>
      </c>
      <c r="E36" s="388">
        <v>0.76</v>
      </c>
      <c r="F36" s="201" t="s">
        <v>527</v>
      </c>
      <c r="G36" s="201"/>
      <c r="H36" s="201"/>
      <c r="I36" s="201"/>
      <c r="W36" s="49"/>
      <c r="X36" s="49"/>
      <c r="Y36" s="49"/>
      <c r="Z36" s="49"/>
      <c r="AA36" s="49"/>
    </row>
    <row r="37" spans="1:28" ht="16.5" customHeight="1">
      <c r="A37" s="208" t="s">
        <v>132</v>
      </c>
      <c r="B37" s="209">
        <f>+'Technical Analysis'!J18</f>
        <v>1.4606651680902731</v>
      </c>
      <c r="C37" s="386"/>
      <c r="D37" s="208"/>
      <c r="E37" s="248"/>
      <c r="F37" s="249"/>
      <c r="G37" s="201"/>
      <c r="H37" s="201"/>
      <c r="I37" s="201"/>
      <c r="U37" s="39" t="s">
        <v>133</v>
      </c>
      <c r="V37" s="39"/>
      <c r="W37" s="40" t="s">
        <v>83</v>
      </c>
      <c r="X37" s="41"/>
      <c r="Y37" s="41"/>
      <c r="Z37" s="41"/>
      <c r="AA37" s="41"/>
    </row>
    <row r="38" spans="1:28" ht="16.5" customHeight="1" thickBot="1">
      <c r="A38" s="208" t="s">
        <v>500</v>
      </c>
      <c r="B38" s="387">
        <v>5.5E-2</v>
      </c>
      <c r="C38" s="208"/>
      <c r="D38" s="208" t="s">
        <v>134</v>
      </c>
      <c r="E38" s="388">
        <v>154</v>
      </c>
      <c r="F38" s="249" t="s">
        <v>550</v>
      </c>
      <c r="G38" s="201"/>
      <c r="H38" s="201"/>
      <c r="I38" s="201"/>
      <c r="U38" s="42" t="s">
        <v>90</v>
      </c>
      <c r="V38" s="42"/>
      <c r="W38" s="43">
        <f>+W21</f>
        <v>44012</v>
      </c>
      <c r="X38" s="44">
        <v>43830</v>
      </c>
      <c r="Y38" s="44">
        <v>43465</v>
      </c>
      <c r="Z38" s="44">
        <v>43100</v>
      </c>
      <c r="AA38" s="44">
        <v>42735</v>
      </c>
    </row>
    <row r="39" spans="1:28" ht="16.5" customHeight="1" thickBot="1">
      <c r="A39" s="208" t="s">
        <v>135</v>
      </c>
      <c r="B39" s="246">
        <f>+B38+B36</f>
        <v>0.1037</v>
      </c>
      <c r="C39" s="208"/>
      <c r="D39" s="208" t="s">
        <v>136</v>
      </c>
      <c r="E39" s="246">
        <f>+B40</f>
        <v>0.12903658424496503</v>
      </c>
      <c r="F39" s="201"/>
      <c r="G39" s="201"/>
      <c r="H39" s="201"/>
      <c r="I39" s="201"/>
      <c r="M39" s="506" t="s">
        <v>579</v>
      </c>
      <c r="N39" s="507"/>
      <c r="O39" s="508"/>
      <c r="U39" s="45" t="s">
        <v>137</v>
      </c>
      <c r="W39" s="75">
        <v>-358000</v>
      </c>
      <c r="X39" s="49">
        <v>-369000</v>
      </c>
      <c r="Y39" s="49">
        <v>-297000</v>
      </c>
      <c r="Z39" s="49">
        <v>-298000</v>
      </c>
      <c r="AA39" s="49">
        <v>-211000</v>
      </c>
    </row>
    <row r="40" spans="1:28" ht="16.5" customHeight="1" thickBot="1">
      <c r="A40" s="250" t="s">
        <v>138</v>
      </c>
      <c r="B40" s="251">
        <f>+B36+B37*B38</f>
        <v>0.12903658424496503</v>
      </c>
      <c r="C40" s="208"/>
      <c r="D40" s="244" t="s">
        <v>486</v>
      </c>
      <c r="E40" s="245">
        <f>+(E38+E36)/(1+(E39))</f>
        <v>137.07261762779336</v>
      </c>
      <c r="F40" s="249"/>
      <c r="G40" s="201"/>
      <c r="H40" s="201"/>
      <c r="I40" s="201"/>
      <c r="M40" s="509" t="s">
        <v>578</v>
      </c>
      <c r="N40" s="201"/>
      <c r="O40" s="510"/>
      <c r="U40" s="45" t="s">
        <v>139</v>
      </c>
      <c r="W40" s="75">
        <v>363000</v>
      </c>
      <c r="X40" s="49">
        <v>364000</v>
      </c>
      <c r="Y40" s="49">
        <v>327000</v>
      </c>
      <c r="Z40" s="49">
        <v>366000</v>
      </c>
      <c r="AA40" s="49">
        <v>342000</v>
      </c>
    </row>
    <row r="41" spans="1:28" ht="16.5" customHeight="1" thickBot="1">
      <c r="A41" s="252"/>
      <c r="B41" s="252"/>
      <c r="C41" s="201"/>
      <c r="D41" s="201"/>
      <c r="E41" s="201"/>
      <c r="F41" s="201"/>
      <c r="G41" s="201"/>
      <c r="H41" s="201"/>
      <c r="I41" s="201"/>
      <c r="M41" s="511"/>
      <c r="N41" s="512"/>
      <c r="O41" s="513"/>
    </row>
    <row r="42" spans="1:28" ht="15.75">
      <c r="A42" s="143" t="s">
        <v>95</v>
      </c>
      <c r="B42" s="133"/>
      <c r="C42" s="133"/>
      <c r="D42" s="133"/>
      <c r="E42" s="133"/>
      <c r="F42" s="133"/>
      <c r="G42" s="133"/>
      <c r="H42" s="145"/>
      <c r="I42" s="145"/>
      <c r="U42" s="39" t="s">
        <v>140</v>
      </c>
      <c r="V42" s="39"/>
      <c r="W42" s="40" t="s">
        <v>83</v>
      </c>
      <c r="X42" s="41"/>
      <c r="Y42" s="41"/>
      <c r="Z42" s="41"/>
      <c r="AA42" s="41"/>
      <c r="AB42" s="39" t="s">
        <v>141</v>
      </c>
    </row>
    <row r="43" spans="1:28" ht="15.75" thickBot="1">
      <c r="A43" s="210"/>
      <c r="B43" s="210"/>
      <c r="C43" s="210"/>
      <c r="D43" s="210"/>
      <c r="E43" s="210"/>
      <c r="F43" s="210"/>
      <c r="G43" s="210"/>
      <c r="H43" s="210"/>
      <c r="I43" s="210"/>
      <c r="U43" s="42" t="s">
        <v>90</v>
      </c>
      <c r="V43" s="42"/>
      <c r="W43" s="43">
        <f>+W21</f>
        <v>44012</v>
      </c>
      <c r="X43" s="44">
        <v>43830</v>
      </c>
      <c r="Y43" s="44">
        <v>43465</v>
      </c>
      <c r="Z43" s="44">
        <v>43100</v>
      </c>
      <c r="AA43" s="44">
        <v>42735</v>
      </c>
      <c r="AB43" s="44"/>
    </row>
    <row r="44" spans="1:28">
      <c r="A44" s="242" t="s">
        <v>142</v>
      </c>
      <c r="B44" s="210"/>
      <c r="C44" s="210"/>
      <c r="D44" s="242" t="s">
        <v>143</v>
      </c>
      <c r="E44" s="210"/>
      <c r="F44" s="210"/>
      <c r="G44" s="210"/>
      <c r="H44" s="210"/>
      <c r="I44" s="210"/>
      <c r="U44" s="45" t="s">
        <v>144</v>
      </c>
      <c r="W44" s="59">
        <f>+W6/X6-1</f>
        <v>0.94550858652575953</v>
      </c>
      <c r="X44" s="59">
        <f>+X6/Y6-1</f>
        <v>0.46563407550822844</v>
      </c>
      <c r="Y44" s="59">
        <f>+Y6/Z6-1</f>
        <v>-0.58844621513944229</v>
      </c>
      <c r="Z44" s="59">
        <f>+Z6/AA6-1</f>
        <v>0.12707678491243835</v>
      </c>
      <c r="AB44" s="58">
        <f>AVERAGE(W44:AA44)</f>
        <v>0.23744330795174601</v>
      </c>
    </row>
    <row r="45" spans="1:28">
      <c r="A45" s="210" t="s">
        <v>145</v>
      </c>
      <c r="B45" s="247">
        <f>+F45</f>
        <v>1.25</v>
      </c>
      <c r="C45" s="210"/>
      <c r="D45" s="210" t="s">
        <v>146</v>
      </c>
      <c r="E45" s="210"/>
      <c r="F45" s="464">
        <v>1.25</v>
      </c>
      <c r="G45" s="210"/>
      <c r="H45" s="210"/>
      <c r="I45" s="210"/>
      <c r="U45" s="45" t="s">
        <v>147</v>
      </c>
      <c r="W45" s="59">
        <f>+W7/W6</f>
        <v>0.78136139874384658</v>
      </c>
      <c r="X45" s="59">
        <f>+X7/X6</f>
        <v>0.85964332892998674</v>
      </c>
      <c r="Y45" s="59">
        <f>+Y7/Y6</f>
        <v>1.000484027105518</v>
      </c>
      <c r="Z45" s="59">
        <f>+Z7/Z6</f>
        <v>0.81215139442231077</v>
      </c>
      <c r="AA45" s="59">
        <f>+AA7/AA6</f>
        <v>0.78019757521329147</v>
      </c>
      <c r="AB45" s="58">
        <f>AVERAGE(W45:AA45)</f>
        <v>0.84676754488299077</v>
      </c>
    </row>
    <row r="46" spans="1:28">
      <c r="A46" s="210" t="s">
        <v>148</v>
      </c>
      <c r="B46" s="243">
        <f>+B40</f>
        <v>0.12903658424496503</v>
      </c>
      <c r="C46" s="210"/>
      <c r="D46" s="210" t="s">
        <v>149</v>
      </c>
      <c r="E46" s="210"/>
      <c r="F46" s="247">
        <f>+F47+F45</f>
        <v>135.58000000000001</v>
      </c>
      <c r="G46" s="210"/>
      <c r="H46" s="210"/>
      <c r="I46" s="210"/>
      <c r="U46" s="45" t="s">
        <v>150</v>
      </c>
      <c r="W46" s="59">
        <f>+W9/W6</f>
        <v>0.15107791546426752</v>
      </c>
      <c r="X46" s="59">
        <f>+X9/X6</f>
        <v>0.22324966974900926</v>
      </c>
      <c r="Y46" s="59">
        <f>+Y9/Y6</f>
        <v>0.30542110358180058</v>
      </c>
      <c r="Z46" s="59">
        <f>+Z9/Z6</f>
        <v>0.14860557768924304</v>
      </c>
      <c r="AA46" s="59">
        <f>+AA9/AA6</f>
        <v>0.14526268522676247</v>
      </c>
      <c r="AB46" s="58">
        <f>AVERAGE(W46:AA46)</f>
        <v>0.19472339034221658</v>
      </c>
    </row>
    <row r="47" spans="1:28" ht="15.75" thickBot="1">
      <c r="A47" s="210" t="s">
        <v>151</v>
      </c>
      <c r="B47" s="387">
        <f>C47*B46</f>
        <v>0.10968109660822027</v>
      </c>
      <c r="C47" s="495">
        <v>0.85</v>
      </c>
      <c r="D47" s="210" t="s">
        <v>152</v>
      </c>
      <c r="E47" s="210"/>
      <c r="F47" s="254">
        <f>+C31</f>
        <v>134.33000000000001</v>
      </c>
      <c r="G47" s="210"/>
      <c r="H47" s="210"/>
      <c r="I47" s="210"/>
      <c r="U47" s="45" t="s">
        <v>153</v>
      </c>
      <c r="W47" s="59">
        <f>+W40/W6</f>
        <v>6.1619419453403497E-2</v>
      </c>
      <c r="X47" s="59">
        <f>+X40/X6</f>
        <v>0.1202113606340819</v>
      </c>
      <c r="Y47" s="59">
        <f>+Y40/Y6</f>
        <v>0.15827686350435624</v>
      </c>
      <c r="Z47" s="59">
        <f>+Z40/Z6</f>
        <v>7.2908366533864538E-2</v>
      </c>
      <c r="AA47" s="59">
        <f>+AA40/AA6</f>
        <v>7.6784912438257746E-2</v>
      </c>
      <c r="AB47" s="58">
        <f>AVERAGE(W47:AA47)</f>
        <v>9.7960184512792786E-2</v>
      </c>
    </row>
    <row r="48" spans="1:28" ht="15.75" thickBot="1">
      <c r="A48" s="244" t="s">
        <v>487</v>
      </c>
      <c r="B48" s="245">
        <f>+(B45*(1+B47))/(B46-B47)</f>
        <v>71.664501395820196</v>
      </c>
      <c r="C48" s="210"/>
      <c r="D48" s="208" t="s">
        <v>154</v>
      </c>
      <c r="E48" s="210"/>
      <c r="F48" s="255">
        <f>+(F45+(F46-F47))/F47</f>
        <v>1.8610883644755452E-2</v>
      </c>
      <c r="G48" s="210"/>
      <c r="H48" s="210"/>
      <c r="I48" s="210"/>
      <c r="U48" s="45" t="s">
        <v>155</v>
      </c>
      <c r="W48" s="59">
        <f>-W39/W6</f>
        <v>6.0770667119334577E-2</v>
      </c>
      <c r="X48" s="59">
        <f>-X39/X6</f>
        <v>0.12186261558784676</v>
      </c>
      <c r="Y48" s="59">
        <f>-Y39/Y6</f>
        <v>0.14375605033881897</v>
      </c>
      <c r="Z48" s="59">
        <f>-Z39/Z6</f>
        <v>5.9362549800796811E-2</v>
      </c>
      <c r="AA48" s="59">
        <f>-AA39/AA6</f>
        <v>4.7373147732375394E-2</v>
      </c>
      <c r="AB48" s="58">
        <f>AVERAGE(W48:AA48)</f>
        <v>8.6625006115834499E-2</v>
      </c>
    </row>
    <row r="49" spans="1:27">
      <c r="A49" s="241"/>
      <c r="B49" s="201"/>
      <c r="C49" s="201"/>
      <c r="D49" s="201"/>
      <c r="E49" s="201"/>
      <c r="F49" s="201"/>
      <c r="G49" s="201"/>
      <c r="H49" s="208"/>
      <c r="I49" s="208"/>
      <c r="U49" t="s">
        <v>41</v>
      </c>
      <c r="W49" s="54">
        <f>+'Historical Analysis'!E72</f>
        <v>2021</v>
      </c>
      <c r="X49" s="49">
        <f>+'Historical Analysis'!F72</f>
        <v>2020</v>
      </c>
      <c r="Y49" s="49">
        <f>+'Historical Analysis'!G72</f>
        <v>2019</v>
      </c>
      <c r="Z49" s="49">
        <f>+'Historical Analysis'!H72</f>
        <v>2018</v>
      </c>
      <c r="AA49" s="49">
        <f>+'Historical Analysis'!I72</f>
        <v>2017</v>
      </c>
    </row>
    <row r="50" spans="1:27" ht="10.5" customHeight="1">
      <c r="W50" s="45"/>
    </row>
    <row r="51" spans="1:27" ht="15.75">
      <c r="A51" s="143" t="s">
        <v>97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27" ht="8.25" customHeight="1">
      <c r="A52" s="353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27" ht="43.5" customHeight="1">
      <c r="A53" s="465" t="s">
        <v>104</v>
      </c>
      <c r="B53" s="471" t="s">
        <v>105</v>
      </c>
      <c r="C53" s="479" t="str">
        <f>+C21</f>
        <v>Stock Price</v>
      </c>
      <c r="D53" s="472" t="s">
        <v>106</v>
      </c>
      <c r="E53" s="473" t="s">
        <v>156</v>
      </c>
      <c r="F53" s="473" t="str">
        <f>+F21</f>
        <v>Debt 
(ST&amp;LT)
($000)</v>
      </c>
      <c r="G53" s="472" t="str">
        <f>+G21</f>
        <v>Cash
 ($000)</v>
      </c>
      <c r="H53" s="473" t="s">
        <v>108</v>
      </c>
      <c r="I53" s="473" t="s">
        <v>553</v>
      </c>
      <c r="J53" s="473" t="s">
        <v>157</v>
      </c>
      <c r="K53" s="473" t="s">
        <v>158</v>
      </c>
    </row>
    <row r="54" spans="1:27" ht="20.45" customHeight="1" thickBot="1">
      <c r="A54" s="469"/>
      <c r="B54" s="466"/>
      <c r="C54" s="467">
        <f>+H1</f>
        <v>45337</v>
      </c>
      <c r="D54" s="470">
        <f>+H1</f>
        <v>45337</v>
      </c>
      <c r="E54" s="470">
        <f>+H1</f>
        <v>45337</v>
      </c>
      <c r="F54" s="468">
        <f>+H2</f>
        <v>45199</v>
      </c>
      <c r="G54" s="467">
        <f>+H2</f>
        <v>45199</v>
      </c>
      <c r="H54" s="467">
        <f>+H1</f>
        <v>45337</v>
      </c>
      <c r="I54" s="467">
        <f>+H2</f>
        <v>45199</v>
      </c>
      <c r="J54" s="467">
        <f>+H1</f>
        <v>45337</v>
      </c>
      <c r="K54" s="467">
        <f>+H1</f>
        <v>45337</v>
      </c>
    </row>
    <row r="55" spans="1:27" ht="15.6" customHeight="1" thickTop="1">
      <c r="A55" s="211" t="s">
        <v>109</v>
      </c>
      <c r="B55" s="212" t="s">
        <v>110</v>
      </c>
      <c r="C55" s="501">
        <f>+'Yahoo Input Val'!C4</f>
        <v>118.74</v>
      </c>
      <c r="D55" s="389">
        <f>'Yahoo Input Val'!C6*1000</f>
        <v>49800</v>
      </c>
      <c r="E55" s="213">
        <f t="shared" ref="E55:E61" si="4">+D55*C55</f>
        <v>5913252</v>
      </c>
      <c r="F55" s="390">
        <f>'Yahoo Input Val'!C9*1000</f>
        <v>1510000</v>
      </c>
      <c r="G55" s="389">
        <f>+'Yahoo Input Val'!C10*1000</f>
        <v>36430</v>
      </c>
      <c r="H55" s="213">
        <f t="shared" ref="H55:H61" si="5">+E55+F55-G55</f>
        <v>7386822</v>
      </c>
      <c r="I55" s="389">
        <f>+'Yahoo Input Val'!C11*1000</f>
        <v>505470</v>
      </c>
      <c r="J55" s="474">
        <f t="shared" ref="J55:J61" si="6">+H55/I55</f>
        <v>14.613769363166954</v>
      </c>
      <c r="K55" s="477">
        <f>+'Yahoo Input Val'!C5</f>
        <v>1.23</v>
      </c>
    </row>
    <row r="56" spans="1:27" ht="15.6" customHeight="1">
      <c r="A56" s="211" t="s">
        <v>159</v>
      </c>
      <c r="B56" s="212" t="s">
        <v>114</v>
      </c>
      <c r="C56" s="501">
        <f>+'Yahoo Input Val'!D4</f>
        <v>196.16</v>
      </c>
      <c r="D56" s="389">
        <f>'Yahoo Input Val'!D6*1000</f>
        <v>252160</v>
      </c>
      <c r="E56" s="213">
        <f t="shared" si="4"/>
        <v>49463705.600000001</v>
      </c>
      <c r="F56" s="390">
        <f>'Yahoo Input Val'!D9*1000</f>
        <v>10120000</v>
      </c>
      <c r="G56" s="389">
        <f>+'Yahoo Input Val'!D10*1000</f>
        <v>800000</v>
      </c>
      <c r="H56" s="213">
        <f t="shared" si="5"/>
        <v>58783705.600000001</v>
      </c>
      <c r="I56" s="389">
        <f>+'Yahoo Input Val'!D11*1000</f>
        <v>2410000</v>
      </c>
      <c r="J56" s="474">
        <f t="shared" si="6"/>
        <v>24.391579087136929</v>
      </c>
      <c r="K56" s="477">
        <f>+'Yahoo Input Val'!D5</f>
        <v>1.26</v>
      </c>
    </row>
    <row r="57" spans="1:27" ht="15.6" customHeight="1">
      <c r="A57" s="214" t="s">
        <v>160</v>
      </c>
      <c r="B57" s="215" t="s">
        <v>161</v>
      </c>
      <c r="C57" s="501">
        <f>+'Yahoo Input Val'!E4</f>
        <v>97.57</v>
      </c>
      <c r="D57" s="389">
        <f>'Yahoo Input Val'!E6*1000</f>
        <v>172100</v>
      </c>
      <c r="E57" s="213">
        <f t="shared" si="4"/>
        <v>16791797</v>
      </c>
      <c r="F57" s="390">
        <f>'Yahoo Input Val'!E9*1000</f>
        <v>2960000</v>
      </c>
      <c r="G57" s="389">
        <f>+'Yahoo Input Val'!E10*1000</f>
        <v>713000</v>
      </c>
      <c r="H57" s="213">
        <f t="shared" si="5"/>
        <v>19038797</v>
      </c>
      <c r="I57" s="389">
        <f>+'Yahoo Input Val'!E11*1000</f>
        <v>915000</v>
      </c>
      <c r="J57" s="474">
        <f t="shared" si="6"/>
        <v>20.807428415300546</v>
      </c>
      <c r="K57" s="477">
        <f>+'Yahoo Input Val'!E5</f>
        <v>0.97</v>
      </c>
    </row>
    <row r="58" spans="1:27" ht="15.6" customHeight="1">
      <c r="A58" s="214" t="s">
        <v>119</v>
      </c>
      <c r="B58" s="216" t="s">
        <v>120</v>
      </c>
      <c r="C58" s="501">
        <f>+'Yahoo Input Val'!F4</f>
        <v>14.64</v>
      </c>
      <c r="D58" s="389">
        <f>'Yahoo Input Val'!F6*1000</f>
        <v>31700</v>
      </c>
      <c r="E58" s="213">
        <f t="shared" si="4"/>
        <v>464088</v>
      </c>
      <c r="F58" s="390">
        <f>'Yahoo Input Val'!F9*1000</f>
        <v>383890</v>
      </c>
      <c r="G58" s="389">
        <f>+'Yahoo Input Val'!F10*1000</f>
        <v>41000</v>
      </c>
      <c r="H58" s="213">
        <f t="shared" si="5"/>
        <v>806978</v>
      </c>
      <c r="I58" s="389">
        <f>+'Yahoo Input Val'!F11*1000</f>
        <v>97990</v>
      </c>
      <c r="J58" s="474">
        <f t="shared" si="6"/>
        <v>8.2353097254821925</v>
      </c>
      <c r="K58" s="477">
        <f>+'Yahoo Input Val'!F5</f>
        <v>1.46</v>
      </c>
    </row>
    <row r="59" spans="1:27" ht="15.6" customHeight="1">
      <c r="A59" s="214" t="s">
        <v>121</v>
      </c>
      <c r="B59" s="216" t="s">
        <v>122</v>
      </c>
      <c r="C59" s="501">
        <f>+'Yahoo Input Val'!G4</f>
        <v>240.49</v>
      </c>
      <c r="D59" s="389">
        <f>'Yahoo Input Val'!G6*1000</f>
        <v>289480</v>
      </c>
      <c r="E59" s="213">
        <f>+D59*C59</f>
        <v>69617045.200000003</v>
      </c>
      <c r="F59" s="390">
        <f>'Yahoo Input Val'!G9*1000</f>
        <v>12870000</v>
      </c>
      <c r="G59" s="389">
        <f>+'Yahoo Input Val'!G10*1000</f>
        <v>338000</v>
      </c>
      <c r="H59" s="213">
        <f>+E59+F59-G59</f>
        <v>82149045.200000003</v>
      </c>
      <c r="I59" s="389">
        <f>+'Yahoo Input Val'!G11*1000</f>
        <v>4200000</v>
      </c>
      <c r="J59" s="474">
        <f t="shared" si="6"/>
        <v>19.559296476190475</v>
      </c>
      <c r="K59" s="477">
        <f>+'Yahoo Input Val'!G5</f>
        <v>1.64</v>
      </c>
    </row>
    <row r="60" spans="1:27" ht="15.6" customHeight="1">
      <c r="A60" s="214" t="s">
        <v>162</v>
      </c>
      <c r="B60" s="216" t="s">
        <v>163</v>
      </c>
      <c r="C60" s="501">
        <f>+'Yahoo Input Val'!H4</f>
        <v>15.26</v>
      </c>
      <c r="D60" s="389">
        <f>'Yahoo Input Val'!H6*1000</f>
        <v>209170</v>
      </c>
      <c r="E60" s="213">
        <f t="shared" si="4"/>
        <v>3191934.2</v>
      </c>
      <c r="F60" s="390">
        <f>'Yahoo Input Val'!H9*1000</f>
        <v>4710000</v>
      </c>
      <c r="G60" s="389">
        <f>+'Yahoo Input Val'!H10*1000</f>
        <v>726000</v>
      </c>
      <c r="H60" s="213">
        <f t="shared" si="5"/>
        <v>7175934.2000000002</v>
      </c>
      <c r="I60" s="389">
        <f>+'Yahoo Input Val'!H11*1000</f>
        <v>618000</v>
      </c>
      <c r="J60" s="474">
        <f t="shared" si="6"/>
        <v>11.611544012944984</v>
      </c>
      <c r="K60" s="477">
        <f>+'Yahoo Input Val'!H5</f>
        <v>2.02</v>
      </c>
    </row>
    <row r="61" spans="1:27" ht="15.6" customHeight="1" thickBot="1">
      <c r="A61" s="217" t="s">
        <v>164</v>
      </c>
      <c r="B61" s="218" t="s">
        <v>549</v>
      </c>
      <c r="C61" s="501">
        <f>+'Yahoo Input Val'!I4</f>
        <v>79.53</v>
      </c>
      <c r="D61" s="389">
        <f>'Yahoo Input Val'!I6*1000</f>
        <v>82960</v>
      </c>
      <c r="E61" s="219">
        <f t="shared" si="4"/>
        <v>6597808.7999999998</v>
      </c>
      <c r="F61" s="390">
        <f>'Yahoo Input Val'!I9*1000</f>
        <v>2200000</v>
      </c>
      <c r="G61" s="389">
        <f>+'Yahoo Input Val'!I10*1000</f>
        <v>65000</v>
      </c>
      <c r="H61" s="219">
        <f t="shared" si="5"/>
        <v>8732808.8000000007</v>
      </c>
      <c r="I61" s="389">
        <f>+'Yahoo Input Val'!I11*1000</f>
        <v>591000</v>
      </c>
      <c r="J61" s="475">
        <f t="shared" si="6"/>
        <v>14.77632622673435</v>
      </c>
      <c r="K61" s="477">
        <f>+'Yahoo Input Val'!I5</f>
        <v>1.2</v>
      </c>
    </row>
    <row r="62" spans="1:27" ht="9.6" customHeight="1" thickBo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  <row r="63" spans="1:27" ht="15.6" customHeight="1" thickBot="1">
      <c r="A63" s="220" t="s">
        <v>125</v>
      </c>
      <c r="B63" s="221" t="s">
        <v>126</v>
      </c>
      <c r="C63" s="222">
        <f>+C31</f>
        <v>134.33000000000001</v>
      </c>
      <c r="D63" s="223">
        <f>D31</f>
        <v>103140</v>
      </c>
      <c r="E63" s="223">
        <f>+D63*C63</f>
        <v>13854796.200000001</v>
      </c>
      <c r="F63" s="224">
        <f>+F31</f>
        <v>3055000</v>
      </c>
      <c r="G63" s="223">
        <f>+G31</f>
        <v>727000</v>
      </c>
      <c r="H63" s="223">
        <f>+F63+E63-G63</f>
        <v>16182796.200000003</v>
      </c>
      <c r="I63" s="223">
        <f>+Projections!O34</f>
        <v>755000</v>
      </c>
      <c r="J63" s="476">
        <f>+H63/I63</f>
        <v>21.434167152317883</v>
      </c>
      <c r="K63" s="478">
        <f>+B37</f>
        <v>1.4606651680902731</v>
      </c>
      <c r="L63" s="45"/>
    </row>
    <row r="64" spans="1:27" ht="15.75" thickBot="1">
      <c r="A64" s="205"/>
      <c r="B64" s="225"/>
      <c r="C64" s="226"/>
      <c r="D64" s="226"/>
      <c r="E64" s="225"/>
      <c r="F64" s="225"/>
      <c r="G64" s="225"/>
      <c r="H64" s="225"/>
      <c r="I64" s="225"/>
      <c r="J64" s="227"/>
      <c r="K64" s="225"/>
    </row>
    <row r="65" spans="1:25" ht="15.75" thickBot="1">
      <c r="A65" s="205" t="s">
        <v>547</v>
      </c>
      <c r="B65" s="228">
        <f>+I63</f>
        <v>755000</v>
      </c>
      <c r="C65" s="229">
        <f>+J66</f>
        <v>16.273672898867463</v>
      </c>
      <c r="D65" s="204" t="s">
        <v>485</v>
      </c>
      <c r="E65" s="231">
        <f>+H10</f>
        <v>96.554421549786056</v>
      </c>
      <c r="F65" s="225"/>
      <c r="G65" s="225"/>
      <c r="H65" s="225"/>
      <c r="I65" s="253" t="s">
        <v>165</v>
      </c>
      <c r="J65" s="229">
        <f>AVERAGE(J55:J61)</f>
        <v>16.285036186708066</v>
      </c>
      <c r="K65" s="229">
        <f>AVERAGE(K55:K63)</f>
        <v>1.405083146011284</v>
      </c>
      <c r="L65" s="61"/>
    </row>
    <row r="66" spans="1:25" ht="15.75" thickBot="1">
      <c r="A66" s="205" t="s">
        <v>529</v>
      </c>
      <c r="B66" s="228">
        <f>+B65</f>
        <v>755000</v>
      </c>
      <c r="C66" s="229">
        <f>AVERAGE(J56,J59)</f>
        <v>21.9754377816637</v>
      </c>
      <c r="D66" s="204" t="s">
        <v>485</v>
      </c>
      <c r="E66" s="391">
        <f>+((C66*B66)-F63+G63)/D63</f>
        <v>138.29218077521907</v>
      </c>
      <c r="F66" s="230"/>
      <c r="G66" s="230"/>
      <c r="H66" s="225"/>
      <c r="I66" s="253" t="s">
        <v>528</v>
      </c>
      <c r="J66" s="229">
        <f>SUM(J55+J57+J59+J60+J61)/5</f>
        <v>16.273672898867463</v>
      </c>
      <c r="K66" s="229"/>
    </row>
    <row r="67" spans="1:25" ht="15.75" thickBot="1">
      <c r="A67" s="205"/>
      <c r="B67" s="225"/>
      <c r="C67" s="225"/>
      <c r="D67" s="225"/>
      <c r="E67" s="205"/>
      <c r="F67" s="230"/>
      <c r="G67" s="230"/>
      <c r="H67" s="225"/>
      <c r="I67" s="253"/>
      <c r="J67" s="229"/>
      <c r="K67" s="229"/>
    </row>
    <row r="68" spans="1:25" ht="15.75" thickBot="1">
      <c r="A68" s="206" t="s">
        <v>166</v>
      </c>
      <c r="B68" s="207">
        <f>+B65*C65</f>
        <v>12286623.038644934</v>
      </c>
      <c r="C68" s="225"/>
      <c r="D68" s="225"/>
      <c r="E68" s="205"/>
      <c r="F68" s="230"/>
      <c r="G68" s="230"/>
      <c r="H68" s="225"/>
      <c r="I68" s="225"/>
      <c r="J68" s="232"/>
      <c r="K68" s="232"/>
    </row>
    <row r="69" spans="1: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25" ht="15.75">
      <c r="A70" s="146" t="s">
        <v>167</v>
      </c>
      <c r="B70" s="147"/>
      <c r="C70" s="147"/>
      <c r="D70" s="147"/>
      <c r="E70" s="147"/>
      <c r="F70" s="147"/>
      <c r="G70" s="147"/>
      <c r="H70" s="147"/>
      <c r="I70" s="147"/>
      <c r="J70" s="147"/>
      <c r="K70" s="35"/>
    </row>
    <row r="71" spans="1:25" ht="4.5" customHeight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</row>
    <row r="72" spans="1:25" ht="11.25" customHeight="1" thickBot="1">
      <c r="A72" s="194"/>
      <c r="B72" s="194"/>
      <c r="C72" s="354"/>
      <c r="D72" s="354"/>
      <c r="E72" s="354"/>
      <c r="F72" s="354"/>
      <c r="G72" s="354"/>
      <c r="H72" s="355"/>
      <c r="I72" s="354"/>
      <c r="J72" s="194"/>
      <c r="X72" s="35"/>
      <c r="Y72" s="35"/>
    </row>
    <row r="73" spans="1:25" ht="45" customHeight="1" thickBot="1">
      <c r="A73" s="148" t="s">
        <v>168</v>
      </c>
      <c r="B73" s="553" t="s">
        <v>169</v>
      </c>
      <c r="C73" s="554"/>
      <c r="D73" s="149" t="s">
        <v>170</v>
      </c>
      <c r="E73" s="150" t="s">
        <v>101</v>
      </c>
      <c r="F73" s="150" t="s">
        <v>171</v>
      </c>
      <c r="G73" s="150" t="s">
        <v>172</v>
      </c>
      <c r="H73" s="150" t="s">
        <v>173</v>
      </c>
      <c r="I73" s="150" t="s">
        <v>174</v>
      </c>
      <c r="J73" s="151" t="s">
        <v>157</v>
      </c>
    </row>
    <row r="74" spans="1:25" s="62" customFormat="1" ht="14.45" customHeight="1">
      <c r="A74" s="256" t="s">
        <v>562</v>
      </c>
      <c r="B74" s="555" t="s">
        <v>563</v>
      </c>
      <c r="C74" s="556">
        <v>19.5</v>
      </c>
      <c r="D74" s="257">
        <v>90</v>
      </c>
      <c r="E74" s="258">
        <v>82960000</v>
      </c>
      <c r="F74" s="259">
        <f>+E74*D74/1000000</f>
        <v>7466.4</v>
      </c>
      <c r="G74" s="260">
        <f>2160-79</f>
        <v>2081</v>
      </c>
      <c r="H74" s="259">
        <f>+G74+F74</f>
        <v>9547.4</v>
      </c>
      <c r="I74" s="259">
        <v>573</v>
      </c>
      <c r="J74" s="408">
        <f>+H74/I74</f>
        <v>16.662129144851658</v>
      </c>
      <c r="K74" s="493">
        <v>0.3</v>
      </c>
      <c r="L74" s="62" t="s">
        <v>555</v>
      </c>
      <c r="M74" s="35"/>
      <c r="N74"/>
      <c r="O74"/>
      <c r="P74"/>
      <c r="Q74"/>
      <c r="R74"/>
      <c r="S74"/>
    </row>
    <row r="75" spans="1:25" s="62" customFormat="1" ht="14.45" customHeight="1">
      <c r="A75" s="256" t="s">
        <v>494</v>
      </c>
      <c r="B75" s="555" t="s">
        <v>175</v>
      </c>
      <c r="C75" s="556">
        <v>19.5</v>
      </c>
      <c r="D75" s="257">
        <v>19.5</v>
      </c>
      <c r="E75" s="258">
        <v>177560000</v>
      </c>
      <c r="F75" s="259">
        <f>+E75*D75/1000000</f>
        <v>3462.42</v>
      </c>
      <c r="G75" s="260">
        <f>2700-396.77</f>
        <v>2303.23</v>
      </c>
      <c r="H75" s="259">
        <f>+G75+F75</f>
        <v>5765.65</v>
      </c>
      <c r="I75" s="259">
        <v>356.39</v>
      </c>
      <c r="J75" s="408">
        <f>+H75/I75</f>
        <v>16.177923061814305</v>
      </c>
      <c r="K75" s="493">
        <v>0.151</v>
      </c>
      <c r="L75" s="62" t="s">
        <v>555</v>
      </c>
      <c r="M75" s="35"/>
      <c r="N75"/>
      <c r="O75"/>
      <c r="P75"/>
      <c r="Q75"/>
      <c r="R75"/>
      <c r="S75"/>
    </row>
    <row r="76" spans="1:25" s="62" customFormat="1" ht="14.45" customHeight="1">
      <c r="A76" s="256" t="s">
        <v>556</v>
      </c>
      <c r="B76" s="555" t="s">
        <v>175</v>
      </c>
      <c r="C76" s="556">
        <v>20.5</v>
      </c>
      <c r="D76" s="257" t="s">
        <v>557</v>
      </c>
      <c r="E76" s="258"/>
      <c r="F76" s="259"/>
      <c r="G76" s="260"/>
      <c r="H76" s="259">
        <v>1500</v>
      </c>
      <c r="I76" s="259">
        <v>82</v>
      </c>
      <c r="J76" s="408">
        <f>+H76/I76</f>
        <v>18.292682926829269</v>
      </c>
      <c r="K76" s="493"/>
      <c r="M76" s="35"/>
      <c r="N76"/>
      <c r="O76"/>
      <c r="P76"/>
      <c r="Q76"/>
      <c r="R76"/>
      <c r="S76"/>
    </row>
    <row r="77" spans="1:25" s="62" customFormat="1" ht="14.45" customHeight="1">
      <c r="A77" s="256" t="s">
        <v>181</v>
      </c>
      <c r="B77" s="555" t="s">
        <v>493</v>
      </c>
      <c r="C77" s="556">
        <v>72.08</v>
      </c>
      <c r="D77" s="257">
        <v>72.08</v>
      </c>
      <c r="E77" s="258">
        <v>154000000</v>
      </c>
      <c r="F77" s="259">
        <f>+E77*D77/1000000</f>
        <v>11100.32</v>
      </c>
      <c r="G77" s="260">
        <v>1090</v>
      </c>
      <c r="H77" s="259">
        <f>+G77+F77</f>
        <v>12190.32</v>
      </c>
      <c r="I77" s="259">
        <v>980</v>
      </c>
      <c r="J77" s="408">
        <f>+H77/I77</f>
        <v>12.439102040816326</v>
      </c>
      <c r="K77"/>
      <c r="M77" s="35"/>
      <c r="N77"/>
      <c r="O77"/>
      <c r="P77"/>
      <c r="Q77"/>
      <c r="R77"/>
      <c r="S77"/>
    </row>
    <row r="78" spans="1:25" s="62" customFormat="1" ht="14.45" customHeight="1">
      <c r="A78" s="256" t="s">
        <v>113</v>
      </c>
      <c r="B78" s="555" t="s">
        <v>175</v>
      </c>
      <c r="C78" s="556"/>
      <c r="D78" s="257">
        <v>47.5</v>
      </c>
      <c r="E78" s="258">
        <v>390400000</v>
      </c>
      <c r="F78" s="259">
        <f>+E78*D78/1000000</f>
        <v>18544</v>
      </c>
      <c r="G78" s="260">
        <v>6180</v>
      </c>
      <c r="H78" s="259">
        <f>+F78+G78</f>
        <v>24724</v>
      </c>
      <c r="I78" s="259">
        <v>1680</v>
      </c>
      <c r="J78" s="408">
        <f t="shared" ref="J78:J88" si="7">+H78/I78</f>
        <v>14.716666666666667</v>
      </c>
      <c r="K78"/>
      <c r="M78" s="35"/>
      <c r="N78"/>
      <c r="O78"/>
      <c r="P78"/>
      <c r="Q78"/>
      <c r="R78"/>
      <c r="S78"/>
    </row>
    <row r="79" spans="1:25" s="62" customFormat="1" ht="14.45" customHeight="1">
      <c r="A79" s="256" t="s">
        <v>176</v>
      </c>
      <c r="B79" s="552" t="s">
        <v>177</v>
      </c>
      <c r="C79" s="549"/>
      <c r="D79" s="257">
        <v>82</v>
      </c>
      <c r="E79" s="258">
        <v>33078000</v>
      </c>
      <c r="F79" s="259">
        <f>+E79*D79/1000000</f>
        <v>2712.3960000000002</v>
      </c>
      <c r="G79" s="260">
        <f>273.825+4.853</f>
        <v>278.678</v>
      </c>
      <c r="H79" s="259">
        <f t="shared" ref="H79:H85" si="8">+F79+G79</f>
        <v>2991.0740000000001</v>
      </c>
      <c r="I79" s="259">
        <f>+H79/31.9</f>
        <v>93.764075235109729</v>
      </c>
      <c r="J79" s="408">
        <f t="shared" si="7"/>
        <v>31.9</v>
      </c>
      <c r="K79"/>
      <c r="M79" s="35"/>
      <c r="N79"/>
      <c r="O79"/>
      <c r="P79"/>
      <c r="Q79"/>
      <c r="R79"/>
      <c r="S79"/>
    </row>
    <row r="80" spans="1:25" s="62" customFormat="1" ht="14.45" customHeight="1">
      <c r="A80" s="261" t="s">
        <v>178</v>
      </c>
      <c r="B80" s="548" t="s">
        <v>177</v>
      </c>
      <c r="C80" s="549"/>
      <c r="D80" s="195">
        <v>45</v>
      </c>
      <c r="E80" s="193">
        <v>73335000</v>
      </c>
      <c r="F80" s="259">
        <f>+E80*D80/1000000</f>
        <v>3300.0749999999998</v>
      </c>
      <c r="G80" s="262">
        <v>123.5</v>
      </c>
      <c r="H80" s="259">
        <f t="shared" si="8"/>
        <v>3423.5749999999998</v>
      </c>
      <c r="I80" s="263">
        <v>187.2</v>
      </c>
      <c r="J80" s="409">
        <f t="shared" si="7"/>
        <v>18.288327991452991</v>
      </c>
      <c r="K80"/>
      <c r="M80" s="35"/>
      <c r="N80"/>
      <c r="O80"/>
      <c r="P80"/>
      <c r="Q80"/>
      <c r="R80"/>
      <c r="S80"/>
    </row>
    <row r="81" spans="1:19" s="62" customFormat="1" ht="14.45" customHeight="1">
      <c r="A81" s="261" t="s">
        <v>179</v>
      </c>
      <c r="B81" s="548" t="s">
        <v>180</v>
      </c>
      <c r="C81" s="549"/>
      <c r="D81" s="195"/>
      <c r="E81" s="193"/>
      <c r="F81" s="263">
        <v>5578</v>
      </c>
      <c r="G81" s="262">
        <v>0</v>
      </c>
      <c r="H81" s="259">
        <f t="shared" si="8"/>
        <v>5578</v>
      </c>
      <c r="I81" s="263">
        <v>504</v>
      </c>
      <c r="J81" s="409">
        <f t="shared" si="7"/>
        <v>11.067460317460318</v>
      </c>
      <c r="K81"/>
      <c r="M81" s="35"/>
      <c r="N81"/>
      <c r="O81"/>
      <c r="P81"/>
      <c r="Q81"/>
      <c r="R81"/>
      <c r="S81"/>
    </row>
    <row r="82" spans="1:19" s="62" customFormat="1" ht="14.45" customHeight="1">
      <c r="A82" s="264" t="s">
        <v>181</v>
      </c>
      <c r="B82" s="548" t="s">
        <v>182</v>
      </c>
      <c r="C82" s="549"/>
      <c r="D82" s="195"/>
      <c r="E82" s="193"/>
      <c r="F82" s="263"/>
      <c r="G82" s="262"/>
      <c r="H82" s="263">
        <v>4096</v>
      </c>
      <c r="I82" s="263">
        <f>+H82/13</f>
        <v>315.07692307692309</v>
      </c>
      <c r="J82" s="409">
        <f t="shared" si="7"/>
        <v>13</v>
      </c>
      <c r="K82"/>
      <c r="M82" s="35"/>
      <c r="N82"/>
      <c r="O82"/>
      <c r="P82"/>
      <c r="Q82"/>
      <c r="R82"/>
      <c r="S82"/>
    </row>
    <row r="83" spans="1:19" s="62" customFormat="1" ht="14.45" customHeight="1">
      <c r="A83" s="264" t="s">
        <v>117</v>
      </c>
      <c r="B83" s="552" t="s">
        <v>175</v>
      </c>
      <c r="C83" s="549"/>
      <c r="D83" s="195">
        <v>12.22</v>
      </c>
      <c r="E83" s="193">
        <v>203000000</v>
      </c>
      <c r="F83" s="259">
        <f t="shared" ref="F83:F88" si="9">+E83*D83/1000000</f>
        <v>2480.66</v>
      </c>
      <c r="G83" s="262">
        <v>925.71</v>
      </c>
      <c r="H83" s="259">
        <f t="shared" si="8"/>
        <v>3406.37</v>
      </c>
      <c r="I83" s="263">
        <v>229.7</v>
      </c>
      <c r="J83" s="409">
        <f t="shared" si="7"/>
        <v>14.829647366129734</v>
      </c>
      <c r="K83"/>
      <c r="M83" s="35"/>
      <c r="N83"/>
      <c r="O83"/>
      <c r="P83"/>
      <c r="Q83"/>
      <c r="R83"/>
      <c r="S83"/>
    </row>
    <row r="84" spans="1:19" s="62" customFormat="1" ht="14.45" customHeight="1">
      <c r="A84" s="261" t="s">
        <v>183</v>
      </c>
      <c r="B84" s="548" t="s">
        <v>175</v>
      </c>
      <c r="C84" s="549"/>
      <c r="D84" s="195">
        <v>1.1499999999999999</v>
      </c>
      <c r="E84" s="193">
        <v>172053000</v>
      </c>
      <c r="F84" s="259">
        <f t="shared" si="9"/>
        <v>197.86094999999997</v>
      </c>
      <c r="G84" s="262">
        <v>2681.96</v>
      </c>
      <c r="H84" s="259">
        <f t="shared" si="8"/>
        <v>2879.8209499999998</v>
      </c>
      <c r="I84" s="263">
        <v>245</v>
      </c>
      <c r="J84" s="409">
        <f t="shared" si="7"/>
        <v>11.754371224489795</v>
      </c>
      <c r="K84" s="60"/>
      <c r="M84" s="35"/>
      <c r="N84"/>
      <c r="O84"/>
      <c r="P84"/>
      <c r="Q84"/>
      <c r="R84"/>
      <c r="S84"/>
    </row>
    <row r="85" spans="1:19" s="62" customFormat="1" ht="14.45" customHeight="1">
      <c r="A85" s="261" t="s">
        <v>115</v>
      </c>
      <c r="B85" s="548" t="s">
        <v>184</v>
      </c>
      <c r="C85" s="549"/>
      <c r="D85" s="195">
        <v>24</v>
      </c>
      <c r="E85" s="193">
        <v>19583000</v>
      </c>
      <c r="F85" s="259">
        <f t="shared" si="9"/>
        <v>469.99200000000002</v>
      </c>
      <c r="G85" s="262">
        <v>765.2</v>
      </c>
      <c r="H85" s="259">
        <f t="shared" si="8"/>
        <v>1235.192</v>
      </c>
      <c r="I85" s="263">
        <v>85</v>
      </c>
      <c r="J85" s="409">
        <f t="shared" si="7"/>
        <v>14.531670588235293</v>
      </c>
      <c r="K85" s="60"/>
      <c r="M85" s="35"/>
      <c r="N85"/>
      <c r="O85"/>
      <c r="P85"/>
      <c r="Q85"/>
      <c r="R85"/>
      <c r="S85"/>
    </row>
    <row r="86" spans="1:19" s="62" customFormat="1" ht="14.45" customHeight="1">
      <c r="A86" s="261" t="s">
        <v>185</v>
      </c>
      <c r="B86" s="548" t="s">
        <v>175</v>
      </c>
      <c r="C86" s="549"/>
      <c r="D86" s="195">
        <v>24</v>
      </c>
      <c r="E86" s="193">
        <v>40284000</v>
      </c>
      <c r="F86" s="263">
        <f t="shared" si="9"/>
        <v>966.81600000000003</v>
      </c>
      <c r="G86" s="262">
        <v>217.29</v>
      </c>
      <c r="H86" s="259">
        <f>+F86+G86</f>
        <v>1184.106</v>
      </c>
      <c r="I86" s="263">
        <v>90.07</v>
      </c>
      <c r="J86" s="409">
        <f t="shared" si="7"/>
        <v>13.14650827134451</v>
      </c>
      <c r="K86" s="60"/>
      <c r="M86" s="35"/>
      <c r="N86"/>
      <c r="O86"/>
      <c r="P86"/>
      <c r="Q86"/>
      <c r="R86"/>
      <c r="S86"/>
    </row>
    <row r="87" spans="1:19" s="62" customFormat="1" ht="14.45" customHeight="1">
      <c r="A87" s="265" t="s">
        <v>186</v>
      </c>
      <c r="B87" s="548" t="s">
        <v>175</v>
      </c>
      <c r="C87" s="549"/>
      <c r="D87" s="196">
        <v>12.25</v>
      </c>
      <c r="E87" s="192">
        <v>44808000</v>
      </c>
      <c r="F87" s="266">
        <f t="shared" si="9"/>
        <v>548.89800000000002</v>
      </c>
      <c r="G87" s="267">
        <v>243.6</v>
      </c>
      <c r="H87" s="259">
        <f>+F87+G87</f>
        <v>792.49800000000005</v>
      </c>
      <c r="I87" s="266">
        <v>55.12</v>
      </c>
      <c r="J87" s="410">
        <f t="shared" si="7"/>
        <v>14.377685050798259</v>
      </c>
      <c r="K87" s="60"/>
      <c r="M87" s="35"/>
      <c r="N87"/>
      <c r="O87"/>
      <c r="P87"/>
      <c r="Q87"/>
      <c r="R87"/>
      <c r="S87"/>
    </row>
    <row r="88" spans="1:19" s="62" customFormat="1" ht="14.45" customHeight="1" thickBot="1">
      <c r="A88" s="268" t="s">
        <v>187</v>
      </c>
      <c r="B88" s="550" t="s">
        <v>175</v>
      </c>
      <c r="C88" s="551"/>
      <c r="D88" s="197">
        <v>19.93</v>
      </c>
      <c r="E88" s="198">
        <v>95077000</v>
      </c>
      <c r="F88" s="269">
        <f t="shared" si="9"/>
        <v>1894.8846100000001</v>
      </c>
      <c r="G88" s="270">
        <v>1231.5</v>
      </c>
      <c r="H88" s="271">
        <f>+F88+G88</f>
        <v>3126.3846100000001</v>
      </c>
      <c r="I88" s="269">
        <v>224.85</v>
      </c>
      <c r="J88" s="411">
        <f t="shared" si="7"/>
        <v>13.904312252612854</v>
      </c>
      <c r="K88" s="60"/>
      <c r="M88" s="35"/>
      <c r="N88"/>
      <c r="O88"/>
      <c r="P88"/>
      <c r="Q88"/>
      <c r="R88"/>
      <c r="S88"/>
    </row>
    <row r="89" spans="1:19" ht="15.75" thickBot="1">
      <c r="A89" s="194"/>
      <c r="B89" s="194"/>
      <c r="C89" s="194"/>
      <c r="D89" s="194"/>
      <c r="E89" s="194"/>
      <c r="F89" s="194"/>
      <c r="G89" s="194"/>
      <c r="H89" s="194"/>
      <c r="I89" s="272" t="s">
        <v>165</v>
      </c>
      <c r="J89" s="412">
        <f>AVERAGE(J74:J88)</f>
        <v>15.672565793566802</v>
      </c>
      <c r="K89" s="61"/>
    </row>
    <row r="90" spans="1:19" ht="13.35" customHeight="1" thickBot="1">
      <c r="A90" s="202" t="s">
        <v>188</v>
      </c>
      <c r="B90" s="203">
        <f>+I90*J89</f>
        <v>11832787.174142936</v>
      </c>
      <c r="C90" s="204" t="s">
        <v>485</v>
      </c>
      <c r="D90" s="177">
        <f>+H12</f>
        <v>92.154228952326321</v>
      </c>
      <c r="E90" s="194"/>
      <c r="F90" s="225"/>
      <c r="G90" s="232"/>
      <c r="H90" s="253" t="s">
        <v>530</v>
      </c>
      <c r="I90" s="273">
        <f>+I63</f>
        <v>755000</v>
      </c>
      <c r="J90" s="200"/>
    </row>
    <row r="92" spans="1:19" ht="15.75">
      <c r="A92" s="146" t="s">
        <v>99</v>
      </c>
      <c r="B92" s="133"/>
      <c r="C92" s="133"/>
      <c r="D92" s="133"/>
      <c r="E92" s="133"/>
      <c r="F92" s="133"/>
      <c r="G92" s="133"/>
      <c r="H92" s="133"/>
      <c r="I92" s="133"/>
      <c r="J92" s="133"/>
    </row>
    <row r="93" spans="1:19" ht="11.45" customHeight="1">
      <c r="A93" s="321"/>
      <c r="B93" s="63"/>
      <c r="C93" s="63"/>
      <c r="D93" s="190" t="s">
        <v>189</v>
      </c>
      <c r="E93" s="64">
        <v>1</v>
      </c>
      <c r="F93" s="64">
        <v>2</v>
      </c>
      <c r="G93" s="64">
        <v>3</v>
      </c>
      <c r="H93" s="64">
        <v>4</v>
      </c>
      <c r="I93" s="64">
        <v>5</v>
      </c>
      <c r="J93" s="64">
        <v>6</v>
      </c>
    </row>
    <row r="94" spans="1:19" ht="15.75" thickBot="1">
      <c r="A94" s="173"/>
      <c r="B94" s="545" t="s">
        <v>490</v>
      </c>
      <c r="C94" s="546"/>
      <c r="D94" s="547"/>
      <c r="E94" s="546" t="s">
        <v>234</v>
      </c>
      <c r="F94" s="546"/>
      <c r="G94" s="546"/>
      <c r="H94" s="547"/>
      <c r="I94" s="491" t="s">
        <v>190</v>
      </c>
      <c r="J94" s="319"/>
    </row>
    <row r="95" spans="1:19" ht="15.75" thickBot="1">
      <c r="A95" s="320"/>
      <c r="B95" s="480">
        <f>+Projections!M6</f>
        <v>2021</v>
      </c>
      <c r="C95" s="481">
        <f>+Projections!N6</f>
        <v>2022</v>
      </c>
      <c r="D95" s="482">
        <f>+Projections!O6</f>
        <v>2023</v>
      </c>
      <c r="E95" s="483">
        <f>+Projections!P6</f>
        <v>2023</v>
      </c>
      <c r="F95" s="483">
        <f>+Projections!Q6</f>
        <v>2024</v>
      </c>
      <c r="G95" s="483">
        <f>+Projections!R6</f>
        <v>2025</v>
      </c>
      <c r="H95" s="483">
        <f>+Projections!S6</f>
        <v>2026</v>
      </c>
      <c r="I95" s="484">
        <f>+Projections!T6</f>
        <v>2027</v>
      </c>
      <c r="J95" s="485">
        <f>+Projections!U6</f>
        <v>2028</v>
      </c>
    </row>
    <row r="96" spans="1:19">
      <c r="A96" s="194" t="s">
        <v>192</v>
      </c>
      <c r="B96" s="274">
        <f>Projections!L7</f>
        <v>2066000</v>
      </c>
      <c r="C96" s="274">
        <f>Projections!M7</f>
        <v>3028000</v>
      </c>
      <c r="D96" s="275">
        <f>Projections!N7</f>
        <v>5891000</v>
      </c>
      <c r="E96" s="274">
        <f>Projections!P7</f>
        <v>7386400.0000000009</v>
      </c>
      <c r="F96" s="274">
        <f>Projections!Q7</f>
        <v>8125040.0000000019</v>
      </c>
      <c r="G96" s="274">
        <f>Projections!R7</f>
        <v>8775043.200000003</v>
      </c>
      <c r="H96" s="274">
        <f>Projections!S7</f>
        <v>9477046.6560000032</v>
      </c>
      <c r="I96" s="312">
        <f>Projections!T7</f>
        <v>10235210.388480004</v>
      </c>
      <c r="J96" s="274">
        <f>Projections!U7</f>
        <v>11054027.219558405</v>
      </c>
    </row>
    <row r="97" spans="1:24">
      <c r="A97" s="194" t="s">
        <v>193</v>
      </c>
      <c r="B97" s="276"/>
      <c r="C97" s="276">
        <f>+C96/B96-1</f>
        <v>0.46563407550822844</v>
      </c>
      <c r="D97" s="277">
        <f>+D96/C96-1</f>
        <v>0.94550858652575953</v>
      </c>
      <c r="E97" s="276">
        <f>E96/D96-1</f>
        <v>0.25384484807333241</v>
      </c>
      <c r="F97" s="276">
        <f t="shared" ref="F97:I97" si="10">F96/E96-1</f>
        <v>0.10000000000000009</v>
      </c>
      <c r="G97" s="276">
        <f t="shared" si="10"/>
        <v>8.0000000000000071E-2</v>
      </c>
      <c r="H97" s="276">
        <f t="shared" si="10"/>
        <v>8.0000000000000071E-2</v>
      </c>
      <c r="I97" s="313">
        <f t="shared" si="10"/>
        <v>8.0000000000000071E-2</v>
      </c>
      <c r="J97" s="276">
        <f>+I97</f>
        <v>8.0000000000000071E-2</v>
      </c>
      <c r="K97" s="65"/>
      <c r="L97" s="66"/>
    </row>
    <row r="98" spans="1:24">
      <c r="A98" s="194" t="s">
        <v>194</v>
      </c>
      <c r="B98" s="274">
        <f>-Projections!L10</f>
        <v>-2067000</v>
      </c>
      <c r="C98" s="274">
        <f>-Projections!M10</f>
        <v>-2603000</v>
      </c>
      <c r="D98" s="275">
        <f>-Projections!N10</f>
        <v>-4603000</v>
      </c>
      <c r="E98" s="274">
        <f>-Projections!P10</f>
        <v>-5865440.0000000009</v>
      </c>
      <c r="F98" s="274">
        <f>-Projections!Q10</f>
        <v>-6451984.0000000009</v>
      </c>
      <c r="G98" s="274">
        <f>-Projections!R10</f>
        <v>-6968142.7200000025</v>
      </c>
      <c r="H98" s="274">
        <f>-Projections!S10</f>
        <v>-7525594.1376000019</v>
      </c>
      <c r="I98" s="312">
        <f>-Projections!T10</f>
        <v>-8127641.6686080033</v>
      </c>
      <c r="J98" s="274">
        <f>-Projections!U10</f>
        <v>-8777853.0020966437</v>
      </c>
      <c r="K98" s="65"/>
    </row>
    <row r="99" spans="1:24">
      <c r="A99" s="194" t="s">
        <v>195</v>
      </c>
      <c r="B99" s="278">
        <f>-Projections!L14</f>
        <v>-631000</v>
      </c>
      <c r="C99" s="278">
        <f>-Projections!M14</f>
        <v>-676000</v>
      </c>
      <c r="D99" s="279">
        <f>-Projections!N14</f>
        <v>-890000</v>
      </c>
      <c r="E99" s="278">
        <f>-Projections!P14</f>
        <v>-1126720.0000000002</v>
      </c>
      <c r="F99" s="278">
        <f>-Projections!Q14</f>
        <v>-1239392.0000000002</v>
      </c>
      <c r="G99" s="278">
        <f>-Projections!R14</f>
        <v>-1338543.3600000006</v>
      </c>
      <c r="H99" s="278">
        <f>-Projections!S14</f>
        <v>-1445626.8288000005</v>
      </c>
      <c r="I99" s="314">
        <f>-Projections!T14</f>
        <v>-1561276.9751040007</v>
      </c>
      <c r="J99" s="278">
        <f>-Projections!U14</f>
        <v>-1686179.1331123207</v>
      </c>
      <c r="K99" s="65"/>
      <c r="M99" s="35" t="s">
        <v>539</v>
      </c>
    </row>
    <row r="100" spans="1:24" ht="15.75" thickBot="1">
      <c r="A100" s="194" t="s">
        <v>196</v>
      </c>
      <c r="B100" s="280">
        <f t="shared" ref="B100:C100" si="11">SUM(B96:B99)</f>
        <v>-632000</v>
      </c>
      <c r="C100" s="280">
        <f t="shared" si="11"/>
        <v>-250999.53436592454</v>
      </c>
      <c r="D100" s="281">
        <f>SUM(D96:D99)</f>
        <v>398000.94550858624</v>
      </c>
      <c r="E100" s="274">
        <f>E96+E98+E99</f>
        <v>394239.99999999977</v>
      </c>
      <c r="F100" s="274">
        <f t="shared" ref="F100:J100" si="12">F96+F98+F99</f>
        <v>433664.0000000007</v>
      </c>
      <c r="G100" s="274">
        <f t="shared" si="12"/>
        <v>468357.11999999988</v>
      </c>
      <c r="H100" s="274">
        <f t="shared" si="12"/>
        <v>505825.68960000086</v>
      </c>
      <c r="I100" s="312">
        <f t="shared" si="12"/>
        <v>546291.74476799998</v>
      </c>
      <c r="J100" s="274">
        <f t="shared" si="12"/>
        <v>589995.08434944041</v>
      </c>
      <c r="K100" s="65"/>
      <c r="M100" s="413" t="s">
        <v>540</v>
      </c>
      <c r="X100" s="50"/>
    </row>
    <row r="101" spans="1:24" ht="15.75" thickBot="1">
      <c r="A101" s="194" t="s">
        <v>197</v>
      </c>
      <c r="B101" s="489">
        <v>0.22</v>
      </c>
      <c r="C101" s="194"/>
      <c r="D101" s="281"/>
      <c r="E101" s="274">
        <f>-$B$101*E100</f>
        <v>-86732.799999999945</v>
      </c>
      <c r="F101" s="274">
        <f t="shared" ref="F101:J101" si="13">-$B$101*F100</f>
        <v>-95406.080000000147</v>
      </c>
      <c r="G101" s="274">
        <f t="shared" si="13"/>
        <v>-103038.56639999997</v>
      </c>
      <c r="H101" s="274">
        <f t="shared" si="13"/>
        <v>-111281.6517120002</v>
      </c>
      <c r="I101" s="312">
        <f t="shared" si="13"/>
        <v>-120184.18384895999</v>
      </c>
      <c r="J101" s="274">
        <f t="shared" si="13"/>
        <v>-129798.91855687689</v>
      </c>
      <c r="K101" s="65"/>
      <c r="M101" s="414" t="s">
        <v>541</v>
      </c>
    </row>
    <row r="102" spans="1:24">
      <c r="A102" s="194" t="s">
        <v>198</v>
      </c>
      <c r="B102" s="194"/>
      <c r="C102" s="194"/>
      <c r="D102" s="282"/>
      <c r="E102" s="274">
        <f>Projections!P24</f>
        <v>617998.44907617185</v>
      </c>
      <c r="F102" s="274">
        <f>Projections!Q24</f>
        <v>679798.29398378916</v>
      </c>
      <c r="G102" s="274">
        <f>Projections!R24</f>
        <v>734182.15750249242</v>
      </c>
      <c r="H102" s="274">
        <f>Projections!S24</f>
        <v>792916.7301026918</v>
      </c>
      <c r="I102" s="312">
        <f>Projections!T24</f>
        <v>856350.06851090712</v>
      </c>
      <c r="J102" s="274">
        <f>Projections!U24</f>
        <v>924858.0739917797</v>
      </c>
      <c r="K102" s="65"/>
      <c r="M102" s="415" t="s">
        <v>542</v>
      </c>
    </row>
    <row r="103" spans="1:24">
      <c r="A103" s="194" t="s">
        <v>488</v>
      </c>
      <c r="B103" s="194"/>
      <c r="C103" s="194"/>
      <c r="D103" s="282"/>
      <c r="E103" s="274">
        <f>Projections!P25</f>
        <v>-22814.389981032578</v>
      </c>
      <c r="F103" s="274">
        <f>Projections!Q25</f>
        <v>-25095.82897913584</v>
      </c>
      <c r="G103" s="274">
        <f>Projections!R25</f>
        <v>-27103.49529746671</v>
      </c>
      <c r="H103" s="274">
        <f>Projections!S25</f>
        <v>-29271.774921264045</v>
      </c>
      <c r="I103" s="312">
        <f>Projections!T25</f>
        <v>-31613.51691496517</v>
      </c>
      <c r="J103" s="274">
        <f>Projections!U25</f>
        <v>-34142.598268162386</v>
      </c>
      <c r="K103" s="65"/>
      <c r="M103" s="416" t="s">
        <v>543</v>
      </c>
      <c r="N103" t="s">
        <v>544</v>
      </c>
    </row>
    <row r="104" spans="1:24">
      <c r="A104" s="194" t="s">
        <v>199</v>
      </c>
      <c r="B104" s="194"/>
      <c r="C104" s="194"/>
      <c r="D104" s="282"/>
      <c r="E104" s="274">
        <f>Projections!P26</f>
        <v>-429648.09494248271</v>
      </c>
      <c r="F104" s="274">
        <f>Projections!Q26</f>
        <v>-472612.90443673101</v>
      </c>
      <c r="G104" s="274">
        <f>Projections!R26</f>
        <v>-510421.93679166958</v>
      </c>
      <c r="H104" s="274">
        <f>Projections!S26</f>
        <v>-551255.69173500314</v>
      </c>
      <c r="I104" s="312">
        <f>Projections!T26</f>
        <v>-595356.14707380347</v>
      </c>
      <c r="J104" s="274">
        <f>Projections!U26</f>
        <v>-642984.63883970771</v>
      </c>
      <c r="K104" s="65"/>
    </row>
    <row r="105" spans="1:24" ht="15.75" thickBot="1">
      <c r="A105" s="194" t="s">
        <v>200</v>
      </c>
      <c r="B105" s="194"/>
      <c r="C105" s="194"/>
      <c r="D105" s="282"/>
      <c r="E105" s="283">
        <f>SUM(E100:E104)</f>
        <v>473043.16415265639</v>
      </c>
      <c r="F105" s="283">
        <f t="shared" ref="F105:J105" si="14">SUM(F100:F104)</f>
        <v>520347.48056792293</v>
      </c>
      <c r="G105" s="283">
        <f t="shared" si="14"/>
        <v>561975.27901335619</v>
      </c>
      <c r="H105" s="283">
        <f t="shared" si="14"/>
        <v>606933.30133442534</v>
      </c>
      <c r="I105" s="315">
        <f t="shared" si="14"/>
        <v>655487.96544117853</v>
      </c>
      <c r="J105" s="284">
        <f t="shared" si="14"/>
        <v>707927.002676473</v>
      </c>
      <c r="K105" s="65"/>
    </row>
    <row r="106" spans="1:24" ht="7.5" customHeight="1" thickTop="1">
      <c r="A106" s="285"/>
      <c r="B106" s="285"/>
      <c r="C106" s="285"/>
      <c r="D106" s="278"/>
      <c r="E106" s="278"/>
      <c r="F106" s="278"/>
      <c r="G106" s="278"/>
      <c r="H106" s="278"/>
      <c r="I106" s="314"/>
      <c r="J106" s="274"/>
      <c r="K106" s="65"/>
    </row>
    <row r="107" spans="1:24">
      <c r="A107" s="286" t="s">
        <v>103</v>
      </c>
      <c r="B107" s="286"/>
      <c r="C107" s="286"/>
      <c r="D107" s="287">
        <f>+Projections!N34</f>
        <v>824000</v>
      </c>
      <c r="E107" s="287">
        <f>E100+E102</f>
        <v>1012238.4490761716</v>
      </c>
      <c r="F107" s="287">
        <f t="shared" ref="F107:J107" si="15">F100+F102</f>
        <v>1113462.2939837899</v>
      </c>
      <c r="G107" s="287">
        <f t="shared" si="15"/>
        <v>1202539.2775024923</v>
      </c>
      <c r="H107" s="287">
        <f t="shared" si="15"/>
        <v>1298742.4197026927</v>
      </c>
      <c r="I107" s="316">
        <f t="shared" si="15"/>
        <v>1402641.813278907</v>
      </c>
      <c r="J107" s="288">
        <f t="shared" si="15"/>
        <v>1514853.1583412201</v>
      </c>
      <c r="K107" s="65"/>
    </row>
    <row r="108" spans="1:24" ht="12" customHeight="1">
      <c r="A108" s="289" t="s">
        <v>201</v>
      </c>
      <c r="B108" s="289"/>
      <c r="C108" s="289"/>
      <c r="D108" s="290">
        <f>+D6</f>
        <v>3055000</v>
      </c>
      <c r="E108" s="290">
        <f>Projections!P30</f>
        <v>2960250</v>
      </c>
      <c r="F108" s="290">
        <f>Projections!Q30</f>
        <v>2807500</v>
      </c>
      <c r="G108" s="290">
        <f>Projections!R30</f>
        <v>2654750</v>
      </c>
      <c r="H108" s="290">
        <f>Projections!S30</f>
        <v>2502000</v>
      </c>
      <c r="I108" s="317">
        <f>Projections!T30</f>
        <v>2349250</v>
      </c>
      <c r="J108" s="291">
        <f>Projections!U30</f>
        <v>2196500</v>
      </c>
      <c r="K108" s="65"/>
    </row>
    <row r="109" spans="1:24" ht="7.5" customHeight="1">
      <c r="A109" s="194"/>
      <c r="B109" s="194"/>
      <c r="C109" s="194"/>
      <c r="D109" s="194"/>
      <c r="E109" s="194"/>
      <c r="F109" s="194"/>
      <c r="G109" s="194"/>
      <c r="H109" s="194"/>
      <c r="I109" s="318"/>
      <c r="J109" s="194"/>
      <c r="K109" s="65"/>
    </row>
    <row r="110" spans="1:24" ht="15.75" thickBot="1">
      <c r="A110" s="292" t="s">
        <v>202</v>
      </c>
      <c r="B110" s="293" t="s">
        <v>191</v>
      </c>
      <c r="C110" s="194"/>
      <c r="D110" s="294" t="s">
        <v>203</v>
      </c>
      <c r="E110" s="194"/>
      <c r="F110" s="194"/>
      <c r="G110" s="194"/>
      <c r="H110" s="194"/>
      <c r="I110" s="318"/>
      <c r="J110" s="194"/>
      <c r="K110" s="65"/>
    </row>
    <row r="111" spans="1:24">
      <c r="A111" s="194" t="s">
        <v>204</v>
      </c>
      <c r="B111" s="200">
        <f>J66</f>
        <v>16.273672898867463</v>
      </c>
      <c r="C111" s="194"/>
      <c r="D111" s="295"/>
      <c r="E111" s="296"/>
      <c r="F111" s="194" t="s">
        <v>513</v>
      </c>
      <c r="G111" s="194"/>
      <c r="H111" s="194"/>
      <c r="I111" s="430">
        <f>B111*I107</f>
        <v>22826134.063575264</v>
      </c>
      <c r="J111" s="194"/>
      <c r="K111" s="65"/>
    </row>
    <row r="112" spans="1:24">
      <c r="A112" s="194" t="s">
        <v>205</v>
      </c>
      <c r="B112" s="297">
        <f>J123</f>
        <v>0.10609175599276569</v>
      </c>
      <c r="C112" s="201" t="s">
        <v>218</v>
      </c>
      <c r="D112" s="433">
        <v>0.08</v>
      </c>
      <c r="E112" s="296"/>
      <c r="F112" s="194" t="s">
        <v>514</v>
      </c>
      <c r="G112" s="194"/>
      <c r="H112" s="194"/>
      <c r="I112" s="312">
        <f>J105/(B112-D112)</f>
        <v>27132209.992794506</v>
      </c>
      <c r="J112" s="194"/>
      <c r="K112" s="65"/>
    </row>
    <row r="113" spans="1:15">
      <c r="A113" s="194" t="s">
        <v>165</v>
      </c>
      <c r="B113" s="194"/>
      <c r="C113" s="194"/>
      <c r="D113" s="298"/>
      <c r="E113" s="194"/>
      <c r="F113" s="194"/>
      <c r="G113" s="194"/>
      <c r="H113" s="194"/>
      <c r="I113" s="431">
        <f>AVERAGE(I111:I112)</f>
        <v>24979172.028184883</v>
      </c>
      <c r="J113" s="194"/>
      <c r="K113" s="65"/>
    </row>
    <row r="114" spans="1:15">
      <c r="A114" s="194" t="s">
        <v>206</v>
      </c>
      <c r="B114" s="194"/>
      <c r="C114" s="194"/>
      <c r="D114" s="199"/>
      <c r="E114" s="194"/>
      <c r="F114" s="194"/>
      <c r="G114" s="194"/>
      <c r="H114" s="194"/>
      <c r="I114" s="430">
        <f>-I108</f>
        <v>-2349250</v>
      </c>
      <c r="J114" s="194"/>
      <c r="K114" s="65"/>
    </row>
    <row r="115" spans="1:15" ht="16.5" customHeight="1" thickBot="1">
      <c r="A115" s="194" t="s">
        <v>207</v>
      </c>
      <c r="B115" s="194"/>
      <c r="C115" s="194"/>
      <c r="D115" s="194"/>
      <c r="E115" s="194"/>
      <c r="F115" s="194"/>
      <c r="G115" s="194"/>
      <c r="H115" s="194"/>
      <c r="I115" s="432">
        <f>I113+I114</f>
        <v>22629922.028184883</v>
      </c>
      <c r="J115" s="194"/>
    </row>
    <row r="116" spans="1:15" ht="16.5" thickTop="1" thickBot="1">
      <c r="A116" s="299" t="s">
        <v>208</v>
      </c>
      <c r="B116" s="492">
        <f>+B124</f>
        <v>0.12173325840451366</v>
      </c>
      <c r="C116" s="299"/>
      <c r="D116" s="300"/>
      <c r="E116" s="490">
        <f>E105</f>
        <v>473043.16415265639</v>
      </c>
      <c r="F116" s="490">
        <f>F105</f>
        <v>520347.48056792293</v>
      </c>
      <c r="G116" s="490">
        <f>G105</f>
        <v>561975.27901335619</v>
      </c>
      <c r="H116" s="490">
        <f>H105</f>
        <v>606933.30133442534</v>
      </c>
      <c r="I116" s="490">
        <f>I105+I115</f>
        <v>23285409.993626062</v>
      </c>
      <c r="J116" s="194"/>
    </row>
    <row r="117" spans="1:15" ht="16.5" thickTop="1" thickBot="1">
      <c r="A117" s="486" t="s">
        <v>546</v>
      </c>
      <c r="B117" s="487"/>
      <c r="C117" s="487"/>
      <c r="D117" s="488">
        <f>NPV(B116,E116:I116)</f>
        <v>14727737.125962924</v>
      </c>
      <c r="E117" s="396"/>
      <c r="F117" s="396"/>
      <c r="G117" s="396"/>
      <c r="H117" s="396"/>
      <c r="I117" s="396"/>
      <c r="J117" s="194"/>
      <c r="K117" t="s">
        <v>545</v>
      </c>
    </row>
    <row r="118" spans="1:15" ht="15.75" thickBot="1">
      <c r="A118" s="194"/>
      <c r="B118" s="194"/>
      <c r="C118" s="204" t="s">
        <v>506</v>
      </c>
      <c r="D118" s="309">
        <f>+D117/G6</f>
        <v>142.7936506298519</v>
      </c>
      <c r="E118" s="395" t="s">
        <v>554</v>
      </c>
      <c r="F118" s="194"/>
      <c r="G118" s="194"/>
      <c r="H118" s="194"/>
      <c r="I118" s="194"/>
      <c r="J118" s="194"/>
      <c r="M118" s="35" t="s">
        <v>501</v>
      </c>
      <c r="N118" s="49">
        <f>+'Historical Analysis'!D49</f>
        <v>660000</v>
      </c>
      <c r="O118" s="49">
        <f>'Historical Analysis'!E49</f>
        <v>10000</v>
      </c>
    </row>
    <row r="119" spans="1:15" ht="15.75" thickBot="1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N119" s="49"/>
      <c r="O119" s="49"/>
    </row>
    <row r="120" spans="1:15" ht="15.75" thickBot="1">
      <c r="A120" s="152" t="s">
        <v>536</v>
      </c>
      <c r="B120" s="153"/>
      <c r="C120" s="194"/>
      <c r="D120" s="301"/>
      <c r="E120" s="152" t="s">
        <v>215</v>
      </c>
      <c r="F120" s="178" t="s">
        <v>489</v>
      </c>
      <c r="G120" s="178" t="s">
        <v>216</v>
      </c>
      <c r="H120" s="178" t="s">
        <v>492</v>
      </c>
      <c r="I120" s="178" t="s">
        <v>217</v>
      </c>
      <c r="J120" s="179" t="s">
        <v>218</v>
      </c>
      <c r="M120" s="35" t="s">
        <v>502</v>
      </c>
      <c r="N120" s="49">
        <f>+'Historical Analysis'!D53</f>
        <v>2453000</v>
      </c>
      <c r="O120" s="49">
        <f>+'Historical Analysis'!E53</f>
        <v>3968000</v>
      </c>
    </row>
    <row r="121" spans="1:15">
      <c r="A121" s="302" t="s">
        <v>210</v>
      </c>
      <c r="B121" s="308">
        <f>+B36</f>
        <v>4.87E-2</v>
      </c>
      <c r="C121" s="194"/>
      <c r="D121" s="301"/>
      <c r="E121" s="302" t="s">
        <v>128</v>
      </c>
      <c r="F121" s="288">
        <f>Projections!O46</f>
        <v>3055000</v>
      </c>
      <c r="G121" s="303">
        <f>+F121/F123</f>
        <v>0.18066450735816672</v>
      </c>
      <c r="H121" s="310">
        <f>B129</f>
        <v>4.5071335927367055E-2</v>
      </c>
      <c r="I121" s="310">
        <f>H121*(1-B101)</f>
        <v>3.5155642023346305E-2</v>
      </c>
      <c r="J121" s="397">
        <f>I121*G121</f>
        <v>6.351376747007924E-3</v>
      </c>
      <c r="M121" s="35" t="s">
        <v>254</v>
      </c>
      <c r="N121" s="49">
        <f>SUM(N118:N120)</f>
        <v>3113000</v>
      </c>
      <c r="O121" s="49">
        <f>SUM(O118:O120)</f>
        <v>3978000</v>
      </c>
    </row>
    <row r="122" spans="1:15">
      <c r="A122" s="302" t="s">
        <v>211</v>
      </c>
      <c r="B122" s="514">
        <v>0.05</v>
      </c>
      <c r="C122" s="194"/>
      <c r="D122" s="301"/>
      <c r="E122" s="302" t="s">
        <v>505</v>
      </c>
      <c r="F122" s="288">
        <f>E31</f>
        <v>13854796.200000001</v>
      </c>
      <c r="G122" s="303">
        <f>+F122/F123</f>
        <v>0.81933549264183314</v>
      </c>
      <c r="H122" s="310">
        <f>+B124</f>
        <v>0.12173325840451366</v>
      </c>
      <c r="I122" s="404">
        <f>H122</f>
        <v>0.12173325840451366</v>
      </c>
      <c r="J122" s="397">
        <f>I122*G122</f>
        <v>9.9740379245757765E-2</v>
      </c>
      <c r="O122" s="50">
        <f>AVERAGE(N121:O121)</f>
        <v>3545500</v>
      </c>
    </row>
    <row r="123" spans="1:15" ht="15.75" thickBot="1">
      <c r="A123" s="302" t="s">
        <v>213</v>
      </c>
      <c r="B123" s="304">
        <f>+K63</f>
        <v>1.4606651680902731</v>
      </c>
      <c r="C123" s="194"/>
      <c r="D123" s="301"/>
      <c r="E123" s="305" t="s">
        <v>515</v>
      </c>
      <c r="F123" s="306">
        <f>SUM(F121:F122)</f>
        <v>16909796.200000003</v>
      </c>
      <c r="G123" s="307">
        <f>+G121+G122</f>
        <v>0.99999999999999989</v>
      </c>
      <c r="H123" s="311"/>
      <c r="I123" s="405"/>
      <c r="J123" s="399">
        <f>J122+J121</f>
        <v>0.10609175599276569</v>
      </c>
    </row>
    <row r="124" spans="1:15" ht="15.75" thickBot="1">
      <c r="A124" s="305" t="s">
        <v>214</v>
      </c>
      <c r="B124" s="402">
        <f>B121+B123*B122</f>
        <v>0.12173325840451366</v>
      </c>
      <c r="C124" s="194"/>
      <c r="D124" s="194"/>
      <c r="E124" s="296"/>
      <c r="F124" s="194"/>
      <c r="G124" s="194"/>
      <c r="H124" s="194"/>
      <c r="I124" s="194"/>
      <c r="J124" s="194"/>
    </row>
    <row r="125" spans="1:15" ht="17.100000000000001" customHeight="1" thickBot="1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</row>
    <row r="126" spans="1:15" ht="15.75" thickBot="1">
      <c r="A126" s="152" t="s">
        <v>535</v>
      </c>
      <c r="B126" s="153"/>
      <c r="C126" s="194"/>
      <c r="D126" s="194"/>
      <c r="E126" s="398" t="s">
        <v>533</v>
      </c>
      <c r="F126" s="398"/>
      <c r="G126" s="398"/>
      <c r="H126" s="400">
        <f>+J123</f>
        <v>0.10609175599276569</v>
      </c>
      <c r="I126" s="194"/>
      <c r="J126" s="194"/>
    </row>
    <row r="127" spans="1:15">
      <c r="A127" s="324" t="s">
        <v>491</v>
      </c>
      <c r="B127" s="325">
        <f>AVERAGE(Projections!N30:O30)</f>
        <v>3084000</v>
      </c>
      <c r="C127" s="194"/>
      <c r="D127" s="194"/>
      <c r="E127" s="398" t="s">
        <v>534</v>
      </c>
      <c r="F127" s="398"/>
      <c r="G127" s="398"/>
      <c r="H127" s="401">
        <f>+B124</f>
        <v>0.12173325840451366</v>
      </c>
      <c r="I127" s="194"/>
      <c r="J127" s="194"/>
    </row>
    <row r="128" spans="1:15" ht="15.75" thickBot="1">
      <c r="A128" s="322" t="s">
        <v>209</v>
      </c>
      <c r="B128" s="323">
        <f>+'Historical Analysis'!C12</f>
        <v>139000</v>
      </c>
      <c r="C128" s="194"/>
      <c r="D128" s="194"/>
      <c r="E128" s="194"/>
      <c r="F128" s="194"/>
      <c r="G128" s="194"/>
      <c r="H128" s="194"/>
      <c r="I128" s="194"/>
      <c r="J128" s="194"/>
    </row>
    <row r="129" spans="1:10" ht="15.75" thickBot="1">
      <c r="A129" s="326" t="s">
        <v>212</v>
      </c>
      <c r="B129" s="403">
        <f>+B128/B127</f>
        <v>4.5071335927367055E-2</v>
      </c>
      <c r="C129" s="194"/>
      <c r="D129" s="194"/>
      <c r="E129" s="194"/>
      <c r="F129" s="194"/>
      <c r="G129" s="194"/>
      <c r="H129" s="194"/>
      <c r="I129" s="194"/>
      <c r="J129" s="194"/>
    </row>
    <row r="131" spans="1:10" ht="15.75">
      <c r="A131" s="146" t="s">
        <v>580</v>
      </c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ht="17.45" customHeight="1">
      <c r="A132" s="516" t="s">
        <v>586</v>
      </c>
      <c r="B132" s="173" t="s">
        <v>584</v>
      </c>
      <c r="C132" s="515" t="s">
        <v>489</v>
      </c>
      <c r="D132" s="173" t="s">
        <v>593</v>
      </c>
      <c r="E132" s="173"/>
      <c r="F132" s="516" t="s">
        <v>587</v>
      </c>
      <c r="G132" s="516"/>
      <c r="H132" s="516" t="s">
        <v>591</v>
      </c>
      <c r="I132" s="516" t="s">
        <v>571</v>
      </c>
      <c r="J132" s="516" t="s">
        <v>592</v>
      </c>
    </row>
    <row r="133" spans="1:10" ht="12.95" customHeight="1">
      <c r="A133" s="194" t="s">
        <v>581</v>
      </c>
      <c r="B133" s="295">
        <v>3.5</v>
      </c>
      <c r="C133" s="199">
        <f>+B133*B65</f>
        <v>2642500</v>
      </c>
      <c r="D133" s="522">
        <f>+C133/$C$137</f>
        <v>0.15171879957858533</v>
      </c>
      <c r="E133" s="522"/>
      <c r="F133" s="194" t="s">
        <v>588</v>
      </c>
      <c r="G133" s="194"/>
      <c r="H133" s="517">
        <f>+H6</f>
        <v>134.33000000000001</v>
      </c>
      <c r="I133" s="199">
        <f>+D63</f>
        <v>103140</v>
      </c>
      <c r="J133" s="518">
        <f>+I133*H133</f>
        <v>13854796.200000001</v>
      </c>
    </row>
    <row r="134" spans="1:10" ht="12.95" customHeight="1">
      <c r="A134" s="194" t="s">
        <v>582</v>
      </c>
      <c r="B134" s="295">
        <f>+B135-B133</f>
        <v>2.5</v>
      </c>
      <c r="C134" s="199">
        <f>+C135-C133</f>
        <v>1887500</v>
      </c>
      <c r="D134" s="522">
        <f t="shared" ref="D134:D137" si="16">+C134/$C$137</f>
        <v>0.10837057112756095</v>
      </c>
      <c r="E134" s="522"/>
      <c r="F134" s="194" t="s">
        <v>589</v>
      </c>
      <c r="G134" s="194"/>
      <c r="H134" s="194"/>
      <c r="I134" s="194"/>
      <c r="J134" s="199">
        <f>+F63</f>
        <v>3055000</v>
      </c>
    </row>
    <row r="135" spans="1:10" ht="12.95" customHeight="1">
      <c r="A135" s="194" t="s">
        <v>585</v>
      </c>
      <c r="B135" s="295">
        <v>6</v>
      </c>
      <c r="C135" s="524">
        <f>B135*B65</f>
        <v>4530000</v>
      </c>
      <c r="D135" s="522">
        <f t="shared" si="16"/>
        <v>0.26008937070614629</v>
      </c>
      <c r="E135" s="522"/>
      <c r="F135" s="194" t="s">
        <v>590</v>
      </c>
      <c r="G135" s="194"/>
      <c r="H135" s="433">
        <v>0.03</v>
      </c>
      <c r="I135" s="194"/>
      <c r="J135" s="199">
        <f>+H135*(J134+J133)</f>
        <v>507293.88600000006</v>
      </c>
    </row>
    <row r="136" spans="1:10" ht="12.95" customHeight="1">
      <c r="A136" s="194" t="s">
        <v>583</v>
      </c>
      <c r="B136" s="295">
        <f>C136/B65</f>
        <v>17.068993491390732</v>
      </c>
      <c r="C136" s="199">
        <f>+J137-C135</f>
        <v>12887090.086000003</v>
      </c>
      <c r="D136" s="522">
        <f t="shared" si="16"/>
        <v>0.73991062929385376</v>
      </c>
      <c r="E136" s="522"/>
      <c r="F136" s="194"/>
      <c r="G136" s="194"/>
      <c r="H136" s="194"/>
      <c r="I136" s="194"/>
      <c r="J136" s="194"/>
    </row>
    <row r="137" spans="1:10" ht="12.95" customHeight="1" thickBot="1">
      <c r="A137" s="194" t="s">
        <v>254</v>
      </c>
      <c r="B137" s="194"/>
      <c r="C137" s="520">
        <f>C136+C135</f>
        <v>17417090.086000003</v>
      </c>
      <c r="D137" s="523">
        <f t="shared" si="16"/>
        <v>1</v>
      </c>
      <c r="E137" s="522"/>
      <c r="F137" s="194" t="s">
        <v>254</v>
      </c>
      <c r="G137" s="194"/>
      <c r="H137" s="194"/>
      <c r="I137" s="194"/>
      <c r="J137" s="519">
        <f>SUM(J133:J135)</f>
        <v>17417090.086000003</v>
      </c>
    </row>
    <row r="138" spans="1:10" ht="12.95" customHeight="1" thickTop="1">
      <c r="A138" s="194"/>
      <c r="B138" s="194"/>
      <c r="C138" s="194"/>
      <c r="D138" s="194"/>
      <c r="E138" s="522"/>
      <c r="F138" s="194"/>
      <c r="G138" s="194"/>
      <c r="H138" s="194"/>
      <c r="I138" s="194"/>
      <c r="J138" s="194"/>
    </row>
    <row r="139" spans="1:10" ht="12.95" customHeight="1">
      <c r="A139" s="201" t="s">
        <v>596</v>
      </c>
      <c r="B139" s="194"/>
      <c r="C139" s="194"/>
      <c r="D139" s="194"/>
      <c r="E139" s="194"/>
      <c r="F139" s="194"/>
      <c r="G139" s="194"/>
      <c r="H139" s="194"/>
      <c r="I139" s="194"/>
      <c r="J139" s="194"/>
    </row>
    <row r="140" spans="1:10" ht="12.95" customHeight="1">
      <c r="A140" s="194" t="s">
        <v>597</v>
      </c>
      <c r="B140" s="531">
        <v>0.9</v>
      </c>
      <c r="C140" s="194"/>
      <c r="D140" s="194"/>
      <c r="E140" s="521">
        <f>$B$140*Projections!P39</f>
        <v>0.13728582259287339</v>
      </c>
      <c r="F140" s="521">
        <f>$B$140*Projections!Q39</f>
        <v>0.13728582259287339</v>
      </c>
      <c r="G140" s="521">
        <f>$B$140*Projections!R39</f>
        <v>0.13728582259287339</v>
      </c>
      <c r="H140" s="521">
        <f>$B$140*Projections!S39</f>
        <v>0.13728582259287339</v>
      </c>
      <c r="I140" s="521">
        <f>$B$140*Projections!T39</f>
        <v>0.13728582259287339</v>
      </c>
      <c r="J140" s="521">
        <f>$B$140*Projections!U39</f>
        <v>0.13728582259287339</v>
      </c>
    </row>
    <row r="141" spans="1:10" ht="12.95" customHeight="1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</row>
    <row r="142" spans="1:10" ht="11.45" customHeight="1">
      <c r="A142" s="321"/>
      <c r="B142" s="63"/>
      <c r="C142" s="63"/>
      <c r="D142" s="190" t="s">
        <v>189</v>
      </c>
      <c r="E142" s="64">
        <v>1</v>
      </c>
      <c r="F142" s="64">
        <v>2</v>
      </c>
      <c r="G142" s="64">
        <v>3</v>
      </c>
      <c r="H142" s="64">
        <v>4</v>
      </c>
      <c r="I142" s="64">
        <v>5</v>
      </c>
      <c r="J142" s="64">
        <v>6</v>
      </c>
    </row>
    <row r="143" spans="1:10" ht="15.75" thickBot="1">
      <c r="A143" s="173"/>
      <c r="B143" s="545" t="s">
        <v>490</v>
      </c>
      <c r="C143" s="546"/>
      <c r="D143" s="547"/>
      <c r="E143" s="546" t="s">
        <v>234</v>
      </c>
      <c r="F143" s="546"/>
      <c r="G143" s="546"/>
      <c r="H143" s="547"/>
      <c r="I143" s="491" t="s">
        <v>190</v>
      </c>
      <c r="J143" s="319"/>
    </row>
    <row r="144" spans="1:10" ht="15.75" thickBot="1">
      <c r="A144" s="320"/>
      <c r="B144" s="480">
        <f t="shared" ref="B144:J144" si="17">B95</f>
        <v>2021</v>
      </c>
      <c r="C144" s="481">
        <f t="shared" si="17"/>
        <v>2022</v>
      </c>
      <c r="D144" s="482">
        <f t="shared" si="17"/>
        <v>2023</v>
      </c>
      <c r="E144" s="483">
        <f t="shared" si="17"/>
        <v>2023</v>
      </c>
      <c r="F144" s="483">
        <f t="shared" si="17"/>
        <v>2024</v>
      </c>
      <c r="G144" s="483">
        <f t="shared" si="17"/>
        <v>2025</v>
      </c>
      <c r="H144" s="483">
        <f t="shared" si="17"/>
        <v>2026</v>
      </c>
      <c r="I144" s="484">
        <f t="shared" si="17"/>
        <v>2027</v>
      </c>
      <c r="J144" s="485">
        <f t="shared" si="17"/>
        <v>2028</v>
      </c>
    </row>
    <row r="145" spans="1:24">
      <c r="A145" s="194" t="s">
        <v>192</v>
      </c>
      <c r="B145" s="274">
        <f t="shared" ref="B145:J145" si="18">B96</f>
        <v>2066000</v>
      </c>
      <c r="C145" s="274">
        <f t="shared" si="18"/>
        <v>3028000</v>
      </c>
      <c r="D145" s="275">
        <f t="shared" si="18"/>
        <v>5891000</v>
      </c>
      <c r="E145" s="274">
        <f t="shared" si="18"/>
        <v>7386400.0000000009</v>
      </c>
      <c r="F145" s="274">
        <f t="shared" si="18"/>
        <v>8125040.0000000019</v>
      </c>
      <c r="G145" s="274">
        <f t="shared" si="18"/>
        <v>8775043.200000003</v>
      </c>
      <c r="H145" s="274">
        <f t="shared" si="18"/>
        <v>9477046.6560000032</v>
      </c>
      <c r="I145" s="312">
        <f t="shared" si="18"/>
        <v>10235210.388480004</v>
      </c>
      <c r="J145" s="274">
        <f t="shared" si="18"/>
        <v>11054027.219558405</v>
      </c>
    </row>
    <row r="146" spans="1:24">
      <c r="A146" s="194" t="s">
        <v>193</v>
      </c>
      <c r="B146" s="276"/>
      <c r="C146" s="276">
        <f t="shared" ref="C146:J147" si="19">C97</f>
        <v>0.46563407550822844</v>
      </c>
      <c r="D146" s="277">
        <f t="shared" si="19"/>
        <v>0.94550858652575953</v>
      </c>
      <c r="E146" s="276">
        <f t="shared" si="19"/>
        <v>0.25384484807333241</v>
      </c>
      <c r="F146" s="276">
        <f t="shared" si="19"/>
        <v>0.10000000000000009</v>
      </c>
      <c r="G146" s="276">
        <f t="shared" si="19"/>
        <v>8.0000000000000071E-2</v>
      </c>
      <c r="H146" s="276">
        <f t="shared" si="19"/>
        <v>8.0000000000000071E-2</v>
      </c>
      <c r="I146" s="313">
        <f t="shared" si="19"/>
        <v>8.0000000000000071E-2</v>
      </c>
      <c r="J146" s="276">
        <f t="shared" si="19"/>
        <v>8.0000000000000071E-2</v>
      </c>
      <c r="K146" s="65"/>
      <c r="L146" s="66"/>
    </row>
    <row r="147" spans="1:24">
      <c r="A147" s="194" t="s">
        <v>194</v>
      </c>
      <c r="B147" s="274">
        <f>B98</f>
        <v>-2067000</v>
      </c>
      <c r="C147" s="274">
        <f t="shared" si="19"/>
        <v>-2603000</v>
      </c>
      <c r="D147" s="275">
        <f t="shared" si="19"/>
        <v>-4603000</v>
      </c>
      <c r="E147" s="274">
        <f t="shared" si="19"/>
        <v>-5865440.0000000009</v>
      </c>
      <c r="F147" s="274">
        <f t="shared" si="19"/>
        <v>-6451984.0000000009</v>
      </c>
      <c r="G147" s="274">
        <f t="shared" si="19"/>
        <v>-6968142.7200000025</v>
      </c>
      <c r="H147" s="274">
        <f t="shared" si="19"/>
        <v>-7525594.1376000019</v>
      </c>
      <c r="I147" s="312">
        <f t="shared" si="19"/>
        <v>-8127641.6686080033</v>
      </c>
      <c r="J147" s="274">
        <f t="shared" si="19"/>
        <v>-8777853.0020966437</v>
      </c>
      <c r="K147" s="65"/>
    </row>
    <row r="148" spans="1:24">
      <c r="A148" s="194" t="s">
        <v>195</v>
      </c>
      <c r="B148" s="278">
        <f>B99</f>
        <v>-631000</v>
      </c>
      <c r="C148" s="278">
        <f>C99</f>
        <v>-676000</v>
      </c>
      <c r="D148" s="279">
        <f>D99</f>
        <v>-890000</v>
      </c>
      <c r="E148" s="278">
        <f t="shared" ref="E148:J148" si="20">-E140*E145</f>
        <v>-1014048.0000000001</v>
      </c>
      <c r="F148" s="278">
        <f t="shared" si="20"/>
        <v>-1115452.8000000003</v>
      </c>
      <c r="G148" s="278">
        <f t="shared" si="20"/>
        <v>-1204689.0240000004</v>
      </c>
      <c r="H148" s="278">
        <f t="shared" si="20"/>
        <v>-1301064.1459200005</v>
      </c>
      <c r="I148" s="314">
        <f t="shared" si="20"/>
        <v>-1405149.2775936006</v>
      </c>
      <c r="J148" s="278">
        <f t="shared" si="20"/>
        <v>-1517561.2198010886</v>
      </c>
      <c r="K148" s="65"/>
      <c r="M148" s="35" t="s">
        <v>539</v>
      </c>
    </row>
    <row r="149" spans="1:24" ht="15.75" thickBot="1">
      <c r="A149" s="194" t="s">
        <v>196</v>
      </c>
      <c r="B149" s="280">
        <f t="shared" ref="B149:C149" si="21">SUM(B145:B148)</f>
        <v>-632000</v>
      </c>
      <c r="C149" s="280">
        <f t="shared" si="21"/>
        <v>-250999.53436592454</v>
      </c>
      <c r="D149" s="281">
        <f>SUM(D145:D148)</f>
        <v>398000.94550858624</v>
      </c>
      <c r="E149" s="274">
        <f>E145+E147+E148</f>
        <v>506911.99999999988</v>
      </c>
      <c r="F149" s="274">
        <f t="shared" ref="F149:J149" si="22">F145+F147+F148</f>
        <v>557603.20000000065</v>
      </c>
      <c r="G149" s="274">
        <f t="shared" si="22"/>
        <v>602211.45600000001</v>
      </c>
      <c r="H149" s="274">
        <f t="shared" si="22"/>
        <v>650388.37248000083</v>
      </c>
      <c r="I149" s="312">
        <f t="shared" si="22"/>
        <v>702419.44227840006</v>
      </c>
      <c r="J149" s="274">
        <f t="shared" si="22"/>
        <v>758612.99766067252</v>
      </c>
      <c r="K149" s="65"/>
      <c r="M149" s="413" t="s">
        <v>540</v>
      </c>
      <c r="X149" s="50"/>
    </row>
    <row r="150" spans="1:24" ht="15.75" thickBot="1">
      <c r="A150" s="194" t="s">
        <v>209</v>
      </c>
      <c r="B150" s="526">
        <v>0.08</v>
      </c>
      <c r="C150" s="280"/>
      <c r="D150" s="281"/>
      <c r="E150" s="274">
        <f>-$B$150*E149</f>
        <v>-40552.959999999992</v>
      </c>
      <c r="F150" s="274">
        <f t="shared" ref="F150:J150" si="23">-$B$150*F149</f>
        <v>-44608.256000000052</v>
      </c>
      <c r="G150" s="274">
        <f t="shared" si="23"/>
        <v>-48176.91648</v>
      </c>
      <c r="H150" s="274">
        <f t="shared" si="23"/>
        <v>-52031.069798400065</v>
      </c>
      <c r="I150" s="312">
        <f t="shared" si="23"/>
        <v>-56193.555382272003</v>
      </c>
      <c r="J150" s="274">
        <f t="shared" si="23"/>
        <v>-60689.0398128538</v>
      </c>
      <c r="K150" s="65"/>
      <c r="M150" s="413"/>
      <c r="X150" s="50"/>
    </row>
    <row r="151" spans="1:24" ht="15.75" thickBot="1">
      <c r="A151" s="194" t="s">
        <v>10</v>
      </c>
      <c r="B151" s="280"/>
      <c r="C151" s="280"/>
      <c r="D151" s="281"/>
      <c r="E151" s="528">
        <f>+E149+E150</f>
        <v>466359.03999999992</v>
      </c>
      <c r="F151" s="529">
        <f t="shared" ref="F151:J151" si="24">+F149+F150</f>
        <v>512994.9440000006</v>
      </c>
      <c r="G151" s="529">
        <f t="shared" si="24"/>
        <v>554034.53951999999</v>
      </c>
      <c r="H151" s="529">
        <f t="shared" si="24"/>
        <v>598357.30268160079</v>
      </c>
      <c r="I151" s="431">
        <f t="shared" si="24"/>
        <v>646225.88689612807</v>
      </c>
      <c r="J151" s="529">
        <f t="shared" si="24"/>
        <v>697923.95784781873</v>
      </c>
      <c r="K151" s="65"/>
      <c r="M151" s="413"/>
      <c r="X151" s="50"/>
    </row>
    <row r="152" spans="1:24" ht="15.75" thickBot="1">
      <c r="A152" s="194" t="s">
        <v>197</v>
      </c>
      <c r="B152" s="489">
        <v>0.16</v>
      </c>
      <c r="C152" s="194"/>
      <c r="D152" s="281"/>
      <c r="E152" s="274">
        <f>-$B$152*E151</f>
        <v>-74617.446399999986</v>
      </c>
      <c r="F152" s="274">
        <f t="shared" ref="F152:J152" si="25">-$B$152*F151</f>
        <v>-82079.191040000092</v>
      </c>
      <c r="G152" s="274">
        <f t="shared" si="25"/>
        <v>-88645.5263232</v>
      </c>
      <c r="H152" s="274">
        <f t="shared" si="25"/>
        <v>-95737.168429056124</v>
      </c>
      <c r="I152" s="312">
        <f t="shared" si="25"/>
        <v>-103396.1419033805</v>
      </c>
      <c r="J152" s="274">
        <f t="shared" si="25"/>
        <v>-111667.833255651</v>
      </c>
      <c r="K152" s="65"/>
      <c r="M152" s="414" t="s">
        <v>541</v>
      </c>
    </row>
    <row r="153" spans="1:24">
      <c r="A153" s="194" t="s">
        <v>594</v>
      </c>
      <c r="B153" s="527"/>
      <c r="C153" s="194"/>
      <c r="D153" s="281"/>
      <c r="E153" s="274">
        <f>-E150</f>
        <v>40552.959999999992</v>
      </c>
      <c r="F153" s="274">
        <f t="shared" ref="F153:J153" si="26">-F150</f>
        <v>44608.256000000052</v>
      </c>
      <c r="G153" s="274">
        <f t="shared" si="26"/>
        <v>48176.91648</v>
      </c>
      <c r="H153" s="274">
        <f t="shared" si="26"/>
        <v>52031.069798400065</v>
      </c>
      <c r="I153" s="312">
        <f t="shared" si="26"/>
        <v>56193.555382272003</v>
      </c>
      <c r="J153" s="274">
        <f t="shared" si="26"/>
        <v>60689.0398128538</v>
      </c>
      <c r="K153" s="65"/>
      <c r="M153" s="414"/>
    </row>
    <row r="154" spans="1:24">
      <c r="A154" s="194" t="s">
        <v>198</v>
      </c>
      <c r="B154" s="194"/>
      <c r="C154" s="194"/>
      <c r="D154" s="282"/>
      <c r="E154" s="274">
        <f t="shared" ref="E154:J156" si="27">E102</f>
        <v>617998.44907617185</v>
      </c>
      <c r="F154" s="274">
        <f t="shared" si="27"/>
        <v>679798.29398378916</v>
      </c>
      <c r="G154" s="274">
        <f t="shared" si="27"/>
        <v>734182.15750249242</v>
      </c>
      <c r="H154" s="274">
        <f t="shared" si="27"/>
        <v>792916.7301026918</v>
      </c>
      <c r="I154" s="312">
        <f t="shared" si="27"/>
        <v>856350.06851090712</v>
      </c>
      <c r="J154" s="274">
        <f t="shared" si="27"/>
        <v>924858.0739917797</v>
      </c>
      <c r="K154" s="65"/>
      <c r="M154" s="415" t="s">
        <v>542</v>
      </c>
    </row>
    <row r="155" spans="1:24">
      <c r="A155" s="194" t="s">
        <v>488</v>
      </c>
      <c r="B155" s="194"/>
      <c r="C155" s="194"/>
      <c r="D155" s="282"/>
      <c r="E155" s="274">
        <f t="shared" si="27"/>
        <v>-22814.389981032578</v>
      </c>
      <c r="F155" s="274">
        <f t="shared" si="27"/>
        <v>-25095.82897913584</v>
      </c>
      <c r="G155" s="274">
        <f t="shared" si="27"/>
        <v>-27103.49529746671</v>
      </c>
      <c r="H155" s="274">
        <f t="shared" si="27"/>
        <v>-29271.774921264045</v>
      </c>
      <c r="I155" s="312">
        <f t="shared" si="27"/>
        <v>-31613.51691496517</v>
      </c>
      <c r="J155" s="274">
        <f t="shared" si="27"/>
        <v>-34142.598268162386</v>
      </c>
      <c r="K155" s="65"/>
      <c r="M155" s="416" t="s">
        <v>543</v>
      </c>
      <c r="N155" t="s">
        <v>544</v>
      </c>
    </row>
    <row r="156" spans="1:24">
      <c r="A156" s="194" t="s">
        <v>199</v>
      </c>
      <c r="B156" s="194"/>
      <c r="C156" s="194"/>
      <c r="D156" s="282"/>
      <c r="E156" s="274">
        <f t="shared" si="27"/>
        <v>-429648.09494248271</v>
      </c>
      <c r="F156" s="274">
        <f t="shared" si="27"/>
        <v>-472612.90443673101</v>
      </c>
      <c r="G156" s="274">
        <f t="shared" si="27"/>
        <v>-510421.93679166958</v>
      </c>
      <c r="H156" s="274">
        <f t="shared" si="27"/>
        <v>-551255.69173500314</v>
      </c>
      <c r="I156" s="312">
        <f t="shared" si="27"/>
        <v>-595356.14707380347</v>
      </c>
      <c r="J156" s="274">
        <f t="shared" si="27"/>
        <v>-642984.63883970771</v>
      </c>
      <c r="K156" s="65"/>
    </row>
    <row r="157" spans="1:24" ht="15.75" thickBot="1">
      <c r="A157" s="194" t="s">
        <v>200</v>
      </c>
      <c r="B157" s="194"/>
      <c r="C157" s="194"/>
      <c r="D157" s="282"/>
      <c r="E157" s="283">
        <f>SUM(E151:E156)</f>
        <v>597830.51775265648</v>
      </c>
      <c r="F157" s="283">
        <f t="shared" ref="F157:J157" si="28">SUM(F151:F156)</f>
        <v>657613.5695279229</v>
      </c>
      <c r="G157" s="283">
        <f t="shared" si="28"/>
        <v>710222.65509015624</v>
      </c>
      <c r="H157" s="283">
        <f t="shared" si="28"/>
        <v>767040.46749736927</v>
      </c>
      <c r="I157" s="315">
        <f t="shared" si="28"/>
        <v>828403.70489715808</v>
      </c>
      <c r="J157" s="284">
        <f t="shared" si="28"/>
        <v>894676.00128893112</v>
      </c>
      <c r="K157" s="65"/>
    </row>
    <row r="158" spans="1:24" ht="7.5" customHeight="1" thickTop="1">
      <c r="A158" s="285"/>
      <c r="B158" s="285"/>
      <c r="C158" s="285"/>
      <c r="D158" s="278"/>
      <c r="E158" s="278"/>
      <c r="F158" s="278"/>
      <c r="G158" s="278"/>
      <c r="H158" s="278"/>
      <c r="I158" s="314"/>
      <c r="J158" s="274"/>
      <c r="K158" s="65"/>
    </row>
    <row r="159" spans="1:24">
      <c r="A159" s="286" t="s">
        <v>103</v>
      </c>
      <c r="B159" s="286"/>
      <c r="C159" s="286"/>
      <c r="D159" s="287">
        <f t="shared" ref="D159:J159" si="29">D107</f>
        <v>824000</v>
      </c>
      <c r="E159" s="287">
        <f t="shared" si="29"/>
        <v>1012238.4490761716</v>
      </c>
      <c r="F159" s="287">
        <f t="shared" si="29"/>
        <v>1113462.2939837899</v>
      </c>
      <c r="G159" s="287">
        <f t="shared" si="29"/>
        <v>1202539.2775024923</v>
      </c>
      <c r="H159" s="287">
        <f t="shared" si="29"/>
        <v>1298742.4197026927</v>
      </c>
      <c r="I159" s="316">
        <f t="shared" si="29"/>
        <v>1402641.813278907</v>
      </c>
      <c r="J159" s="288">
        <f t="shared" si="29"/>
        <v>1514853.1583412201</v>
      </c>
      <c r="K159" s="65"/>
    </row>
    <row r="160" spans="1:24" ht="12" customHeight="1">
      <c r="A160" s="289" t="s">
        <v>595</v>
      </c>
      <c r="B160" s="530">
        <v>0.01</v>
      </c>
      <c r="C160" s="289"/>
      <c r="D160" s="290">
        <f>+C135</f>
        <v>4530000</v>
      </c>
      <c r="E160" s="290">
        <f>+D160+E170</f>
        <v>4484700</v>
      </c>
      <c r="F160" s="290">
        <f t="shared" ref="F160:J160" si="30">+E160+F170</f>
        <v>4439400</v>
      </c>
      <c r="G160" s="290">
        <f t="shared" si="30"/>
        <v>4394100</v>
      </c>
      <c r="H160" s="290">
        <f t="shared" si="30"/>
        <v>4348800</v>
      </c>
      <c r="I160" s="317">
        <f t="shared" si="30"/>
        <v>4303500</v>
      </c>
      <c r="J160" s="291">
        <f t="shared" si="30"/>
        <v>4303500</v>
      </c>
      <c r="K160" s="65"/>
    </row>
    <row r="161" spans="1:15" ht="7.5" customHeight="1">
      <c r="A161" s="194"/>
      <c r="B161" s="194"/>
      <c r="C161" s="194"/>
      <c r="D161" s="194"/>
      <c r="E161" s="194"/>
      <c r="F161" s="194"/>
      <c r="G161" s="194"/>
      <c r="H161" s="194"/>
      <c r="I161" s="318"/>
      <c r="J161" s="194"/>
      <c r="K161" s="65"/>
    </row>
    <row r="162" spans="1:15" ht="15.75" thickBot="1">
      <c r="A162" s="292" t="s">
        <v>202</v>
      </c>
      <c r="B162" s="293" t="s">
        <v>191</v>
      </c>
      <c r="C162" s="194"/>
      <c r="D162" s="294" t="s">
        <v>203</v>
      </c>
      <c r="E162" s="194"/>
      <c r="F162" s="194"/>
      <c r="G162" s="194"/>
      <c r="H162" s="194"/>
      <c r="I162" s="318"/>
      <c r="J162" s="194"/>
      <c r="K162" s="65"/>
    </row>
    <row r="163" spans="1:15">
      <c r="A163" s="194" t="s">
        <v>204</v>
      </c>
      <c r="B163" s="200">
        <f>+B111</f>
        <v>16.273672898867463</v>
      </c>
      <c r="C163" s="194"/>
      <c r="D163" s="295"/>
      <c r="E163" s="296"/>
      <c r="F163" s="194" t="s">
        <v>513</v>
      </c>
      <c r="G163" s="194"/>
      <c r="H163" s="194"/>
      <c r="I163" s="430">
        <f>B163*I159</f>
        <v>22826134.063575264</v>
      </c>
      <c r="J163" s="194"/>
      <c r="K163" s="65"/>
    </row>
    <row r="164" spans="1:15">
      <c r="A164" s="194" t="s">
        <v>205</v>
      </c>
      <c r="B164" s="297">
        <f>+B112</f>
        <v>0.10609175599276569</v>
      </c>
      <c r="C164" s="201" t="s">
        <v>218</v>
      </c>
      <c r="D164" s="433">
        <v>0.08</v>
      </c>
      <c r="E164" s="296"/>
      <c r="F164" s="194" t="s">
        <v>514</v>
      </c>
      <c r="G164" s="194"/>
      <c r="H164" s="194"/>
      <c r="I164" s="312">
        <f>J157/(B164-D164)</f>
        <v>34289604.790761992</v>
      </c>
      <c r="J164" s="194"/>
      <c r="K164" s="65"/>
    </row>
    <row r="165" spans="1:15">
      <c r="A165" s="194" t="s">
        <v>165</v>
      </c>
      <c r="B165" s="194"/>
      <c r="C165" s="194"/>
      <c r="D165" s="298"/>
      <c r="E165" s="194"/>
      <c r="F165" s="194"/>
      <c r="G165" s="194"/>
      <c r="H165" s="194"/>
      <c r="I165" s="431">
        <f>AVERAGE(I163:I164)</f>
        <v>28557869.42716863</v>
      </c>
      <c r="J165" s="194"/>
      <c r="K165" s="65"/>
    </row>
    <row r="166" spans="1:15">
      <c r="A166" s="194" t="s">
        <v>206</v>
      </c>
      <c r="B166" s="194"/>
      <c r="C166" s="194"/>
      <c r="D166" s="199"/>
      <c r="E166" s="194"/>
      <c r="F166" s="194"/>
      <c r="G166" s="194"/>
      <c r="H166" s="194"/>
      <c r="I166" s="430">
        <f>-I160</f>
        <v>-4303500</v>
      </c>
      <c r="J166" s="194"/>
      <c r="K166" s="65"/>
    </row>
    <row r="167" spans="1:15" ht="16.5" customHeight="1" thickBot="1">
      <c r="A167" s="194" t="s">
        <v>207</v>
      </c>
      <c r="B167" s="204" t="s">
        <v>598</v>
      </c>
      <c r="C167" s="252" t="s">
        <v>599</v>
      </c>
      <c r="D167" s="194"/>
      <c r="E167" s="194"/>
      <c r="F167" s="194"/>
      <c r="G167" s="194"/>
      <c r="H167" s="194"/>
      <c r="I167" s="432">
        <f>I165+I166</f>
        <v>24254369.42716863</v>
      </c>
      <c r="J167" s="194"/>
    </row>
    <row r="168" spans="1:15" ht="16.5" customHeight="1" thickTop="1">
      <c r="A168" s="194" t="s">
        <v>602</v>
      </c>
      <c r="B168" s="204"/>
      <c r="C168" s="252"/>
      <c r="D168" s="194"/>
      <c r="E168" s="533">
        <f>E157</f>
        <v>597830.51775265648</v>
      </c>
      <c r="F168" s="533">
        <f t="shared" ref="F168:I168" si="31">F157</f>
        <v>657613.5695279229</v>
      </c>
      <c r="G168" s="533">
        <f t="shared" si="31"/>
        <v>710222.65509015624</v>
      </c>
      <c r="H168" s="533">
        <f t="shared" si="31"/>
        <v>767040.46749736927</v>
      </c>
      <c r="I168" s="534">
        <f t="shared" si="31"/>
        <v>828403.70489715808</v>
      </c>
      <c r="J168" s="194"/>
    </row>
    <row r="169" spans="1:15" ht="16.5" customHeight="1">
      <c r="A169" s="194" t="s">
        <v>603</v>
      </c>
      <c r="B169" s="204"/>
      <c r="C169" s="252"/>
      <c r="D169" s="194"/>
      <c r="E169" s="199">
        <f>E150</f>
        <v>-40552.959999999992</v>
      </c>
      <c r="F169" s="199">
        <f t="shared" ref="F169:I169" si="32">F150</f>
        <v>-44608.256000000052</v>
      </c>
      <c r="G169" s="199">
        <f t="shared" si="32"/>
        <v>-48176.91648</v>
      </c>
      <c r="H169" s="199">
        <f t="shared" si="32"/>
        <v>-52031.069798400065</v>
      </c>
      <c r="I169" s="430">
        <f t="shared" si="32"/>
        <v>-56193.555382272003</v>
      </c>
      <c r="J169" s="194"/>
    </row>
    <row r="170" spans="1:15" ht="16.5" customHeight="1">
      <c r="A170" s="194" t="s">
        <v>604</v>
      </c>
      <c r="B170" s="204"/>
      <c r="C170" s="532">
        <v>0.01</v>
      </c>
      <c r="D170" s="194"/>
      <c r="E170" s="199">
        <f>-$C$170*$D$160</f>
        <v>-45300</v>
      </c>
      <c r="F170" s="199">
        <f t="shared" ref="F170:I170" si="33">-$C$170*$D$160</f>
        <v>-45300</v>
      </c>
      <c r="G170" s="199">
        <f t="shared" si="33"/>
        <v>-45300</v>
      </c>
      <c r="H170" s="199">
        <f t="shared" si="33"/>
        <v>-45300</v>
      </c>
      <c r="I170" s="430">
        <f t="shared" si="33"/>
        <v>-45300</v>
      </c>
      <c r="J170" s="194"/>
    </row>
    <row r="171" spans="1:15" ht="15.75" thickBot="1">
      <c r="A171" s="299" t="s">
        <v>208</v>
      </c>
      <c r="B171" s="492">
        <v>0.25</v>
      </c>
      <c r="C171" s="525">
        <f>IRR(D171:I171)</f>
        <v>0.17197029482800641</v>
      </c>
      <c r="D171" s="300">
        <f>-C136</f>
        <v>-12887090.086000003</v>
      </c>
      <c r="E171" s="490">
        <f>SUM(E167:E170)</f>
        <v>511977.55775265652</v>
      </c>
      <c r="F171" s="490">
        <f t="shared" ref="F171:I171" si="34">SUM(F167:F170)</f>
        <v>567705.31352792284</v>
      </c>
      <c r="G171" s="490">
        <f t="shared" si="34"/>
        <v>616745.73861015623</v>
      </c>
      <c r="H171" s="490">
        <f t="shared" si="34"/>
        <v>669709.39769896923</v>
      </c>
      <c r="I171" s="490">
        <f t="shared" si="34"/>
        <v>24981279.576683518</v>
      </c>
      <c r="J171" s="194"/>
    </row>
    <row r="172" spans="1:15" ht="16.5" thickTop="1" thickBot="1">
      <c r="A172" s="486" t="s">
        <v>546</v>
      </c>
      <c r="B172" s="487"/>
      <c r="C172" s="487"/>
      <c r="D172" s="488">
        <f>NPV(B171,E171:I171)</f>
        <v>9548865.9260135479</v>
      </c>
      <c r="E172" s="396"/>
      <c r="F172" s="396"/>
      <c r="G172" s="396"/>
      <c r="H172" s="396"/>
      <c r="I172" s="396"/>
      <c r="J172" s="194"/>
      <c r="K172" t="s">
        <v>545</v>
      </c>
    </row>
    <row r="173" spans="1:15" ht="15.75" thickBot="1">
      <c r="A173" s="194"/>
      <c r="B173" s="194"/>
      <c r="C173" s="204" t="s">
        <v>506</v>
      </c>
      <c r="D173" s="309">
        <f>D172/D63</f>
        <v>92.581597110854645</v>
      </c>
      <c r="E173" s="395" t="s">
        <v>554</v>
      </c>
      <c r="F173" s="194"/>
      <c r="G173" s="194"/>
      <c r="H173" s="194"/>
      <c r="I173" s="194"/>
      <c r="J173" s="194"/>
      <c r="M173" s="35" t="s">
        <v>501</v>
      </c>
      <c r="N173" s="49">
        <f>+'Historical Analysis'!D88</f>
        <v>0</v>
      </c>
      <c r="O173" s="49">
        <f>'Historical Analysis'!E88</f>
        <v>0</v>
      </c>
    </row>
  </sheetData>
  <mergeCells count="20">
    <mergeCell ref="B73:C73"/>
    <mergeCell ref="B78:C78"/>
    <mergeCell ref="B79:C79"/>
    <mergeCell ref="B80:C80"/>
    <mergeCell ref="B81:C81"/>
    <mergeCell ref="B74:C74"/>
    <mergeCell ref="B77:C77"/>
    <mergeCell ref="B76:C76"/>
    <mergeCell ref="B75:C75"/>
    <mergeCell ref="B82:C82"/>
    <mergeCell ref="B83:C83"/>
    <mergeCell ref="B84:C84"/>
    <mergeCell ref="B85:C85"/>
    <mergeCell ref="B86:C86"/>
    <mergeCell ref="B143:D143"/>
    <mergeCell ref="E143:H143"/>
    <mergeCell ref="E94:H94"/>
    <mergeCell ref="B87:C87"/>
    <mergeCell ref="B88:C88"/>
    <mergeCell ref="B94:D94"/>
  </mergeCells>
  <hyperlinks>
    <hyperlink ref="C1" r:id="rId1" xr:uid="{C7AEFBB4-87F0-41DD-8CB5-3721A78EFE8B}"/>
    <hyperlink ref="M40" r:id="rId2" xr:uid="{2C93F95B-9C93-4E7D-9AAB-B3C726D0AF33}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4F13-D13B-4E3A-965D-1171050EB8DA}">
  <sheetPr>
    <tabColor rgb="FF0066FF"/>
  </sheetPr>
  <dimension ref="A1:AB106"/>
  <sheetViews>
    <sheetView showGridLines="0" workbookViewId="0">
      <selection activeCell="F1" sqref="F1"/>
    </sheetView>
  </sheetViews>
  <sheetFormatPr defaultRowHeight="15"/>
  <cols>
    <col min="1" max="1" width="11.28515625" customWidth="1"/>
    <col min="2" max="5" width="8.85546875" style="89"/>
    <col min="6" max="7" width="8.85546875" style="35"/>
    <col min="8" max="8" width="1.85546875" customWidth="1"/>
    <col min="9" max="9" width="8.85546875" customWidth="1"/>
    <col min="13" max="14" width="8.85546875" style="35"/>
    <col min="15" max="15" width="1.5703125" customWidth="1"/>
    <col min="16" max="16" width="11.140625" customWidth="1"/>
    <col min="17" max="17" width="8.85546875" style="108"/>
    <col min="18" max="18" width="0.85546875" style="35" customWidth="1"/>
    <col min="19" max="19" width="8.85546875" style="35"/>
    <col min="22" max="22" width="11.5703125" bestFit="1" customWidth="1"/>
    <col min="23" max="23" width="15" customWidth="1"/>
    <col min="25" max="25" width="1.42578125" customWidth="1"/>
    <col min="26" max="26" width="11.5703125" customWidth="1"/>
  </cols>
  <sheetData>
    <row r="1" spans="1:28" ht="23.25">
      <c r="A1" s="160" t="s">
        <v>258</v>
      </c>
      <c r="B1" s="161"/>
      <c r="C1" s="161"/>
      <c r="D1" s="161"/>
      <c r="E1" s="161"/>
      <c r="F1" s="162"/>
      <c r="G1" s="162"/>
      <c r="H1" s="163"/>
      <c r="I1" s="163"/>
      <c r="J1" s="163"/>
      <c r="K1" s="163"/>
      <c r="L1" s="163"/>
      <c r="M1" s="162"/>
      <c r="N1" s="162"/>
      <c r="O1" s="163"/>
      <c r="P1" s="163"/>
      <c r="Q1" s="164"/>
      <c r="R1" s="162"/>
      <c r="S1" s="162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17.100000000000001" customHeight="1">
      <c r="A2" s="107"/>
    </row>
    <row r="3" spans="1:28" ht="17.100000000000001" customHeight="1">
      <c r="A3" s="107"/>
    </row>
    <row r="4" spans="1:28" ht="17.100000000000001" customHeight="1">
      <c r="A4" s="107"/>
    </row>
    <row r="5" spans="1:28" ht="17.100000000000001" customHeight="1">
      <c r="A5" s="107"/>
    </row>
    <row r="6" spans="1:28" ht="17.100000000000001" customHeight="1">
      <c r="A6" s="107"/>
    </row>
    <row r="7" spans="1:28" ht="17.100000000000001" customHeight="1">
      <c r="A7" s="107"/>
    </row>
    <row r="8" spans="1:28" ht="17.100000000000001" customHeight="1">
      <c r="A8" s="107"/>
    </row>
    <row r="9" spans="1:28" ht="17.100000000000001" customHeight="1">
      <c r="A9" s="107"/>
    </row>
    <row r="10" spans="1:28" ht="17.100000000000001" customHeight="1">
      <c r="A10" s="107"/>
    </row>
    <row r="11" spans="1:28" ht="17.100000000000001" customHeight="1">
      <c r="A11" s="107"/>
    </row>
    <row r="12" spans="1:28" ht="17.100000000000001" customHeight="1">
      <c r="A12" s="107"/>
    </row>
    <row r="13" spans="1:28" ht="17.100000000000001" customHeight="1">
      <c r="A13" s="107"/>
    </row>
    <row r="14" spans="1:28" ht="17.100000000000001" customHeight="1">
      <c r="A14" s="107"/>
    </row>
    <row r="15" spans="1:28" ht="17.100000000000001" customHeight="1">
      <c r="A15" s="107"/>
    </row>
    <row r="16" spans="1:28" ht="17.100000000000001" customHeight="1">
      <c r="A16" s="107"/>
    </row>
    <row r="17" spans="1:28" ht="17.100000000000001" customHeight="1" thickBot="1">
      <c r="A17" s="107"/>
    </row>
    <row r="18" spans="1:28" ht="17.100000000000001" customHeight="1" thickBot="1">
      <c r="A18" s="107"/>
      <c r="I18" s="174" t="s">
        <v>132</v>
      </c>
      <c r="J18" s="175">
        <f>+X86</f>
        <v>1.4606651680902731</v>
      </c>
      <c r="S18" s="170" t="s">
        <v>246</v>
      </c>
      <c r="T18" s="171"/>
      <c r="U18" s="172"/>
      <c r="V18" s="172"/>
      <c r="W18" s="172"/>
      <c r="X18" s="172"/>
      <c r="Z18" s="173" t="s">
        <v>256</v>
      </c>
      <c r="AA18" s="172"/>
      <c r="AB18" s="172"/>
    </row>
    <row r="19" spans="1:28" ht="8.85" customHeight="1">
      <c r="A19" s="107"/>
      <c r="R19"/>
    </row>
    <row r="20" spans="1:28" ht="21.6" customHeight="1" thickBot="1">
      <c r="A20" s="165" t="s">
        <v>504</v>
      </c>
      <c r="B20" s="161"/>
      <c r="C20" s="161"/>
      <c r="D20" s="161"/>
      <c r="E20" s="161"/>
      <c r="F20" s="162"/>
      <c r="G20" s="162"/>
      <c r="I20" s="165" t="s">
        <v>532</v>
      </c>
      <c r="J20" s="163"/>
      <c r="K20" s="163"/>
      <c r="L20" s="163"/>
      <c r="M20" s="162"/>
      <c r="N20" s="162"/>
      <c r="P20" s="166" t="s">
        <v>245</v>
      </c>
      <c r="Q20" s="164"/>
      <c r="R20"/>
      <c r="S20" s="167" t="s">
        <v>249</v>
      </c>
      <c r="T20" s="167" t="s">
        <v>248</v>
      </c>
      <c r="U20" s="167" t="s">
        <v>251</v>
      </c>
      <c r="V20" s="167" t="s">
        <v>250</v>
      </c>
      <c r="W20" s="168" t="s">
        <v>253</v>
      </c>
      <c r="X20" s="167" t="s">
        <v>252</v>
      </c>
      <c r="Z20" s="169" t="s">
        <v>257</v>
      </c>
      <c r="AA20" s="163"/>
      <c r="AB20" s="163"/>
    </row>
    <row r="21" spans="1:28" s="112" customFormat="1" ht="34.700000000000003" customHeight="1" thickBot="1">
      <c r="A21" s="154" t="s">
        <v>238</v>
      </c>
      <c r="B21" s="155" t="s">
        <v>239</v>
      </c>
      <c r="C21" s="155" t="s">
        <v>240</v>
      </c>
      <c r="D21" s="155" t="s">
        <v>241</v>
      </c>
      <c r="E21" s="155" t="s">
        <v>242</v>
      </c>
      <c r="F21" s="156" t="s">
        <v>243</v>
      </c>
      <c r="G21" s="176" t="s">
        <v>255</v>
      </c>
      <c r="I21" s="155" t="s">
        <v>239</v>
      </c>
      <c r="J21" s="155" t="s">
        <v>240</v>
      </c>
      <c r="K21" s="155" t="s">
        <v>241</v>
      </c>
      <c r="L21" s="155" t="s">
        <v>242</v>
      </c>
      <c r="M21" s="156" t="s">
        <v>243</v>
      </c>
      <c r="N21" s="176" t="s">
        <v>497</v>
      </c>
      <c r="P21" s="157" t="s">
        <v>238</v>
      </c>
      <c r="Q21" s="158" t="s">
        <v>125</v>
      </c>
      <c r="S21" s="159" t="s">
        <v>125</v>
      </c>
      <c r="T21" s="159" t="s">
        <v>247</v>
      </c>
      <c r="U21" s="159"/>
      <c r="V21" s="159"/>
      <c r="W21" s="159"/>
      <c r="X21" s="159"/>
      <c r="Y21"/>
      <c r="Z21" s="159" t="s">
        <v>238</v>
      </c>
      <c r="AA21" s="159" t="s">
        <v>125</v>
      </c>
      <c r="AB21" s="159" t="s">
        <v>247</v>
      </c>
    </row>
    <row r="22" spans="1:28" ht="17.45" customHeight="1">
      <c r="A22" s="182">
        <f>+'Stock Historical Yahoo'!A2</f>
        <v>43525</v>
      </c>
      <c r="B22" s="183">
        <f>+'Stock Historical Yahoo'!B2</f>
        <v>73.169998000000007</v>
      </c>
      <c r="C22" s="183">
        <f>+'Stock Historical Yahoo'!C2</f>
        <v>75.569999999999993</v>
      </c>
      <c r="D22" s="183">
        <f>+'Stock Historical Yahoo'!D2</f>
        <v>70.519997000000004</v>
      </c>
      <c r="E22" s="183">
        <f>+'Stock Historical Yahoo'!E2</f>
        <v>72.569999999999993</v>
      </c>
      <c r="F22" s="181"/>
      <c r="G22" s="106"/>
      <c r="I22" s="183">
        <f>+'S&amp;P ETF Yahoo'!B2</f>
        <v>280.44000199999999</v>
      </c>
      <c r="J22" s="183">
        <f>+'S&amp;P ETF Yahoo'!C2</f>
        <v>285.17999300000002</v>
      </c>
      <c r="K22" s="183">
        <f>+'S&amp;P ETF Yahoo'!D2</f>
        <v>272.42001299999998</v>
      </c>
      <c r="L22" s="183">
        <f>+'S&amp;P ETF Yahoo'!E2</f>
        <v>282.48001099999999</v>
      </c>
      <c r="M22" s="181"/>
      <c r="N22" s="106"/>
      <c r="P22" s="73">
        <f t="shared" ref="P22:P73" si="0">+A22</f>
        <v>43525</v>
      </c>
      <c r="Q22" s="108">
        <f t="shared" ref="Q22:Q73" si="1">+E22</f>
        <v>72.569999999999993</v>
      </c>
      <c r="R22"/>
      <c r="S22" s="110"/>
      <c r="T22" s="110"/>
      <c r="U22" s="84"/>
      <c r="V22" s="84"/>
      <c r="W22" s="118"/>
      <c r="X22" s="118"/>
      <c r="Z22" s="73"/>
      <c r="AA22" s="84"/>
      <c r="AB22" s="84"/>
    </row>
    <row r="23" spans="1:28" ht="17.45" customHeight="1">
      <c r="A23" s="182">
        <f>+'Stock Historical Yahoo'!A3</f>
        <v>43556</v>
      </c>
      <c r="B23" s="183">
        <f>+'Stock Historical Yahoo'!B3</f>
        <v>73.169998000000007</v>
      </c>
      <c r="C23" s="183">
        <f>+'Stock Historical Yahoo'!C3</f>
        <v>77.5</v>
      </c>
      <c r="D23" s="183">
        <f>+'Stock Historical Yahoo'!D3</f>
        <v>72.860000999999997</v>
      </c>
      <c r="E23" s="183">
        <f>+'Stock Historical Yahoo'!E3</f>
        <v>76.730002999999996</v>
      </c>
      <c r="F23" s="181">
        <f t="shared" ref="F23:F73" si="2">+E23/E22-1</f>
        <v>5.7324004409535778E-2</v>
      </c>
      <c r="G23" s="106">
        <f t="shared" ref="G23:G73" si="3">+F23+G22</f>
        <v>5.7324004409535778E-2</v>
      </c>
      <c r="I23" s="183">
        <f>+'S&amp;P ETF Yahoo'!B3</f>
        <v>284.70001200000002</v>
      </c>
      <c r="J23" s="183">
        <f>+'S&amp;P ETF Yahoo'!C3</f>
        <v>294.45001200000002</v>
      </c>
      <c r="K23" s="183">
        <f>+'S&amp;P ETF Yahoo'!D3</f>
        <v>284.39999399999999</v>
      </c>
      <c r="L23" s="183">
        <f>+'S&amp;P ETF Yahoo'!E3</f>
        <v>294.01998900000001</v>
      </c>
      <c r="M23" s="181">
        <f t="shared" ref="M23:M73" si="4">+L23/L22-1</f>
        <v>4.0852370258510184E-2</v>
      </c>
      <c r="N23" s="106">
        <f t="shared" ref="N23:N73" si="5">+M23+N22</f>
        <v>4.0852370258510184E-2</v>
      </c>
      <c r="P23" s="73">
        <f t="shared" si="0"/>
        <v>43556</v>
      </c>
      <c r="Q23" s="108">
        <f t="shared" si="1"/>
        <v>76.730002999999996</v>
      </c>
      <c r="R23"/>
      <c r="S23" s="110">
        <f t="shared" ref="S23:S73" si="6">+F23</f>
        <v>5.7324004409535778E-2</v>
      </c>
      <c r="T23" s="110">
        <f t="shared" ref="T23:T73" si="7">+M23</f>
        <v>4.0852370258510184E-2</v>
      </c>
      <c r="U23" s="84">
        <f t="shared" ref="U23:U54" si="8">+S23-$S$85</f>
        <v>4.0903666996283242E-2</v>
      </c>
      <c r="V23" s="84">
        <f t="shared" ref="V23:V54" si="9">+T23-$T$85</f>
        <v>2.9761048552284015E-2</v>
      </c>
      <c r="W23" s="118">
        <f t="shared" ref="W23:W73" si="10">+V23*U23</f>
        <v>1.2173360194428428E-3</v>
      </c>
      <c r="X23" s="118">
        <f t="shared" ref="X23:X73" si="11">+V23^2</f>
        <v>8.8572001093140649E-4</v>
      </c>
      <c r="Z23" s="73">
        <f t="shared" ref="Z23:Z73" si="12">+A23</f>
        <v>43556</v>
      </c>
      <c r="AA23" s="84">
        <f t="shared" ref="AA23:AA73" si="13">+G23</f>
        <v>5.7324004409535778E-2</v>
      </c>
      <c r="AB23" s="84">
        <f t="shared" ref="AB23:AB73" si="14">+N23</f>
        <v>4.0852370258510184E-2</v>
      </c>
    </row>
    <row r="24" spans="1:28" ht="17.45" customHeight="1">
      <c r="A24" s="182">
        <f>+'Stock Historical Yahoo'!A4</f>
        <v>43586</v>
      </c>
      <c r="B24" s="183">
        <f>+'Stock Historical Yahoo'!B4</f>
        <v>77.839995999999999</v>
      </c>
      <c r="C24" s="183">
        <f>+'Stock Historical Yahoo'!C4</f>
        <v>79.650002000000001</v>
      </c>
      <c r="D24" s="183">
        <f>+'Stock Historical Yahoo'!D4</f>
        <v>71.209998999999996</v>
      </c>
      <c r="E24" s="183">
        <f>+'Stock Historical Yahoo'!E4</f>
        <v>72.239998</v>
      </c>
      <c r="F24" s="181">
        <f t="shared" si="2"/>
        <v>-5.8516940237836268E-2</v>
      </c>
      <c r="G24" s="106">
        <f t="shared" si="3"/>
        <v>-1.1929358283004898E-3</v>
      </c>
      <c r="I24" s="183">
        <f>+'S&amp;P ETF Yahoo'!B4</f>
        <v>294.72000100000002</v>
      </c>
      <c r="J24" s="183">
        <f>+'S&amp;P ETF Yahoo'!C4</f>
        <v>294.95001200000002</v>
      </c>
      <c r="K24" s="183">
        <f>+'S&amp;P ETF Yahoo'!D4</f>
        <v>275.23998999999998</v>
      </c>
      <c r="L24" s="183">
        <f>+'S&amp;P ETF Yahoo'!E4</f>
        <v>275.26998900000001</v>
      </c>
      <c r="M24" s="181">
        <f t="shared" si="4"/>
        <v>-6.3771174414947729E-2</v>
      </c>
      <c r="N24" s="106">
        <f t="shared" si="5"/>
        <v>-2.2918804156437544E-2</v>
      </c>
      <c r="P24" s="73">
        <f t="shared" si="0"/>
        <v>43586</v>
      </c>
      <c r="Q24" s="108">
        <f t="shared" si="1"/>
        <v>72.239998</v>
      </c>
      <c r="R24"/>
      <c r="S24" s="110">
        <f t="shared" si="6"/>
        <v>-5.8516940237836268E-2</v>
      </c>
      <c r="T24" s="110">
        <f t="shared" si="7"/>
        <v>-6.3771174414947729E-2</v>
      </c>
      <c r="U24" s="84">
        <f t="shared" si="8"/>
        <v>-7.4937277651088804E-2</v>
      </c>
      <c r="V24" s="84">
        <f t="shared" si="9"/>
        <v>-7.4862496121173905E-2</v>
      </c>
      <c r="W24" s="118">
        <f t="shared" si="10"/>
        <v>5.6099916574859675E-3</v>
      </c>
      <c r="X24" s="118">
        <f t="shared" si="11"/>
        <v>5.6043933254927777E-3</v>
      </c>
      <c r="Z24" s="73">
        <f t="shared" si="12"/>
        <v>43586</v>
      </c>
      <c r="AA24" s="84">
        <f t="shared" si="13"/>
        <v>-1.1929358283004898E-3</v>
      </c>
      <c r="AB24" s="84">
        <f t="shared" si="14"/>
        <v>-2.2918804156437544E-2</v>
      </c>
    </row>
    <row r="25" spans="1:28" ht="17.45" customHeight="1">
      <c r="A25" s="182">
        <f>+'Stock Historical Yahoo'!A5</f>
        <v>43617</v>
      </c>
      <c r="B25" s="183">
        <f>+'Stock Historical Yahoo'!B5</f>
        <v>72.25</v>
      </c>
      <c r="C25" s="183">
        <f>+'Stock Historical Yahoo'!C5</f>
        <v>76.680000000000007</v>
      </c>
      <c r="D25" s="183">
        <f>+'Stock Historical Yahoo'!D5</f>
        <v>71.010002</v>
      </c>
      <c r="E25" s="183">
        <f>+'Stock Historical Yahoo'!E5</f>
        <v>76.129997000000003</v>
      </c>
      <c r="F25" s="181">
        <f t="shared" si="2"/>
        <v>5.3848271147515891E-2</v>
      </c>
      <c r="G25" s="106">
        <f t="shared" si="3"/>
        <v>5.2655335319215402E-2</v>
      </c>
      <c r="I25" s="183">
        <f>+'S&amp;P ETF Yahoo'!B5</f>
        <v>275.30999800000001</v>
      </c>
      <c r="J25" s="183">
        <f>+'S&amp;P ETF Yahoo'!C5</f>
        <v>296.30999800000001</v>
      </c>
      <c r="K25" s="183">
        <f>+'S&amp;P ETF Yahoo'!D5</f>
        <v>273.08999599999999</v>
      </c>
      <c r="L25" s="183">
        <f>+'S&amp;P ETF Yahoo'!E5</f>
        <v>293</v>
      </c>
      <c r="M25" s="181">
        <f t="shared" si="4"/>
        <v>6.440953140009742E-2</v>
      </c>
      <c r="N25" s="106">
        <f t="shared" si="5"/>
        <v>4.1490727243659875E-2</v>
      </c>
      <c r="P25" s="73">
        <f t="shared" si="0"/>
        <v>43617</v>
      </c>
      <c r="Q25" s="113">
        <f t="shared" si="1"/>
        <v>76.129997000000003</v>
      </c>
      <c r="R25"/>
      <c r="S25" s="110">
        <f t="shared" si="6"/>
        <v>5.3848271147515891E-2</v>
      </c>
      <c r="T25" s="110">
        <f t="shared" si="7"/>
        <v>6.440953140009742E-2</v>
      </c>
      <c r="U25" s="84">
        <f t="shared" si="8"/>
        <v>3.7427933734263355E-2</v>
      </c>
      <c r="V25" s="84">
        <f t="shared" si="9"/>
        <v>5.331820969387125E-2</v>
      </c>
      <c r="W25" s="118">
        <f t="shared" si="10"/>
        <v>1.9955904192517711E-3</v>
      </c>
      <c r="X25" s="118">
        <f t="shared" si="11"/>
        <v>2.8428314849596264E-3</v>
      </c>
      <c r="Z25" s="73">
        <f t="shared" si="12"/>
        <v>43617</v>
      </c>
      <c r="AA25" s="84">
        <f t="shared" si="13"/>
        <v>5.2655335319215402E-2</v>
      </c>
      <c r="AB25" s="84">
        <f t="shared" si="14"/>
        <v>4.1490727243659875E-2</v>
      </c>
    </row>
    <row r="26" spans="1:28" ht="17.45" customHeight="1">
      <c r="A26" s="182">
        <f>+'Stock Historical Yahoo'!A6</f>
        <v>43647</v>
      </c>
      <c r="B26" s="183">
        <f>+'Stock Historical Yahoo'!B6</f>
        <v>77.559997999999993</v>
      </c>
      <c r="C26" s="183">
        <f>+'Stock Historical Yahoo'!C6</f>
        <v>81.569999999999993</v>
      </c>
      <c r="D26" s="183">
        <f>+'Stock Historical Yahoo'!D6</f>
        <v>75.779999000000004</v>
      </c>
      <c r="E26" s="183">
        <f>+'Stock Historical Yahoo'!E6</f>
        <v>77.349997999999999</v>
      </c>
      <c r="F26" s="181">
        <f t="shared" si="2"/>
        <v>1.6025233785310622E-2</v>
      </c>
      <c r="G26" s="106">
        <f t="shared" si="3"/>
        <v>6.8680569104526024E-2</v>
      </c>
      <c r="I26" s="183">
        <f>+'S&amp;P ETF Yahoo'!B6</f>
        <v>296.67999300000002</v>
      </c>
      <c r="J26" s="183">
        <f>+'S&amp;P ETF Yahoo'!C6</f>
        <v>302.23001099999999</v>
      </c>
      <c r="K26" s="183">
        <f>+'S&amp;P ETF Yahoo'!D6</f>
        <v>294.32998700000002</v>
      </c>
      <c r="L26" s="183">
        <f>+'S&amp;P ETF Yahoo'!E6</f>
        <v>297.42999300000002</v>
      </c>
      <c r="M26" s="181">
        <f t="shared" si="4"/>
        <v>1.5119430034129744E-2</v>
      </c>
      <c r="N26" s="106">
        <f t="shared" si="5"/>
        <v>5.6610157277789619E-2</v>
      </c>
      <c r="P26" s="73">
        <f t="shared" si="0"/>
        <v>43647</v>
      </c>
      <c r="Q26" s="108">
        <f t="shared" si="1"/>
        <v>77.349997999999999</v>
      </c>
      <c r="R26"/>
      <c r="S26" s="110">
        <f t="shared" si="6"/>
        <v>1.6025233785310622E-2</v>
      </c>
      <c r="T26" s="110">
        <f t="shared" si="7"/>
        <v>1.5119430034129744E-2</v>
      </c>
      <c r="U26" s="84">
        <f t="shared" si="8"/>
        <v>-3.9510362794191456E-4</v>
      </c>
      <c r="V26" s="84">
        <f t="shared" si="9"/>
        <v>4.0281083279035731E-3</v>
      </c>
      <c r="W26" s="118">
        <f t="shared" si="10"/>
        <v>-1.5915202140977408E-6</v>
      </c>
      <c r="X26" s="118">
        <f t="shared" si="11"/>
        <v>1.6225656701326119E-5</v>
      </c>
      <c r="Z26" s="73">
        <f t="shared" si="12"/>
        <v>43647</v>
      </c>
      <c r="AA26" s="84">
        <f t="shared" si="13"/>
        <v>6.8680569104526024E-2</v>
      </c>
      <c r="AB26" s="84">
        <f t="shared" si="14"/>
        <v>5.6610157277789619E-2</v>
      </c>
    </row>
    <row r="27" spans="1:28" ht="17.45" customHeight="1">
      <c r="A27" s="182">
        <f>+'Stock Historical Yahoo'!A7</f>
        <v>43678</v>
      </c>
      <c r="B27" s="183">
        <f>+'Stock Historical Yahoo'!B7</f>
        <v>78</v>
      </c>
      <c r="C27" s="183">
        <f>+'Stock Historical Yahoo'!C7</f>
        <v>78.190002000000007</v>
      </c>
      <c r="D27" s="183">
        <f>+'Stock Historical Yahoo'!D7</f>
        <v>70.800003000000004</v>
      </c>
      <c r="E27" s="183">
        <f>+'Stock Historical Yahoo'!E7</f>
        <v>72.150002000000001</v>
      </c>
      <c r="F27" s="181">
        <f t="shared" si="2"/>
        <v>-6.722684078156016E-2</v>
      </c>
      <c r="G27" s="106">
        <f t="shared" si="3"/>
        <v>1.4537283229658637E-3</v>
      </c>
      <c r="I27" s="183">
        <f>+'S&amp;P ETF Yahoo'!B7</f>
        <v>297.60000600000001</v>
      </c>
      <c r="J27" s="183">
        <f>+'S&amp;P ETF Yahoo'!C7</f>
        <v>300.86999500000002</v>
      </c>
      <c r="K27" s="183">
        <f>+'S&amp;P ETF Yahoo'!D7</f>
        <v>281.72000100000002</v>
      </c>
      <c r="L27" s="183">
        <f>+'S&amp;P ETF Yahoo'!E7</f>
        <v>292.45001200000002</v>
      </c>
      <c r="M27" s="181">
        <f t="shared" si="4"/>
        <v>-1.674337194366271E-2</v>
      </c>
      <c r="N27" s="106">
        <f t="shared" si="5"/>
        <v>3.9866785334126909E-2</v>
      </c>
      <c r="P27" s="73">
        <f t="shared" si="0"/>
        <v>43678</v>
      </c>
      <c r="Q27" s="108">
        <f t="shared" si="1"/>
        <v>72.150002000000001</v>
      </c>
      <c r="R27"/>
      <c r="S27" s="110">
        <f t="shared" si="6"/>
        <v>-6.722684078156016E-2</v>
      </c>
      <c r="T27" s="110">
        <f t="shared" si="7"/>
        <v>-1.674337194366271E-2</v>
      </c>
      <c r="U27" s="84">
        <f t="shared" si="8"/>
        <v>-8.3647178194812696E-2</v>
      </c>
      <c r="V27" s="84">
        <f t="shared" si="9"/>
        <v>-2.7834693649888879E-2</v>
      </c>
      <c r="W27" s="118">
        <f t="shared" si="10"/>
        <v>2.3282935797302763E-3</v>
      </c>
      <c r="X27" s="118">
        <f t="shared" si="11"/>
        <v>7.7477017058316428E-4</v>
      </c>
      <c r="Z27" s="73">
        <f t="shared" si="12"/>
        <v>43678</v>
      </c>
      <c r="AA27" s="84">
        <f t="shared" si="13"/>
        <v>1.4537283229658637E-3</v>
      </c>
      <c r="AB27" s="84">
        <f t="shared" si="14"/>
        <v>3.9866785334126909E-2</v>
      </c>
    </row>
    <row r="28" spans="1:28" ht="17.45" customHeight="1">
      <c r="A28" s="182">
        <f>+'Stock Historical Yahoo'!A8</f>
        <v>43709</v>
      </c>
      <c r="B28" s="183">
        <f>+'Stock Historical Yahoo'!B8</f>
        <v>71.669998000000007</v>
      </c>
      <c r="C28" s="183">
        <f>+'Stock Historical Yahoo'!C8</f>
        <v>77.860000999999997</v>
      </c>
      <c r="D28" s="183">
        <f>+'Stock Historical Yahoo'!D8</f>
        <v>70.870002999999997</v>
      </c>
      <c r="E28" s="183">
        <f>+'Stock Historical Yahoo'!E8</f>
        <v>73.669998000000007</v>
      </c>
      <c r="F28" s="181">
        <f t="shared" si="2"/>
        <v>2.1067165043183289E-2</v>
      </c>
      <c r="G28" s="106">
        <f t="shared" si="3"/>
        <v>2.2520893366149153E-2</v>
      </c>
      <c r="I28" s="183">
        <f>+'S&amp;P ETF Yahoo'!B8</f>
        <v>290.57000699999998</v>
      </c>
      <c r="J28" s="183">
        <f>+'S&amp;P ETF Yahoo'!C8</f>
        <v>302.63000499999998</v>
      </c>
      <c r="K28" s="183">
        <f>+'S&amp;P ETF Yahoo'!D8</f>
        <v>289.26998900000001</v>
      </c>
      <c r="L28" s="183">
        <f>+'S&amp;P ETF Yahoo'!E8</f>
        <v>296.76998900000001</v>
      </c>
      <c r="M28" s="181">
        <f t="shared" si="4"/>
        <v>1.4771676603658301E-2</v>
      </c>
      <c r="N28" s="106">
        <f t="shared" si="5"/>
        <v>5.463846193778521E-2</v>
      </c>
      <c r="P28" s="73">
        <f t="shared" si="0"/>
        <v>43709</v>
      </c>
      <c r="Q28" s="108">
        <f t="shared" si="1"/>
        <v>73.669998000000007</v>
      </c>
      <c r="R28"/>
      <c r="S28" s="110">
        <f t="shared" si="6"/>
        <v>2.1067165043183289E-2</v>
      </c>
      <c r="T28" s="110">
        <f t="shared" si="7"/>
        <v>1.4771676603658301E-2</v>
      </c>
      <c r="U28" s="84">
        <f t="shared" si="8"/>
        <v>4.6468276299307526E-3</v>
      </c>
      <c r="V28" s="84">
        <f t="shared" si="9"/>
        <v>3.6803548974321306E-3</v>
      </c>
      <c r="W28" s="118">
        <f t="shared" si="10"/>
        <v>1.7101974825338586E-5</v>
      </c>
      <c r="X28" s="118">
        <f t="shared" si="11"/>
        <v>1.3545012171052669E-5</v>
      </c>
      <c r="Z28" s="73">
        <f t="shared" si="12"/>
        <v>43709</v>
      </c>
      <c r="AA28" s="84">
        <f t="shared" si="13"/>
        <v>2.2520893366149153E-2</v>
      </c>
      <c r="AB28" s="84">
        <f t="shared" si="14"/>
        <v>5.463846193778521E-2</v>
      </c>
    </row>
    <row r="29" spans="1:28" ht="17.45" customHeight="1">
      <c r="A29" s="182">
        <f>+'Stock Historical Yahoo'!A9</f>
        <v>43739</v>
      </c>
      <c r="B29" s="183">
        <f>+'Stock Historical Yahoo'!B9</f>
        <v>73.720000999999996</v>
      </c>
      <c r="C29" s="183">
        <f>+'Stock Historical Yahoo'!C9</f>
        <v>75.639999000000003</v>
      </c>
      <c r="D29" s="183">
        <f>+'Stock Historical Yahoo'!D9</f>
        <v>69.029999000000004</v>
      </c>
      <c r="E29" s="183">
        <f>+'Stock Historical Yahoo'!E9</f>
        <v>74.739998</v>
      </c>
      <c r="F29" s="181">
        <f t="shared" si="2"/>
        <v>1.4524230067170629E-2</v>
      </c>
      <c r="G29" s="106">
        <f t="shared" si="3"/>
        <v>3.7045123433319782E-2</v>
      </c>
      <c r="I29" s="183">
        <f>+'S&amp;P ETF Yahoo'!B9</f>
        <v>297.73998999999998</v>
      </c>
      <c r="J29" s="183">
        <f>+'S&amp;P ETF Yahoo'!C9</f>
        <v>304.54998799999998</v>
      </c>
      <c r="K29" s="183">
        <f>+'S&amp;P ETF Yahoo'!D9</f>
        <v>284.82000699999998</v>
      </c>
      <c r="L29" s="183">
        <f>+'S&amp;P ETF Yahoo'!E9</f>
        <v>303.32998700000002</v>
      </c>
      <c r="M29" s="181">
        <f t="shared" si="4"/>
        <v>2.2104654254645695E-2</v>
      </c>
      <c r="N29" s="106">
        <f t="shared" si="5"/>
        <v>7.6743116192430905E-2</v>
      </c>
      <c r="P29" s="73">
        <f t="shared" si="0"/>
        <v>43739</v>
      </c>
      <c r="Q29" s="108">
        <f t="shared" si="1"/>
        <v>74.739998</v>
      </c>
      <c r="R29"/>
      <c r="S29" s="110">
        <f t="shared" si="6"/>
        <v>1.4524230067170629E-2</v>
      </c>
      <c r="T29" s="110">
        <f t="shared" si="7"/>
        <v>2.2104654254645695E-2</v>
      </c>
      <c r="U29" s="84">
        <f t="shared" si="8"/>
        <v>-1.8961073460819072E-3</v>
      </c>
      <c r="V29" s="84">
        <f t="shared" si="9"/>
        <v>1.1013332548419524E-2</v>
      </c>
      <c r="W29" s="118">
        <f t="shared" si="10"/>
        <v>-2.0882460749901232E-5</v>
      </c>
      <c r="X29" s="118">
        <f t="shared" si="11"/>
        <v>1.2129349382207689E-4</v>
      </c>
      <c r="Z29" s="73">
        <f t="shared" si="12"/>
        <v>43739</v>
      </c>
      <c r="AA29" s="84">
        <f t="shared" si="13"/>
        <v>3.7045123433319782E-2</v>
      </c>
      <c r="AB29" s="84">
        <f t="shared" si="14"/>
        <v>7.6743116192430905E-2</v>
      </c>
    </row>
    <row r="30" spans="1:28" ht="17.45" customHeight="1">
      <c r="A30" s="182">
        <f>+'Stock Historical Yahoo'!A10</f>
        <v>43770</v>
      </c>
      <c r="B30" s="183">
        <f>+'Stock Historical Yahoo'!B10</f>
        <v>75.150002000000001</v>
      </c>
      <c r="C30" s="183">
        <f>+'Stock Historical Yahoo'!C10</f>
        <v>81.550003000000004</v>
      </c>
      <c r="D30" s="183">
        <f>+'Stock Historical Yahoo'!D10</f>
        <v>74.470000999999996</v>
      </c>
      <c r="E30" s="183">
        <f>+'Stock Historical Yahoo'!E10</f>
        <v>80.800003000000004</v>
      </c>
      <c r="F30" s="181">
        <f t="shared" si="2"/>
        <v>8.1081150149348469E-2</v>
      </c>
      <c r="G30" s="106">
        <f t="shared" si="3"/>
        <v>0.11812627358266825</v>
      </c>
      <c r="I30" s="183">
        <f>+'S&amp;P ETF Yahoo'!B10</f>
        <v>304.92001299999998</v>
      </c>
      <c r="J30" s="183">
        <f>+'S&amp;P ETF Yahoo'!C10</f>
        <v>315.48001099999999</v>
      </c>
      <c r="K30" s="183">
        <f>+'S&amp;P ETF Yahoo'!D10</f>
        <v>304.73998999999998</v>
      </c>
      <c r="L30" s="183">
        <f>+'S&amp;P ETF Yahoo'!E10</f>
        <v>314.30999800000001</v>
      </c>
      <c r="M30" s="181">
        <f t="shared" si="4"/>
        <v>3.6198237795724397E-2</v>
      </c>
      <c r="N30" s="106">
        <f t="shared" si="5"/>
        <v>0.1129413539881553</v>
      </c>
      <c r="P30" s="73">
        <f t="shared" si="0"/>
        <v>43770</v>
      </c>
      <c r="Q30" s="108">
        <f t="shared" si="1"/>
        <v>80.800003000000004</v>
      </c>
      <c r="R30"/>
      <c r="S30" s="110">
        <f t="shared" si="6"/>
        <v>8.1081150149348469E-2</v>
      </c>
      <c r="T30" s="110">
        <f t="shared" si="7"/>
        <v>3.6198237795724397E-2</v>
      </c>
      <c r="U30" s="84">
        <f t="shared" si="8"/>
        <v>6.4660812736095932E-2</v>
      </c>
      <c r="V30" s="84">
        <f t="shared" si="9"/>
        <v>2.5106916089498228E-2</v>
      </c>
      <c r="W30" s="118">
        <f t="shared" si="10"/>
        <v>1.623433599643919E-3</v>
      </c>
      <c r="X30" s="118">
        <f t="shared" si="11"/>
        <v>6.3035723552510496E-4</v>
      </c>
      <c r="Z30" s="73">
        <f t="shared" si="12"/>
        <v>43770</v>
      </c>
      <c r="AA30" s="84">
        <f t="shared" si="13"/>
        <v>0.11812627358266825</v>
      </c>
      <c r="AB30" s="84">
        <f t="shared" si="14"/>
        <v>0.1129413539881553</v>
      </c>
    </row>
    <row r="31" spans="1:28" ht="17.45" customHeight="1">
      <c r="A31" s="182">
        <f>+'Stock Historical Yahoo'!A11</f>
        <v>43800</v>
      </c>
      <c r="B31" s="183">
        <f>+'Stock Historical Yahoo'!B11</f>
        <v>80.980002999999996</v>
      </c>
      <c r="C31" s="183">
        <f>+'Stock Historical Yahoo'!C11</f>
        <v>91.129997000000003</v>
      </c>
      <c r="D31" s="183">
        <f>+'Stock Historical Yahoo'!D11</f>
        <v>79.080001999999993</v>
      </c>
      <c r="E31" s="183">
        <f>+'Stock Historical Yahoo'!E11</f>
        <v>89.709998999999996</v>
      </c>
      <c r="F31" s="181">
        <f t="shared" si="2"/>
        <v>0.11027222362850653</v>
      </c>
      <c r="G31" s="106">
        <f t="shared" si="3"/>
        <v>0.22839849721117478</v>
      </c>
      <c r="I31" s="183">
        <f>+'S&amp;P ETF Yahoo'!B11</f>
        <v>314.58999599999999</v>
      </c>
      <c r="J31" s="183">
        <f>+'S&amp;P ETF Yahoo'!C11</f>
        <v>323.79998799999998</v>
      </c>
      <c r="K31" s="183">
        <f>+'S&amp;P ETF Yahoo'!D11</f>
        <v>307.13000499999998</v>
      </c>
      <c r="L31" s="183">
        <f>+'S&amp;P ETF Yahoo'!E11</f>
        <v>321.85998499999999</v>
      </c>
      <c r="M31" s="181">
        <f t="shared" si="4"/>
        <v>2.4020829906912455E-2</v>
      </c>
      <c r="N31" s="106">
        <f t="shared" si="5"/>
        <v>0.13696218389506776</v>
      </c>
      <c r="P31" s="73">
        <f t="shared" si="0"/>
        <v>43800</v>
      </c>
      <c r="Q31" s="108">
        <f t="shared" si="1"/>
        <v>89.709998999999996</v>
      </c>
      <c r="R31"/>
      <c r="S31" s="110">
        <f t="shared" si="6"/>
        <v>0.11027222362850653</v>
      </c>
      <c r="T31" s="110">
        <f t="shared" si="7"/>
        <v>2.4020829906912455E-2</v>
      </c>
      <c r="U31" s="84">
        <f t="shared" si="8"/>
        <v>9.3851886215253991E-2</v>
      </c>
      <c r="V31" s="84">
        <f t="shared" si="9"/>
        <v>1.2929508200686285E-2</v>
      </c>
      <c r="W31" s="118">
        <f t="shared" si="10"/>
        <v>1.2134587324700026E-3</v>
      </c>
      <c r="X31" s="118">
        <f t="shared" si="11"/>
        <v>1.6717218231161388E-4</v>
      </c>
      <c r="Z31" s="73">
        <f t="shared" si="12"/>
        <v>43800</v>
      </c>
      <c r="AA31" s="84">
        <f t="shared" si="13"/>
        <v>0.22839849721117478</v>
      </c>
      <c r="AB31" s="84">
        <f t="shared" si="14"/>
        <v>0.13696218389506776</v>
      </c>
    </row>
    <row r="32" spans="1:28" ht="17.45" customHeight="1">
      <c r="A32" s="182">
        <f>+'Stock Historical Yahoo'!A12</f>
        <v>43831</v>
      </c>
      <c r="B32" s="183">
        <f>+'Stock Historical Yahoo'!B12</f>
        <v>90.089995999999999</v>
      </c>
      <c r="C32" s="183">
        <f>+'Stock Historical Yahoo'!C12</f>
        <v>90.57</v>
      </c>
      <c r="D32" s="183">
        <f>+'Stock Historical Yahoo'!D12</f>
        <v>81.160004000000001</v>
      </c>
      <c r="E32" s="183">
        <f>+'Stock Historical Yahoo'!E12</f>
        <v>84.540001000000004</v>
      </c>
      <c r="F32" s="181">
        <f t="shared" si="2"/>
        <v>-5.7630119915618283E-2</v>
      </c>
      <c r="G32" s="106">
        <f t="shared" si="3"/>
        <v>0.17076837729555649</v>
      </c>
      <c r="I32" s="183">
        <f>+'S&amp;P ETF Yahoo'!B12</f>
        <v>323.540009</v>
      </c>
      <c r="J32" s="183">
        <f>+'S&amp;P ETF Yahoo'!C12</f>
        <v>332.95001200000002</v>
      </c>
      <c r="K32" s="183">
        <f>+'S&amp;P ETF Yahoo'!D12</f>
        <v>320.35998499999999</v>
      </c>
      <c r="L32" s="183">
        <f>+'S&amp;P ETF Yahoo'!E12</f>
        <v>321.73001099999999</v>
      </c>
      <c r="M32" s="181">
        <f t="shared" si="4"/>
        <v>-4.0382155613416515E-4</v>
      </c>
      <c r="N32" s="106">
        <f t="shared" si="5"/>
        <v>0.13655836233893359</v>
      </c>
      <c r="P32" s="73">
        <f t="shared" si="0"/>
        <v>43831</v>
      </c>
      <c r="Q32" s="108">
        <f t="shared" si="1"/>
        <v>84.540001000000004</v>
      </c>
      <c r="R32"/>
      <c r="S32" s="110">
        <f t="shared" si="6"/>
        <v>-5.7630119915618283E-2</v>
      </c>
      <c r="T32" s="110">
        <f t="shared" si="7"/>
        <v>-4.0382155613416515E-4</v>
      </c>
      <c r="U32" s="84">
        <f t="shared" si="8"/>
        <v>-7.405045732887082E-2</v>
      </c>
      <c r="V32" s="84">
        <f t="shared" si="9"/>
        <v>-1.1495143262360336E-2</v>
      </c>
      <c r="W32" s="118">
        <f t="shared" si="10"/>
        <v>8.5122061563867098E-4</v>
      </c>
      <c r="X32" s="118">
        <f t="shared" si="11"/>
        <v>1.3213831862218822E-4</v>
      </c>
      <c r="Z32" s="73">
        <f t="shared" si="12"/>
        <v>43831</v>
      </c>
      <c r="AA32" s="84">
        <f t="shared" si="13"/>
        <v>0.17076837729555649</v>
      </c>
      <c r="AB32" s="84">
        <f t="shared" si="14"/>
        <v>0.13655836233893359</v>
      </c>
    </row>
    <row r="33" spans="1:28" ht="17.45" customHeight="1">
      <c r="A33" s="182">
        <f>+'Stock Historical Yahoo'!A13</f>
        <v>43862</v>
      </c>
      <c r="B33" s="183">
        <f>+'Stock Historical Yahoo'!B13</f>
        <v>85.129997000000003</v>
      </c>
      <c r="C33" s="183">
        <f>+'Stock Historical Yahoo'!C13</f>
        <v>94.980002999999996</v>
      </c>
      <c r="D33" s="183">
        <f>+'Stock Historical Yahoo'!D13</f>
        <v>74.5</v>
      </c>
      <c r="E33" s="183">
        <f>+'Stock Historical Yahoo'!E13</f>
        <v>76.599997999999999</v>
      </c>
      <c r="F33" s="181">
        <f t="shared" si="2"/>
        <v>-9.3920072227110629E-2</v>
      </c>
      <c r="G33" s="106">
        <f t="shared" si="3"/>
        <v>7.6848305068445866E-2</v>
      </c>
      <c r="I33" s="183">
        <f>+'S&amp;P ETF Yahoo'!B13</f>
        <v>323.35000600000001</v>
      </c>
      <c r="J33" s="183">
        <f>+'S&amp;P ETF Yahoo'!C13</f>
        <v>339.07998700000002</v>
      </c>
      <c r="K33" s="183">
        <f>+'S&amp;P ETF Yahoo'!D13</f>
        <v>285.540009</v>
      </c>
      <c r="L33" s="183">
        <f>+'S&amp;P ETF Yahoo'!E13</f>
        <v>296.26001000000002</v>
      </c>
      <c r="M33" s="181">
        <f t="shared" si="4"/>
        <v>-7.9165760510914729E-2</v>
      </c>
      <c r="N33" s="106">
        <f t="shared" si="5"/>
        <v>5.7392601828018863E-2</v>
      </c>
      <c r="P33" s="73">
        <f t="shared" si="0"/>
        <v>43862</v>
      </c>
      <c r="Q33" s="108">
        <f t="shared" si="1"/>
        <v>76.599997999999999</v>
      </c>
      <c r="R33"/>
      <c r="S33" s="110">
        <f t="shared" si="6"/>
        <v>-9.3920072227110629E-2</v>
      </c>
      <c r="T33" s="110">
        <f t="shared" si="7"/>
        <v>-7.9165760510914729E-2</v>
      </c>
      <c r="U33" s="84">
        <f t="shared" si="8"/>
        <v>-0.11034040964036317</v>
      </c>
      <c r="V33" s="84">
        <f t="shared" si="9"/>
        <v>-9.0257082217140905E-2</v>
      </c>
      <c r="W33" s="118">
        <f t="shared" si="10"/>
        <v>9.9590034247832651E-3</v>
      </c>
      <c r="X33" s="118">
        <f t="shared" si="11"/>
        <v>8.1463408903517335E-3</v>
      </c>
      <c r="Z33" s="73">
        <f t="shared" si="12"/>
        <v>43862</v>
      </c>
      <c r="AA33" s="84">
        <f t="shared" si="13"/>
        <v>7.6848305068445866E-2</v>
      </c>
      <c r="AB33" s="84">
        <f t="shared" si="14"/>
        <v>5.7392601828018863E-2</v>
      </c>
    </row>
    <row r="34" spans="1:28" ht="17.45" customHeight="1">
      <c r="A34" s="182">
        <f>+'Stock Historical Yahoo'!A14</f>
        <v>43891</v>
      </c>
      <c r="B34" s="183">
        <f>+'Stock Historical Yahoo'!B14</f>
        <v>77.120002999999997</v>
      </c>
      <c r="C34" s="183">
        <f>+'Stock Historical Yahoo'!C14</f>
        <v>77.660004000000001</v>
      </c>
      <c r="D34" s="183">
        <f>+'Stock Historical Yahoo'!D14</f>
        <v>24.02</v>
      </c>
      <c r="E34" s="183">
        <f>+'Stock Historical Yahoo'!E14</f>
        <v>47.900002000000001</v>
      </c>
      <c r="F34" s="181">
        <f t="shared" si="2"/>
        <v>-0.37467358680609886</v>
      </c>
      <c r="G34" s="106">
        <f t="shared" si="3"/>
        <v>-0.29782528173765299</v>
      </c>
      <c r="I34" s="183">
        <f>+'S&amp;P ETF Yahoo'!B14</f>
        <v>298.209991</v>
      </c>
      <c r="J34" s="183">
        <f>+'S&amp;P ETF Yahoo'!C14</f>
        <v>313.83999599999999</v>
      </c>
      <c r="K34" s="183">
        <f>+'S&amp;P ETF Yahoo'!D14</f>
        <v>218.259995</v>
      </c>
      <c r="L34" s="183">
        <f>+'S&amp;P ETF Yahoo'!E14</f>
        <v>257.75</v>
      </c>
      <c r="M34" s="181">
        <f t="shared" si="4"/>
        <v>-0.12998720279527443</v>
      </c>
      <c r="N34" s="106">
        <f t="shared" si="5"/>
        <v>-7.2594600967255563E-2</v>
      </c>
      <c r="P34" s="73">
        <f t="shared" si="0"/>
        <v>43891</v>
      </c>
      <c r="Q34" s="108">
        <f t="shared" si="1"/>
        <v>47.900002000000001</v>
      </c>
      <c r="R34"/>
      <c r="S34" s="110">
        <f t="shared" si="6"/>
        <v>-0.37467358680609886</v>
      </c>
      <c r="T34" s="110">
        <f t="shared" si="7"/>
        <v>-0.12998720279527443</v>
      </c>
      <c r="U34" s="84">
        <f t="shared" si="8"/>
        <v>-0.39109392421935141</v>
      </c>
      <c r="V34" s="84">
        <f t="shared" si="9"/>
        <v>-0.1410785245015006</v>
      </c>
      <c r="W34" s="118">
        <f t="shared" si="10"/>
        <v>5.5174953770367789E-2</v>
      </c>
      <c r="X34" s="118">
        <f t="shared" si="11"/>
        <v>1.9903150075520504E-2</v>
      </c>
      <c r="Z34" s="73">
        <f t="shared" si="12"/>
        <v>43891</v>
      </c>
      <c r="AA34" s="84">
        <f t="shared" si="13"/>
        <v>-0.29782528173765299</v>
      </c>
      <c r="AB34" s="84">
        <f t="shared" si="14"/>
        <v>-7.2594600967255563E-2</v>
      </c>
    </row>
    <row r="35" spans="1:28" ht="17.45" customHeight="1">
      <c r="A35" s="182">
        <f>+'Stock Historical Yahoo'!A15</f>
        <v>43922</v>
      </c>
      <c r="B35" s="183">
        <f>+'Stock Historical Yahoo'!B15</f>
        <v>45</v>
      </c>
      <c r="C35" s="183">
        <f>+'Stock Historical Yahoo'!C15</f>
        <v>60.029998999999997</v>
      </c>
      <c r="D35" s="183">
        <f>+'Stock Historical Yahoo'!D15</f>
        <v>36.119999</v>
      </c>
      <c r="E35" s="183">
        <f>+'Stock Historical Yahoo'!E15</f>
        <v>56.259998000000003</v>
      </c>
      <c r="F35" s="181">
        <f t="shared" si="2"/>
        <v>0.17453018060416792</v>
      </c>
      <c r="G35" s="106">
        <f t="shared" si="3"/>
        <v>-0.12329510113348507</v>
      </c>
      <c r="I35" s="183">
        <f>+'S&amp;P ETF Yahoo'!B15</f>
        <v>247.979996</v>
      </c>
      <c r="J35" s="183">
        <f>+'S&amp;P ETF Yahoo'!C15</f>
        <v>294.88000499999998</v>
      </c>
      <c r="K35" s="183">
        <f>+'S&amp;P ETF Yahoo'!D15</f>
        <v>243.89999399999999</v>
      </c>
      <c r="L35" s="183">
        <f>+'S&amp;P ETF Yahoo'!E15</f>
        <v>290.48001099999999</v>
      </c>
      <c r="M35" s="181">
        <f t="shared" si="4"/>
        <v>0.12698355383123183</v>
      </c>
      <c r="N35" s="106">
        <f t="shared" si="5"/>
        <v>5.438895286397627E-2</v>
      </c>
      <c r="P35" s="73">
        <f t="shared" si="0"/>
        <v>43922</v>
      </c>
      <c r="Q35" s="108">
        <f t="shared" si="1"/>
        <v>56.259998000000003</v>
      </c>
      <c r="R35"/>
      <c r="S35" s="110">
        <f t="shared" si="6"/>
        <v>0.17453018060416792</v>
      </c>
      <c r="T35" s="110">
        <f t="shared" si="7"/>
        <v>0.12698355383123183</v>
      </c>
      <c r="U35" s="84">
        <f t="shared" si="8"/>
        <v>0.15810984319091537</v>
      </c>
      <c r="V35" s="84">
        <f t="shared" si="9"/>
        <v>0.11589223212500566</v>
      </c>
      <c r="W35" s="118">
        <f t="shared" si="10"/>
        <v>1.8323702648329807E-2</v>
      </c>
      <c r="X35" s="118">
        <f t="shared" si="11"/>
        <v>1.3431009466916194E-2</v>
      </c>
      <c r="Z35" s="73">
        <f t="shared" si="12"/>
        <v>43922</v>
      </c>
      <c r="AA35" s="84">
        <f t="shared" si="13"/>
        <v>-0.12329510113348507</v>
      </c>
      <c r="AB35" s="84">
        <f t="shared" si="14"/>
        <v>5.438895286397627E-2</v>
      </c>
    </row>
    <row r="36" spans="1:28" ht="17.45" customHeight="1">
      <c r="A36" s="182">
        <f>+'Stock Historical Yahoo'!A16</f>
        <v>43952</v>
      </c>
      <c r="B36" s="183">
        <f>+'Stock Historical Yahoo'!B16</f>
        <v>54.060001</v>
      </c>
      <c r="C36" s="183">
        <f>+'Stock Historical Yahoo'!C16</f>
        <v>59.110000999999997</v>
      </c>
      <c r="D36" s="183">
        <f>+'Stock Historical Yahoo'!D16</f>
        <v>41.869999</v>
      </c>
      <c r="E36" s="183">
        <f>+'Stock Historical Yahoo'!E16</f>
        <v>55.09</v>
      </c>
      <c r="F36" s="181">
        <f t="shared" si="2"/>
        <v>-2.0796268069543822E-2</v>
      </c>
      <c r="G36" s="106">
        <f t="shared" si="3"/>
        <v>-0.1440913692030289</v>
      </c>
      <c r="I36" s="183">
        <f>+'S&amp;P ETF Yahoo'!B16</f>
        <v>285.30999800000001</v>
      </c>
      <c r="J36" s="183">
        <f>+'S&amp;P ETF Yahoo'!C16</f>
        <v>306.83999599999999</v>
      </c>
      <c r="K36" s="183">
        <f>+'S&amp;P ETF Yahoo'!D16</f>
        <v>272.98998999999998</v>
      </c>
      <c r="L36" s="183">
        <f>+'S&amp;P ETF Yahoo'!E16</f>
        <v>304.32000699999998</v>
      </c>
      <c r="M36" s="181">
        <f t="shared" si="4"/>
        <v>4.7645261208696388E-2</v>
      </c>
      <c r="N36" s="106">
        <f t="shared" si="5"/>
        <v>0.10203421407267266</v>
      </c>
      <c r="P36" s="73">
        <f t="shared" si="0"/>
        <v>43952</v>
      </c>
      <c r="Q36" s="108">
        <f t="shared" si="1"/>
        <v>55.09</v>
      </c>
      <c r="R36"/>
      <c r="S36" s="110">
        <f t="shared" si="6"/>
        <v>-2.0796268069543822E-2</v>
      </c>
      <c r="T36" s="110">
        <f t="shared" si="7"/>
        <v>4.7645261208696388E-2</v>
      </c>
      <c r="U36" s="84">
        <f t="shared" si="8"/>
        <v>-3.7216605482796358E-2</v>
      </c>
      <c r="V36" s="84">
        <f t="shared" si="9"/>
        <v>3.6553939502470219E-2</v>
      </c>
      <c r="W36" s="118">
        <f t="shared" si="10"/>
        <v>-1.3604135453054395E-3</v>
      </c>
      <c r="X36" s="118">
        <f t="shared" si="11"/>
        <v>1.3361904931502527E-3</v>
      </c>
      <c r="Z36" s="73">
        <f t="shared" si="12"/>
        <v>43952</v>
      </c>
      <c r="AA36" s="84">
        <f t="shared" si="13"/>
        <v>-0.1440913692030289</v>
      </c>
      <c r="AB36" s="84">
        <f t="shared" si="14"/>
        <v>0.10203421407267266</v>
      </c>
    </row>
    <row r="37" spans="1:28" ht="17.45" customHeight="1">
      <c r="A37" s="182">
        <f>+'Stock Historical Yahoo'!A17</f>
        <v>43983</v>
      </c>
      <c r="B37" s="183">
        <f>+'Stock Historical Yahoo'!B17</f>
        <v>55.09</v>
      </c>
      <c r="C37" s="183">
        <f>+'Stock Historical Yahoo'!C17</f>
        <v>68.169998000000007</v>
      </c>
      <c r="D37" s="183">
        <f>+'Stock Historical Yahoo'!D17</f>
        <v>46.810001</v>
      </c>
      <c r="E37" s="183">
        <f>+'Stock Historical Yahoo'!E17</f>
        <v>50.290000999999997</v>
      </c>
      <c r="F37" s="181">
        <f t="shared" si="2"/>
        <v>-8.7130132510437552E-2</v>
      </c>
      <c r="G37" s="106">
        <f t="shared" si="3"/>
        <v>-0.23122150171346645</v>
      </c>
      <c r="I37" s="183">
        <f>+'S&amp;P ETF Yahoo'!B17</f>
        <v>303.61999500000002</v>
      </c>
      <c r="J37" s="183">
        <f>+'S&amp;P ETF Yahoo'!C17</f>
        <v>323.41000400000001</v>
      </c>
      <c r="K37" s="183">
        <f>+'S&amp;P ETF Yahoo'!D17</f>
        <v>296.73998999999998</v>
      </c>
      <c r="L37" s="183">
        <f>+'S&amp;P ETF Yahoo'!E17</f>
        <v>308.35998499999999</v>
      </c>
      <c r="M37" s="181">
        <f t="shared" si="4"/>
        <v>1.3275426876551144E-2</v>
      </c>
      <c r="N37" s="106">
        <f t="shared" si="5"/>
        <v>0.1153096409492238</v>
      </c>
      <c r="P37" s="73">
        <f t="shared" si="0"/>
        <v>43983</v>
      </c>
      <c r="Q37" s="108">
        <f t="shared" si="1"/>
        <v>50.290000999999997</v>
      </c>
      <c r="R37"/>
      <c r="S37" s="110">
        <f t="shared" si="6"/>
        <v>-8.7130132510437552E-2</v>
      </c>
      <c r="T37" s="110">
        <f t="shared" si="7"/>
        <v>1.3275426876551144E-2</v>
      </c>
      <c r="U37" s="84">
        <f t="shared" si="8"/>
        <v>-0.10355046992369009</v>
      </c>
      <c r="V37" s="84">
        <f t="shared" si="9"/>
        <v>2.1841051703249733E-3</v>
      </c>
      <c r="W37" s="118">
        <f t="shared" si="10"/>
        <v>-2.2616511674991216E-4</v>
      </c>
      <c r="X37" s="118">
        <f t="shared" si="11"/>
        <v>4.7703153950402806E-6</v>
      </c>
      <c r="Z37" s="73">
        <f t="shared" si="12"/>
        <v>43983</v>
      </c>
      <c r="AA37" s="84">
        <f t="shared" si="13"/>
        <v>-0.23122150171346645</v>
      </c>
      <c r="AB37" s="84">
        <f t="shared" si="14"/>
        <v>0.1153096409492238</v>
      </c>
    </row>
    <row r="38" spans="1:28" ht="17.45" customHeight="1">
      <c r="A38" s="182">
        <f>+'Stock Historical Yahoo'!A18</f>
        <v>44013</v>
      </c>
      <c r="B38" s="183">
        <f>+'Stock Historical Yahoo'!B18</f>
        <v>51.25</v>
      </c>
      <c r="C38" s="183">
        <f>+'Stock Historical Yahoo'!C18</f>
        <v>54.279998999999997</v>
      </c>
      <c r="D38" s="183">
        <f>+'Stock Historical Yahoo'!D18</f>
        <v>46.889999000000003</v>
      </c>
      <c r="E38" s="183">
        <f>+'Stock Historical Yahoo'!E18</f>
        <v>48</v>
      </c>
      <c r="F38" s="181">
        <f t="shared" si="2"/>
        <v>-4.5535910806603463E-2</v>
      </c>
      <c r="G38" s="106">
        <f t="shared" si="3"/>
        <v>-0.27675741252006991</v>
      </c>
      <c r="I38" s="183">
        <f>+'S&amp;P ETF Yahoo'!B18</f>
        <v>309.57000699999998</v>
      </c>
      <c r="J38" s="183">
        <f>+'S&amp;P ETF Yahoo'!C18</f>
        <v>327.23001099999999</v>
      </c>
      <c r="K38" s="183">
        <f>+'S&amp;P ETF Yahoo'!D18</f>
        <v>309.07000699999998</v>
      </c>
      <c r="L38" s="183">
        <f>+'S&amp;P ETF Yahoo'!E18</f>
        <v>326.51998900000001</v>
      </c>
      <c r="M38" s="181">
        <f t="shared" si="4"/>
        <v>5.8892219754129282E-2</v>
      </c>
      <c r="N38" s="106">
        <f t="shared" si="5"/>
        <v>0.17420186070335308</v>
      </c>
      <c r="P38" s="73">
        <f t="shared" si="0"/>
        <v>44013</v>
      </c>
      <c r="Q38" s="108">
        <f t="shared" si="1"/>
        <v>48</v>
      </c>
      <c r="R38"/>
      <c r="S38" s="110">
        <f t="shared" si="6"/>
        <v>-4.5535910806603463E-2</v>
      </c>
      <c r="T38" s="110">
        <f t="shared" si="7"/>
        <v>5.8892219754129282E-2</v>
      </c>
      <c r="U38" s="84">
        <f t="shared" si="8"/>
        <v>-6.1956248219856E-2</v>
      </c>
      <c r="V38" s="84">
        <f t="shared" si="9"/>
        <v>4.7800898047903113E-2</v>
      </c>
      <c r="W38" s="118">
        <f t="shared" si="10"/>
        <v>-2.9615643045879155E-3</v>
      </c>
      <c r="X38" s="118">
        <f t="shared" si="11"/>
        <v>2.2849258541860276E-3</v>
      </c>
      <c r="Z38" s="73">
        <f t="shared" si="12"/>
        <v>44013</v>
      </c>
      <c r="AA38" s="84">
        <f t="shared" si="13"/>
        <v>-0.27675741252006991</v>
      </c>
      <c r="AB38" s="84">
        <f t="shared" si="14"/>
        <v>0.17420186070335308</v>
      </c>
    </row>
    <row r="39" spans="1:28" ht="17.45" customHeight="1">
      <c r="A39" s="182">
        <f>+'Stock Historical Yahoo'!A19</f>
        <v>44044</v>
      </c>
      <c r="B39" s="183">
        <f>+'Stock Historical Yahoo'!B19</f>
        <v>48</v>
      </c>
      <c r="C39" s="183">
        <f>+'Stock Historical Yahoo'!C19</f>
        <v>59.98</v>
      </c>
      <c r="D39" s="183">
        <f>+'Stock Historical Yahoo'!D19</f>
        <v>45.619999</v>
      </c>
      <c r="E39" s="183">
        <f>+'Stock Historical Yahoo'!E19</f>
        <v>56.490001999999997</v>
      </c>
      <c r="F39" s="181">
        <f t="shared" si="2"/>
        <v>0.17687504166666668</v>
      </c>
      <c r="G39" s="106">
        <f t="shared" si="3"/>
        <v>-9.9882370853403235E-2</v>
      </c>
      <c r="I39" s="183">
        <f>+'S&amp;P ETF Yahoo'!B19</f>
        <v>328.32000699999998</v>
      </c>
      <c r="J39" s="183">
        <f>+'S&amp;P ETF Yahoo'!C19</f>
        <v>351.29998799999998</v>
      </c>
      <c r="K39" s="183">
        <f>+'S&amp;P ETF Yahoo'!D19</f>
        <v>327.73001099999999</v>
      </c>
      <c r="L39" s="183">
        <f>+'S&amp;P ETF Yahoo'!E19</f>
        <v>349.30999800000001</v>
      </c>
      <c r="M39" s="181">
        <f t="shared" si="4"/>
        <v>6.9796673305657864E-2</v>
      </c>
      <c r="N39" s="106">
        <f t="shared" si="5"/>
        <v>0.24399853400901095</v>
      </c>
      <c r="P39" s="73">
        <f t="shared" si="0"/>
        <v>44044</v>
      </c>
      <c r="Q39" s="108">
        <f t="shared" si="1"/>
        <v>56.490001999999997</v>
      </c>
      <c r="R39"/>
      <c r="S39" s="110">
        <f t="shared" si="6"/>
        <v>0.17687504166666668</v>
      </c>
      <c r="T39" s="110">
        <f t="shared" si="7"/>
        <v>6.9796673305657864E-2</v>
      </c>
      <c r="U39" s="84">
        <f t="shared" si="8"/>
        <v>0.16045470425341413</v>
      </c>
      <c r="V39" s="84">
        <f t="shared" si="9"/>
        <v>5.8705351599431695E-2</v>
      </c>
      <c r="W39" s="118">
        <f t="shared" si="10"/>
        <v>9.4195498289795041E-3</v>
      </c>
      <c r="X39" s="118">
        <f t="shared" si="11"/>
        <v>3.4463183064128975E-3</v>
      </c>
      <c r="Z39" s="73">
        <f t="shared" si="12"/>
        <v>44044</v>
      </c>
      <c r="AA39" s="84">
        <f t="shared" si="13"/>
        <v>-9.9882370853403235E-2</v>
      </c>
      <c r="AB39" s="84">
        <f t="shared" si="14"/>
        <v>0.24399853400901095</v>
      </c>
    </row>
    <row r="40" spans="1:28" ht="17.45" customHeight="1">
      <c r="A40" s="182">
        <f>+'Stock Historical Yahoo'!A20</f>
        <v>44075</v>
      </c>
      <c r="B40" s="183">
        <f>+'Stock Historical Yahoo'!B20</f>
        <v>55.610000999999997</v>
      </c>
      <c r="C40" s="183">
        <f>+'Stock Historical Yahoo'!C20</f>
        <v>61.560001</v>
      </c>
      <c r="D40" s="183">
        <f>+'Stock Historical Yahoo'!D20</f>
        <v>51.209999000000003</v>
      </c>
      <c r="E40" s="183">
        <f>+'Stock Historical Yahoo'!E20</f>
        <v>53.369999</v>
      </c>
      <c r="F40" s="181">
        <f t="shared" si="2"/>
        <v>-5.5231065490137454E-2</v>
      </c>
      <c r="G40" s="106">
        <f t="shared" si="3"/>
        <v>-0.15511343634354069</v>
      </c>
      <c r="I40" s="183">
        <f>+'S&amp;P ETF Yahoo'!B20</f>
        <v>350.209991</v>
      </c>
      <c r="J40" s="183">
        <f>+'S&amp;P ETF Yahoo'!C20</f>
        <v>358.75</v>
      </c>
      <c r="K40" s="183">
        <f>+'S&amp;P ETF Yahoo'!D20</f>
        <v>319.79998799999998</v>
      </c>
      <c r="L40" s="183">
        <f>+'S&amp;P ETF Yahoo'!E20</f>
        <v>334.89001500000001</v>
      </c>
      <c r="M40" s="181">
        <f t="shared" si="4"/>
        <v>-4.1281334867489305E-2</v>
      </c>
      <c r="N40" s="106">
        <f t="shared" si="5"/>
        <v>0.20271719914152164</v>
      </c>
      <c r="P40" s="73">
        <f t="shared" si="0"/>
        <v>44075</v>
      </c>
      <c r="Q40" s="108">
        <f t="shared" si="1"/>
        <v>53.369999</v>
      </c>
      <c r="R40"/>
      <c r="S40" s="110">
        <f t="shared" si="6"/>
        <v>-5.5231065490137454E-2</v>
      </c>
      <c r="T40" s="110">
        <f t="shared" si="7"/>
        <v>-4.1281334867489305E-2</v>
      </c>
      <c r="U40" s="84">
        <f t="shared" si="8"/>
        <v>-7.1651402903389991E-2</v>
      </c>
      <c r="V40" s="84">
        <f t="shared" si="9"/>
        <v>-5.2372656573715475E-2</v>
      </c>
      <c r="W40" s="118">
        <f t="shared" si="10"/>
        <v>3.7525743172841636E-3</v>
      </c>
      <c r="X40" s="118">
        <f t="shared" si="11"/>
        <v>2.7428951565883425E-3</v>
      </c>
      <c r="Z40" s="73">
        <f t="shared" si="12"/>
        <v>44075</v>
      </c>
      <c r="AA40" s="84">
        <f t="shared" si="13"/>
        <v>-0.15511343634354069</v>
      </c>
      <c r="AB40" s="84">
        <f t="shared" si="14"/>
        <v>0.20271719914152164</v>
      </c>
    </row>
    <row r="41" spans="1:28" ht="17.45" customHeight="1">
      <c r="A41" s="182">
        <f>+'Stock Historical Yahoo'!A21</f>
        <v>44105</v>
      </c>
      <c r="B41" s="183">
        <f>+'Stock Historical Yahoo'!B21</f>
        <v>54.060001</v>
      </c>
      <c r="C41" s="183">
        <f>+'Stock Historical Yahoo'!C21</f>
        <v>60.259998000000003</v>
      </c>
      <c r="D41" s="183">
        <f>+'Stock Historical Yahoo'!D21</f>
        <v>51.5</v>
      </c>
      <c r="E41" s="183">
        <f>+'Stock Historical Yahoo'!E21</f>
        <v>55.139999000000003</v>
      </c>
      <c r="F41" s="181">
        <f t="shared" si="2"/>
        <v>3.3164699890663396E-2</v>
      </c>
      <c r="G41" s="106">
        <f t="shared" si="3"/>
        <v>-0.12194873645287729</v>
      </c>
      <c r="I41" s="183">
        <f>+'S&amp;P ETF Yahoo'!B21</f>
        <v>337.69000199999999</v>
      </c>
      <c r="J41" s="183">
        <f>+'S&amp;P ETF Yahoo'!C21</f>
        <v>354.01998900000001</v>
      </c>
      <c r="K41" s="183">
        <f>+'S&amp;P ETF Yahoo'!D21</f>
        <v>322.60000600000001</v>
      </c>
      <c r="L41" s="183">
        <f>+'S&amp;P ETF Yahoo'!E21</f>
        <v>326.540009</v>
      </c>
      <c r="M41" s="181">
        <f t="shared" si="4"/>
        <v>-2.4933577073057878E-2</v>
      </c>
      <c r="N41" s="106">
        <f t="shared" si="5"/>
        <v>0.17778362206846376</v>
      </c>
      <c r="P41" s="73">
        <f t="shared" si="0"/>
        <v>44105</v>
      </c>
      <c r="Q41" s="108">
        <f t="shared" si="1"/>
        <v>55.139999000000003</v>
      </c>
      <c r="R41"/>
      <c r="S41" s="110">
        <f t="shared" si="6"/>
        <v>3.3164699890663396E-2</v>
      </c>
      <c r="T41" s="110">
        <f t="shared" si="7"/>
        <v>-2.4933577073057878E-2</v>
      </c>
      <c r="U41" s="84">
        <f t="shared" si="8"/>
        <v>1.674436247741086E-2</v>
      </c>
      <c r="V41" s="84">
        <f t="shared" si="9"/>
        <v>-3.6024898779284047E-2</v>
      </c>
      <c r="W41" s="118">
        <f t="shared" si="10"/>
        <v>-6.0321396337236811E-4</v>
      </c>
      <c r="X41" s="118">
        <f t="shared" si="11"/>
        <v>1.2977933320576611E-3</v>
      </c>
      <c r="Z41" s="73">
        <f t="shared" si="12"/>
        <v>44105</v>
      </c>
      <c r="AA41" s="84">
        <f t="shared" si="13"/>
        <v>-0.12194873645287729</v>
      </c>
      <c r="AB41" s="84">
        <f t="shared" si="14"/>
        <v>0.17778362206846376</v>
      </c>
    </row>
    <row r="42" spans="1:28" ht="17.45" customHeight="1">
      <c r="A42" s="182">
        <f>+'Stock Historical Yahoo'!A22</f>
        <v>44136</v>
      </c>
      <c r="B42" s="183">
        <f>+'Stock Historical Yahoo'!B22</f>
        <v>55.299999</v>
      </c>
      <c r="C42" s="183">
        <f>+'Stock Historical Yahoo'!C22</f>
        <v>74.540001000000004</v>
      </c>
      <c r="D42" s="183">
        <f>+'Stock Historical Yahoo'!D22</f>
        <v>54.490001999999997</v>
      </c>
      <c r="E42" s="183">
        <f>+'Stock Historical Yahoo'!E22</f>
        <v>71.970000999999996</v>
      </c>
      <c r="F42" s="181">
        <f t="shared" si="2"/>
        <v>0.30522311035950489</v>
      </c>
      <c r="G42" s="106">
        <f t="shared" si="3"/>
        <v>0.1832743739066276</v>
      </c>
      <c r="I42" s="183">
        <f>+'S&amp;P ETF Yahoo'!B22</f>
        <v>330.20001200000002</v>
      </c>
      <c r="J42" s="183">
        <f>+'S&amp;P ETF Yahoo'!C22</f>
        <v>364.38000499999998</v>
      </c>
      <c r="K42" s="183">
        <f>+'S&amp;P ETF Yahoo'!D22</f>
        <v>327.23998999999998</v>
      </c>
      <c r="L42" s="183">
        <f>+'S&amp;P ETF Yahoo'!E22</f>
        <v>362.05999800000001</v>
      </c>
      <c r="M42" s="181">
        <f t="shared" si="4"/>
        <v>0.10877683598030408</v>
      </c>
      <c r="N42" s="106">
        <f t="shared" si="5"/>
        <v>0.28656045804876784</v>
      </c>
      <c r="P42" s="73">
        <f t="shared" si="0"/>
        <v>44136</v>
      </c>
      <c r="Q42" s="108">
        <f t="shared" si="1"/>
        <v>71.970000999999996</v>
      </c>
      <c r="R42"/>
      <c r="S42" s="110">
        <f t="shared" si="6"/>
        <v>0.30522311035950489</v>
      </c>
      <c r="T42" s="110">
        <f t="shared" si="7"/>
        <v>0.10877683598030408</v>
      </c>
      <c r="U42" s="84">
        <f t="shared" si="8"/>
        <v>0.28880277294625234</v>
      </c>
      <c r="V42" s="84">
        <f t="shared" si="9"/>
        <v>9.76855142740779E-2</v>
      </c>
      <c r="W42" s="118">
        <f t="shared" si="10"/>
        <v>2.8211847399034411E-2</v>
      </c>
      <c r="X42" s="118">
        <f t="shared" si="11"/>
        <v>9.5424596989910765E-3</v>
      </c>
      <c r="Z42" s="73">
        <f t="shared" si="12"/>
        <v>44136</v>
      </c>
      <c r="AA42" s="84">
        <f t="shared" si="13"/>
        <v>0.1832743739066276</v>
      </c>
      <c r="AB42" s="84">
        <f t="shared" si="14"/>
        <v>0.28656045804876784</v>
      </c>
    </row>
    <row r="43" spans="1:28" ht="17.45" customHeight="1">
      <c r="A43" s="182">
        <f>+'Stock Historical Yahoo'!A23</f>
        <v>44166</v>
      </c>
      <c r="B43" s="183">
        <f>+'Stock Historical Yahoo'!B23</f>
        <v>73.089995999999999</v>
      </c>
      <c r="C43" s="183">
        <f>+'Stock Historical Yahoo'!C23</f>
        <v>76.629997000000003</v>
      </c>
      <c r="D43" s="183">
        <f>+'Stock Historical Yahoo'!D23</f>
        <v>70.019997000000004</v>
      </c>
      <c r="E43" s="183">
        <f>+'Stock Historical Yahoo'!E23</f>
        <v>74.25</v>
      </c>
      <c r="F43" s="181">
        <f t="shared" si="2"/>
        <v>3.1679852276228271E-2</v>
      </c>
      <c r="G43" s="106">
        <f t="shared" si="3"/>
        <v>0.21495422618285587</v>
      </c>
      <c r="I43" s="183">
        <f>+'S&amp;P ETF Yahoo'!B23</f>
        <v>365.57000699999998</v>
      </c>
      <c r="J43" s="183">
        <f>+'S&amp;P ETF Yahoo'!C23</f>
        <v>378.459991</v>
      </c>
      <c r="K43" s="183">
        <f>+'S&amp;P ETF Yahoo'!D23</f>
        <v>362.02999899999998</v>
      </c>
      <c r="L43" s="183">
        <f>+'S&amp;P ETF Yahoo'!E23</f>
        <v>373.88000499999998</v>
      </c>
      <c r="M43" s="181">
        <f t="shared" si="4"/>
        <v>3.2646542189949335E-2</v>
      </c>
      <c r="N43" s="106">
        <f t="shared" si="5"/>
        <v>0.31920700023871718</v>
      </c>
      <c r="P43" s="73">
        <f t="shared" si="0"/>
        <v>44166</v>
      </c>
      <c r="Q43" s="108">
        <f t="shared" si="1"/>
        <v>74.25</v>
      </c>
      <c r="R43"/>
      <c r="S43" s="110">
        <f t="shared" si="6"/>
        <v>3.1679852276228271E-2</v>
      </c>
      <c r="T43" s="110">
        <f t="shared" si="7"/>
        <v>3.2646542189949335E-2</v>
      </c>
      <c r="U43" s="84">
        <f t="shared" si="8"/>
        <v>1.5259514862975734E-2</v>
      </c>
      <c r="V43" s="84">
        <f t="shared" si="9"/>
        <v>2.1555220483723166E-2</v>
      </c>
      <c r="W43" s="118">
        <f t="shared" si="10"/>
        <v>3.2892220734609265E-4</v>
      </c>
      <c r="X43" s="118">
        <f t="shared" si="11"/>
        <v>4.6462753010191875E-4</v>
      </c>
      <c r="Z43" s="73">
        <f t="shared" si="12"/>
        <v>44166</v>
      </c>
      <c r="AA43" s="84">
        <f t="shared" si="13"/>
        <v>0.21495422618285587</v>
      </c>
      <c r="AB43" s="84">
        <f t="shared" si="14"/>
        <v>0.31920700023871718</v>
      </c>
    </row>
    <row r="44" spans="1:28" ht="17.45" customHeight="1">
      <c r="A44" s="182">
        <f>+'Stock Historical Yahoo'!A24</f>
        <v>44197</v>
      </c>
      <c r="B44" s="183">
        <f>+'Stock Historical Yahoo'!B24</f>
        <v>74.319999999999993</v>
      </c>
      <c r="C44" s="183">
        <f>+'Stock Historical Yahoo'!C24</f>
        <v>75.529999000000004</v>
      </c>
      <c r="D44" s="183">
        <f>+'Stock Historical Yahoo'!D24</f>
        <v>65.440002000000007</v>
      </c>
      <c r="E44" s="183">
        <f>+'Stock Historical Yahoo'!E24</f>
        <v>65.660004000000001</v>
      </c>
      <c r="F44" s="181">
        <f t="shared" si="2"/>
        <v>-0.1156901818181818</v>
      </c>
      <c r="G44" s="106">
        <f t="shared" si="3"/>
        <v>9.9264044364674064E-2</v>
      </c>
      <c r="I44" s="183">
        <f>+'S&amp;P ETF Yahoo'!B24</f>
        <v>375.30999800000001</v>
      </c>
      <c r="J44" s="183">
        <f>+'S&amp;P ETF Yahoo'!C24</f>
        <v>385.85000600000001</v>
      </c>
      <c r="K44" s="183">
        <f>+'S&amp;P ETF Yahoo'!D24</f>
        <v>364.82000699999998</v>
      </c>
      <c r="L44" s="183">
        <f>+'S&amp;P ETF Yahoo'!E24</f>
        <v>370.07000699999998</v>
      </c>
      <c r="M44" s="181">
        <f t="shared" si="4"/>
        <v>-1.019042994823971E-2</v>
      </c>
      <c r="N44" s="106">
        <f t="shared" si="5"/>
        <v>0.30901657029047747</v>
      </c>
      <c r="P44" s="73">
        <f t="shared" si="0"/>
        <v>44197</v>
      </c>
      <c r="Q44" s="108">
        <f t="shared" si="1"/>
        <v>65.660004000000001</v>
      </c>
      <c r="R44"/>
      <c r="S44" s="110">
        <f t="shared" si="6"/>
        <v>-0.1156901818181818</v>
      </c>
      <c r="T44" s="110">
        <f t="shared" si="7"/>
        <v>-1.019042994823971E-2</v>
      </c>
      <c r="U44" s="84">
        <f t="shared" si="8"/>
        <v>-0.13211051923143435</v>
      </c>
      <c r="V44" s="84">
        <f t="shared" si="9"/>
        <v>-2.1281751654465879E-2</v>
      </c>
      <c r="W44" s="118">
        <f t="shared" si="10"/>
        <v>2.8115432612259243E-3</v>
      </c>
      <c r="X44" s="118">
        <f t="shared" si="11"/>
        <v>4.5291295348236118E-4</v>
      </c>
      <c r="Z44" s="73">
        <f t="shared" si="12"/>
        <v>44197</v>
      </c>
      <c r="AA44" s="84">
        <f t="shared" si="13"/>
        <v>9.9264044364674064E-2</v>
      </c>
      <c r="AB44" s="84">
        <f t="shared" si="14"/>
        <v>0.30901657029047747</v>
      </c>
    </row>
    <row r="45" spans="1:28" ht="17.45" customHeight="1">
      <c r="A45" s="182">
        <f>+'Stock Historical Yahoo'!A25</f>
        <v>44228</v>
      </c>
      <c r="B45" s="183">
        <f>+'Stock Historical Yahoo'!B25</f>
        <v>66.800003000000004</v>
      </c>
      <c r="C45" s="183">
        <f>+'Stock Historical Yahoo'!C25</f>
        <v>92.220000999999996</v>
      </c>
      <c r="D45" s="183">
        <f>+'Stock Historical Yahoo'!D25</f>
        <v>66.110000999999997</v>
      </c>
      <c r="E45" s="183">
        <f>+'Stock Historical Yahoo'!E25</f>
        <v>87.949996999999996</v>
      </c>
      <c r="F45" s="181">
        <f t="shared" si="2"/>
        <v>0.33947596165239347</v>
      </c>
      <c r="G45" s="106">
        <f t="shared" si="3"/>
        <v>0.43874000601706753</v>
      </c>
      <c r="I45" s="183">
        <f>+'S&amp;P ETF Yahoo'!B25</f>
        <v>373.72000100000002</v>
      </c>
      <c r="J45" s="183">
        <f>+'S&amp;P ETF Yahoo'!C25</f>
        <v>394.17001299999998</v>
      </c>
      <c r="K45" s="183">
        <f>+'S&amp;P ETF Yahoo'!D25</f>
        <v>370.38000499999998</v>
      </c>
      <c r="L45" s="183">
        <f>+'S&amp;P ETF Yahoo'!E25</f>
        <v>380.35998499999999</v>
      </c>
      <c r="M45" s="181">
        <f t="shared" si="4"/>
        <v>2.7805490327131643E-2</v>
      </c>
      <c r="N45" s="106">
        <f t="shared" si="5"/>
        <v>0.33682206061760911</v>
      </c>
      <c r="P45" s="73">
        <f t="shared" si="0"/>
        <v>44228</v>
      </c>
      <c r="Q45" s="108">
        <f t="shared" si="1"/>
        <v>87.949996999999996</v>
      </c>
      <c r="R45"/>
      <c r="S45" s="110">
        <f t="shared" si="6"/>
        <v>0.33947596165239347</v>
      </c>
      <c r="T45" s="110">
        <f t="shared" si="7"/>
        <v>2.7805490327131643E-2</v>
      </c>
      <c r="U45" s="84">
        <f t="shared" si="8"/>
        <v>0.32305562423914091</v>
      </c>
      <c r="V45" s="84">
        <f t="shared" si="9"/>
        <v>1.6714168620905474E-2</v>
      </c>
      <c r="W45" s="118">
        <f t="shared" si="10"/>
        <v>5.3996061774648791E-3</v>
      </c>
      <c r="X45" s="118">
        <f t="shared" si="11"/>
        <v>2.7936343268806119E-4</v>
      </c>
      <c r="Z45" s="73">
        <f t="shared" si="12"/>
        <v>44228</v>
      </c>
      <c r="AA45" s="84">
        <f t="shared" si="13"/>
        <v>0.43874000601706753</v>
      </c>
      <c r="AB45" s="84">
        <f t="shared" si="14"/>
        <v>0.33682206061760911</v>
      </c>
    </row>
    <row r="46" spans="1:28" ht="17.45" customHeight="1">
      <c r="A46" s="182">
        <f>+'Stock Historical Yahoo'!A26</f>
        <v>44256</v>
      </c>
      <c r="B46" s="183">
        <f>+'Stock Historical Yahoo'!B26</f>
        <v>90</v>
      </c>
      <c r="C46" s="183">
        <f>+'Stock Historical Yahoo'!C26</f>
        <v>90.470000999999996</v>
      </c>
      <c r="D46" s="183">
        <f>+'Stock Historical Yahoo'!D26</f>
        <v>78.180000000000007</v>
      </c>
      <c r="E46" s="183">
        <f>+'Stock Historical Yahoo'!E26</f>
        <v>82.699996999999996</v>
      </c>
      <c r="F46" s="181">
        <f t="shared" si="2"/>
        <v>-5.9693009426708632E-2</v>
      </c>
      <c r="G46" s="106">
        <f t="shared" si="3"/>
        <v>0.3790469965903589</v>
      </c>
      <c r="I46" s="183">
        <f>+'S&amp;P ETF Yahoo'!B26</f>
        <v>385.58999599999999</v>
      </c>
      <c r="J46" s="183">
        <f>+'S&amp;P ETF Yahoo'!C26</f>
        <v>398.11999500000002</v>
      </c>
      <c r="K46" s="183">
        <f>+'S&amp;P ETF Yahoo'!D26</f>
        <v>371.88000499999998</v>
      </c>
      <c r="L46" s="183">
        <f>+'S&amp;P ETF Yahoo'!E26</f>
        <v>396.32998700000002</v>
      </c>
      <c r="M46" s="181">
        <f t="shared" si="4"/>
        <v>4.1986545982222623E-2</v>
      </c>
      <c r="N46" s="106">
        <f t="shared" si="5"/>
        <v>0.37880860659983173</v>
      </c>
      <c r="P46" s="73">
        <f t="shared" si="0"/>
        <v>44256</v>
      </c>
      <c r="Q46" s="108">
        <f t="shared" si="1"/>
        <v>82.699996999999996</v>
      </c>
      <c r="R46"/>
      <c r="S46" s="110">
        <f t="shared" si="6"/>
        <v>-5.9693009426708632E-2</v>
      </c>
      <c r="T46" s="110">
        <f t="shared" si="7"/>
        <v>4.1986545982222623E-2</v>
      </c>
      <c r="U46" s="84">
        <f t="shared" si="8"/>
        <v>-7.6113346839961168E-2</v>
      </c>
      <c r="V46" s="84">
        <f t="shared" si="9"/>
        <v>3.0895224275996454E-2</v>
      </c>
      <c r="W46" s="118">
        <f t="shared" si="10"/>
        <v>-2.3515389210173061E-3</v>
      </c>
      <c r="X46" s="118">
        <f t="shared" si="11"/>
        <v>9.5451488306412058E-4</v>
      </c>
      <c r="Z46" s="73">
        <f t="shared" si="12"/>
        <v>44256</v>
      </c>
      <c r="AA46" s="84">
        <f t="shared" si="13"/>
        <v>0.3790469965903589</v>
      </c>
      <c r="AB46" s="84">
        <f t="shared" si="14"/>
        <v>0.37880860659983173</v>
      </c>
    </row>
    <row r="47" spans="1:28" ht="17.45" customHeight="1">
      <c r="A47" s="182">
        <f>+'Stock Historical Yahoo'!A27</f>
        <v>44287</v>
      </c>
      <c r="B47" s="183">
        <f>+'Stock Historical Yahoo'!B27</f>
        <v>83.25</v>
      </c>
      <c r="C47" s="183">
        <f>+'Stock Historical Yahoo'!C27</f>
        <v>87.720000999999996</v>
      </c>
      <c r="D47" s="183">
        <f>+'Stock Historical Yahoo'!D27</f>
        <v>78.589995999999999</v>
      </c>
      <c r="E47" s="183">
        <f>+'Stock Historical Yahoo'!E27</f>
        <v>82.330001999999993</v>
      </c>
      <c r="F47" s="181">
        <f t="shared" si="2"/>
        <v>-4.4739421211829056E-3</v>
      </c>
      <c r="G47" s="106">
        <f t="shared" si="3"/>
        <v>0.37457305446917599</v>
      </c>
      <c r="I47" s="183">
        <f>+'S&amp;P ETF Yahoo'!B27</f>
        <v>398.39999399999999</v>
      </c>
      <c r="J47" s="183">
        <f>+'S&amp;P ETF Yahoo'!C27</f>
        <v>420.72000100000002</v>
      </c>
      <c r="K47" s="183">
        <f>+'S&amp;P ETF Yahoo'!D27</f>
        <v>398.17999300000002</v>
      </c>
      <c r="L47" s="183">
        <f>+'S&amp;P ETF Yahoo'!E27</f>
        <v>417.29998799999998</v>
      </c>
      <c r="M47" s="181">
        <f t="shared" si="4"/>
        <v>5.2910457668700062E-2</v>
      </c>
      <c r="N47" s="106">
        <f t="shared" si="5"/>
        <v>0.43171906426853179</v>
      </c>
      <c r="P47" s="73">
        <f t="shared" si="0"/>
        <v>44287</v>
      </c>
      <c r="Q47" s="108">
        <f t="shared" si="1"/>
        <v>82.330001999999993</v>
      </c>
      <c r="R47"/>
      <c r="S47" s="110">
        <f t="shared" si="6"/>
        <v>-4.4739421211829056E-3</v>
      </c>
      <c r="T47" s="110">
        <f t="shared" si="7"/>
        <v>5.2910457668700062E-2</v>
      </c>
      <c r="U47" s="84">
        <f t="shared" si="8"/>
        <v>-2.0894279534435442E-2</v>
      </c>
      <c r="V47" s="84">
        <f t="shared" si="9"/>
        <v>4.1819135962473893E-2</v>
      </c>
      <c r="W47" s="118">
        <f t="shared" si="10"/>
        <v>-8.7378071668849143E-4</v>
      </c>
      <c r="X47" s="118">
        <f t="shared" si="11"/>
        <v>1.7488401326478773E-3</v>
      </c>
      <c r="Z47" s="73">
        <f t="shared" si="12"/>
        <v>44287</v>
      </c>
      <c r="AA47" s="84">
        <f t="shared" si="13"/>
        <v>0.37457305446917599</v>
      </c>
      <c r="AB47" s="84">
        <f t="shared" si="14"/>
        <v>0.43171906426853179</v>
      </c>
    </row>
    <row r="48" spans="1:28" ht="17.45" customHeight="1">
      <c r="A48" s="182">
        <f>+'Stock Historical Yahoo'!A28</f>
        <v>44317</v>
      </c>
      <c r="B48" s="183">
        <f>+'Stock Historical Yahoo'!B28</f>
        <v>82.989998</v>
      </c>
      <c r="C48" s="183">
        <f>+'Stock Historical Yahoo'!C28</f>
        <v>83.650002000000001</v>
      </c>
      <c r="D48" s="183">
        <f>+'Stock Historical Yahoo'!D28</f>
        <v>75</v>
      </c>
      <c r="E48" s="183">
        <f>+'Stock Historical Yahoo'!E28</f>
        <v>78.080001999999993</v>
      </c>
      <c r="F48" s="181">
        <f t="shared" si="2"/>
        <v>-5.1621521884573696E-2</v>
      </c>
      <c r="G48" s="106">
        <f t="shared" si="3"/>
        <v>0.3229515325846023</v>
      </c>
      <c r="I48" s="183">
        <f>+'S&amp;P ETF Yahoo'!B28</f>
        <v>419.42999300000002</v>
      </c>
      <c r="J48" s="183">
        <f>+'S&amp;P ETF Yahoo'!C28</f>
        <v>422.82000699999998</v>
      </c>
      <c r="K48" s="183">
        <f>+'S&amp;P ETF Yahoo'!D28</f>
        <v>404</v>
      </c>
      <c r="L48" s="183">
        <f>+'S&amp;P ETF Yahoo'!E28</f>
        <v>420.040009</v>
      </c>
      <c r="M48" s="181">
        <f t="shared" si="4"/>
        <v>6.566070162455917E-3</v>
      </c>
      <c r="N48" s="106">
        <f t="shared" si="5"/>
        <v>0.43828513443098771</v>
      </c>
      <c r="P48" s="73">
        <f t="shared" si="0"/>
        <v>44317</v>
      </c>
      <c r="Q48" s="108">
        <f t="shared" si="1"/>
        <v>78.080001999999993</v>
      </c>
      <c r="R48"/>
      <c r="S48" s="110">
        <f t="shared" si="6"/>
        <v>-5.1621521884573696E-2</v>
      </c>
      <c r="T48" s="110">
        <f t="shared" si="7"/>
        <v>6.566070162455917E-3</v>
      </c>
      <c r="U48" s="84">
        <f t="shared" si="8"/>
        <v>-6.8041859297826232E-2</v>
      </c>
      <c r="V48" s="84">
        <f t="shared" si="9"/>
        <v>-4.5252515437702538E-3</v>
      </c>
      <c r="W48" s="118">
        <f t="shared" si="10"/>
        <v>3.0790652882848652E-4</v>
      </c>
      <c r="X48" s="118">
        <f t="shared" si="11"/>
        <v>2.0477901534395064E-5</v>
      </c>
      <c r="Z48" s="73">
        <f t="shared" si="12"/>
        <v>44317</v>
      </c>
      <c r="AA48" s="84">
        <f t="shared" si="13"/>
        <v>0.3229515325846023</v>
      </c>
      <c r="AB48" s="84">
        <f t="shared" si="14"/>
        <v>0.43828513443098771</v>
      </c>
    </row>
    <row r="49" spans="1:28" ht="17.45" customHeight="1">
      <c r="A49" s="182">
        <f>+'Stock Historical Yahoo'!A29</f>
        <v>44348</v>
      </c>
      <c r="B49" s="183">
        <f>+'Stock Historical Yahoo'!B29</f>
        <v>79.199996999999996</v>
      </c>
      <c r="C49" s="183">
        <f>+'Stock Historical Yahoo'!C29</f>
        <v>84.620002999999997</v>
      </c>
      <c r="D49" s="183">
        <f>+'Stock Historical Yahoo'!D29</f>
        <v>76.319999999999993</v>
      </c>
      <c r="E49" s="183">
        <f>+'Stock Historical Yahoo'!E29</f>
        <v>77.639999000000003</v>
      </c>
      <c r="F49" s="181">
        <f t="shared" si="2"/>
        <v>-5.6352841794239383E-3</v>
      </c>
      <c r="G49" s="106">
        <f t="shared" si="3"/>
        <v>0.31731624840517836</v>
      </c>
      <c r="I49" s="183">
        <f>+'S&amp;P ETF Yahoo'!B29</f>
        <v>422.57000699999998</v>
      </c>
      <c r="J49" s="183">
        <f>+'S&amp;P ETF Yahoo'!C29</f>
        <v>428.77999899999998</v>
      </c>
      <c r="K49" s="183">
        <f>+'S&amp;P ETF Yahoo'!D29</f>
        <v>414.70001200000002</v>
      </c>
      <c r="L49" s="183">
        <f>+'S&amp;P ETF Yahoo'!E29</f>
        <v>428.05999800000001</v>
      </c>
      <c r="M49" s="181">
        <f t="shared" si="4"/>
        <v>1.9093393077229459E-2</v>
      </c>
      <c r="N49" s="106">
        <f t="shared" si="5"/>
        <v>0.45737852750821717</v>
      </c>
      <c r="P49" s="73">
        <f t="shared" si="0"/>
        <v>44348</v>
      </c>
      <c r="Q49" s="108">
        <f t="shared" si="1"/>
        <v>77.639999000000003</v>
      </c>
      <c r="R49"/>
      <c r="S49" s="110">
        <f t="shared" si="6"/>
        <v>-5.6352841794239383E-3</v>
      </c>
      <c r="T49" s="110">
        <f t="shared" si="7"/>
        <v>1.9093393077229459E-2</v>
      </c>
      <c r="U49" s="84">
        <f t="shared" si="8"/>
        <v>-2.2055621592676475E-2</v>
      </c>
      <c r="V49" s="84">
        <f t="shared" si="9"/>
        <v>8.0020713710032883E-3</v>
      </c>
      <c r="W49" s="118">
        <f t="shared" si="10"/>
        <v>-1.7649065811643837E-4</v>
      </c>
      <c r="X49" s="118">
        <f t="shared" si="11"/>
        <v>6.4033146226630442E-5</v>
      </c>
      <c r="Z49" s="73">
        <f t="shared" si="12"/>
        <v>44348</v>
      </c>
      <c r="AA49" s="84">
        <f t="shared" si="13"/>
        <v>0.31731624840517836</v>
      </c>
      <c r="AB49" s="84">
        <f t="shared" si="14"/>
        <v>0.45737852750821717</v>
      </c>
    </row>
    <row r="50" spans="1:28" ht="17.45" customHeight="1">
      <c r="A50" s="182">
        <f>+'Stock Historical Yahoo'!A30</f>
        <v>44378</v>
      </c>
      <c r="B50" s="183">
        <f>+'Stock Historical Yahoo'!B30</f>
        <v>78</v>
      </c>
      <c r="C50" s="183">
        <f>+'Stock Historical Yahoo'!C30</f>
        <v>81.959998999999996</v>
      </c>
      <c r="D50" s="183">
        <f>+'Stock Historical Yahoo'!D30</f>
        <v>71.120002999999997</v>
      </c>
      <c r="E50" s="183">
        <f>+'Stock Historical Yahoo'!E30</f>
        <v>79.870002999999997</v>
      </c>
      <c r="F50" s="181">
        <f t="shared" si="2"/>
        <v>2.8722359978391898E-2</v>
      </c>
      <c r="G50" s="106">
        <f t="shared" si="3"/>
        <v>0.34603860838357026</v>
      </c>
      <c r="I50" s="183">
        <f>+'S&amp;P ETF Yahoo'!B30</f>
        <v>428.86999500000002</v>
      </c>
      <c r="J50" s="183">
        <f>+'S&amp;P ETF Yahoo'!C30</f>
        <v>441.79998799999998</v>
      </c>
      <c r="K50" s="183">
        <f>+'S&amp;P ETF Yahoo'!D30</f>
        <v>421.97000100000002</v>
      </c>
      <c r="L50" s="183">
        <f>+'S&amp;P ETF Yahoo'!E30</f>
        <v>438.51001000000002</v>
      </c>
      <c r="M50" s="181">
        <f t="shared" si="4"/>
        <v>2.4412493689728088E-2</v>
      </c>
      <c r="N50" s="106">
        <f t="shared" si="5"/>
        <v>0.48179102119794526</v>
      </c>
      <c r="P50" s="73">
        <f t="shared" si="0"/>
        <v>44378</v>
      </c>
      <c r="Q50" s="108">
        <f t="shared" si="1"/>
        <v>79.870002999999997</v>
      </c>
      <c r="R50"/>
      <c r="S50" s="110">
        <f t="shared" si="6"/>
        <v>2.8722359978391898E-2</v>
      </c>
      <c r="T50" s="110">
        <f t="shared" si="7"/>
        <v>2.4412493689728088E-2</v>
      </c>
      <c r="U50" s="84">
        <f t="shared" si="8"/>
        <v>1.2302022565139362E-2</v>
      </c>
      <c r="V50" s="84">
        <f t="shared" si="9"/>
        <v>1.3321171983501917E-2</v>
      </c>
      <c r="W50" s="118">
        <f t="shared" si="10"/>
        <v>1.6387735833514285E-4</v>
      </c>
      <c r="X50" s="118">
        <f t="shared" si="11"/>
        <v>1.7745362301403638E-4</v>
      </c>
      <c r="Z50" s="73">
        <f t="shared" si="12"/>
        <v>44378</v>
      </c>
      <c r="AA50" s="84">
        <f t="shared" si="13"/>
        <v>0.34603860838357026</v>
      </c>
      <c r="AB50" s="84">
        <f t="shared" si="14"/>
        <v>0.48179102119794526</v>
      </c>
    </row>
    <row r="51" spans="1:28" ht="17.45" customHeight="1">
      <c r="A51" s="182">
        <f>+'Stock Historical Yahoo'!A31</f>
        <v>44409</v>
      </c>
      <c r="B51" s="183">
        <f>+'Stock Historical Yahoo'!B31</f>
        <v>80.610000999999997</v>
      </c>
      <c r="C51" s="183">
        <f>+'Stock Historical Yahoo'!C31</f>
        <v>81.209998999999996</v>
      </c>
      <c r="D51" s="183">
        <f>+'Stock Historical Yahoo'!D31</f>
        <v>67.699996999999996</v>
      </c>
      <c r="E51" s="183">
        <f>+'Stock Historical Yahoo'!E31</f>
        <v>73.589995999999999</v>
      </c>
      <c r="F51" s="181">
        <f t="shared" si="2"/>
        <v>-7.8627854815530696E-2</v>
      </c>
      <c r="G51" s="106">
        <f t="shared" si="3"/>
        <v>0.26741075356803956</v>
      </c>
      <c r="I51" s="183">
        <f>+'S&amp;P ETF Yahoo'!B31</f>
        <v>440.33999599999999</v>
      </c>
      <c r="J51" s="183">
        <f>+'S&amp;P ETF Yahoo'!C31</f>
        <v>453.07000699999998</v>
      </c>
      <c r="K51" s="183">
        <f>+'S&amp;P ETF Yahoo'!D31</f>
        <v>436.10000600000001</v>
      </c>
      <c r="L51" s="183">
        <f>+'S&amp;P ETF Yahoo'!E31</f>
        <v>451.55999800000001</v>
      </c>
      <c r="M51" s="181">
        <f t="shared" si="4"/>
        <v>2.9759840602042287E-2</v>
      </c>
      <c r="N51" s="106">
        <f t="shared" si="5"/>
        <v>0.51155086179998754</v>
      </c>
      <c r="P51" s="73">
        <f t="shared" si="0"/>
        <v>44409</v>
      </c>
      <c r="Q51" s="108">
        <f t="shared" si="1"/>
        <v>73.589995999999999</v>
      </c>
      <c r="R51"/>
      <c r="S51" s="110">
        <f t="shared" si="6"/>
        <v>-7.8627854815530696E-2</v>
      </c>
      <c r="T51" s="110">
        <f t="shared" si="7"/>
        <v>2.9759840602042287E-2</v>
      </c>
      <c r="U51" s="84">
        <f t="shared" si="8"/>
        <v>-9.5048192228783232E-2</v>
      </c>
      <c r="V51" s="84">
        <f t="shared" si="9"/>
        <v>1.8668518895816118E-2</v>
      </c>
      <c r="W51" s="118">
        <f t="shared" si="10"/>
        <v>-1.7744089726362024E-3</v>
      </c>
      <c r="X51" s="118">
        <f t="shared" si="11"/>
        <v>3.4851359776344346E-4</v>
      </c>
      <c r="Z51" s="73">
        <f t="shared" si="12"/>
        <v>44409</v>
      </c>
      <c r="AA51" s="84">
        <f t="shared" si="13"/>
        <v>0.26741075356803956</v>
      </c>
      <c r="AB51" s="84">
        <f t="shared" si="14"/>
        <v>0.51155086179998754</v>
      </c>
    </row>
    <row r="52" spans="1:28" ht="17.45" customHeight="1">
      <c r="A52" s="182">
        <f>+'Stock Historical Yahoo'!A32</f>
        <v>44440</v>
      </c>
      <c r="B52" s="183">
        <f>+'Stock Historical Yahoo'!B32</f>
        <v>73.900002000000001</v>
      </c>
      <c r="C52" s="183">
        <f>+'Stock Historical Yahoo'!C32</f>
        <v>81.360000999999997</v>
      </c>
      <c r="D52" s="183">
        <f>+'Stock Historical Yahoo'!D32</f>
        <v>70.300003000000004</v>
      </c>
      <c r="E52" s="183">
        <f>+'Stock Historical Yahoo'!E32</f>
        <v>77.099997999999999</v>
      </c>
      <c r="F52" s="181">
        <f t="shared" si="2"/>
        <v>4.7696727691084462E-2</v>
      </c>
      <c r="G52" s="106">
        <f t="shared" si="3"/>
        <v>0.31510748125912402</v>
      </c>
      <c r="I52" s="183">
        <f>+'S&amp;P ETF Yahoo'!B32</f>
        <v>452.55999800000001</v>
      </c>
      <c r="J52" s="183">
        <f>+'S&amp;P ETF Yahoo'!C32</f>
        <v>454.04998799999998</v>
      </c>
      <c r="K52" s="183">
        <f>+'S&amp;P ETF Yahoo'!D32</f>
        <v>428.77999899999998</v>
      </c>
      <c r="L52" s="183">
        <f>+'S&amp;P ETF Yahoo'!E32</f>
        <v>429.14001500000001</v>
      </c>
      <c r="M52" s="181">
        <f t="shared" si="4"/>
        <v>-4.9650064441713493E-2</v>
      </c>
      <c r="N52" s="106">
        <f t="shared" si="5"/>
        <v>0.46190079735827405</v>
      </c>
      <c r="P52" s="73">
        <f t="shared" si="0"/>
        <v>44440</v>
      </c>
      <c r="Q52" s="108">
        <f t="shared" si="1"/>
        <v>77.099997999999999</v>
      </c>
      <c r="R52"/>
      <c r="S52" s="110">
        <f t="shared" si="6"/>
        <v>4.7696727691084462E-2</v>
      </c>
      <c r="T52" s="110">
        <f t="shared" si="7"/>
        <v>-4.9650064441713493E-2</v>
      </c>
      <c r="U52" s="84">
        <f t="shared" si="8"/>
        <v>3.1276390277831925E-2</v>
      </c>
      <c r="V52" s="84">
        <f t="shared" si="9"/>
        <v>-6.0741386147939662E-2</v>
      </c>
      <c r="W52" s="118">
        <f t="shared" si="10"/>
        <v>-1.8997712991794548E-3</v>
      </c>
      <c r="X52" s="118">
        <f t="shared" si="11"/>
        <v>3.6895159911731162E-3</v>
      </c>
      <c r="Z52" s="73">
        <f t="shared" si="12"/>
        <v>44440</v>
      </c>
      <c r="AA52" s="84">
        <f t="shared" si="13"/>
        <v>0.31510748125912402</v>
      </c>
      <c r="AB52" s="84">
        <f t="shared" si="14"/>
        <v>0.46190079735827405</v>
      </c>
    </row>
    <row r="53" spans="1:28" ht="17.45" customHeight="1">
      <c r="A53" s="182">
        <f>+'Stock Historical Yahoo'!A33</f>
        <v>44470</v>
      </c>
      <c r="B53" s="183">
        <f>+'Stock Historical Yahoo'!B33</f>
        <v>78.470000999999996</v>
      </c>
      <c r="C53" s="183">
        <f>+'Stock Historical Yahoo'!C33</f>
        <v>87.75</v>
      </c>
      <c r="D53" s="183">
        <f>+'Stock Historical Yahoo'!D33</f>
        <v>78</v>
      </c>
      <c r="E53" s="183">
        <f>+'Stock Historical Yahoo'!E33</f>
        <v>85.199996999999996</v>
      </c>
      <c r="F53" s="181">
        <f t="shared" si="2"/>
        <v>0.10505835551383536</v>
      </c>
      <c r="G53" s="106">
        <f t="shared" si="3"/>
        <v>0.42016583677295938</v>
      </c>
      <c r="I53" s="183">
        <f>+'S&amp;P ETF Yahoo'!B33</f>
        <v>430.98001099999999</v>
      </c>
      <c r="J53" s="183">
        <f>+'S&amp;P ETF Yahoo'!C33</f>
        <v>459.55999800000001</v>
      </c>
      <c r="K53" s="183">
        <f>+'S&amp;P ETF Yahoo'!D33</f>
        <v>426.35998499999999</v>
      </c>
      <c r="L53" s="183">
        <f>+'S&amp;P ETF Yahoo'!E33</f>
        <v>459.25</v>
      </c>
      <c r="M53" s="181">
        <f t="shared" si="4"/>
        <v>7.0163545573814545E-2</v>
      </c>
      <c r="N53" s="106">
        <f t="shared" si="5"/>
        <v>0.5320643429320886</v>
      </c>
      <c r="P53" s="73">
        <f t="shared" si="0"/>
        <v>44470</v>
      </c>
      <c r="Q53" s="108">
        <f t="shared" si="1"/>
        <v>85.199996999999996</v>
      </c>
      <c r="R53"/>
      <c r="S53" s="110">
        <f t="shared" si="6"/>
        <v>0.10505835551383536</v>
      </c>
      <c r="T53" s="110">
        <f t="shared" si="7"/>
        <v>7.0163545573814545E-2</v>
      </c>
      <c r="U53" s="84">
        <f t="shared" si="8"/>
        <v>8.8638018100582819E-2</v>
      </c>
      <c r="V53" s="84">
        <f t="shared" si="9"/>
        <v>5.9072223867588376E-2</v>
      </c>
      <c r="W53" s="118">
        <f t="shared" si="10"/>
        <v>5.2360448484169786E-3</v>
      </c>
      <c r="X53" s="118">
        <f t="shared" si="11"/>
        <v>3.4895276326624776E-3</v>
      </c>
      <c r="Z53" s="73">
        <f t="shared" si="12"/>
        <v>44470</v>
      </c>
      <c r="AA53" s="84">
        <f t="shared" si="13"/>
        <v>0.42016583677295938</v>
      </c>
      <c r="AB53" s="84">
        <f t="shared" si="14"/>
        <v>0.5320643429320886</v>
      </c>
    </row>
    <row r="54" spans="1:28" ht="17.45" customHeight="1">
      <c r="A54" s="182">
        <f>+'Stock Historical Yahoo'!A34</f>
        <v>44501</v>
      </c>
      <c r="B54" s="183">
        <f>+'Stock Historical Yahoo'!B34</f>
        <v>85.449996999999996</v>
      </c>
      <c r="C54" s="183">
        <f>+'Stock Historical Yahoo'!C34</f>
        <v>94.919998000000007</v>
      </c>
      <c r="D54" s="183">
        <f>+'Stock Historical Yahoo'!D34</f>
        <v>74.910004000000001</v>
      </c>
      <c r="E54" s="183">
        <f>+'Stock Historical Yahoo'!E34</f>
        <v>78.769997000000004</v>
      </c>
      <c r="F54" s="181">
        <f t="shared" si="2"/>
        <v>-7.5469486225451354E-2</v>
      </c>
      <c r="G54" s="106">
        <f t="shared" si="3"/>
        <v>0.34469635054750802</v>
      </c>
      <c r="I54" s="183">
        <f>+'S&amp;P ETF Yahoo'!B34</f>
        <v>460.29998799999998</v>
      </c>
      <c r="J54" s="183">
        <f>+'S&amp;P ETF Yahoo'!C34</f>
        <v>473.540009</v>
      </c>
      <c r="K54" s="183">
        <f>+'S&amp;P ETF Yahoo'!D34</f>
        <v>455.29998799999998</v>
      </c>
      <c r="L54" s="183">
        <f>+'S&amp;P ETF Yahoo'!E34</f>
        <v>455.55999800000001</v>
      </c>
      <c r="M54" s="181">
        <f t="shared" si="4"/>
        <v>-8.0348437670114681E-3</v>
      </c>
      <c r="N54" s="106">
        <f t="shared" si="5"/>
        <v>0.52402949916507713</v>
      </c>
      <c r="P54" s="73">
        <f t="shared" si="0"/>
        <v>44501</v>
      </c>
      <c r="Q54" s="108">
        <f t="shared" si="1"/>
        <v>78.769997000000004</v>
      </c>
      <c r="R54"/>
      <c r="S54" s="110">
        <f t="shared" si="6"/>
        <v>-7.5469486225451354E-2</v>
      </c>
      <c r="T54" s="110">
        <f t="shared" si="7"/>
        <v>-8.0348437670114681E-3</v>
      </c>
      <c r="U54" s="84">
        <f t="shared" si="8"/>
        <v>-9.1889823638703891E-2</v>
      </c>
      <c r="V54" s="84">
        <f t="shared" si="9"/>
        <v>-1.9126165473237637E-2</v>
      </c>
      <c r="W54" s="118">
        <f t="shared" si="10"/>
        <v>1.7574999722204741E-3</v>
      </c>
      <c r="X54" s="118">
        <f t="shared" si="11"/>
        <v>3.658102057096675E-4</v>
      </c>
      <c r="Z54" s="73">
        <f t="shared" si="12"/>
        <v>44501</v>
      </c>
      <c r="AA54" s="84">
        <f t="shared" si="13"/>
        <v>0.34469635054750802</v>
      </c>
      <c r="AB54" s="84">
        <f t="shared" si="14"/>
        <v>0.52402949916507713</v>
      </c>
    </row>
    <row r="55" spans="1:28" ht="17.45" customHeight="1">
      <c r="A55" s="182">
        <f>+'Stock Historical Yahoo'!A35</f>
        <v>44531</v>
      </c>
      <c r="B55" s="183">
        <f>+'Stock Historical Yahoo'!B35</f>
        <v>80.389999000000003</v>
      </c>
      <c r="C55" s="183">
        <f>+'Stock Historical Yahoo'!C35</f>
        <v>97.150002000000001</v>
      </c>
      <c r="D55" s="183">
        <f>+'Stock Historical Yahoo'!D35</f>
        <v>77.699996999999996</v>
      </c>
      <c r="E55" s="183">
        <f>+'Stock Historical Yahoo'!E35</f>
        <v>95.900002000000001</v>
      </c>
      <c r="F55" s="181">
        <f t="shared" si="2"/>
        <v>0.21746865116676339</v>
      </c>
      <c r="G55" s="106">
        <f t="shared" si="3"/>
        <v>0.56216500171427142</v>
      </c>
      <c r="I55" s="183">
        <f>+'S&amp;P ETF Yahoo'!B35</f>
        <v>461.64001500000001</v>
      </c>
      <c r="J55" s="183">
        <f>+'S&amp;P ETF Yahoo'!C35</f>
        <v>479</v>
      </c>
      <c r="K55" s="183">
        <f>+'S&amp;P ETF Yahoo'!D35</f>
        <v>448.92001299999998</v>
      </c>
      <c r="L55" s="183">
        <f>+'S&amp;P ETF Yahoo'!E35</f>
        <v>474.959991</v>
      </c>
      <c r="M55" s="181">
        <f t="shared" si="4"/>
        <v>4.2584935211980479E-2</v>
      </c>
      <c r="N55" s="106">
        <f t="shared" si="5"/>
        <v>0.56661443437705761</v>
      </c>
      <c r="P55" s="73">
        <f t="shared" si="0"/>
        <v>44531</v>
      </c>
      <c r="Q55" s="108">
        <f t="shared" si="1"/>
        <v>95.900002000000001</v>
      </c>
      <c r="R55"/>
      <c r="S55" s="110">
        <f t="shared" si="6"/>
        <v>0.21746865116676339</v>
      </c>
      <c r="T55" s="110">
        <f t="shared" si="7"/>
        <v>4.2584935211980479E-2</v>
      </c>
      <c r="U55" s="84">
        <f t="shared" ref="U55:U81" si="15">+S55-$S$85</f>
        <v>0.20104831375351084</v>
      </c>
      <c r="V55" s="84">
        <f t="shared" ref="V55:V81" si="16">+T55-$T$85</f>
        <v>3.149361350575431E-2</v>
      </c>
      <c r="W55" s="118">
        <f t="shared" si="10"/>
        <v>6.3317378893366994E-3</v>
      </c>
      <c r="X55" s="118">
        <f t="shared" si="11"/>
        <v>9.918476916498302E-4</v>
      </c>
      <c r="Z55" s="73">
        <f t="shared" si="12"/>
        <v>44531</v>
      </c>
      <c r="AA55" s="84">
        <f t="shared" si="13"/>
        <v>0.56216500171427142</v>
      </c>
      <c r="AB55" s="84">
        <f t="shared" si="14"/>
        <v>0.56661443437705761</v>
      </c>
    </row>
    <row r="56" spans="1:28" ht="17.45" customHeight="1">
      <c r="A56" s="182">
        <f>+'Stock Historical Yahoo'!A36</f>
        <v>44562</v>
      </c>
      <c r="B56" s="183">
        <f>+'Stock Historical Yahoo'!B36</f>
        <v>96.550003000000004</v>
      </c>
      <c r="C56" s="183">
        <f>+'Stock Historical Yahoo'!C36</f>
        <v>99</v>
      </c>
      <c r="D56" s="183">
        <f>+'Stock Historical Yahoo'!D36</f>
        <v>83.309997999999993</v>
      </c>
      <c r="E56" s="183">
        <f>+'Stock Historical Yahoo'!E36</f>
        <v>91.610000999999997</v>
      </c>
      <c r="F56" s="181">
        <f t="shared" si="2"/>
        <v>-4.4734107513365928E-2</v>
      </c>
      <c r="G56" s="106">
        <f t="shared" si="3"/>
        <v>0.51743089420090549</v>
      </c>
      <c r="I56" s="183">
        <f>+'S&amp;P ETF Yahoo'!B36</f>
        <v>476.29998799999998</v>
      </c>
      <c r="J56" s="183">
        <f>+'S&amp;P ETF Yahoo'!C36</f>
        <v>479.98001099999999</v>
      </c>
      <c r="K56" s="183">
        <f>+'S&amp;P ETF Yahoo'!D36</f>
        <v>420.76001000000002</v>
      </c>
      <c r="L56" s="183">
        <f>+'S&amp;P ETF Yahoo'!E36</f>
        <v>449.91000400000001</v>
      </c>
      <c r="M56" s="181">
        <f t="shared" si="4"/>
        <v>-5.2741257105169526E-2</v>
      </c>
      <c r="N56" s="106">
        <f t="shared" si="5"/>
        <v>0.51387317727188808</v>
      </c>
      <c r="P56" s="73">
        <f t="shared" si="0"/>
        <v>44562</v>
      </c>
      <c r="Q56" s="108">
        <f t="shared" si="1"/>
        <v>91.610000999999997</v>
      </c>
      <c r="R56"/>
      <c r="S56" s="110">
        <f t="shared" si="6"/>
        <v>-4.4734107513365928E-2</v>
      </c>
      <c r="T56" s="110">
        <f t="shared" si="7"/>
        <v>-5.2741257105169526E-2</v>
      </c>
      <c r="U56" s="84">
        <f t="shared" si="15"/>
        <v>-6.1154444926618465E-2</v>
      </c>
      <c r="V56" s="84">
        <f t="shared" si="16"/>
        <v>-6.3832578811395702E-2</v>
      </c>
      <c r="W56" s="118">
        <f t="shared" si="10"/>
        <v>3.9036459254455313E-3</v>
      </c>
      <c r="X56" s="118">
        <f t="shared" si="11"/>
        <v>4.0745981177130438E-3</v>
      </c>
      <c r="Z56" s="73">
        <f t="shared" si="12"/>
        <v>44562</v>
      </c>
      <c r="AA56" s="84">
        <f t="shared" si="13"/>
        <v>0.51743089420090549</v>
      </c>
      <c r="AB56" s="84">
        <f t="shared" si="14"/>
        <v>0.51387317727188808</v>
      </c>
    </row>
    <row r="57" spans="1:28" ht="17.45" customHeight="1">
      <c r="A57" s="182">
        <f>+'Stock Historical Yahoo'!A37</f>
        <v>44593</v>
      </c>
      <c r="B57" s="183">
        <f>+'Stock Historical Yahoo'!B37</f>
        <v>92.190002000000007</v>
      </c>
      <c r="C57" s="183">
        <f>+'Stock Historical Yahoo'!C37</f>
        <v>108.099998</v>
      </c>
      <c r="D57" s="183">
        <f>+'Stock Historical Yahoo'!D37</f>
        <v>90.839995999999999</v>
      </c>
      <c r="E57" s="183">
        <f>+'Stock Historical Yahoo'!E37</f>
        <v>97.110000999999997</v>
      </c>
      <c r="F57" s="181">
        <f t="shared" si="2"/>
        <v>6.0037113196844016E-2</v>
      </c>
      <c r="G57" s="106">
        <f t="shared" si="3"/>
        <v>0.57746800739774951</v>
      </c>
      <c r="I57" s="183">
        <f>+'S&amp;P ETF Yahoo'!B37</f>
        <v>450.67999300000002</v>
      </c>
      <c r="J57" s="183">
        <f>+'S&amp;P ETF Yahoo'!C37</f>
        <v>458.11999500000002</v>
      </c>
      <c r="K57" s="183">
        <f>+'S&amp;P ETF Yahoo'!D37</f>
        <v>410.64001500000001</v>
      </c>
      <c r="L57" s="183">
        <f>+'S&amp;P ETF Yahoo'!E37</f>
        <v>436.63000499999998</v>
      </c>
      <c r="M57" s="181">
        <f t="shared" si="4"/>
        <v>-2.9517012028921319E-2</v>
      </c>
      <c r="N57" s="106">
        <f t="shared" si="5"/>
        <v>0.48435616524296676</v>
      </c>
      <c r="P57" s="73">
        <f t="shared" si="0"/>
        <v>44593</v>
      </c>
      <c r="Q57" s="108">
        <f t="shared" si="1"/>
        <v>97.110000999999997</v>
      </c>
      <c r="R57"/>
      <c r="S57" s="110">
        <f t="shared" si="6"/>
        <v>6.0037113196844016E-2</v>
      </c>
      <c r="T57" s="110">
        <f t="shared" si="7"/>
        <v>-2.9517012028921319E-2</v>
      </c>
      <c r="U57" s="84">
        <f t="shared" si="15"/>
        <v>4.361677578359148E-2</v>
      </c>
      <c r="V57" s="84">
        <f t="shared" si="16"/>
        <v>-4.0608333735147488E-2</v>
      </c>
      <c r="W57" s="118">
        <f t="shared" si="10"/>
        <v>-1.7712045874711819E-3</v>
      </c>
      <c r="X57" s="118">
        <f t="shared" si="11"/>
        <v>1.6490367687451175E-3</v>
      </c>
      <c r="Z57" s="73">
        <f t="shared" si="12"/>
        <v>44593</v>
      </c>
      <c r="AA57" s="84">
        <f t="shared" si="13"/>
        <v>0.57746800739774951</v>
      </c>
      <c r="AB57" s="84">
        <f t="shared" si="14"/>
        <v>0.48435616524296676</v>
      </c>
    </row>
    <row r="58" spans="1:28" ht="17.45" customHeight="1">
      <c r="A58" s="182">
        <f>+'Stock Historical Yahoo'!A38</f>
        <v>44621</v>
      </c>
      <c r="B58" s="183">
        <f>+'Stock Historical Yahoo'!B38</f>
        <v>96.080001999999993</v>
      </c>
      <c r="C58" s="183">
        <f>+'Stock Historical Yahoo'!C38</f>
        <v>98.900002000000001</v>
      </c>
      <c r="D58" s="183">
        <f>+'Stock Historical Yahoo'!D38</f>
        <v>81.769997000000004</v>
      </c>
      <c r="E58" s="183">
        <f>+'Stock Historical Yahoo'!E38</f>
        <v>95.449996999999996</v>
      </c>
      <c r="F58" s="181">
        <f t="shared" si="2"/>
        <v>-1.709405810839193E-2</v>
      </c>
      <c r="G58" s="106">
        <f t="shared" si="3"/>
        <v>0.56037394928935758</v>
      </c>
      <c r="I58" s="183">
        <f>+'S&amp;P ETF Yahoo'!B38</f>
        <v>435.040009</v>
      </c>
      <c r="J58" s="183">
        <f>+'S&amp;P ETF Yahoo'!C38</f>
        <v>462.07000699999998</v>
      </c>
      <c r="K58" s="183">
        <f>+'S&amp;P ETF Yahoo'!D38</f>
        <v>415.11999500000002</v>
      </c>
      <c r="L58" s="183">
        <f>+'S&amp;P ETF Yahoo'!E38</f>
        <v>451.64001500000001</v>
      </c>
      <c r="M58" s="181">
        <f t="shared" si="4"/>
        <v>3.4376954923196479E-2</v>
      </c>
      <c r="N58" s="106">
        <f t="shared" si="5"/>
        <v>0.51873312016616324</v>
      </c>
      <c r="P58" s="73">
        <f t="shared" si="0"/>
        <v>44621</v>
      </c>
      <c r="Q58" s="108">
        <f t="shared" si="1"/>
        <v>95.449996999999996</v>
      </c>
      <c r="R58"/>
      <c r="S58" s="110">
        <f t="shared" si="6"/>
        <v>-1.709405810839193E-2</v>
      </c>
      <c r="T58" s="110">
        <f t="shared" si="7"/>
        <v>3.4376954923196479E-2</v>
      </c>
      <c r="U58" s="84">
        <f t="shared" si="15"/>
        <v>-3.3514395521644466E-2</v>
      </c>
      <c r="V58" s="84">
        <f t="shared" si="16"/>
        <v>2.328563321697031E-2</v>
      </c>
      <c r="W58" s="118">
        <f t="shared" si="10"/>
        <v>-7.8040392160548533E-4</v>
      </c>
      <c r="X58" s="118">
        <f t="shared" si="11"/>
        <v>5.4222071431527105E-4</v>
      </c>
      <c r="Z58" s="73">
        <f t="shared" si="12"/>
        <v>44621</v>
      </c>
      <c r="AA58" s="84">
        <f t="shared" si="13"/>
        <v>0.56037394928935758</v>
      </c>
      <c r="AB58" s="84">
        <f t="shared" si="14"/>
        <v>0.51873312016616324</v>
      </c>
    </row>
    <row r="59" spans="1:28" ht="17.45" customHeight="1">
      <c r="A59" s="182">
        <f>+'Stock Historical Yahoo'!A39</f>
        <v>44652</v>
      </c>
      <c r="B59" s="183">
        <f>+'Stock Historical Yahoo'!B39</f>
        <v>96.580001999999993</v>
      </c>
      <c r="C59" s="183">
        <f>+'Stock Historical Yahoo'!C39</f>
        <v>102.529999</v>
      </c>
      <c r="D59" s="183">
        <f>+'Stock Historical Yahoo'!D39</f>
        <v>86.129997000000003</v>
      </c>
      <c r="E59" s="183">
        <f>+'Stock Historical Yahoo'!E39</f>
        <v>94.959998999999996</v>
      </c>
      <c r="F59" s="181">
        <f t="shared" si="2"/>
        <v>-5.1335569973878226E-3</v>
      </c>
      <c r="G59" s="106">
        <f t="shared" si="3"/>
        <v>0.55524039229196975</v>
      </c>
      <c r="I59" s="183">
        <f>+'S&amp;P ETF Yahoo'!B39</f>
        <v>453.30999800000001</v>
      </c>
      <c r="J59" s="183">
        <f>+'S&amp;P ETF Yahoo'!C39</f>
        <v>457.82998700000002</v>
      </c>
      <c r="K59" s="183">
        <f>+'S&amp;P ETF Yahoo'!D39</f>
        <v>411.209991</v>
      </c>
      <c r="L59" s="183">
        <f>+'S&amp;P ETF Yahoo'!E39</f>
        <v>412</v>
      </c>
      <c r="M59" s="181">
        <f t="shared" si="4"/>
        <v>-8.7769049870392912E-2</v>
      </c>
      <c r="N59" s="106">
        <f t="shared" si="5"/>
        <v>0.43096407029577033</v>
      </c>
      <c r="P59" s="73">
        <f t="shared" si="0"/>
        <v>44652</v>
      </c>
      <c r="Q59" s="108">
        <f t="shared" si="1"/>
        <v>94.959998999999996</v>
      </c>
      <c r="R59"/>
      <c r="S59" s="110">
        <f t="shared" si="6"/>
        <v>-5.1335569973878226E-3</v>
      </c>
      <c r="T59" s="110">
        <f t="shared" si="7"/>
        <v>-8.7769049870392912E-2</v>
      </c>
      <c r="U59" s="84">
        <f t="shared" si="15"/>
        <v>-2.1553894410640359E-2</v>
      </c>
      <c r="V59" s="84">
        <f t="shared" si="16"/>
        <v>-9.8860371576619088E-2</v>
      </c>
      <c r="W59" s="118">
        <f t="shared" si="10"/>
        <v>2.1308260103591191E-3</v>
      </c>
      <c r="X59" s="118">
        <f t="shared" si="11"/>
        <v>9.7733730682671958E-3</v>
      </c>
      <c r="Z59" s="73">
        <f t="shared" si="12"/>
        <v>44652</v>
      </c>
      <c r="AA59" s="84">
        <f t="shared" si="13"/>
        <v>0.55524039229196975</v>
      </c>
      <c r="AB59" s="84">
        <f t="shared" si="14"/>
        <v>0.43096407029577033</v>
      </c>
    </row>
    <row r="60" spans="1:28" ht="17.45" customHeight="1">
      <c r="A60" s="182">
        <f>+'Stock Historical Yahoo'!A40</f>
        <v>44682</v>
      </c>
      <c r="B60" s="183">
        <f>+'Stock Historical Yahoo'!B40</f>
        <v>95.949996999999996</v>
      </c>
      <c r="C60" s="183">
        <f>+'Stock Historical Yahoo'!C40</f>
        <v>96.389999000000003</v>
      </c>
      <c r="D60" s="183">
        <f>+'Stock Historical Yahoo'!D40</f>
        <v>78.029999000000004</v>
      </c>
      <c r="E60" s="183">
        <f>+'Stock Historical Yahoo'!E40</f>
        <v>88.389999000000003</v>
      </c>
      <c r="F60" s="181">
        <f t="shared" si="2"/>
        <v>-6.9187026844850674E-2</v>
      </c>
      <c r="G60" s="106">
        <f t="shared" si="3"/>
        <v>0.48605336544711908</v>
      </c>
      <c r="I60" s="183">
        <f>+'S&amp;P ETF Yahoo'!B40</f>
        <v>412.07000699999998</v>
      </c>
      <c r="J60" s="183">
        <f>+'S&amp;P ETF Yahoo'!C40</f>
        <v>429.66000400000001</v>
      </c>
      <c r="K60" s="183">
        <f>+'S&amp;P ETF Yahoo'!D40</f>
        <v>380.540009</v>
      </c>
      <c r="L60" s="183">
        <f>+'S&amp;P ETF Yahoo'!E40</f>
        <v>412.92999300000002</v>
      </c>
      <c r="M60" s="181">
        <f t="shared" si="4"/>
        <v>2.257264563106931E-3</v>
      </c>
      <c r="N60" s="106">
        <f t="shared" si="5"/>
        <v>0.43322133485887726</v>
      </c>
      <c r="P60" s="73">
        <f t="shared" si="0"/>
        <v>44682</v>
      </c>
      <c r="Q60" s="108">
        <f t="shared" si="1"/>
        <v>88.389999000000003</v>
      </c>
      <c r="R60"/>
      <c r="S60" s="110">
        <f t="shared" si="6"/>
        <v>-6.9187026844850674E-2</v>
      </c>
      <c r="T60" s="110">
        <f t="shared" si="7"/>
        <v>2.257264563106931E-3</v>
      </c>
      <c r="U60" s="84">
        <f t="shared" si="15"/>
        <v>-8.5607364258103211E-2</v>
      </c>
      <c r="V60" s="84">
        <f t="shared" si="16"/>
        <v>-8.8340571431192397E-3</v>
      </c>
      <c r="W60" s="118">
        <f t="shared" si="10"/>
        <v>7.5626034772790737E-4</v>
      </c>
      <c r="X60" s="118">
        <f t="shared" si="11"/>
        <v>7.8040565607896068E-5</v>
      </c>
      <c r="Z60" s="73">
        <f t="shared" si="12"/>
        <v>44682</v>
      </c>
      <c r="AA60" s="84">
        <f t="shared" si="13"/>
        <v>0.48605336544711908</v>
      </c>
      <c r="AB60" s="84">
        <f t="shared" si="14"/>
        <v>0.43322133485887726</v>
      </c>
    </row>
    <row r="61" spans="1:28" ht="17.45" customHeight="1">
      <c r="A61" s="182">
        <f>+'Stock Historical Yahoo'!A41</f>
        <v>44713</v>
      </c>
      <c r="B61" s="183">
        <f>+'Stock Historical Yahoo'!B41</f>
        <v>88.379997000000003</v>
      </c>
      <c r="C61" s="183">
        <f>+'Stock Historical Yahoo'!C41</f>
        <v>95.589995999999999</v>
      </c>
      <c r="D61" s="183">
        <f>+'Stock Historical Yahoo'!D41</f>
        <v>70.120002999999997</v>
      </c>
      <c r="E61" s="183">
        <f>+'Stock Historical Yahoo'!E41</f>
        <v>73.910004000000001</v>
      </c>
      <c r="F61" s="181">
        <f t="shared" si="2"/>
        <v>-0.16381938187373435</v>
      </c>
      <c r="G61" s="106">
        <f t="shared" si="3"/>
        <v>0.32223398357338473</v>
      </c>
      <c r="I61" s="183">
        <f>+'S&amp;P ETF Yahoo'!B41</f>
        <v>415.17001299999998</v>
      </c>
      <c r="J61" s="183">
        <f>+'S&amp;P ETF Yahoo'!C41</f>
        <v>417.44000199999999</v>
      </c>
      <c r="K61" s="183">
        <f>+'S&amp;P ETF Yahoo'!D41</f>
        <v>362.17001299999998</v>
      </c>
      <c r="L61" s="183">
        <f>+'S&amp;P ETF Yahoo'!E41</f>
        <v>377.25</v>
      </c>
      <c r="M61" s="181">
        <f t="shared" si="4"/>
        <v>-8.6406881565515237E-2</v>
      </c>
      <c r="N61" s="106">
        <f t="shared" si="5"/>
        <v>0.34681445329336202</v>
      </c>
      <c r="P61" s="73">
        <f t="shared" si="0"/>
        <v>44713</v>
      </c>
      <c r="Q61" s="108">
        <f t="shared" si="1"/>
        <v>73.910004000000001</v>
      </c>
      <c r="R61"/>
      <c r="S61" s="110">
        <f t="shared" si="6"/>
        <v>-0.16381938187373435</v>
      </c>
      <c r="T61" s="110">
        <f t="shared" si="7"/>
        <v>-8.6406881565515237E-2</v>
      </c>
      <c r="U61" s="84">
        <f t="shared" si="15"/>
        <v>-0.1802397192869869</v>
      </c>
      <c r="V61" s="84">
        <f t="shared" si="16"/>
        <v>-9.7498203271741413E-2</v>
      </c>
      <c r="W61" s="118">
        <f t="shared" si="10"/>
        <v>1.7573048788684261E-2</v>
      </c>
      <c r="X61" s="118">
        <f t="shared" si="11"/>
        <v>9.505899641217808E-3</v>
      </c>
      <c r="Z61" s="73">
        <f t="shared" si="12"/>
        <v>44713</v>
      </c>
      <c r="AA61" s="84">
        <f t="shared" si="13"/>
        <v>0.32223398357338473</v>
      </c>
      <c r="AB61" s="84">
        <f t="shared" si="14"/>
        <v>0.34681445329336202</v>
      </c>
    </row>
    <row r="62" spans="1:28" ht="17.45" customHeight="1">
      <c r="A62" s="182">
        <f>+'Stock Historical Yahoo'!A42</f>
        <v>44743</v>
      </c>
      <c r="B62" s="183">
        <f>+'Stock Historical Yahoo'!B42</f>
        <v>73.629997000000003</v>
      </c>
      <c r="C62" s="183">
        <f>+'Stock Historical Yahoo'!C42</f>
        <v>84.190002000000007</v>
      </c>
      <c r="D62" s="183">
        <f>+'Stock Historical Yahoo'!D42</f>
        <v>71.669998000000007</v>
      </c>
      <c r="E62" s="183">
        <f>+'Stock Historical Yahoo'!E42</f>
        <v>82.75</v>
      </c>
      <c r="F62" s="181">
        <f t="shared" si="2"/>
        <v>0.11960486431579676</v>
      </c>
      <c r="G62" s="106">
        <f t="shared" si="3"/>
        <v>0.44183884788918149</v>
      </c>
      <c r="I62" s="183">
        <f>+'S&amp;P ETF Yahoo'!B42</f>
        <v>376.55999800000001</v>
      </c>
      <c r="J62" s="183">
        <f>+'S&amp;P ETF Yahoo'!C42</f>
        <v>413.02999899999998</v>
      </c>
      <c r="K62" s="183">
        <f>+'S&amp;P ETF Yahoo'!D42</f>
        <v>371.040009</v>
      </c>
      <c r="L62" s="183">
        <f>+'S&amp;P ETF Yahoo'!E42</f>
        <v>411.98998999999998</v>
      </c>
      <c r="M62" s="181">
        <f t="shared" si="4"/>
        <v>9.2087448641484437E-2</v>
      </c>
      <c r="N62" s="106">
        <f t="shared" si="5"/>
        <v>0.43890190193484646</v>
      </c>
      <c r="P62" s="73">
        <f t="shared" si="0"/>
        <v>44743</v>
      </c>
      <c r="Q62" s="108">
        <f t="shared" si="1"/>
        <v>82.75</v>
      </c>
      <c r="R62"/>
      <c r="S62" s="110">
        <f t="shared" si="6"/>
        <v>0.11960486431579676</v>
      </c>
      <c r="T62" s="110">
        <f t="shared" si="7"/>
        <v>9.2087448641484437E-2</v>
      </c>
      <c r="U62" s="84">
        <f t="shared" si="15"/>
        <v>0.10318452690254422</v>
      </c>
      <c r="V62" s="84">
        <f t="shared" si="16"/>
        <v>8.0996126935258261E-2</v>
      </c>
      <c r="W62" s="118">
        <f t="shared" si="10"/>
        <v>8.3575470387530423E-3</v>
      </c>
      <c r="X62" s="118">
        <f t="shared" si="11"/>
        <v>6.5603725785124689E-3</v>
      </c>
      <c r="Z62" s="73">
        <f t="shared" si="12"/>
        <v>44743</v>
      </c>
      <c r="AA62" s="84">
        <f t="shared" si="13"/>
        <v>0.44183884788918149</v>
      </c>
      <c r="AB62" s="84">
        <f t="shared" si="14"/>
        <v>0.43890190193484646</v>
      </c>
    </row>
    <row r="63" spans="1:28" ht="17.45" customHeight="1">
      <c r="A63" s="182">
        <f>+'Stock Historical Yahoo'!A43</f>
        <v>44774</v>
      </c>
      <c r="B63" s="183">
        <f>+'Stock Historical Yahoo'!B43</f>
        <v>82.43</v>
      </c>
      <c r="C63" s="183">
        <f>+'Stock Historical Yahoo'!C43</f>
        <v>96.809997999999993</v>
      </c>
      <c r="D63" s="183">
        <f>+'Stock Historical Yahoo'!D43</f>
        <v>81.449996999999996</v>
      </c>
      <c r="E63" s="183">
        <f>+'Stock Historical Yahoo'!E43</f>
        <v>89.620002999999997</v>
      </c>
      <c r="F63" s="181">
        <f t="shared" si="2"/>
        <v>8.3021184290030137E-2</v>
      </c>
      <c r="G63" s="106">
        <f t="shared" si="3"/>
        <v>0.52486003217921162</v>
      </c>
      <c r="I63" s="183">
        <f>+'S&amp;P ETF Yahoo'!B43</f>
        <v>409.14999399999999</v>
      </c>
      <c r="J63" s="183">
        <f>+'S&amp;P ETF Yahoo'!C43</f>
        <v>431.73001099999999</v>
      </c>
      <c r="K63" s="183">
        <f>+'S&amp;P ETF Yahoo'!D43</f>
        <v>395.040009</v>
      </c>
      <c r="L63" s="183">
        <f>+'S&amp;P ETF Yahoo'!E43</f>
        <v>395.17999300000002</v>
      </c>
      <c r="M63" s="181">
        <f t="shared" si="4"/>
        <v>-4.0801954921283246E-2</v>
      </c>
      <c r="N63" s="106">
        <f t="shared" si="5"/>
        <v>0.39809994701356322</v>
      </c>
      <c r="P63" s="73">
        <f t="shared" si="0"/>
        <v>44774</v>
      </c>
      <c r="Q63" s="108">
        <f t="shared" si="1"/>
        <v>89.620002999999997</v>
      </c>
      <c r="R63"/>
      <c r="S63" s="110">
        <f t="shared" si="6"/>
        <v>8.3021184290030137E-2</v>
      </c>
      <c r="T63" s="110">
        <f t="shared" si="7"/>
        <v>-4.0801954921283246E-2</v>
      </c>
      <c r="U63" s="84">
        <f t="shared" si="15"/>
        <v>6.66008468767776E-2</v>
      </c>
      <c r="V63" s="84">
        <f t="shared" si="16"/>
        <v>-5.1893276627509415E-2</v>
      </c>
      <c r="W63" s="118">
        <f t="shared" si="10"/>
        <v>-3.4561361706030164E-3</v>
      </c>
      <c r="X63" s="118">
        <f t="shared" si="11"/>
        <v>2.6929121591392148E-3</v>
      </c>
      <c r="Z63" s="73">
        <f t="shared" si="12"/>
        <v>44774</v>
      </c>
      <c r="AA63" s="84">
        <f t="shared" si="13"/>
        <v>0.52486003217921162</v>
      </c>
      <c r="AB63" s="84">
        <f t="shared" si="14"/>
        <v>0.39809994701356322</v>
      </c>
    </row>
    <row r="64" spans="1:28" ht="17.45" customHeight="1">
      <c r="A64" s="182">
        <f>+'Stock Historical Yahoo'!A44</f>
        <v>44805</v>
      </c>
      <c r="B64" s="183">
        <f>+'Stock Historical Yahoo'!B44</f>
        <v>88.949996999999996</v>
      </c>
      <c r="C64" s="183">
        <f>+'Stock Historical Yahoo'!C44</f>
        <v>96.709998999999996</v>
      </c>
      <c r="D64" s="183">
        <f>+'Stock Historical Yahoo'!D44</f>
        <v>77.699996999999996</v>
      </c>
      <c r="E64" s="183">
        <f>+'Stock Historical Yahoo'!E44</f>
        <v>80.959998999999996</v>
      </c>
      <c r="F64" s="181">
        <f t="shared" si="2"/>
        <v>-9.6630257867766467E-2</v>
      </c>
      <c r="G64" s="106">
        <f t="shared" si="3"/>
        <v>0.42822977431144515</v>
      </c>
      <c r="I64" s="183">
        <f>+'S&amp;P ETF Yahoo'!B44</f>
        <v>392.89001500000001</v>
      </c>
      <c r="J64" s="183">
        <f>+'S&amp;P ETF Yahoo'!C44</f>
        <v>411.73001099999999</v>
      </c>
      <c r="K64" s="183">
        <f>+'S&amp;P ETF Yahoo'!D44</f>
        <v>357.040009</v>
      </c>
      <c r="L64" s="183">
        <f>+'S&amp;P ETF Yahoo'!E44</f>
        <v>357.17999300000002</v>
      </c>
      <c r="M64" s="181">
        <f t="shared" si="4"/>
        <v>-9.6158714188751993E-2</v>
      </c>
      <c r="N64" s="106">
        <f t="shared" si="5"/>
        <v>0.30194123282481122</v>
      </c>
      <c r="P64" s="73">
        <f t="shared" si="0"/>
        <v>44805</v>
      </c>
      <c r="Q64" s="108">
        <f t="shared" si="1"/>
        <v>80.959998999999996</v>
      </c>
      <c r="R64"/>
      <c r="S64" s="110">
        <f t="shared" si="6"/>
        <v>-9.6630257867766467E-2</v>
      </c>
      <c r="T64" s="110">
        <f t="shared" si="7"/>
        <v>-9.6158714188751993E-2</v>
      </c>
      <c r="U64" s="84">
        <f t="shared" si="15"/>
        <v>-0.113050595281019</v>
      </c>
      <c r="V64" s="84">
        <f t="shared" si="16"/>
        <v>-0.10725003589497817</v>
      </c>
      <c r="W64" s="118">
        <f t="shared" si="10"/>
        <v>1.2124680401837938E-2</v>
      </c>
      <c r="X64" s="118">
        <f t="shared" si="11"/>
        <v>1.1502570199474106E-2</v>
      </c>
      <c r="Z64" s="73">
        <f t="shared" si="12"/>
        <v>44805</v>
      </c>
      <c r="AA64" s="84">
        <f t="shared" si="13"/>
        <v>0.42822977431144515</v>
      </c>
      <c r="AB64" s="84">
        <f t="shared" si="14"/>
        <v>0.30194123282481122</v>
      </c>
    </row>
    <row r="65" spans="1:28" ht="17.45" customHeight="1">
      <c r="A65" s="182">
        <f>+'Stock Historical Yahoo'!A45</f>
        <v>44835</v>
      </c>
      <c r="B65" s="183">
        <f>+'Stock Historical Yahoo'!B45</f>
        <v>81.699996999999996</v>
      </c>
      <c r="C65" s="183">
        <f>+'Stock Historical Yahoo'!C45</f>
        <v>94.870002999999997</v>
      </c>
      <c r="D65" s="183">
        <f>+'Stock Historical Yahoo'!D45</f>
        <v>79.519997000000004</v>
      </c>
      <c r="E65" s="183">
        <f>+'Stock Historical Yahoo'!E45</f>
        <v>94.209998999999996</v>
      </c>
      <c r="F65" s="181">
        <f t="shared" si="2"/>
        <v>0.1636610692151812</v>
      </c>
      <c r="G65" s="106">
        <f t="shared" si="3"/>
        <v>0.59189084352662635</v>
      </c>
      <c r="I65" s="183">
        <f>+'S&amp;P ETF Yahoo'!B45</f>
        <v>361.07998700000002</v>
      </c>
      <c r="J65" s="183">
        <f>+'S&amp;P ETF Yahoo'!C45</f>
        <v>389.51998900000001</v>
      </c>
      <c r="K65" s="183">
        <f>+'S&amp;P ETF Yahoo'!D45</f>
        <v>348.10998499999999</v>
      </c>
      <c r="L65" s="183">
        <f>+'S&amp;P ETF Yahoo'!E45</f>
        <v>386.209991</v>
      </c>
      <c r="M65" s="181">
        <f t="shared" si="4"/>
        <v>8.1275543336493561E-2</v>
      </c>
      <c r="N65" s="106">
        <f t="shared" si="5"/>
        <v>0.38321677616130478</v>
      </c>
      <c r="P65" s="73">
        <f t="shared" si="0"/>
        <v>44835</v>
      </c>
      <c r="Q65" s="108">
        <f t="shared" si="1"/>
        <v>94.209998999999996</v>
      </c>
      <c r="R65"/>
      <c r="S65" s="110">
        <f t="shared" si="6"/>
        <v>0.1636610692151812</v>
      </c>
      <c r="T65" s="110">
        <f t="shared" si="7"/>
        <v>8.1275543336493561E-2</v>
      </c>
      <c r="U65" s="84">
        <f t="shared" si="15"/>
        <v>0.14724073180192865</v>
      </c>
      <c r="V65" s="84">
        <f t="shared" si="16"/>
        <v>7.0184221630267385E-2</v>
      </c>
      <c r="W65" s="118">
        <f t="shared" si="10"/>
        <v>1.033397615378932E-2</v>
      </c>
      <c r="X65" s="118">
        <f t="shared" si="11"/>
        <v>4.9258249658464918E-3</v>
      </c>
      <c r="Z65" s="73">
        <f t="shared" si="12"/>
        <v>44835</v>
      </c>
      <c r="AA65" s="84">
        <f t="shared" si="13"/>
        <v>0.59189084352662635</v>
      </c>
      <c r="AB65" s="84">
        <f t="shared" si="14"/>
        <v>0.38321677616130478</v>
      </c>
    </row>
    <row r="66" spans="1:28" ht="17.45" customHeight="1">
      <c r="A66" s="182">
        <f>+'Stock Historical Yahoo'!A46</f>
        <v>44866</v>
      </c>
      <c r="B66" s="183">
        <f>+'Stock Historical Yahoo'!B46</f>
        <v>95.790001000000004</v>
      </c>
      <c r="C66" s="183">
        <f>+'Stock Historical Yahoo'!C46</f>
        <v>100.550003</v>
      </c>
      <c r="D66" s="183">
        <f>+'Stock Historical Yahoo'!D46</f>
        <v>87.589995999999999</v>
      </c>
      <c r="E66" s="183">
        <f>+'Stock Historical Yahoo'!E46</f>
        <v>100.32</v>
      </c>
      <c r="F66" s="181">
        <f t="shared" si="2"/>
        <v>6.4855122225401907E-2</v>
      </c>
      <c r="G66" s="106">
        <f t="shared" si="3"/>
        <v>0.65674596575202826</v>
      </c>
      <c r="I66" s="183">
        <f>+'S&amp;P ETF Yahoo'!B46</f>
        <v>390.14001500000001</v>
      </c>
      <c r="J66" s="183">
        <f>+'S&amp;P ETF Yahoo'!C46</f>
        <v>407.67999300000002</v>
      </c>
      <c r="K66" s="183">
        <f>+'S&amp;P ETF Yahoo'!D46</f>
        <v>368.790009</v>
      </c>
      <c r="L66" s="183">
        <f>+'S&amp;P ETF Yahoo'!E46</f>
        <v>407.67999300000002</v>
      </c>
      <c r="M66" s="181">
        <f t="shared" si="4"/>
        <v>5.5591524042162943E-2</v>
      </c>
      <c r="N66" s="106">
        <f t="shared" si="5"/>
        <v>0.43880830020346773</v>
      </c>
      <c r="P66" s="73">
        <f t="shared" si="0"/>
        <v>44866</v>
      </c>
      <c r="Q66" s="108">
        <f t="shared" si="1"/>
        <v>100.32</v>
      </c>
      <c r="R66"/>
      <c r="S66" s="110">
        <f t="shared" si="6"/>
        <v>6.4855122225401907E-2</v>
      </c>
      <c r="T66" s="110">
        <f t="shared" si="7"/>
        <v>5.5591524042162943E-2</v>
      </c>
      <c r="U66" s="84">
        <f t="shared" si="15"/>
        <v>4.843478481214937E-2</v>
      </c>
      <c r="V66" s="84">
        <f t="shared" si="16"/>
        <v>4.4500202335936774E-2</v>
      </c>
      <c r="W66" s="118">
        <f t="shared" si="10"/>
        <v>2.1553577242382042E-3</v>
      </c>
      <c r="X66" s="118">
        <f t="shared" si="11"/>
        <v>1.9802680079393127E-3</v>
      </c>
      <c r="Z66" s="73">
        <f t="shared" si="12"/>
        <v>44866</v>
      </c>
      <c r="AA66" s="84">
        <f t="shared" si="13"/>
        <v>0.65674596575202826</v>
      </c>
      <c r="AB66" s="84">
        <f t="shared" si="14"/>
        <v>0.43880830020346773</v>
      </c>
    </row>
    <row r="67" spans="1:28" ht="17.45" customHeight="1">
      <c r="A67" s="182">
        <f>+'Stock Historical Yahoo'!A47</f>
        <v>44896</v>
      </c>
      <c r="B67" s="183">
        <f>+'Stock Historical Yahoo'!B47</f>
        <v>100.230003</v>
      </c>
      <c r="C67" s="183">
        <f>+'Stock Historical Yahoo'!C47</f>
        <v>103.5</v>
      </c>
      <c r="D67" s="183">
        <f>+'Stock Historical Yahoo'!D47</f>
        <v>88.010002</v>
      </c>
      <c r="E67" s="183">
        <f>+'Stock Historical Yahoo'!E47</f>
        <v>90.449996999999996</v>
      </c>
      <c r="F67" s="181">
        <f t="shared" si="2"/>
        <v>-9.8385197368420996E-2</v>
      </c>
      <c r="G67" s="106">
        <f t="shared" si="3"/>
        <v>0.55836076838360726</v>
      </c>
      <c r="I67" s="183">
        <f>+'S&amp;P ETF Yahoo'!B47</f>
        <v>408.76998900000001</v>
      </c>
      <c r="J67" s="183">
        <f>+'S&amp;P ETF Yahoo'!C47</f>
        <v>410.48998999999998</v>
      </c>
      <c r="K67" s="183">
        <f>+'S&amp;P ETF Yahoo'!D47</f>
        <v>374.76998900000001</v>
      </c>
      <c r="L67" s="183">
        <f>+'S&amp;P ETF Yahoo'!E47</f>
        <v>382.42999300000002</v>
      </c>
      <c r="M67" s="181">
        <f t="shared" si="4"/>
        <v>-6.193583308857642E-2</v>
      </c>
      <c r="N67" s="106">
        <f t="shared" si="5"/>
        <v>0.37687246711489131</v>
      </c>
      <c r="P67" s="73">
        <f t="shared" si="0"/>
        <v>44896</v>
      </c>
      <c r="Q67" s="108">
        <f t="shared" si="1"/>
        <v>90.449996999999996</v>
      </c>
      <c r="R67"/>
      <c r="S67" s="110">
        <f t="shared" si="6"/>
        <v>-9.8385197368420996E-2</v>
      </c>
      <c r="T67" s="110">
        <f t="shared" si="7"/>
        <v>-6.193583308857642E-2</v>
      </c>
      <c r="U67" s="84">
        <f t="shared" si="15"/>
        <v>-0.11480553478167353</v>
      </c>
      <c r="V67" s="84">
        <f t="shared" si="16"/>
        <v>-7.3027154794802596E-2</v>
      </c>
      <c r="W67" s="118">
        <f t="shared" si="10"/>
        <v>8.3839215598013658E-3</v>
      </c>
      <c r="X67" s="118">
        <f t="shared" si="11"/>
        <v>5.3329653374240595E-3</v>
      </c>
      <c r="Z67" s="73">
        <f t="shared" si="12"/>
        <v>44896</v>
      </c>
      <c r="AA67" s="84">
        <f t="shared" si="13"/>
        <v>0.55836076838360726</v>
      </c>
      <c r="AB67" s="84">
        <f t="shared" si="14"/>
        <v>0.37687246711489131</v>
      </c>
    </row>
    <row r="68" spans="1:28" ht="17.45" customHeight="1">
      <c r="A68" s="182">
        <f>+'Stock Historical Yahoo'!A48</f>
        <v>44927</v>
      </c>
      <c r="B68" s="183">
        <f>+'Stock Historical Yahoo'!B48</f>
        <v>91.370002999999997</v>
      </c>
      <c r="C68" s="183">
        <f>+'Stock Historical Yahoo'!C48</f>
        <v>113.19000200000001</v>
      </c>
      <c r="D68" s="183">
        <f>+'Stock Historical Yahoo'!D48</f>
        <v>88.800003000000004</v>
      </c>
      <c r="E68" s="183">
        <f>+'Stock Historical Yahoo'!E48</f>
        <v>109.120003</v>
      </c>
      <c r="F68" s="181">
        <f t="shared" si="2"/>
        <v>0.20641245571296141</v>
      </c>
      <c r="G68" s="106">
        <f t="shared" si="3"/>
        <v>0.76477322409656867</v>
      </c>
      <c r="I68" s="183">
        <f>+'S&amp;P ETF Yahoo'!B48</f>
        <v>384.36999500000002</v>
      </c>
      <c r="J68" s="183">
        <f>+'S&amp;P ETF Yahoo'!C48</f>
        <v>408.16000400000001</v>
      </c>
      <c r="K68" s="183">
        <f>+'S&amp;P ETF Yahoo'!D48</f>
        <v>377.82998700000002</v>
      </c>
      <c r="L68" s="183">
        <f>+'S&amp;P ETF Yahoo'!E48</f>
        <v>406.48001099999999</v>
      </c>
      <c r="M68" s="181">
        <f t="shared" si="4"/>
        <v>6.2887374003638863E-2</v>
      </c>
      <c r="N68" s="106">
        <f t="shared" si="5"/>
        <v>0.43975984111853017</v>
      </c>
      <c r="P68" s="73">
        <f t="shared" si="0"/>
        <v>44927</v>
      </c>
      <c r="Q68" s="108">
        <f t="shared" si="1"/>
        <v>109.120003</v>
      </c>
      <c r="R68"/>
      <c r="S68" s="110">
        <f t="shared" si="6"/>
        <v>0.20641245571296141</v>
      </c>
      <c r="T68" s="110">
        <f t="shared" si="7"/>
        <v>6.2887374003638863E-2</v>
      </c>
      <c r="U68" s="84">
        <f t="shared" si="15"/>
        <v>0.18999211829970886</v>
      </c>
      <c r="V68" s="84">
        <f t="shared" si="16"/>
        <v>5.1796052297412694E-2</v>
      </c>
      <c r="W68" s="118">
        <f t="shared" si="10"/>
        <v>9.8408416955479399E-3</v>
      </c>
      <c r="X68" s="118">
        <f t="shared" si="11"/>
        <v>2.6828310335963107E-3</v>
      </c>
      <c r="Z68" s="73">
        <f t="shared" si="12"/>
        <v>44927</v>
      </c>
      <c r="AA68" s="84">
        <f t="shared" si="13"/>
        <v>0.76477322409656867</v>
      </c>
      <c r="AB68" s="84">
        <f t="shared" si="14"/>
        <v>0.43975984111853017</v>
      </c>
    </row>
    <row r="69" spans="1:28" ht="17.45" customHeight="1">
      <c r="A69" s="182">
        <f>+'Stock Historical Yahoo'!A49</f>
        <v>44958</v>
      </c>
      <c r="B69" s="183">
        <f>+'Stock Historical Yahoo'!B49</f>
        <v>108.699997</v>
      </c>
      <c r="C69" s="183">
        <f>+'Stock Historical Yahoo'!C49</f>
        <v>119.370003</v>
      </c>
      <c r="D69" s="183">
        <f>+'Stock Historical Yahoo'!D49</f>
        <v>107.120003</v>
      </c>
      <c r="E69" s="183">
        <f>+'Stock Historical Yahoo'!E49</f>
        <v>116.239998</v>
      </c>
      <c r="F69" s="181">
        <f t="shared" si="2"/>
        <v>6.5249219247180523E-2</v>
      </c>
      <c r="G69" s="106">
        <f t="shared" si="3"/>
        <v>0.83002244334374919</v>
      </c>
      <c r="I69" s="183">
        <f>+'S&amp;P ETF Yahoo'!B49</f>
        <v>405.209991</v>
      </c>
      <c r="J69" s="183">
        <f>+'S&amp;P ETF Yahoo'!C49</f>
        <v>418.30999800000001</v>
      </c>
      <c r="K69" s="183">
        <f>+'S&amp;P ETF Yahoo'!D49</f>
        <v>393.64001500000001</v>
      </c>
      <c r="L69" s="183">
        <f>+'S&amp;P ETF Yahoo'!E49</f>
        <v>396.26001000000002</v>
      </c>
      <c r="M69" s="181">
        <f t="shared" si="4"/>
        <v>-2.5142690226900188E-2</v>
      </c>
      <c r="N69" s="106">
        <f t="shared" si="5"/>
        <v>0.41461715089162998</v>
      </c>
      <c r="P69" s="73">
        <f t="shared" si="0"/>
        <v>44958</v>
      </c>
      <c r="Q69" s="108">
        <f t="shared" si="1"/>
        <v>116.239998</v>
      </c>
      <c r="R69"/>
      <c r="S69" s="110">
        <f t="shared" si="6"/>
        <v>6.5249219247180523E-2</v>
      </c>
      <c r="T69" s="110">
        <f t="shared" si="7"/>
        <v>-2.5142690226900188E-2</v>
      </c>
      <c r="U69" s="84">
        <f t="shared" si="15"/>
        <v>4.8828881833927987E-2</v>
      </c>
      <c r="V69" s="84">
        <f t="shared" si="16"/>
        <v>-3.6234011933126357E-2</v>
      </c>
      <c r="W69" s="118">
        <f t="shared" si="10"/>
        <v>-1.7692662870517635E-3</v>
      </c>
      <c r="X69" s="118">
        <f t="shared" si="11"/>
        <v>1.3129036207699433E-3</v>
      </c>
      <c r="Z69" s="73">
        <f t="shared" si="12"/>
        <v>44958</v>
      </c>
      <c r="AA69" s="84">
        <f t="shared" si="13"/>
        <v>0.83002244334374919</v>
      </c>
      <c r="AB69" s="84">
        <f t="shared" si="14"/>
        <v>0.41461715089162998</v>
      </c>
    </row>
    <row r="70" spans="1:28" ht="17.45" customHeight="1">
      <c r="A70" s="182">
        <f>+'Stock Historical Yahoo'!A50</f>
        <v>44986</v>
      </c>
      <c r="B70" s="183">
        <f>+'Stock Historical Yahoo'!B50</f>
        <v>116.489998</v>
      </c>
      <c r="C70" s="183">
        <f>+'Stock Historical Yahoo'!C50</f>
        <v>125.07</v>
      </c>
      <c r="D70" s="183">
        <f>+'Stock Historical Yahoo'!D50</f>
        <v>101.230003</v>
      </c>
      <c r="E70" s="183">
        <f>+'Stock Historical Yahoo'!E50</f>
        <v>111.790001</v>
      </c>
      <c r="F70" s="181">
        <f t="shared" si="2"/>
        <v>-3.8282837891996491E-2</v>
      </c>
      <c r="G70" s="106">
        <f t="shared" si="3"/>
        <v>0.7917396054517527</v>
      </c>
      <c r="I70" s="183">
        <f>+'S&amp;P ETF Yahoo'!B50</f>
        <v>395.41000400000001</v>
      </c>
      <c r="J70" s="183">
        <f>+'S&amp;P ETF Yahoo'!C50</f>
        <v>409.70001200000002</v>
      </c>
      <c r="K70" s="183">
        <f>+'S&amp;P ETF Yahoo'!D50</f>
        <v>380.64999399999999</v>
      </c>
      <c r="L70" s="183">
        <f>+'S&amp;P ETF Yahoo'!E50</f>
        <v>409.39001500000001</v>
      </c>
      <c r="M70" s="181">
        <f t="shared" si="4"/>
        <v>3.3134822259758057E-2</v>
      </c>
      <c r="N70" s="106">
        <f t="shared" si="5"/>
        <v>0.44775197315138804</v>
      </c>
      <c r="P70" s="73">
        <f t="shared" si="0"/>
        <v>44986</v>
      </c>
      <c r="Q70" s="108">
        <f t="shared" si="1"/>
        <v>111.790001</v>
      </c>
      <c r="R70"/>
      <c r="S70" s="110">
        <f t="shared" si="6"/>
        <v>-3.8282837891996491E-2</v>
      </c>
      <c r="T70" s="110">
        <f t="shared" si="7"/>
        <v>3.3134822259758057E-2</v>
      </c>
      <c r="U70" s="84">
        <f t="shared" si="15"/>
        <v>-5.4703175305249027E-2</v>
      </c>
      <c r="V70" s="84">
        <f t="shared" si="16"/>
        <v>2.2043500553531888E-2</v>
      </c>
      <c r="W70" s="118">
        <f t="shared" si="10"/>
        <v>-1.2058494751212088E-3</v>
      </c>
      <c r="X70" s="118">
        <f t="shared" si="11"/>
        <v>4.8591591665356063E-4</v>
      </c>
      <c r="Z70" s="73">
        <f t="shared" si="12"/>
        <v>44986</v>
      </c>
      <c r="AA70" s="84">
        <f t="shared" si="13"/>
        <v>0.7917396054517527</v>
      </c>
      <c r="AB70" s="84">
        <f t="shared" si="14"/>
        <v>0.44775197315138804</v>
      </c>
    </row>
    <row r="71" spans="1:28" ht="17.45" customHeight="1">
      <c r="A71" s="182">
        <f>+'Stock Historical Yahoo'!A51</f>
        <v>45017</v>
      </c>
      <c r="B71" s="183">
        <f>+'Stock Historical Yahoo'!B51</f>
        <v>111.589996</v>
      </c>
      <c r="C71" s="183">
        <f>+'Stock Historical Yahoo'!C51</f>
        <v>117.91999800000001</v>
      </c>
      <c r="D71" s="183">
        <f>+'Stock Historical Yahoo'!D51</f>
        <v>106.230003</v>
      </c>
      <c r="E71" s="183">
        <f>+'Stock Historical Yahoo'!E51</f>
        <v>114.300003</v>
      </c>
      <c r="F71" s="181">
        <f t="shared" si="2"/>
        <v>2.2452831000511431E-2</v>
      </c>
      <c r="G71" s="106">
        <f t="shared" si="3"/>
        <v>0.81419243645226413</v>
      </c>
      <c r="I71" s="183">
        <f>+'S&amp;P ETF Yahoo'!B51</f>
        <v>408.85000600000001</v>
      </c>
      <c r="J71" s="183">
        <f>+'S&amp;P ETF Yahoo'!C51</f>
        <v>415.94000199999999</v>
      </c>
      <c r="K71" s="183">
        <f>+'S&amp;P ETF Yahoo'!D51</f>
        <v>403.77999899999998</v>
      </c>
      <c r="L71" s="183">
        <f>+'S&amp;P ETF Yahoo'!E51</f>
        <v>415.92999300000002</v>
      </c>
      <c r="M71" s="181">
        <f t="shared" si="4"/>
        <v>1.5974932852233836E-2</v>
      </c>
      <c r="N71" s="106">
        <f t="shared" si="5"/>
        <v>0.46372690600362187</v>
      </c>
      <c r="P71" s="73">
        <f t="shared" si="0"/>
        <v>45017</v>
      </c>
      <c r="Q71" s="108">
        <f t="shared" si="1"/>
        <v>114.300003</v>
      </c>
      <c r="R71"/>
      <c r="S71" s="110">
        <f t="shared" si="6"/>
        <v>2.2452831000511431E-2</v>
      </c>
      <c r="T71" s="110">
        <f t="shared" si="7"/>
        <v>1.5974932852233836E-2</v>
      </c>
      <c r="U71" s="84">
        <f t="shared" si="15"/>
        <v>6.0324935872588942E-3</v>
      </c>
      <c r="V71" s="84">
        <f t="shared" si="16"/>
        <v>4.8836111460076655E-3</v>
      </c>
      <c r="W71" s="118">
        <f t="shared" si="10"/>
        <v>2.9460352920957303E-5</v>
      </c>
      <c r="X71" s="118">
        <f t="shared" si="11"/>
        <v>2.3849657825410306E-5</v>
      </c>
      <c r="Z71" s="73">
        <f t="shared" si="12"/>
        <v>45017</v>
      </c>
      <c r="AA71" s="84">
        <f t="shared" si="13"/>
        <v>0.81419243645226413</v>
      </c>
      <c r="AB71" s="84">
        <f t="shared" si="14"/>
        <v>0.46372690600362187</v>
      </c>
    </row>
    <row r="72" spans="1:28" ht="17.45" customHeight="1">
      <c r="A72" s="182">
        <f>+'Stock Historical Yahoo'!A52</f>
        <v>45047</v>
      </c>
      <c r="B72" s="183">
        <f>+'Stock Historical Yahoo'!B52</f>
        <v>113.870003</v>
      </c>
      <c r="C72" s="183">
        <f>+'Stock Historical Yahoo'!C52</f>
        <v>122</v>
      </c>
      <c r="D72" s="183">
        <f>+'Stock Historical Yahoo'!D52</f>
        <v>106.339996</v>
      </c>
      <c r="E72" s="183">
        <f>+'Stock Historical Yahoo'!E52</f>
        <v>107.480003</v>
      </c>
      <c r="F72" s="181">
        <f t="shared" si="2"/>
        <v>-5.9667539991228202E-2</v>
      </c>
      <c r="G72" s="106">
        <f t="shared" si="3"/>
        <v>0.75452489646103593</v>
      </c>
      <c r="I72" s="183">
        <f>+'S&amp;P ETF Yahoo'!B52</f>
        <v>415.47000100000002</v>
      </c>
      <c r="J72" s="183">
        <f>+'S&amp;P ETF Yahoo'!C52</f>
        <v>422.57998700000002</v>
      </c>
      <c r="K72" s="183">
        <f>+'S&amp;P ETF Yahoo'!D52</f>
        <v>403.73998999999998</v>
      </c>
      <c r="L72" s="183">
        <f>+'S&amp;P ETF Yahoo'!E52</f>
        <v>417.85000600000001</v>
      </c>
      <c r="M72" s="181">
        <f t="shared" si="4"/>
        <v>4.6161927062566832E-3</v>
      </c>
      <c r="N72" s="106">
        <f t="shared" si="5"/>
        <v>0.46834309870987856</v>
      </c>
      <c r="P72" s="73">
        <f t="shared" si="0"/>
        <v>45047</v>
      </c>
      <c r="Q72" s="108">
        <f t="shared" si="1"/>
        <v>107.480003</v>
      </c>
      <c r="R72"/>
      <c r="S72" s="110">
        <f t="shared" si="6"/>
        <v>-5.9667539991228202E-2</v>
      </c>
      <c r="T72" s="110">
        <f t="shared" si="7"/>
        <v>4.6161927062566832E-3</v>
      </c>
      <c r="U72" s="84">
        <f t="shared" si="15"/>
        <v>-7.6087877404480739E-2</v>
      </c>
      <c r="V72" s="84">
        <f t="shared" si="16"/>
        <v>-6.4751289999694876E-3</v>
      </c>
      <c r="W72" s="118">
        <f t="shared" si="10"/>
        <v>4.926788215278763E-4</v>
      </c>
      <c r="X72" s="118">
        <f t="shared" si="11"/>
        <v>4.1927295566245856E-5</v>
      </c>
      <c r="Z72" s="73">
        <f t="shared" si="12"/>
        <v>45047</v>
      </c>
      <c r="AA72" s="84">
        <f t="shared" si="13"/>
        <v>0.75452489646103593</v>
      </c>
      <c r="AB72" s="84">
        <f t="shared" si="14"/>
        <v>0.46834309870987856</v>
      </c>
    </row>
    <row r="73" spans="1:28" ht="17.45" customHeight="1">
      <c r="A73" s="182">
        <f>+'Stock Historical Yahoo'!A53</f>
        <v>45078</v>
      </c>
      <c r="B73" s="183">
        <f>+'Stock Historical Yahoo'!B53</f>
        <v>107.5</v>
      </c>
      <c r="C73" s="183">
        <f>+'Stock Historical Yahoo'!C53</f>
        <v>119.16999800000001</v>
      </c>
      <c r="D73" s="183">
        <f>+'Stock Historical Yahoo'!D53</f>
        <v>106.599998</v>
      </c>
      <c r="E73" s="183">
        <f>+'Stock Historical Yahoo'!E53</f>
        <v>114.58000199999999</v>
      </c>
      <c r="F73" s="181">
        <f t="shared" si="2"/>
        <v>6.6058790489613273E-2</v>
      </c>
      <c r="G73" s="106">
        <f t="shared" si="3"/>
        <v>0.8205836869506492</v>
      </c>
      <c r="I73" s="183">
        <f>+'S&amp;P ETF Yahoo'!B53</f>
        <v>418.08999599999999</v>
      </c>
      <c r="J73" s="183">
        <f>+'S&amp;P ETF Yahoo'!C53</f>
        <v>444.29998799999998</v>
      </c>
      <c r="K73" s="183">
        <f>+'S&amp;P ETF Yahoo'!D53</f>
        <v>416.790009</v>
      </c>
      <c r="L73" s="183">
        <f>+'S&amp;P ETF Yahoo'!E53</f>
        <v>443.27999899999998</v>
      </c>
      <c r="M73" s="181">
        <f t="shared" si="4"/>
        <v>6.0859142359327878E-2</v>
      </c>
      <c r="N73" s="106">
        <f t="shared" si="5"/>
        <v>0.52920224106920644</v>
      </c>
      <c r="P73" s="73">
        <f t="shared" si="0"/>
        <v>45078</v>
      </c>
      <c r="Q73" s="108">
        <f t="shared" si="1"/>
        <v>114.58000199999999</v>
      </c>
      <c r="R73"/>
      <c r="S73" s="110">
        <f t="shared" si="6"/>
        <v>6.6058790489613273E-2</v>
      </c>
      <c r="T73" s="110">
        <f t="shared" si="7"/>
        <v>6.0859142359327878E-2</v>
      </c>
      <c r="U73" s="84">
        <f t="shared" si="15"/>
        <v>4.9638453076360736E-2</v>
      </c>
      <c r="V73" s="84">
        <f t="shared" si="16"/>
        <v>4.9767820653101709E-2</v>
      </c>
      <c r="W73" s="118">
        <f t="shared" si="10"/>
        <v>2.4703976302017259E-3</v>
      </c>
      <c r="X73" s="118">
        <f t="shared" si="11"/>
        <v>2.4768359725592971E-3</v>
      </c>
      <c r="Z73" s="73">
        <f t="shared" si="12"/>
        <v>45078</v>
      </c>
      <c r="AA73" s="84">
        <f t="shared" si="13"/>
        <v>0.8205836869506492</v>
      </c>
      <c r="AB73" s="84">
        <f t="shared" si="14"/>
        <v>0.52920224106920644</v>
      </c>
    </row>
    <row r="74" spans="1:28" ht="17.45" customHeight="1">
      <c r="A74" s="182">
        <f>+'Stock Historical Yahoo'!A54</f>
        <v>45108</v>
      </c>
      <c r="B74" s="183">
        <f>+'Stock Historical Yahoo'!B54</f>
        <v>113.629997</v>
      </c>
      <c r="C74" s="183">
        <f>+'Stock Historical Yahoo'!C54</f>
        <v>127.800003</v>
      </c>
      <c r="D74" s="183">
        <f>+'Stock Historical Yahoo'!D54</f>
        <v>110.389999</v>
      </c>
      <c r="E74" s="183">
        <f>+'Stock Historical Yahoo'!E54</f>
        <v>126.349998</v>
      </c>
      <c r="F74" s="181">
        <f t="shared" ref="F74:F81" si="17">+E74/E73-1</f>
        <v>0.10272295160197342</v>
      </c>
      <c r="G74" s="106">
        <f t="shared" ref="G74:G81" si="18">+F74+G73</f>
        <v>0.92330663855262263</v>
      </c>
      <c r="I74" s="183">
        <f>+'S&amp;P ETF Yahoo'!B54</f>
        <v>442.92001299999998</v>
      </c>
      <c r="J74" s="183">
        <f>+'S&amp;P ETF Yahoo'!C54</f>
        <v>459.44000199999999</v>
      </c>
      <c r="K74" s="183">
        <f>+'S&amp;P ETF Yahoo'!D54</f>
        <v>437.05999800000001</v>
      </c>
      <c r="L74" s="183">
        <f>+'S&amp;P ETF Yahoo'!E54</f>
        <v>457.790009</v>
      </c>
      <c r="M74" s="181">
        <f t="shared" ref="M74:M81" si="19">+L74/L73-1</f>
        <v>3.2733283777146127E-2</v>
      </c>
      <c r="N74" s="106">
        <f t="shared" ref="N74:N81" si="20">+M74+N73</f>
        <v>0.56193552484635256</v>
      </c>
      <c r="P74" s="73">
        <f t="shared" ref="P74:P81" si="21">+A74</f>
        <v>45108</v>
      </c>
      <c r="Q74" s="108">
        <f t="shared" ref="Q74:Q81" si="22">+E74</f>
        <v>126.349998</v>
      </c>
      <c r="R74"/>
      <c r="S74" s="110">
        <f t="shared" ref="S74:S81" si="23">+F74</f>
        <v>0.10272295160197342</v>
      </c>
      <c r="T74" s="110">
        <f t="shared" ref="T74:T81" si="24">+M74</f>
        <v>3.2733283777146127E-2</v>
      </c>
      <c r="U74" s="84">
        <f t="shared" si="15"/>
        <v>8.6302614188720886E-2</v>
      </c>
      <c r="V74" s="84">
        <f t="shared" si="16"/>
        <v>2.1641962070919958E-2</v>
      </c>
      <c r="W74" s="118">
        <f t="shared" ref="W74:W81" si="25">+V74*U74</f>
        <v>1.867757902893536E-3</v>
      </c>
      <c r="X74" s="118">
        <f t="shared" ref="X74:X81" si="26">+V74^2</f>
        <v>4.6837452227913809E-4</v>
      </c>
      <c r="Z74" s="73">
        <f t="shared" ref="Z74:Z81" si="27">+A74</f>
        <v>45108</v>
      </c>
      <c r="AA74" s="84">
        <f t="shared" ref="AA74:AA81" si="28">+G74</f>
        <v>0.92330663855262263</v>
      </c>
      <c r="AB74" s="84">
        <f t="shared" ref="AB74:AB81" si="29">+N74</f>
        <v>0.56193552484635256</v>
      </c>
    </row>
    <row r="75" spans="1:28" ht="17.45" customHeight="1">
      <c r="A75" s="182">
        <f>+'Stock Historical Yahoo'!A55</f>
        <v>45139</v>
      </c>
      <c r="B75" s="183">
        <f>+'Stock Historical Yahoo'!B55</f>
        <v>125.75</v>
      </c>
      <c r="C75" s="183">
        <f>+'Stock Historical Yahoo'!C55</f>
        <v>126.349998</v>
      </c>
      <c r="D75" s="183">
        <f>+'Stock Historical Yahoo'!D55</f>
        <v>110.5</v>
      </c>
      <c r="E75" s="183">
        <f>+'Stock Historical Yahoo'!E55</f>
        <v>112.410004</v>
      </c>
      <c r="F75" s="181">
        <f t="shared" si="17"/>
        <v>-0.1103284069699787</v>
      </c>
      <c r="G75" s="106">
        <f t="shared" si="18"/>
        <v>0.81297823158264393</v>
      </c>
      <c r="I75" s="183">
        <f>+'S&amp;P ETF Yahoo'!B55</f>
        <v>456.26998900000001</v>
      </c>
      <c r="J75" s="183">
        <f>+'S&amp;P ETF Yahoo'!C55</f>
        <v>457.25</v>
      </c>
      <c r="K75" s="183">
        <f>+'S&amp;P ETF Yahoo'!D55</f>
        <v>433.01001000000002</v>
      </c>
      <c r="L75" s="183">
        <f>+'S&amp;P ETF Yahoo'!E55</f>
        <v>450.35000600000001</v>
      </c>
      <c r="M75" s="181">
        <f t="shared" si="19"/>
        <v>-1.6251999505738413E-2</v>
      </c>
      <c r="N75" s="106">
        <f t="shared" si="20"/>
        <v>0.54568352534061415</v>
      </c>
      <c r="P75" s="73">
        <f t="shared" si="21"/>
        <v>45139</v>
      </c>
      <c r="Q75" s="108">
        <f t="shared" si="22"/>
        <v>112.410004</v>
      </c>
      <c r="R75"/>
      <c r="S75" s="110">
        <f t="shared" si="23"/>
        <v>-0.1103284069699787</v>
      </c>
      <c r="T75" s="110">
        <f t="shared" si="24"/>
        <v>-1.6251999505738413E-2</v>
      </c>
      <c r="U75" s="84">
        <f t="shared" si="15"/>
        <v>-0.12674874438323125</v>
      </c>
      <c r="V75" s="84">
        <f t="shared" si="16"/>
        <v>-2.7343321211964582E-2</v>
      </c>
      <c r="W75" s="118">
        <f t="shared" si="25"/>
        <v>3.4657316308838834E-3</v>
      </c>
      <c r="X75" s="118">
        <f t="shared" si="26"/>
        <v>7.4765721490067222E-4</v>
      </c>
      <c r="Z75" s="73">
        <f t="shared" si="27"/>
        <v>45139</v>
      </c>
      <c r="AA75" s="84">
        <f t="shared" si="28"/>
        <v>0.81297823158264393</v>
      </c>
      <c r="AB75" s="84">
        <f t="shared" si="29"/>
        <v>0.54568352534061415</v>
      </c>
    </row>
    <row r="76" spans="1:28" ht="17.45" customHeight="1">
      <c r="A76" s="182">
        <f>+'Stock Historical Yahoo'!A56</f>
        <v>45170</v>
      </c>
      <c r="B76" s="183">
        <f>+'Stock Historical Yahoo'!B56</f>
        <v>113.370003</v>
      </c>
      <c r="C76" s="183">
        <f>+'Stock Historical Yahoo'!C56</f>
        <v>114.959999</v>
      </c>
      <c r="D76" s="183">
        <f>+'Stock Historical Yahoo'!D56</f>
        <v>102.18</v>
      </c>
      <c r="E76" s="183">
        <f>+'Stock Historical Yahoo'!E56</f>
        <v>106.08000199999999</v>
      </c>
      <c r="F76" s="181">
        <f t="shared" si="17"/>
        <v>-5.6311731827711764E-2</v>
      </c>
      <c r="G76" s="106">
        <f t="shared" si="18"/>
        <v>0.75666649975493216</v>
      </c>
      <c r="I76" s="183">
        <f>+'S&amp;P ETF Yahoo'!B56</f>
        <v>453.17001299999998</v>
      </c>
      <c r="J76" s="183">
        <f>+'S&amp;P ETF Yahoo'!C56</f>
        <v>453.67001299999998</v>
      </c>
      <c r="K76" s="183">
        <f>+'S&amp;P ETF Yahoo'!D56</f>
        <v>422.290009</v>
      </c>
      <c r="L76" s="183">
        <f>+'S&amp;P ETF Yahoo'!E56</f>
        <v>427.48001099999999</v>
      </c>
      <c r="M76" s="181">
        <f t="shared" si="19"/>
        <v>-5.0782712768521643E-2</v>
      </c>
      <c r="N76" s="106">
        <f t="shared" si="20"/>
        <v>0.49490081257209251</v>
      </c>
      <c r="P76" s="73">
        <f t="shared" si="21"/>
        <v>45170</v>
      </c>
      <c r="Q76" s="108">
        <f t="shared" si="22"/>
        <v>106.08000199999999</v>
      </c>
      <c r="R76"/>
      <c r="S76" s="110">
        <f t="shared" si="23"/>
        <v>-5.6311731827711764E-2</v>
      </c>
      <c r="T76" s="110">
        <f t="shared" si="24"/>
        <v>-5.0782712768521643E-2</v>
      </c>
      <c r="U76" s="84">
        <f t="shared" si="15"/>
        <v>-7.27320692409643E-2</v>
      </c>
      <c r="V76" s="84">
        <f t="shared" si="16"/>
        <v>-6.1874034474747812E-2</v>
      </c>
      <c r="W76" s="118">
        <f t="shared" si="25"/>
        <v>4.5002265596351702E-3</v>
      </c>
      <c r="X76" s="118">
        <f t="shared" si="26"/>
        <v>3.8283961421822807E-3</v>
      </c>
      <c r="Z76" s="73">
        <f t="shared" si="27"/>
        <v>45170</v>
      </c>
      <c r="AA76" s="84">
        <f t="shared" si="28"/>
        <v>0.75666649975493216</v>
      </c>
      <c r="AB76" s="84">
        <f t="shared" si="29"/>
        <v>0.49490081257209251</v>
      </c>
    </row>
    <row r="77" spans="1:28" ht="17.45" customHeight="1">
      <c r="A77" s="182">
        <f>+'Stock Historical Yahoo'!A57</f>
        <v>45200</v>
      </c>
      <c r="B77" s="183">
        <f>+'Stock Historical Yahoo'!B57</f>
        <v>105.900002</v>
      </c>
      <c r="C77" s="183">
        <f>+'Stock Historical Yahoo'!C57</f>
        <v>112.970001</v>
      </c>
      <c r="D77" s="183">
        <f>+'Stock Historical Yahoo'!D57</f>
        <v>98.769997000000004</v>
      </c>
      <c r="E77" s="183">
        <f>+'Stock Historical Yahoo'!E57</f>
        <v>102.44000200000001</v>
      </c>
      <c r="F77" s="181">
        <f t="shared" si="17"/>
        <v>-3.4313724843255455E-2</v>
      </c>
      <c r="G77" s="106">
        <f t="shared" si="18"/>
        <v>0.72235277491167671</v>
      </c>
      <c r="I77" s="183">
        <f>+'S&amp;P ETF Yahoo'!B57</f>
        <v>426.61999500000002</v>
      </c>
      <c r="J77" s="183">
        <f>+'S&amp;P ETF Yahoo'!C57</f>
        <v>438.14001500000001</v>
      </c>
      <c r="K77" s="183">
        <f>+'S&amp;P ETF Yahoo'!D57</f>
        <v>409.209991</v>
      </c>
      <c r="L77" s="183">
        <f>+'S&amp;P ETF Yahoo'!E57</f>
        <v>418.20001200000002</v>
      </c>
      <c r="M77" s="181">
        <f t="shared" si="19"/>
        <v>-2.1708615049137348E-2</v>
      </c>
      <c r="N77" s="106">
        <f t="shared" si="20"/>
        <v>0.47319219752295516</v>
      </c>
      <c r="P77" s="73">
        <f t="shared" si="21"/>
        <v>45200</v>
      </c>
      <c r="Q77" s="108">
        <f t="shared" si="22"/>
        <v>102.44000200000001</v>
      </c>
      <c r="R77"/>
      <c r="S77" s="110">
        <f t="shared" si="23"/>
        <v>-3.4313724843255455E-2</v>
      </c>
      <c r="T77" s="110">
        <f t="shared" si="24"/>
        <v>-2.1708615049137348E-2</v>
      </c>
      <c r="U77" s="84">
        <f t="shared" si="15"/>
        <v>-5.0734062256507992E-2</v>
      </c>
      <c r="V77" s="84">
        <f t="shared" si="16"/>
        <v>-3.2799936755363517E-2</v>
      </c>
      <c r="W77" s="118">
        <f t="shared" si="25"/>
        <v>1.6640740333561375E-3</v>
      </c>
      <c r="X77" s="118">
        <f t="shared" si="26"/>
        <v>1.0758358511558466E-3</v>
      </c>
      <c r="Z77" s="73">
        <f t="shared" si="27"/>
        <v>45200</v>
      </c>
      <c r="AA77" s="84">
        <f t="shared" si="28"/>
        <v>0.72235277491167671</v>
      </c>
      <c r="AB77" s="84">
        <f t="shared" si="29"/>
        <v>0.47319219752295516</v>
      </c>
    </row>
    <row r="78" spans="1:28" ht="17.45" customHeight="1">
      <c r="A78" s="182">
        <f>+'Stock Historical Yahoo'!A58</f>
        <v>45231</v>
      </c>
      <c r="B78" s="183">
        <f>+'Stock Historical Yahoo'!B58</f>
        <v>102.980003</v>
      </c>
      <c r="C78" s="183">
        <f>+'Stock Historical Yahoo'!C58</f>
        <v>117.58000199999999</v>
      </c>
      <c r="D78" s="183">
        <f>+'Stock Historical Yahoo'!D58</f>
        <v>96.769997000000004</v>
      </c>
      <c r="E78" s="183">
        <f>+'Stock Historical Yahoo'!E58</f>
        <v>114.760002</v>
      </c>
      <c r="F78" s="181">
        <f t="shared" si="17"/>
        <v>0.12026551893273085</v>
      </c>
      <c r="G78" s="106">
        <f t="shared" si="18"/>
        <v>0.84261829384440756</v>
      </c>
      <c r="I78" s="183">
        <f>+'S&amp;P ETF Yahoo'!B58</f>
        <v>419.20001200000002</v>
      </c>
      <c r="J78" s="183">
        <f>+'S&amp;P ETF Yahoo'!C58</f>
        <v>458.32000699999998</v>
      </c>
      <c r="K78" s="183">
        <f>+'S&amp;P ETF Yahoo'!D58</f>
        <v>418.64999399999999</v>
      </c>
      <c r="L78" s="183">
        <f>+'S&amp;P ETF Yahoo'!E58</f>
        <v>456.39999399999999</v>
      </c>
      <c r="M78" s="181">
        <f t="shared" si="19"/>
        <v>9.13438089523535E-2</v>
      </c>
      <c r="N78" s="106">
        <f t="shared" si="20"/>
        <v>0.56453600647530866</v>
      </c>
      <c r="P78" s="73">
        <f t="shared" si="21"/>
        <v>45231</v>
      </c>
      <c r="Q78" s="108">
        <f t="shared" si="22"/>
        <v>114.760002</v>
      </c>
      <c r="R78"/>
      <c r="S78" s="110">
        <f t="shared" si="23"/>
        <v>0.12026551893273085</v>
      </c>
      <c r="T78" s="110">
        <f t="shared" si="24"/>
        <v>9.13438089523535E-2</v>
      </c>
      <c r="U78" s="84">
        <f t="shared" si="15"/>
        <v>0.10384518151947832</v>
      </c>
      <c r="V78" s="84">
        <f t="shared" si="16"/>
        <v>8.0252487246127324E-2</v>
      </c>
      <c r="W78" s="118">
        <f t="shared" si="25"/>
        <v>8.3338341054637107E-3</v>
      </c>
      <c r="X78" s="118">
        <f t="shared" si="26"/>
        <v>6.440461709189829E-3</v>
      </c>
      <c r="Z78" s="73">
        <f t="shared" si="27"/>
        <v>45231</v>
      </c>
      <c r="AA78" s="84">
        <f t="shared" si="28"/>
        <v>0.84261829384440756</v>
      </c>
      <c r="AB78" s="84">
        <f t="shared" si="29"/>
        <v>0.56453600647530866</v>
      </c>
    </row>
    <row r="79" spans="1:28" ht="17.45" customHeight="1">
      <c r="A79" s="182">
        <f>+'Stock Historical Yahoo'!A59</f>
        <v>45261</v>
      </c>
      <c r="B79" s="183">
        <f>+'Stock Historical Yahoo'!B59</f>
        <v>114.75</v>
      </c>
      <c r="C79" s="183">
        <f>+'Stock Historical Yahoo'!C59</f>
        <v>133.61999499999999</v>
      </c>
      <c r="D79" s="183">
        <f>+'Stock Historical Yahoo'!D59</f>
        <v>114.019997</v>
      </c>
      <c r="E79" s="183">
        <f>+'Stock Historical Yahoo'!E59</f>
        <v>130.41000399999999</v>
      </c>
      <c r="F79" s="181">
        <f t="shared" si="17"/>
        <v>0.13637157308519376</v>
      </c>
      <c r="G79" s="106">
        <f t="shared" si="18"/>
        <v>0.97898986692960133</v>
      </c>
      <c r="I79" s="183">
        <f>+'S&amp;P ETF Yahoo'!B59</f>
        <v>455.76998900000001</v>
      </c>
      <c r="J79" s="183">
        <f>+'S&amp;P ETF Yahoo'!C59</f>
        <v>477.54998799999998</v>
      </c>
      <c r="K79" s="183">
        <f>+'S&amp;P ETF Yahoo'!D59</f>
        <v>454.30999800000001</v>
      </c>
      <c r="L79" s="183">
        <f>+'S&amp;P ETF Yahoo'!E59</f>
        <v>475.30999800000001</v>
      </c>
      <c r="M79" s="181">
        <f t="shared" si="19"/>
        <v>4.143296285845266E-2</v>
      </c>
      <c r="N79" s="106">
        <f t="shared" si="20"/>
        <v>0.60596896933376132</v>
      </c>
      <c r="P79" s="73">
        <f t="shared" si="21"/>
        <v>45261</v>
      </c>
      <c r="Q79" s="108">
        <f t="shared" si="22"/>
        <v>130.41000399999999</v>
      </c>
      <c r="R79"/>
      <c r="S79" s="110">
        <f t="shared" si="23"/>
        <v>0.13637157308519376</v>
      </c>
      <c r="T79" s="110">
        <f t="shared" si="24"/>
        <v>4.143296285845266E-2</v>
      </c>
      <c r="U79" s="84">
        <f t="shared" si="15"/>
        <v>0.11995123567194123</v>
      </c>
      <c r="V79" s="84">
        <f t="shared" si="16"/>
        <v>3.0341641152226491E-2</v>
      </c>
      <c r="W79" s="118">
        <f t="shared" si="25"/>
        <v>3.6395173485241901E-3</v>
      </c>
      <c r="X79" s="118">
        <f t="shared" si="26"/>
        <v>9.2061518781048413E-4</v>
      </c>
      <c r="Z79" s="73">
        <f t="shared" si="27"/>
        <v>45261</v>
      </c>
      <c r="AA79" s="84">
        <f t="shared" si="28"/>
        <v>0.97898986692960133</v>
      </c>
      <c r="AB79" s="84">
        <f t="shared" si="29"/>
        <v>0.60596896933376132</v>
      </c>
    </row>
    <row r="80" spans="1:28" ht="17.45" customHeight="1">
      <c r="A80" s="182">
        <f>+'Stock Historical Yahoo'!A60</f>
        <v>45292</v>
      </c>
      <c r="B80" s="183">
        <f>+'Stock Historical Yahoo'!B60</f>
        <v>129.979996</v>
      </c>
      <c r="C80" s="183">
        <f>+'Stock Historical Yahoo'!C60</f>
        <v>133.429993</v>
      </c>
      <c r="D80" s="183">
        <f>+'Stock Historical Yahoo'!D60</f>
        <v>124.400002</v>
      </c>
      <c r="E80" s="183">
        <f>+'Stock Historical Yahoo'!E60</f>
        <v>128.36999499999999</v>
      </c>
      <c r="F80" s="181">
        <f t="shared" si="17"/>
        <v>-1.56430406980127E-2</v>
      </c>
      <c r="G80" s="106">
        <f t="shared" si="18"/>
        <v>0.96334682623158863</v>
      </c>
      <c r="I80" s="183">
        <f>+'S&amp;P ETF Yahoo'!B60</f>
        <v>472.16000400000001</v>
      </c>
      <c r="J80" s="183">
        <f>+'S&amp;P ETF Yahoo'!C60</f>
        <v>491.61999500000002</v>
      </c>
      <c r="K80" s="183">
        <f>+'S&amp;P ETF Yahoo'!D60</f>
        <v>466.42999300000002</v>
      </c>
      <c r="L80" s="183">
        <f>+'S&amp;P ETF Yahoo'!E60</f>
        <v>482.88000499999998</v>
      </c>
      <c r="M80" s="181">
        <f t="shared" si="19"/>
        <v>1.5926462796602037E-2</v>
      </c>
      <c r="N80" s="106">
        <f t="shared" si="20"/>
        <v>0.62189543213036336</v>
      </c>
      <c r="P80" s="73">
        <f t="shared" si="21"/>
        <v>45292</v>
      </c>
      <c r="Q80" s="108">
        <f t="shared" si="22"/>
        <v>128.36999499999999</v>
      </c>
      <c r="R80"/>
      <c r="S80" s="110">
        <f t="shared" si="23"/>
        <v>-1.56430406980127E-2</v>
      </c>
      <c r="T80" s="110">
        <f t="shared" si="24"/>
        <v>1.5926462796602037E-2</v>
      </c>
      <c r="U80" s="84">
        <f t="shared" si="15"/>
        <v>-3.2063378111265237E-2</v>
      </c>
      <c r="V80" s="84">
        <f t="shared" si="16"/>
        <v>4.8351410903758659E-3</v>
      </c>
      <c r="W80" s="118">
        <f t="shared" si="25"/>
        <v>-1.5503095700203666E-4</v>
      </c>
      <c r="X80" s="118">
        <f t="shared" si="26"/>
        <v>2.3378589363841119E-5</v>
      </c>
      <c r="Z80" s="73">
        <f t="shared" si="27"/>
        <v>45292</v>
      </c>
      <c r="AA80" s="84">
        <f t="shared" si="28"/>
        <v>0.96334682623158863</v>
      </c>
      <c r="AB80" s="84">
        <f t="shared" si="29"/>
        <v>0.62189543213036336</v>
      </c>
    </row>
    <row r="81" spans="1:28" ht="17.45" customHeight="1">
      <c r="A81" s="182">
        <f>+'Stock Historical Yahoo'!A61</f>
        <v>45323</v>
      </c>
      <c r="B81" s="183">
        <f>+'Stock Historical Yahoo'!B61</f>
        <v>128.71000699999999</v>
      </c>
      <c r="C81" s="183">
        <f>+'Stock Historical Yahoo'!C61</f>
        <v>132.800003</v>
      </c>
      <c r="D81" s="183">
        <f>+'Stock Historical Yahoo'!D61</f>
        <v>125.449997</v>
      </c>
      <c r="E81" s="183">
        <f>+'Stock Historical Yahoo'!E61</f>
        <v>129.070007</v>
      </c>
      <c r="F81" s="181">
        <f t="shared" si="17"/>
        <v>5.4530811503110677E-3</v>
      </c>
      <c r="G81" s="106">
        <f t="shared" si="18"/>
        <v>0.96879990738189969</v>
      </c>
      <c r="I81" s="183">
        <f>+'S&amp;P ETF Yahoo'!B61</f>
        <v>484.63000499999998</v>
      </c>
      <c r="J81" s="183">
        <f>+'S&amp;P ETF Yahoo'!C61</f>
        <v>503.5</v>
      </c>
      <c r="K81" s="183">
        <f>+'S&amp;P ETF Yahoo'!D61</f>
        <v>483.79998799999998</v>
      </c>
      <c r="L81" s="183">
        <f>+'S&amp;P ETF Yahoo'!E61</f>
        <v>498.57000699999998</v>
      </c>
      <c r="M81" s="181">
        <f t="shared" si="19"/>
        <v>3.2492548536980692E-2</v>
      </c>
      <c r="N81" s="106">
        <f t="shared" si="20"/>
        <v>0.65438798066734405</v>
      </c>
      <c r="P81" s="73">
        <f t="shared" si="21"/>
        <v>45323</v>
      </c>
      <c r="Q81" s="108">
        <f t="shared" si="22"/>
        <v>129.070007</v>
      </c>
      <c r="R81"/>
      <c r="S81" s="110">
        <f t="shared" si="23"/>
        <v>5.4530811503110677E-3</v>
      </c>
      <c r="T81" s="110">
        <f t="shared" si="24"/>
        <v>3.2492548536980692E-2</v>
      </c>
      <c r="U81" s="84">
        <f t="shared" si="15"/>
        <v>-1.0967256262941469E-2</v>
      </c>
      <c r="V81" s="84">
        <f t="shared" si="16"/>
        <v>2.1401226830754523E-2</v>
      </c>
      <c r="W81" s="118">
        <f t="shared" si="25"/>
        <v>-2.3471273899422355E-4</v>
      </c>
      <c r="X81" s="118">
        <f t="shared" si="26"/>
        <v>4.5801250986140726E-4</v>
      </c>
      <c r="Z81" s="73">
        <f t="shared" si="27"/>
        <v>45323</v>
      </c>
      <c r="AA81" s="84">
        <f t="shared" si="28"/>
        <v>0.96879990738189969</v>
      </c>
      <c r="AB81" s="84">
        <f t="shared" si="29"/>
        <v>0.65438798066734405</v>
      </c>
    </row>
    <row r="82" spans="1:28" ht="17.45" customHeight="1">
      <c r="A82" s="182"/>
      <c r="B82" s="183"/>
      <c r="C82" s="183"/>
      <c r="D82" s="183"/>
      <c r="E82" s="183"/>
      <c r="F82" s="181"/>
      <c r="G82" s="106"/>
      <c r="I82" s="183"/>
      <c r="J82" s="183"/>
      <c r="K82" s="183"/>
      <c r="L82" s="183"/>
      <c r="M82" s="181"/>
      <c r="N82" s="106"/>
      <c r="P82" s="73"/>
      <c r="R82"/>
      <c r="S82" s="110"/>
      <c r="T82" s="110"/>
      <c r="U82" s="84"/>
      <c r="V82" s="84"/>
      <c r="W82" s="118"/>
      <c r="X82" s="118"/>
      <c r="Z82" s="73"/>
      <c r="AA82" s="84"/>
      <c r="AB82" s="84"/>
    </row>
    <row r="83" spans="1:28" ht="17.45" customHeight="1">
      <c r="A83" s="73"/>
      <c r="F83" s="106"/>
      <c r="G83" s="106"/>
      <c r="I83" s="89"/>
      <c r="J83" s="89"/>
      <c r="K83" s="89"/>
      <c r="L83" s="89"/>
      <c r="M83" s="106"/>
      <c r="N83" s="106"/>
      <c r="P83" s="73"/>
      <c r="R83"/>
      <c r="S83" s="110"/>
      <c r="T83" s="110"/>
      <c r="U83" s="84"/>
      <c r="V83" s="84"/>
      <c r="W83" s="118"/>
      <c r="X83" s="118"/>
      <c r="Z83" s="73"/>
      <c r="AA83" s="84"/>
      <c r="AB83" s="84"/>
    </row>
    <row r="84" spans="1:28" ht="15.75" thickBot="1">
      <c r="F84" s="108"/>
      <c r="G84" s="108"/>
      <c r="H84" s="89"/>
      <c r="I84" s="89"/>
      <c r="J84" s="89"/>
      <c r="K84" s="89"/>
      <c r="L84" s="89"/>
      <c r="M84" s="108"/>
      <c r="N84" s="108"/>
      <c r="O84" s="89"/>
      <c r="P84" s="89"/>
      <c r="R84"/>
      <c r="S84" s="110"/>
      <c r="T84" s="110"/>
      <c r="U84" s="84"/>
      <c r="V84" s="84"/>
      <c r="W84" s="118"/>
      <c r="X84" s="118"/>
      <c r="AA84" s="84"/>
      <c r="AB84" s="84"/>
    </row>
    <row r="85" spans="1:28" ht="15.75" thickBot="1">
      <c r="E85" s="109" t="s">
        <v>165</v>
      </c>
      <c r="F85" s="110">
        <f>AVERAGE(F22:F82)</f>
        <v>1.6420337413252536E-2</v>
      </c>
      <c r="G85" s="110"/>
      <c r="L85" s="109" t="s">
        <v>165</v>
      </c>
      <c r="M85" s="110">
        <f>AVERAGE(M22:M82)</f>
        <v>1.1091321706226171E-2</v>
      </c>
      <c r="N85" s="110"/>
      <c r="R85" s="109" t="s">
        <v>165</v>
      </c>
      <c r="S85" s="116">
        <f>AVERAGE(S22:S82)</f>
        <v>1.6420337413252536E-2</v>
      </c>
      <c r="T85" s="117">
        <f>AVERAGE(T22:T82)</f>
        <v>1.1091321706226171E-2</v>
      </c>
      <c r="V85" s="67" t="s">
        <v>254</v>
      </c>
      <c r="W85" s="119">
        <f>SUM(W22:W82)</f>
        <v>0.24243655464556776</v>
      </c>
      <c r="X85" s="119">
        <f>SUM(X22:X82)</f>
        <v>0.16597681655032423</v>
      </c>
      <c r="AA85" s="84"/>
      <c r="AB85" s="84"/>
    </row>
    <row r="86" spans="1:28" ht="15.75" thickBot="1">
      <c r="E86" s="109" t="s">
        <v>244</v>
      </c>
      <c r="F86" s="111">
        <f>STDEV(F22:F82)</f>
        <v>0.11557077078148595</v>
      </c>
      <c r="G86" s="111"/>
      <c r="L86" s="109" t="s">
        <v>244</v>
      </c>
      <c r="M86" s="111">
        <f>STDEV(M22:M82)</f>
        <v>5.3494572162675148E-2</v>
      </c>
      <c r="N86" s="111"/>
      <c r="R86" s="109" t="s">
        <v>244</v>
      </c>
      <c r="S86" s="114">
        <f>STDEV(S22:S84)</f>
        <v>0.11557077078148595</v>
      </c>
      <c r="T86" s="115">
        <f>STDEV(T22:T84)</f>
        <v>5.3494572162675148E-2</v>
      </c>
      <c r="W86" s="37" t="s">
        <v>158</v>
      </c>
      <c r="X86" s="120">
        <f>+W85/X85</f>
        <v>1.4606651680902731</v>
      </c>
    </row>
    <row r="106" spans="18:19">
      <c r="R106" s="110"/>
      <c r="S106" s="110"/>
    </row>
  </sheetData>
  <phoneticPr fontId="30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79D1-DFDD-4912-9968-E93B8036C55B}">
  <sheetPr>
    <tabColor rgb="FFFF0000"/>
  </sheetPr>
  <dimension ref="A1:BF12"/>
  <sheetViews>
    <sheetView workbookViewId="0">
      <selection activeCell="I6" sqref="I6"/>
    </sheetView>
  </sheetViews>
  <sheetFormatPr defaultRowHeight="15"/>
  <cols>
    <col min="1" max="1" width="13.5703125" customWidth="1"/>
    <col min="2" max="7" width="13.7109375" customWidth="1"/>
    <col min="8" max="8" width="17.42578125" customWidth="1"/>
    <col min="9" max="9" width="13.7109375" customWidth="1"/>
    <col min="10" max="12" width="14.140625" bestFit="1" customWidth="1"/>
    <col min="13" max="13" width="13.5703125" bestFit="1" customWidth="1"/>
    <col min="14" max="17" width="12.42578125" bestFit="1" customWidth="1"/>
    <col min="18" max="18" width="13.5703125" bestFit="1" customWidth="1"/>
    <col min="19" max="25" width="12.42578125" bestFit="1" customWidth="1"/>
    <col min="26" max="26" width="13.5703125" bestFit="1" customWidth="1"/>
    <col min="27" max="37" width="12.42578125" bestFit="1" customWidth="1"/>
    <col min="38" max="38" width="13.5703125" bestFit="1" customWidth="1"/>
    <col min="39" max="39" width="12.42578125" bestFit="1" customWidth="1"/>
    <col min="40" max="40" width="13.5703125" bestFit="1" customWidth="1"/>
    <col min="41" max="58" width="12.42578125" bestFit="1" customWidth="1"/>
  </cols>
  <sheetData>
    <row r="1" spans="1:58"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</row>
    <row r="2" spans="1:58" s="35" customFormat="1">
      <c r="B2" s="503" t="s">
        <v>125</v>
      </c>
      <c r="C2" s="503" t="s">
        <v>110</v>
      </c>
      <c r="D2" s="503" t="s">
        <v>565</v>
      </c>
      <c r="E2" s="503" t="s">
        <v>161</v>
      </c>
      <c r="F2" s="503" t="s">
        <v>567</v>
      </c>
      <c r="G2" s="503" t="s">
        <v>566</v>
      </c>
      <c r="H2" s="503" t="s">
        <v>569</v>
      </c>
      <c r="I2" s="503" t="s">
        <v>568</v>
      </c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</row>
    <row r="3" spans="1:58" s="35" customFormat="1" ht="15.75" thickBot="1">
      <c r="B3" s="504"/>
      <c r="C3" s="504"/>
      <c r="D3" s="504"/>
      <c r="E3" s="504"/>
      <c r="F3" s="504"/>
      <c r="G3" s="504"/>
      <c r="H3" s="504" t="s">
        <v>163</v>
      </c>
      <c r="I3" s="504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</row>
    <row r="4" spans="1:58" ht="15.75" thickTop="1">
      <c r="A4" t="s">
        <v>570</v>
      </c>
      <c r="B4" s="498">
        <v>134.33000000000001</v>
      </c>
      <c r="C4" s="498">
        <v>118.74</v>
      </c>
      <c r="D4" s="498">
        <v>196.16</v>
      </c>
      <c r="E4" s="498">
        <v>97.57</v>
      </c>
      <c r="F4" s="498">
        <v>14.64</v>
      </c>
      <c r="G4" s="498">
        <v>240.49</v>
      </c>
      <c r="H4" s="498">
        <v>15.26</v>
      </c>
      <c r="I4" s="498">
        <v>79.53</v>
      </c>
      <c r="J4" s="498"/>
      <c r="K4" s="498"/>
      <c r="L4" s="498"/>
    </row>
    <row r="5" spans="1:58">
      <c r="A5" t="s">
        <v>158</v>
      </c>
      <c r="B5">
        <v>1.46</v>
      </c>
      <c r="C5">
        <v>1.23</v>
      </c>
      <c r="D5">
        <v>1.26</v>
      </c>
      <c r="E5">
        <v>0.97</v>
      </c>
      <c r="F5">
        <v>1.46</v>
      </c>
      <c r="G5">
        <v>1.64</v>
      </c>
      <c r="H5">
        <v>2.02</v>
      </c>
      <c r="I5">
        <v>1.2</v>
      </c>
    </row>
    <row r="6" spans="1:58">
      <c r="A6" t="s">
        <v>571</v>
      </c>
      <c r="B6" s="499">
        <v>103.14</v>
      </c>
      <c r="C6" s="499">
        <v>49.8</v>
      </c>
      <c r="D6" s="499">
        <v>252.16</v>
      </c>
      <c r="E6" s="499">
        <v>172.1</v>
      </c>
      <c r="F6" s="499">
        <v>31.7</v>
      </c>
      <c r="G6" s="499">
        <v>289.48</v>
      </c>
      <c r="H6" s="499">
        <v>209.17</v>
      </c>
      <c r="I6" s="499">
        <v>82.96</v>
      </c>
      <c r="J6" s="499"/>
      <c r="K6" s="499"/>
      <c r="L6" s="499"/>
    </row>
    <row r="7" spans="1:58">
      <c r="A7" t="s">
        <v>577</v>
      </c>
      <c r="B7" s="36">
        <f>+B6*B4</f>
        <v>13854.796200000001</v>
      </c>
      <c r="C7" s="36">
        <f t="shared" ref="C7:I7" si="0">+C6*C4</f>
        <v>5913.2519999999995</v>
      </c>
      <c r="D7" s="36">
        <f t="shared" si="0"/>
        <v>49463.705600000001</v>
      </c>
      <c r="E7" s="36">
        <f>+E6*E4</f>
        <v>16791.796999999999</v>
      </c>
      <c r="F7" s="36">
        <f>+F6*F4</f>
        <v>464.08800000000002</v>
      </c>
      <c r="G7" s="36">
        <f t="shared" si="0"/>
        <v>69617.045200000008</v>
      </c>
      <c r="H7" s="36">
        <f>+H6*H4</f>
        <v>3191.9341999999997</v>
      </c>
      <c r="I7" s="36">
        <f t="shared" si="0"/>
        <v>6597.8087999999998</v>
      </c>
      <c r="J7" s="36"/>
      <c r="K7" s="36"/>
      <c r="L7" s="36"/>
    </row>
    <row r="8" spans="1:58">
      <c r="A8" t="s">
        <v>572</v>
      </c>
      <c r="B8" s="36">
        <f>+B7+B9-B10</f>
        <v>16497.796200000001</v>
      </c>
      <c r="C8" s="36">
        <f t="shared" ref="C8:I8" si="1">+C7+C9-C10</f>
        <v>7386.8219999999992</v>
      </c>
      <c r="D8" s="36">
        <f t="shared" si="1"/>
        <v>58783.705600000001</v>
      </c>
      <c r="E8" s="36">
        <f>+E7+E9-E10</f>
        <v>19038.796999999999</v>
      </c>
      <c r="F8" s="36">
        <f>+F7+F9-F10</f>
        <v>806.97800000000007</v>
      </c>
      <c r="G8" s="36">
        <f t="shared" si="1"/>
        <v>82149.045200000008</v>
      </c>
      <c r="H8" s="36">
        <f>+H7+H9-H10</f>
        <v>7175.9341999999997</v>
      </c>
      <c r="I8" s="36">
        <f t="shared" si="1"/>
        <v>8732.8087999999989</v>
      </c>
      <c r="J8" s="36"/>
      <c r="K8" s="36"/>
      <c r="L8" s="36"/>
    </row>
    <row r="9" spans="1:58">
      <c r="A9" t="s">
        <v>574</v>
      </c>
      <c r="B9" s="500">
        <v>3370</v>
      </c>
      <c r="C9" s="500">
        <v>1510</v>
      </c>
      <c r="D9" s="500">
        <v>10120</v>
      </c>
      <c r="E9" s="500">
        <v>2960</v>
      </c>
      <c r="F9" s="500">
        <v>383.89</v>
      </c>
      <c r="G9" s="500">
        <v>12870</v>
      </c>
      <c r="H9" s="500">
        <v>4710</v>
      </c>
      <c r="I9" s="500">
        <v>2200</v>
      </c>
      <c r="J9" s="36"/>
      <c r="K9" s="36"/>
      <c r="L9" s="36"/>
    </row>
    <row r="10" spans="1:58">
      <c r="A10" t="s">
        <v>575</v>
      </c>
      <c r="B10" s="500">
        <v>727</v>
      </c>
      <c r="C10" s="500">
        <v>36.43</v>
      </c>
      <c r="D10" s="500">
        <v>800</v>
      </c>
      <c r="E10" s="500">
        <v>713</v>
      </c>
      <c r="F10" s="500">
        <v>41</v>
      </c>
      <c r="G10" s="500">
        <v>338</v>
      </c>
      <c r="H10" s="500">
        <v>726</v>
      </c>
      <c r="I10" s="500">
        <v>65</v>
      </c>
      <c r="J10" s="36"/>
      <c r="K10" s="36"/>
      <c r="L10" s="36"/>
      <c r="M10" s="122"/>
    </row>
    <row r="11" spans="1:58">
      <c r="A11" t="s">
        <v>573</v>
      </c>
      <c r="B11" s="500">
        <v>774</v>
      </c>
      <c r="C11" s="500">
        <v>505.47</v>
      </c>
      <c r="D11" s="500">
        <v>2410</v>
      </c>
      <c r="E11" s="500">
        <v>915</v>
      </c>
      <c r="F11" s="500">
        <v>97.99</v>
      </c>
      <c r="G11" s="500">
        <v>4200</v>
      </c>
      <c r="H11" s="500">
        <v>618</v>
      </c>
      <c r="I11" s="500">
        <v>591</v>
      </c>
      <c r="J11" s="36"/>
      <c r="K11" s="36"/>
      <c r="L11" s="36"/>
    </row>
    <row r="12" spans="1:58">
      <c r="A12" t="s">
        <v>576</v>
      </c>
      <c r="B12" s="502">
        <f>+B8/B11</f>
        <v>21.314982170542635</v>
      </c>
      <c r="C12" s="502">
        <f t="shared" ref="C12:I12" si="2">+C8/C11</f>
        <v>14.61376936316695</v>
      </c>
      <c r="D12" s="502">
        <f t="shared" si="2"/>
        <v>24.391579087136929</v>
      </c>
      <c r="E12" s="502">
        <f>+E8/E11</f>
        <v>20.807428415300546</v>
      </c>
      <c r="F12" s="502">
        <f>+F8/F11</f>
        <v>8.2353097254821925</v>
      </c>
      <c r="G12" s="502">
        <f t="shared" si="2"/>
        <v>19.559296476190479</v>
      </c>
      <c r="H12" s="502">
        <f>+H8/H11</f>
        <v>11.611544012944984</v>
      </c>
      <c r="I12" s="502">
        <f t="shared" si="2"/>
        <v>14.776326226734346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E235-FCEB-41F7-88FF-6B4043BB11A7}">
  <sheetPr>
    <tabColor rgb="FFFF0000"/>
  </sheetPr>
  <dimension ref="A1:G62"/>
  <sheetViews>
    <sheetView workbookViewId="0">
      <selection activeCell="K12" sqref="K12"/>
    </sheetView>
  </sheetViews>
  <sheetFormatPr defaultRowHeight="15"/>
  <sheetData>
    <row r="1" spans="1:7">
      <c r="A1" t="s">
        <v>238</v>
      </c>
      <c r="B1" t="s">
        <v>239</v>
      </c>
      <c r="C1" t="s">
        <v>240</v>
      </c>
      <c r="D1" t="s">
        <v>241</v>
      </c>
      <c r="E1" t="s">
        <v>242</v>
      </c>
      <c r="F1" t="s">
        <v>495</v>
      </c>
      <c r="G1" t="s">
        <v>503</v>
      </c>
    </row>
    <row r="2" spans="1:7">
      <c r="A2" s="73">
        <v>43525</v>
      </c>
      <c r="B2">
        <v>280.44000199999999</v>
      </c>
      <c r="C2">
        <v>285.17999300000002</v>
      </c>
      <c r="D2">
        <v>272.42001299999998</v>
      </c>
      <c r="E2">
        <v>282.48001099999999</v>
      </c>
      <c r="F2">
        <v>260.32406600000002</v>
      </c>
      <c r="G2">
        <v>1678081300</v>
      </c>
    </row>
    <row r="3" spans="1:7">
      <c r="A3" s="73">
        <v>43556</v>
      </c>
      <c r="B3">
        <v>284.70001200000002</v>
      </c>
      <c r="C3">
        <v>294.45001200000002</v>
      </c>
      <c r="D3">
        <v>284.39999399999999</v>
      </c>
      <c r="E3">
        <v>294.01998900000001</v>
      </c>
      <c r="F3">
        <v>272.15237400000001</v>
      </c>
      <c r="G3">
        <v>1209204700</v>
      </c>
    </row>
    <row r="4" spans="1:7">
      <c r="A4" s="73">
        <v>43586</v>
      </c>
      <c r="B4">
        <v>294.72000100000002</v>
      </c>
      <c r="C4">
        <v>294.95001200000002</v>
      </c>
      <c r="D4">
        <v>275.23998999999998</v>
      </c>
      <c r="E4">
        <v>275.26998900000001</v>
      </c>
      <c r="F4">
        <v>254.79688999999999</v>
      </c>
      <c r="G4">
        <v>1845593200</v>
      </c>
    </row>
    <row r="5" spans="1:7">
      <c r="A5" s="73">
        <v>43617</v>
      </c>
      <c r="B5">
        <v>275.30999800000001</v>
      </c>
      <c r="C5">
        <v>296.30999800000001</v>
      </c>
      <c r="D5">
        <v>273.08999599999999</v>
      </c>
      <c r="E5">
        <v>293</v>
      </c>
      <c r="F5">
        <v>271.20834400000001</v>
      </c>
      <c r="G5">
        <v>1340435600</v>
      </c>
    </row>
    <row r="6" spans="1:7">
      <c r="A6" s="73">
        <v>43647</v>
      </c>
      <c r="B6">
        <v>296.67999300000002</v>
      </c>
      <c r="C6">
        <v>302.23001099999999</v>
      </c>
      <c r="D6">
        <v>294.32998700000002</v>
      </c>
      <c r="E6">
        <v>297.42999300000002</v>
      </c>
      <c r="F6">
        <v>276.64785799999999</v>
      </c>
      <c r="G6">
        <v>1110102300</v>
      </c>
    </row>
    <row r="7" spans="1:7">
      <c r="A7" s="73">
        <v>43678</v>
      </c>
      <c r="B7">
        <v>297.60000600000001</v>
      </c>
      <c r="C7">
        <v>300.86999500000002</v>
      </c>
      <c r="D7">
        <v>281.72000100000002</v>
      </c>
      <c r="E7">
        <v>292.45001200000002</v>
      </c>
      <c r="F7">
        <v>272.01583900000003</v>
      </c>
      <c r="G7">
        <v>2034004800</v>
      </c>
    </row>
    <row r="8" spans="1:7">
      <c r="A8" s="73">
        <v>43709</v>
      </c>
      <c r="B8">
        <v>290.57000699999998</v>
      </c>
      <c r="C8">
        <v>302.63000499999998</v>
      </c>
      <c r="D8">
        <v>289.26998900000001</v>
      </c>
      <c r="E8">
        <v>296.76998900000001</v>
      </c>
      <c r="F8">
        <v>276.03405800000002</v>
      </c>
      <c r="G8">
        <v>1303830000</v>
      </c>
    </row>
    <row r="9" spans="1:7">
      <c r="A9" s="73">
        <v>43739</v>
      </c>
      <c r="B9">
        <v>297.73998999999998</v>
      </c>
      <c r="C9">
        <v>304.54998799999998</v>
      </c>
      <c r="D9">
        <v>284.82000699999998</v>
      </c>
      <c r="E9">
        <v>303.32998700000002</v>
      </c>
      <c r="F9">
        <v>283.43850700000002</v>
      </c>
      <c r="G9">
        <v>1386748300</v>
      </c>
    </row>
    <row r="10" spans="1:7">
      <c r="A10" s="73">
        <v>43770</v>
      </c>
      <c r="B10">
        <v>304.92001299999998</v>
      </c>
      <c r="C10">
        <v>315.48001099999999</v>
      </c>
      <c r="D10">
        <v>304.73998999999998</v>
      </c>
      <c r="E10">
        <v>314.30999800000001</v>
      </c>
      <c r="F10">
        <v>293.69845600000002</v>
      </c>
      <c r="G10">
        <v>1037123500</v>
      </c>
    </row>
    <row r="11" spans="1:7">
      <c r="A11" s="73">
        <v>43800</v>
      </c>
      <c r="B11">
        <v>314.58999599999999</v>
      </c>
      <c r="C11">
        <v>323.79998799999998</v>
      </c>
      <c r="D11">
        <v>307.13000499999998</v>
      </c>
      <c r="E11">
        <v>321.85998499999999</v>
      </c>
      <c r="F11">
        <v>300.75329599999998</v>
      </c>
      <c r="G11">
        <v>1285175800</v>
      </c>
    </row>
    <row r="12" spans="1:7">
      <c r="A12" s="73">
        <v>43831</v>
      </c>
      <c r="B12">
        <v>323.540009</v>
      </c>
      <c r="C12">
        <v>332.95001200000002</v>
      </c>
      <c r="D12">
        <v>320.35998499999999</v>
      </c>
      <c r="E12">
        <v>321.73001099999999</v>
      </c>
      <c r="F12">
        <v>302.10992399999998</v>
      </c>
      <c r="G12">
        <v>1392003800</v>
      </c>
    </row>
    <row r="13" spans="1:7">
      <c r="A13" s="73">
        <v>43862</v>
      </c>
      <c r="B13">
        <v>323.35000600000001</v>
      </c>
      <c r="C13">
        <v>339.07998700000002</v>
      </c>
      <c r="D13">
        <v>285.540009</v>
      </c>
      <c r="E13">
        <v>296.26001000000002</v>
      </c>
      <c r="F13">
        <v>278.19317599999999</v>
      </c>
      <c r="G13">
        <v>2110214900</v>
      </c>
    </row>
    <row r="14" spans="1:7">
      <c r="A14" s="73">
        <v>43891</v>
      </c>
      <c r="B14">
        <v>298.209991</v>
      </c>
      <c r="C14">
        <v>313.83999599999999</v>
      </c>
      <c r="D14">
        <v>218.259995</v>
      </c>
      <c r="E14">
        <v>257.75</v>
      </c>
      <c r="F14">
        <v>242.03160099999999</v>
      </c>
      <c r="G14">
        <v>5926017600</v>
      </c>
    </row>
    <row r="15" spans="1:7">
      <c r="A15" s="73">
        <v>43922</v>
      </c>
      <c r="B15">
        <v>247.979996</v>
      </c>
      <c r="C15">
        <v>294.88000499999998</v>
      </c>
      <c r="D15">
        <v>243.89999399999999</v>
      </c>
      <c r="E15">
        <v>290.48001099999999</v>
      </c>
      <c r="F15">
        <v>274.369598</v>
      </c>
      <c r="G15">
        <v>2819312300</v>
      </c>
    </row>
    <row r="16" spans="1:7">
      <c r="A16" s="73">
        <v>43952</v>
      </c>
      <c r="B16">
        <v>285.30999800000001</v>
      </c>
      <c r="C16">
        <v>306.83999599999999</v>
      </c>
      <c r="D16">
        <v>272.98998999999998</v>
      </c>
      <c r="E16">
        <v>304.32000699999998</v>
      </c>
      <c r="F16">
        <v>287.441956</v>
      </c>
      <c r="G16">
        <v>1910460500</v>
      </c>
    </row>
    <row r="17" spans="1:7">
      <c r="A17" s="73">
        <v>43983</v>
      </c>
      <c r="B17">
        <v>303.61999500000002</v>
      </c>
      <c r="C17">
        <v>323.41000400000001</v>
      </c>
      <c r="D17">
        <v>296.73998999999998</v>
      </c>
      <c r="E17">
        <v>308.35998499999999</v>
      </c>
      <c r="F17">
        <v>291.25787400000002</v>
      </c>
      <c r="G17">
        <v>2358674500</v>
      </c>
    </row>
    <row r="18" spans="1:7">
      <c r="A18" s="73">
        <v>44013</v>
      </c>
      <c r="B18">
        <v>309.57000699999998</v>
      </c>
      <c r="C18">
        <v>327.23001099999999</v>
      </c>
      <c r="D18">
        <v>309.07000699999998</v>
      </c>
      <c r="E18">
        <v>326.51998900000001</v>
      </c>
      <c r="F18">
        <v>309.76788299999998</v>
      </c>
      <c r="G18">
        <v>1505145300</v>
      </c>
    </row>
    <row r="19" spans="1:7">
      <c r="A19" s="73">
        <v>44044</v>
      </c>
      <c r="B19">
        <v>328.32000699999998</v>
      </c>
      <c r="C19">
        <v>351.29998799999998</v>
      </c>
      <c r="D19">
        <v>327.73001099999999</v>
      </c>
      <c r="E19">
        <v>349.30999800000001</v>
      </c>
      <c r="F19">
        <v>331.38867199999999</v>
      </c>
      <c r="G19">
        <v>1045563300</v>
      </c>
    </row>
    <row r="20" spans="1:7">
      <c r="A20" s="73">
        <v>44075</v>
      </c>
      <c r="B20">
        <v>350.209991</v>
      </c>
      <c r="C20">
        <v>358.75</v>
      </c>
      <c r="D20">
        <v>319.79998799999998</v>
      </c>
      <c r="E20">
        <v>334.89001500000001</v>
      </c>
      <c r="F20">
        <v>317.70855699999998</v>
      </c>
      <c r="G20">
        <v>1814712700</v>
      </c>
    </row>
    <row r="21" spans="1:7">
      <c r="A21" s="73">
        <v>44105</v>
      </c>
      <c r="B21">
        <v>337.69000199999999</v>
      </c>
      <c r="C21">
        <v>354.01998900000001</v>
      </c>
      <c r="D21">
        <v>322.60000600000001</v>
      </c>
      <c r="E21">
        <v>326.540009</v>
      </c>
      <c r="F21">
        <v>311.02700800000002</v>
      </c>
      <c r="G21">
        <v>1629016100</v>
      </c>
    </row>
    <row r="22" spans="1:7">
      <c r="A22" s="73">
        <v>44136</v>
      </c>
      <c r="B22">
        <v>330.20001200000002</v>
      </c>
      <c r="C22">
        <v>364.38000499999998</v>
      </c>
      <c r="D22">
        <v>327.23998999999998</v>
      </c>
      <c r="E22">
        <v>362.05999800000001</v>
      </c>
      <c r="F22">
        <v>344.85955799999999</v>
      </c>
      <c r="G22">
        <v>1535244300</v>
      </c>
    </row>
    <row r="23" spans="1:7">
      <c r="A23" s="73">
        <v>44166</v>
      </c>
      <c r="B23">
        <v>365.57000699999998</v>
      </c>
      <c r="C23">
        <v>378.459991</v>
      </c>
      <c r="D23">
        <v>362.02999899999998</v>
      </c>
      <c r="E23">
        <v>373.88000499999998</v>
      </c>
      <c r="F23">
        <v>356.11798099999999</v>
      </c>
      <c r="G23">
        <v>1344541500</v>
      </c>
    </row>
    <row r="24" spans="1:7">
      <c r="A24" s="73">
        <v>44197</v>
      </c>
      <c r="B24">
        <v>375.30999800000001</v>
      </c>
      <c r="C24">
        <v>385.85000600000001</v>
      </c>
      <c r="D24">
        <v>364.82000699999998</v>
      </c>
      <c r="E24">
        <v>370.07000699999998</v>
      </c>
      <c r="F24">
        <v>353.99154700000003</v>
      </c>
      <c r="G24">
        <v>1402265400</v>
      </c>
    </row>
    <row r="25" spans="1:7">
      <c r="A25" s="73">
        <v>44228</v>
      </c>
      <c r="B25">
        <v>373.72000100000002</v>
      </c>
      <c r="C25">
        <v>394.17001299999998</v>
      </c>
      <c r="D25">
        <v>370.38000499999998</v>
      </c>
      <c r="E25">
        <v>380.35998499999999</v>
      </c>
      <c r="F25">
        <v>363.83444200000002</v>
      </c>
      <c r="G25">
        <v>1307806200</v>
      </c>
    </row>
    <row r="26" spans="1:7">
      <c r="A26" s="73">
        <v>44256</v>
      </c>
      <c r="B26">
        <v>385.58999599999999</v>
      </c>
      <c r="C26">
        <v>398.11999500000002</v>
      </c>
      <c r="D26">
        <v>371.88000499999998</v>
      </c>
      <c r="E26">
        <v>396.32998700000002</v>
      </c>
      <c r="F26">
        <v>379.11056500000001</v>
      </c>
      <c r="G26">
        <v>2401715800</v>
      </c>
    </row>
    <row r="27" spans="1:7">
      <c r="A27" s="73">
        <v>44287</v>
      </c>
      <c r="B27">
        <v>398.39999399999999</v>
      </c>
      <c r="C27">
        <v>420.72000100000002</v>
      </c>
      <c r="D27">
        <v>398.17999300000002</v>
      </c>
      <c r="E27">
        <v>417.29998799999998</v>
      </c>
      <c r="F27">
        <v>400.47689800000001</v>
      </c>
      <c r="G27">
        <v>1462106600</v>
      </c>
    </row>
    <row r="28" spans="1:7">
      <c r="A28" s="73">
        <v>44317</v>
      </c>
      <c r="B28">
        <v>419.42999300000002</v>
      </c>
      <c r="C28">
        <v>422.82000699999998</v>
      </c>
      <c r="D28">
        <v>404</v>
      </c>
      <c r="E28">
        <v>420.040009</v>
      </c>
      <c r="F28">
        <v>403.10644500000001</v>
      </c>
      <c r="G28">
        <v>1547235900</v>
      </c>
    </row>
    <row r="29" spans="1:7">
      <c r="A29" s="73">
        <v>44348</v>
      </c>
      <c r="B29">
        <v>422.57000699999998</v>
      </c>
      <c r="C29">
        <v>428.77999899999998</v>
      </c>
      <c r="D29">
        <v>414.70001200000002</v>
      </c>
      <c r="E29">
        <v>428.05999800000001</v>
      </c>
      <c r="F29">
        <v>410.80310100000003</v>
      </c>
      <c r="G29">
        <v>1282152400</v>
      </c>
    </row>
    <row r="30" spans="1:7">
      <c r="A30" s="73">
        <v>44378</v>
      </c>
      <c r="B30">
        <v>428.86999500000002</v>
      </c>
      <c r="C30">
        <v>441.79998799999998</v>
      </c>
      <c r="D30">
        <v>421.97000100000002</v>
      </c>
      <c r="E30">
        <v>438.51001000000002</v>
      </c>
      <c r="F30">
        <v>422.20864899999998</v>
      </c>
      <c r="G30">
        <v>1422104700</v>
      </c>
    </row>
    <row r="31" spans="1:7">
      <c r="A31" s="73">
        <v>44409</v>
      </c>
      <c r="B31">
        <v>440.33999599999999</v>
      </c>
      <c r="C31">
        <v>453.07000699999998</v>
      </c>
      <c r="D31">
        <v>436.10000600000001</v>
      </c>
      <c r="E31">
        <v>451.55999800000001</v>
      </c>
      <c r="F31">
        <v>434.773529</v>
      </c>
      <c r="G31">
        <v>1254001400</v>
      </c>
    </row>
    <row r="32" spans="1:7">
      <c r="A32" s="73">
        <v>44440</v>
      </c>
      <c r="B32">
        <v>452.55999800000001</v>
      </c>
      <c r="C32">
        <v>454.04998799999998</v>
      </c>
      <c r="D32">
        <v>428.77999899999998</v>
      </c>
      <c r="E32">
        <v>429.14001500000001</v>
      </c>
      <c r="F32">
        <v>413.186981</v>
      </c>
      <c r="G32">
        <v>1745559600</v>
      </c>
    </row>
    <row r="33" spans="1:7">
      <c r="A33" s="73">
        <v>44470</v>
      </c>
      <c r="B33">
        <v>430.98001099999999</v>
      </c>
      <c r="C33">
        <v>459.55999800000001</v>
      </c>
      <c r="D33">
        <v>426.35998499999999</v>
      </c>
      <c r="E33">
        <v>459.25</v>
      </c>
      <c r="F33">
        <v>443.59423800000002</v>
      </c>
      <c r="G33">
        <v>1508665200</v>
      </c>
    </row>
    <row r="34" spans="1:7">
      <c r="A34" s="73">
        <v>44501</v>
      </c>
      <c r="B34">
        <v>460.29998799999998</v>
      </c>
      <c r="C34">
        <v>473.540009</v>
      </c>
      <c r="D34">
        <v>455.29998799999998</v>
      </c>
      <c r="E34">
        <v>455.55999800000001</v>
      </c>
      <c r="F34">
        <v>440.02999899999998</v>
      </c>
      <c r="G34">
        <v>1335351500</v>
      </c>
    </row>
    <row r="35" spans="1:7">
      <c r="A35" s="73">
        <v>44531</v>
      </c>
      <c r="B35">
        <v>461.64001500000001</v>
      </c>
      <c r="C35">
        <v>479</v>
      </c>
      <c r="D35">
        <v>448.92001299999998</v>
      </c>
      <c r="E35">
        <v>474.959991</v>
      </c>
      <c r="F35">
        <v>458.76864599999999</v>
      </c>
      <c r="G35">
        <v>1927433900</v>
      </c>
    </row>
    <row r="36" spans="1:7">
      <c r="A36" s="73">
        <v>44562</v>
      </c>
      <c r="B36">
        <v>476.29998799999998</v>
      </c>
      <c r="C36">
        <v>479.98001099999999</v>
      </c>
      <c r="D36">
        <v>420.76001000000002</v>
      </c>
      <c r="E36">
        <v>449.91000400000001</v>
      </c>
      <c r="F36">
        <v>436.09939600000001</v>
      </c>
      <c r="G36">
        <v>2485167800</v>
      </c>
    </row>
    <row r="37" spans="1:7">
      <c r="A37" s="73">
        <v>44593</v>
      </c>
      <c r="B37">
        <v>450.67999300000002</v>
      </c>
      <c r="C37">
        <v>458.11999500000002</v>
      </c>
      <c r="D37">
        <v>410.64001500000001</v>
      </c>
      <c r="E37">
        <v>436.63000499999998</v>
      </c>
      <c r="F37">
        <v>423.22699</v>
      </c>
      <c r="G37">
        <v>2297975100</v>
      </c>
    </row>
    <row r="38" spans="1:7">
      <c r="A38" s="73">
        <v>44621</v>
      </c>
      <c r="B38">
        <v>435.040009</v>
      </c>
      <c r="C38">
        <v>462.07000699999998</v>
      </c>
      <c r="D38">
        <v>415.11999500000002</v>
      </c>
      <c r="E38">
        <v>451.64001500000001</v>
      </c>
      <c r="F38">
        <v>437.77624500000002</v>
      </c>
      <c r="G38">
        <v>2380929500</v>
      </c>
    </row>
    <row r="39" spans="1:7">
      <c r="A39" s="73">
        <v>44652</v>
      </c>
      <c r="B39">
        <v>453.30999800000001</v>
      </c>
      <c r="C39">
        <v>457.82998700000002</v>
      </c>
      <c r="D39">
        <v>411.209991</v>
      </c>
      <c r="E39">
        <v>412</v>
      </c>
      <c r="F39">
        <v>400.59371900000002</v>
      </c>
      <c r="G39">
        <v>1856757400</v>
      </c>
    </row>
    <row r="40" spans="1:7">
      <c r="A40" s="73">
        <v>44682</v>
      </c>
      <c r="B40">
        <v>412.07000699999998</v>
      </c>
      <c r="C40">
        <v>429.66000400000001</v>
      </c>
      <c r="D40">
        <v>380.540009</v>
      </c>
      <c r="E40">
        <v>412.92999300000002</v>
      </c>
      <c r="F40">
        <v>401.49795499999999</v>
      </c>
      <c r="G40">
        <v>2418478100</v>
      </c>
    </row>
    <row r="41" spans="1:7">
      <c r="A41" s="73">
        <v>44713</v>
      </c>
      <c r="B41">
        <v>415.17001299999998</v>
      </c>
      <c r="C41">
        <v>417.44000199999999</v>
      </c>
      <c r="D41">
        <v>362.17001299999998</v>
      </c>
      <c r="E41">
        <v>377.25</v>
      </c>
      <c r="F41">
        <v>366.80578600000001</v>
      </c>
      <c r="G41">
        <v>1958611900</v>
      </c>
    </row>
    <row r="42" spans="1:7">
      <c r="A42" s="73">
        <v>44743</v>
      </c>
      <c r="B42">
        <v>376.55999800000001</v>
      </c>
      <c r="C42">
        <v>413.02999899999998</v>
      </c>
      <c r="D42">
        <v>371.040009</v>
      </c>
      <c r="E42">
        <v>411.98998999999998</v>
      </c>
      <c r="F42">
        <v>402.314392</v>
      </c>
      <c r="G42">
        <v>1437748400</v>
      </c>
    </row>
    <row r="43" spans="1:7">
      <c r="A43" s="73">
        <v>44774</v>
      </c>
      <c r="B43">
        <v>409.14999399999999</v>
      </c>
      <c r="C43">
        <v>431.73001099999999</v>
      </c>
      <c r="D43">
        <v>395.040009</v>
      </c>
      <c r="E43">
        <v>395.17999300000002</v>
      </c>
      <c r="F43">
        <v>385.89917000000003</v>
      </c>
      <c r="G43">
        <v>1443394400</v>
      </c>
    </row>
    <row r="44" spans="1:7">
      <c r="A44" s="73">
        <v>44805</v>
      </c>
      <c r="B44">
        <v>392.89001500000001</v>
      </c>
      <c r="C44">
        <v>411.73001099999999</v>
      </c>
      <c r="D44">
        <v>357.040009</v>
      </c>
      <c r="E44">
        <v>357.17999300000002</v>
      </c>
      <c r="F44">
        <v>348.79156499999999</v>
      </c>
      <c r="G44">
        <v>1998908600</v>
      </c>
    </row>
    <row r="45" spans="1:7">
      <c r="A45" s="73">
        <v>44835</v>
      </c>
      <c r="B45">
        <v>361.07998700000002</v>
      </c>
      <c r="C45">
        <v>389.51998900000001</v>
      </c>
      <c r="D45">
        <v>348.10998499999999</v>
      </c>
      <c r="E45">
        <v>386.209991</v>
      </c>
      <c r="F45">
        <v>378.68905599999999</v>
      </c>
      <c r="G45">
        <v>2024732000</v>
      </c>
    </row>
    <row r="46" spans="1:7">
      <c r="A46" s="73">
        <v>44866</v>
      </c>
      <c r="B46">
        <v>390.14001500000001</v>
      </c>
      <c r="C46">
        <v>407.67999300000002</v>
      </c>
      <c r="D46">
        <v>368.790009</v>
      </c>
      <c r="E46">
        <v>407.67999300000002</v>
      </c>
      <c r="F46">
        <v>399.74093599999998</v>
      </c>
      <c r="G46">
        <v>1745985300</v>
      </c>
    </row>
    <row r="47" spans="1:7">
      <c r="A47" s="73">
        <v>44896</v>
      </c>
      <c r="B47">
        <v>408.76998900000001</v>
      </c>
      <c r="C47">
        <v>410.48998999999998</v>
      </c>
      <c r="D47">
        <v>374.76998900000001</v>
      </c>
      <c r="E47">
        <v>382.42999300000002</v>
      </c>
      <c r="F47">
        <v>374.98266599999999</v>
      </c>
      <c r="G47">
        <v>1735973600</v>
      </c>
    </row>
    <row r="48" spans="1:7">
      <c r="A48" s="73">
        <v>44927</v>
      </c>
      <c r="B48">
        <v>384.36999500000002</v>
      </c>
      <c r="C48">
        <v>408.16000400000001</v>
      </c>
      <c r="D48">
        <v>377.82998700000002</v>
      </c>
      <c r="E48">
        <v>406.48001099999999</v>
      </c>
      <c r="F48">
        <v>400.39456200000001</v>
      </c>
      <c r="G48">
        <v>1575450100</v>
      </c>
    </row>
    <row r="49" spans="1:7">
      <c r="A49" s="73">
        <v>44958</v>
      </c>
      <c r="B49">
        <v>405.209991</v>
      </c>
      <c r="C49">
        <v>418.30999800000001</v>
      </c>
      <c r="D49">
        <v>393.64001500000001</v>
      </c>
      <c r="E49">
        <v>396.26001000000002</v>
      </c>
      <c r="F49">
        <v>390.32757600000002</v>
      </c>
      <c r="G49">
        <v>1603094700</v>
      </c>
    </row>
    <row r="50" spans="1:7">
      <c r="A50" s="73">
        <v>44986</v>
      </c>
      <c r="B50">
        <v>395.41000400000001</v>
      </c>
      <c r="C50">
        <v>409.70001200000002</v>
      </c>
      <c r="D50">
        <v>380.64999399999999</v>
      </c>
      <c r="E50">
        <v>409.39001500000001</v>
      </c>
      <c r="F50">
        <v>403.260986</v>
      </c>
      <c r="G50">
        <v>2515995800</v>
      </c>
    </row>
    <row r="51" spans="1:7">
      <c r="A51" s="73">
        <v>45017</v>
      </c>
      <c r="B51">
        <v>408.85000600000001</v>
      </c>
      <c r="C51">
        <v>415.94000199999999</v>
      </c>
      <c r="D51">
        <v>403.77999899999998</v>
      </c>
      <c r="E51">
        <v>415.92999300000002</v>
      </c>
      <c r="F51">
        <v>411.26669299999998</v>
      </c>
      <c r="G51">
        <v>1395683000</v>
      </c>
    </row>
    <row r="52" spans="1:7">
      <c r="A52" s="73">
        <v>45047</v>
      </c>
      <c r="B52">
        <v>415.47000100000002</v>
      </c>
      <c r="C52">
        <v>422.57998700000002</v>
      </c>
      <c r="D52">
        <v>403.73998999999998</v>
      </c>
      <c r="E52">
        <v>417.85000600000001</v>
      </c>
      <c r="F52">
        <v>413.16519199999999</v>
      </c>
      <c r="G52">
        <v>1780705600</v>
      </c>
    </row>
    <row r="53" spans="1:7">
      <c r="A53" s="73">
        <v>45078</v>
      </c>
      <c r="B53">
        <v>418.08999599999999</v>
      </c>
      <c r="C53">
        <v>444.29998799999998</v>
      </c>
      <c r="D53">
        <v>416.790009</v>
      </c>
      <c r="E53">
        <v>443.27999899999998</v>
      </c>
      <c r="F53">
        <v>438.31005900000002</v>
      </c>
      <c r="G53">
        <v>1749755000</v>
      </c>
    </row>
    <row r="54" spans="1:7">
      <c r="A54" s="73">
        <v>45108</v>
      </c>
      <c r="B54">
        <v>442.92001299999998</v>
      </c>
      <c r="C54">
        <v>459.44000199999999</v>
      </c>
      <c r="D54">
        <v>437.05999800000001</v>
      </c>
      <c r="E54">
        <v>457.790009</v>
      </c>
      <c r="F54">
        <v>454.33883700000001</v>
      </c>
      <c r="G54">
        <v>1374632400</v>
      </c>
    </row>
    <row r="55" spans="1:7">
      <c r="A55" s="73">
        <v>45139</v>
      </c>
      <c r="B55">
        <v>456.26998900000001</v>
      </c>
      <c r="C55">
        <v>457.25</v>
      </c>
      <c r="D55">
        <v>433.01001000000002</v>
      </c>
      <c r="E55">
        <v>450.35000600000001</v>
      </c>
      <c r="F55">
        <v>446.95489500000002</v>
      </c>
      <c r="G55">
        <v>1754764700</v>
      </c>
    </row>
    <row r="56" spans="1:7">
      <c r="A56" s="73">
        <v>45170</v>
      </c>
      <c r="B56">
        <v>453.17001299999998</v>
      </c>
      <c r="C56">
        <v>453.67001299999998</v>
      </c>
      <c r="D56">
        <v>422.290009</v>
      </c>
      <c r="E56">
        <v>427.48001099999999</v>
      </c>
      <c r="F56">
        <v>424.25735500000002</v>
      </c>
      <c r="G56">
        <v>1588673200</v>
      </c>
    </row>
    <row r="57" spans="1:7">
      <c r="A57" s="73">
        <v>45200</v>
      </c>
      <c r="B57">
        <v>426.61999500000002</v>
      </c>
      <c r="C57">
        <v>438.14001500000001</v>
      </c>
      <c r="D57">
        <v>409.209991</v>
      </c>
      <c r="E57">
        <v>418.20001200000002</v>
      </c>
      <c r="F57">
        <v>416.51129200000003</v>
      </c>
      <c r="G57">
        <v>1999149700</v>
      </c>
    </row>
    <row r="58" spans="1:7">
      <c r="A58" s="73">
        <v>45231</v>
      </c>
      <c r="B58">
        <v>419.20001200000002</v>
      </c>
      <c r="C58">
        <v>458.32000699999998</v>
      </c>
      <c r="D58">
        <v>418.64999399999999</v>
      </c>
      <c r="E58">
        <v>456.39999399999999</v>
      </c>
      <c r="F58">
        <v>454.55703699999998</v>
      </c>
      <c r="G58">
        <v>1499960600</v>
      </c>
    </row>
    <row r="59" spans="1:7">
      <c r="A59" s="73">
        <v>45261</v>
      </c>
      <c r="B59">
        <v>455.76998900000001</v>
      </c>
      <c r="C59">
        <v>477.54998799999998</v>
      </c>
      <c r="D59">
        <v>454.30999800000001</v>
      </c>
      <c r="E59">
        <v>475.30999800000001</v>
      </c>
      <c r="F59">
        <v>473.39068600000002</v>
      </c>
      <c r="G59">
        <v>1643108100</v>
      </c>
    </row>
    <row r="60" spans="1:7">
      <c r="A60" s="73">
        <v>45292</v>
      </c>
      <c r="B60">
        <v>472.16000400000001</v>
      </c>
      <c r="C60">
        <v>491.61999500000002</v>
      </c>
      <c r="D60">
        <v>466.42999300000002</v>
      </c>
      <c r="E60">
        <v>482.88000499999998</v>
      </c>
      <c r="F60">
        <v>482.88000499999998</v>
      </c>
      <c r="G60">
        <v>1700630800</v>
      </c>
    </row>
    <row r="61" spans="1:7">
      <c r="A61" s="73">
        <v>45323</v>
      </c>
      <c r="B61">
        <v>484.63000499999998</v>
      </c>
      <c r="C61">
        <v>503.5</v>
      </c>
      <c r="D61">
        <v>483.79998799999998</v>
      </c>
      <c r="E61">
        <v>498.57000699999998</v>
      </c>
      <c r="F61">
        <v>498.57000699999998</v>
      </c>
      <c r="G61">
        <v>747474800</v>
      </c>
    </row>
    <row r="62" spans="1:7">
      <c r="A62" s="73">
        <v>45337</v>
      </c>
      <c r="B62">
        <v>499.290009</v>
      </c>
      <c r="C62">
        <v>502.19500699999998</v>
      </c>
      <c r="D62">
        <v>498.79501299999998</v>
      </c>
      <c r="E62">
        <v>502.01001000000002</v>
      </c>
      <c r="F62">
        <v>502.01001000000002</v>
      </c>
      <c r="G62">
        <v>55765618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064F-496F-4672-A27B-C24FAFADFE9A}">
  <sheetPr>
    <tabColor rgb="FFFF0000"/>
  </sheetPr>
  <dimension ref="A1:R55"/>
  <sheetViews>
    <sheetView workbookViewId="0">
      <selection activeCell="B1" sqref="A1:XFD1048576"/>
    </sheetView>
  </sheetViews>
  <sheetFormatPr defaultRowHeight="15"/>
  <cols>
    <col min="1" max="1" width="47.140625" bestFit="1" customWidth="1"/>
    <col min="2" max="15" width="12.42578125" bestFit="1" customWidth="1"/>
    <col min="16" max="16" width="13.140625" bestFit="1" customWidth="1"/>
    <col min="17" max="18" width="12.42578125" bestFit="1" customWidth="1"/>
  </cols>
  <sheetData>
    <row r="1" spans="1:18">
      <c r="A1" t="s">
        <v>260</v>
      </c>
      <c r="B1" t="s">
        <v>261</v>
      </c>
      <c r="C1" s="73">
        <v>44926</v>
      </c>
      <c r="D1" s="73">
        <v>44561</v>
      </c>
      <c r="E1" s="73">
        <v>44196</v>
      </c>
      <c r="F1" s="73">
        <v>43830</v>
      </c>
      <c r="G1" s="73">
        <v>43465</v>
      </c>
      <c r="H1" s="73">
        <v>43100</v>
      </c>
      <c r="I1" s="73">
        <v>42735</v>
      </c>
      <c r="J1" s="73">
        <v>42369</v>
      </c>
      <c r="K1" s="73">
        <v>42004</v>
      </c>
      <c r="L1" s="73">
        <v>41639</v>
      </c>
      <c r="M1" s="73">
        <v>41274</v>
      </c>
      <c r="N1" s="73">
        <v>40908</v>
      </c>
      <c r="O1" s="73">
        <v>40543</v>
      </c>
      <c r="P1" s="73">
        <v>40178</v>
      </c>
      <c r="Q1" s="73">
        <v>39813</v>
      </c>
      <c r="R1" s="73">
        <v>39447</v>
      </c>
    </row>
    <row r="2" spans="1:18">
      <c r="A2" t="s">
        <v>262</v>
      </c>
      <c r="B2" s="45">
        <v>6595000000</v>
      </c>
      <c r="C2" s="45">
        <v>5891000000</v>
      </c>
      <c r="D2" s="45">
        <v>3028000000</v>
      </c>
      <c r="E2" s="45">
        <v>2066000000</v>
      </c>
      <c r="F2" s="45">
        <v>5020000000</v>
      </c>
      <c r="G2" s="45">
        <v>4454000000</v>
      </c>
      <c r="H2" s="45">
        <v>4462000000</v>
      </c>
      <c r="I2" s="45">
        <v>4265000000</v>
      </c>
      <c r="J2" s="45">
        <v>4328000000</v>
      </c>
      <c r="K2" s="45">
        <v>4415000000</v>
      </c>
      <c r="L2" s="45">
        <v>4184000000</v>
      </c>
      <c r="M2" s="45">
        <v>3949000000</v>
      </c>
      <c r="N2" s="45">
        <v>3698000000</v>
      </c>
      <c r="O2" s="45">
        <v>3527000000</v>
      </c>
      <c r="P2" s="45">
        <v>3330000000</v>
      </c>
      <c r="Q2" s="45">
        <v>3837000000</v>
      </c>
      <c r="R2" s="45">
        <v>3738000000</v>
      </c>
    </row>
    <row r="3" spans="1:18">
      <c r="A3" t="s">
        <v>263</v>
      </c>
      <c r="B3" s="45">
        <v>3326000000</v>
      </c>
      <c r="C3" s="45">
        <v>3029000000</v>
      </c>
      <c r="D3" s="45">
        <v>1371000000</v>
      </c>
      <c r="E3" s="45">
        <v>752000000</v>
      </c>
      <c r="F3" s="45">
        <v>2456000000</v>
      </c>
      <c r="G3" s="45">
        <v>2470000000</v>
      </c>
      <c r="H3" s="45">
        <v>2682000000</v>
      </c>
      <c r="I3" s="45">
        <v>2538000000</v>
      </c>
      <c r="J3" s="45">
        <v>2506000000</v>
      </c>
      <c r="K3" s="45">
        <v>2633000000</v>
      </c>
      <c r="L3" s="45">
        <v>2484000000</v>
      </c>
      <c r="M3" s="45">
        <v>2328000000</v>
      </c>
      <c r="N3" s="45">
        <v>2167000000</v>
      </c>
      <c r="O3" s="45">
        <v>2114000000</v>
      </c>
      <c r="P3" s="45">
        <v>3330000000</v>
      </c>
      <c r="Q3" s="45">
        <v>3837000000</v>
      </c>
      <c r="R3" s="45">
        <v>3738000000</v>
      </c>
    </row>
    <row r="4" spans="1:18">
      <c r="A4" t="s">
        <v>264</v>
      </c>
      <c r="B4" s="45">
        <v>5237000000</v>
      </c>
      <c r="C4" s="45">
        <v>4603000000</v>
      </c>
      <c r="D4" s="45">
        <v>2603000000</v>
      </c>
      <c r="E4" s="45">
        <v>2067000000</v>
      </c>
      <c r="F4" s="45">
        <v>4077000000</v>
      </c>
      <c r="G4" s="45">
        <v>3475000000</v>
      </c>
      <c r="H4" s="45">
        <v>3477000000</v>
      </c>
      <c r="I4" s="45">
        <v>3356000000</v>
      </c>
      <c r="J4" s="45">
        <v>3377000000</v>
      </c>
      <c r="K4" s="45">
        <v>3433000000</v>
      </c>
      <c r="L4" s="45">
        <v>3283000000</v>
      </c>
      <c r="M4" s="45">
        <v>3121000000</v>
      </c>
      <c r="N4" s="45">
        <v>2957000000</v>
      </c>
      <c r="O4" s="45">
        <v>2864000000</v>
      </c>
      <c r="P4" s="45">
        <v>2751000000</v>
      </c>
      <c r="Q4" s="45">
        <v>2934000000</v>
      </c>
      <c r="R4" s="45">
        <v>2847000000</v>
      </c>
    </row>
    <row r="5" spans="1:18">
      <c r="A5" t="s">
        <v>265</v>
      </c>
      <c r="B5" s="45">
        <v>1358000000</v>
      </c>
      <c r="C5" s="45">
        <v>1288000000</v>
      </c>
      <c r="D5" s="45">
        <v>425000000</v>
      </c>
      <c r="E5" s="45">
        <v>-1000000</v>
      </c>
      <c r="F5" s="45">
        <v>943000000</v>
      </c>
      <c r="G5" s="45">
        <v>979000000</v>
      </c>
      <c r="H5" s="45">
        <v>985000000</v>
      </c>
      <c r="I5" s="45">
        <v>909000000</v>
      </c>
      <c r="J5" s="45">
        <v>951000000</v>
      </c>
      <c r="K5" s="45">
        <v>982000000</v>
      </c>
      <c r="L5" s="45">
        <v>901000000</v>
      </c>
      <c r="M5" s="45">
        <v>828000000</v>
      </c>
      <c r="N5" s="45">
        <v>741000000</v>
      </c>
      <c r="O5" s="45">
        <v>663000000</v>
      </c>
      <c r="P5" s="45">
        <v>579000000</v>
      </c>
      <c r="Q5" s="45">
        <v>903000000</v>
      </c>
      <c r="R5" s="45">
        <v>891000000</v>
      </c>
    </row>
    <row r="6" spans="1:18">
      <c r="A6" t="s">
        <v>266</v>
      </c>
      <c r="B6" s="45">
        <v>1006000000</v>
      </c>
      <c r="C6" s="45">
        <v>890000000</v>
      </c>
      <c r="D6" s="45">
        <v>676000000</v>
      </c>
      <c r="E6" s="45">
        <v>631000000</v>
      </c>
      <c r="F6" s="45">
        <v>746000000</v>
      </c>
      <c r="G6" s="45">
        <v>647000000</v>
      </c>
      <c r="H6" s="45">
        <v>725000000</v>
      </c>
      <c r="I6" s="45">
        <v>641000000</v>
      </c>
      <c r="J6" s="45">
        <v>628000000</v>
      </c>
      <c r="K6" s="45">
        <v>703000000</v>
      </c>
      <c r="L6" s="45">
        <v>668000000</v>
      </c>
      <c r="M6" s="45">
        <v>669000000</v>
      </c>
      <c r="N6" s="45">
        <v>588000000</v>
      </c>
      <c r="O6" s="45">
        <v>555000000</v>
      </c>
      <c r="P6" s="45">
        <v>530000000</v>
      </c>
      <c r="Q6" s="45">
        <v>539000000</v>
      </c>
      <c r="R6" s="45">
        <v>506000000</v>
      </c>
    </row>
    <row r="7" spans="1:18">
      <c r="A7" t="s">
        <v>267</v>
      </c>
      <c r="B7" s="45">
        <v>603000000</v>
      </c>
      <c r="C7" s="45">
        <v>464000000</v>
      </c>
      <c r="D7" s="45">
        <v>366000000</v>
      </c>
      <c r="E7" s="45">
        <v>321000000</v>
      </c>
      <c r="F7" s="45">
        <v>417000000</v>
      </c>
      <c r="G7" s="45">
        <v>320000000</v>
      </c>
      <c r="H7" s="45">
        <v>377000000</v>
      </c>
      <c r="I7" s="45">
        <v>315000000</v>
      </c>
      <c r="J7" s="45">
        <v>308000000</v>
      </c>
      <c r="K7" s="45">
        <v>349000000</v>
      </c>
      <c r="L7" s="45">
        <v>323000000</v>
      </c>
      <c r="M7" s="45">
        <v>316000000</v>
      </c>
      <c r="N7" s="45">
        <v>283000000</v>
      </c>
      <c r="O7" s="45">
        <v>276000000</v>
      </c>
      <c r="P7" s="45">
        <v>261000000</v>
      </c>
      <c r="Q7" s="45">
        <v>290000000</v>
      </c>
      <c r="R7" s="45">
        <v>292000000</v>
      </c>
    </row>
    <row r="8" spans="1:18">
      <c r="A8" t="s">
        <v>268</v>
      </c>
      <c r="B8" s="45">
        <v>403000000</v>
      </c>
      <c r="C8" s="45">
        <v>426000000</v>
      </c>
      <c r="D8" s="45">
        <v>310000000</v>
      </c>
      <c r="E8" s="45">
        <v>310000000</v>
      </c>
      <c r="F8" s="45">
        <v>329000000</v>
      </c>
      <c r="G8" s="45">
        <v>327000000</v>
      </c>
      <c r="H8" s="45">
        <v>348000000</v>
      </c>
      <c r="I8" s="45">
        <v>326000000</v>
      </c>
      <c r="J8" s="45">
        <v>320000000</v>
      </c>
      <c r="K8" s="45">
        <v>354000000</v>
      </c>
      <c r="L8" s="45">
        <v>345000000</v>
      </c>
      <c r="M8" s="45">
        <v>353000000</v>
      </c>
      <c r="N8" s="45">
        <v>305000000</v>
      </c>
      <c r="O8" s="45">
        <v>279000000</v>
      </c>
      <c r="P8" s="45">
        <v>269000000</v>
      </c>
      <c r="Q8" s="45">
        <v>249000000</v>
      </c>
      <c r="R8" s="45">
        <v>214000000</v>
      </c>
    </row>
    <row r="9" spans="1:18">
      <c r="A9" t="s">
        <v>269</v>
      </c>
      <c r="B9" s="45">
        <v>403000000</v>
      </c>
      <c r="C9" s="45">
        <v>426000000</v>
      </c>
      <c r="D9" s="45">
        <v>310000000</v>
      </c>
      <c r="E9" s="45">
        <v>310000000</v>
      </c>
      <c r="F9" s="45">
        <v>329000000</v>
      </c>
      <c r="G9" s="45">
        <v>327000000</v>
      </c>
      <c r="H9" s="45">
        <v>348000000</v>
      </c>
      <c r="I9" s="45">
        <v>326000000</v>
      </c>
      <c r="J9" s="45">
        <v>320000000</v>
      </c>
      <c r="K9" s="45">
        <v>354000000</v>
      </c>
      <c r="L9" s="45">
        <v>345000000</v>
      </c>
      <c r="M9" s="45">
        <v>353000000</v>
      </c>
      <c r="N9" s="45">
        <v>305000000</v>
      </c>
      <c r="O9" s="45">
        <v>279000000</v>
      </c>
      <c r="P9" s="45">
        <v>269000000</v>
      </c>
      <c r="Q9" s="45">
        <v>249000000</v>
      </c>
      <c r="R9" s="45">
        <v>214000000</v>
      </c>
    </row>
    <row r="10" spans="1:18">
      <c r="A10" t="s">
        <v>270</v>
      </c>
      <c r="B10" s="45">
        <v>352000000</v>
      </c>
      <c r="C10" s="45">
        <v>398000000</v>
      </c>
      <c r="D10" s="45">
        <v>-251000000</v>
      </c>
      <c r="E10" s="45">
        <v>-632000000</v>
      </c>
      <c r="F10" s="45">
        <v>197000000</v>
      </c>
      <c r="G10" s="45">
        <v>332000000</v>
      </c>
      <c r="H10" s="45">
        <v>260000000</v>
      </c>
      <c r="I10" s="45">
        <v>268000000</v>
      </c>
      <c r="J10" s="45">
        <v>323000000</v>
      </c>
      <c r="K10" s="45">
        <v>279000000</v>
      </c>
      <c r="L10" s="45">
        <v>233000000</v>
      </c>
      <c r="M10" s="45">
        <v>159000000</v>
      </c>
      <c r="N10" s="45">
        <v>153000000</v>
      </c>
      <c r="O10" s="45">
        <v>108000000</v>
      </c>
      <c r="P10" s="45">
        <v>49000000</v>
      </c>
      <c r="Q10" s="45">
        <v>364000000</v>
      </c>
      <c r="R10" s="45">
        <v>385000000</v>
      </c>
    </row>
    <row r="11" spans="1:18">
      <c r="A11" t="s">
        <v>271</v>
      </c>
      <c r="B11" s="45">
        <v>-68000000</v>
      </c>
      <c r="C11" s="45">
        <v>-106000000</v>
      </c>
      <c r="D11" s="45">
        <v>-135000000</v>
      </c>
      <c r="E11" s="45">
        <v>-98000000</v>
      </c>
      <c r="F11" s="45">
        <v>-50000000</v>
      </c>
      <c r="G11" s="45">
        <v>-48000000</v>
      </c>
      <c r="H11" s="45">
        <v>30000000</v>
      </c>
      <c r="I11" s="45">
        <v>-48000000</v>
      </c>
      <c r="J11" s="45">
        <v>-60000000</v>
      </c>
      <c r="K11" s="45">
        <v>-60000000</v>
      </c>
      <c r="L11" s="45">
        <v>-48000000</v>
      </c>
      <c r="M11" s="45">
        <v>-47000000</v>
      </c>
      <c r="N11" s="45">
        <v>-34000000</v>
      </c>
      <c r="O11" s="45">
        <v>-33000000</v>
      </c>
      <c r="P11" s="45">
        <v>-56000000</v>
      </c>
      <c r="Q11" s="45">
        <v>-75000000</v>
      </c>
      <c r="R11" s="45">
        <v>-43000000</v>
      </c>
    </row>
    <row r="12" spans="1:18">
      <c r="A12" t="s">
        <v>272</v>
      </c>
      <c r="B12" s="45">
        <v>71000000</v>
      </c>
      <c r="C12" s="45">
        <v>44000000</v>
      </c>
      <c r="D12" s="45">
        <v>28000000</v>
      </c>
      <c r="E12" s="45">
        <v>30000000</v>
      </c>
      <c r="F12" s="45">
        <v>25000000</v>
      </c>
      <c r="G12" s="45">
        <v>28000000</v>
      </c>
      <c r="H12" s="45">
        <v>110000000</v>
      </c>
      <c r="I12" s="45">
        <v>28000000</v>
      </c>
      <c r="J12" s="45">
        <v>8000000</v>
      </c>
      <c r="K12" s="45">
        <v>11000000</v>
      </c>
      <c r="L12" s="45">
        <v>17000000</v>
      </c>
      <c r="M12" s="45">
        <v>23000000</v>
      </c>
      <c r="N12" s="45">
        <v>23000000</v>
      </c>
      <c r="O12" s="45">
        <v>21000000</v>
      </c>
    </row>
    <row r="13" spans="1:18">
      <c r="A13" t="s">
        <v>273</v>
      </c>
      <c r="B13" s="45">
        <v>139000000</v>
      </c>
      <c r="C13" s="45">
        <v>150000000</v>
      </c>
      <c r="D13" s="45">
        <v>163000000</v>
      </c>
      <c r="E13" s="45">
        <v>128000000</v>
      </c>
      <c r="F13" s="45">
        <v>75000000</v>
      </c>
      <c r="G13" s="45">
        <v>76000000</v>
      </c>
      <c r="H13" s="45">
        <v>80000000</v>
      </c>
      <c r="I13" s="45">
        <v>76000000</v>
      </c>
      <c r="J13" s="45">
        <v>68000000</v>
      </c>
      <c r="K13" s="45">
        <v>71000000</v>
      </c>
      <c r="L13" s="45">
        <v>65000000</v>
      </c>
      <c r="M13" s="45">
        <v>70000000</v>
      </c>
      <c r="N13" s="45">
        <v>57000000</v>
      </c>
      <c r="O13" s="45">
        <v>54000000</v>
      </c>
      <c r="P13" s="45">
        <v>56000000</v>
      </c>
      <c r="Q13" s="45">
        <v>75000000</v>
      </c>
      <c r="R13" s="45">
        <v>43000000</v>
      </c>
    </row>
    <row r="14" spans="1:18">
      <c r="A14" t="s">
        <v>274</v>
      </c>
      <c r="F14" s="45">
        <v>-18000000</v>
      </c>
      <c r="G14" s="45">
        <v>-11000000</v>
      </c>
      <c r="H14" s="45">
        <v>-10000000</v>
      </c>
      <c r="I14" s="45">
        <v>-3000000</v>
      </c>
    </row>
    <row r="15" spans="1:18">
      <c r="A15" t="s">
        <v>275</v>
      </c>
      <c r="B15" s="45">
        <v>76000000</v>
      </c>
      <c r="C15" s="45">
        <v>71000000</v>
      </c>
      <c r="D15" s="45">
        <v>430000000</v>
      </c>
      <c r="E15" s="45">
        <v>-230000000</v>
      </c>
      <c r="F15" s="45">
        <v>859000000</v>
      </c>
      <c r="G15" s="45">
        <v>667000000</v>
      </c>
      <c r="H15" s="45">
        <v>432000000</v>
      </c>
      <c r="I15" s="45">
        <v>62000000</v>
      </c>
      <c r="J15" s="45">
        <v>-69000000</v>
      </c>
      <c r="K15" s="45">
        <v>306000000</v>
      </c>
      <c r="L15" s="45">
        <v>136000000</v>
      </c>
      <c r="M15" s="45">
        <v>-17000000</v>
      </c>
      <c r="N15" s="45">
        <v>-36000000</v>
      </c>
      <c r="O15" s="45">
        <v>13000000</v>
      </c>
      <c r="P15" s="45">
        <v>-44000000</v>
      </c>
      <c r="Q15" s="45">
        <v>-85000000</v>
      </c>
      <c r="R15" s="45">
        <v>132000000</v>
      </c>
    </row>
    <row r="16" spans="1:18">
      <c r="A16" t="s">
        <v>276</v>
      </c>
      <c r="B16" s="45">
        <v>86000000</v>
      </c>
      <c r="C16" s="45">
        <v>121000000</v>
      </c>
      <c r="D16" s="45">
        <v>477000000</v>
      </c>
      <c r="E16" s="45">
        <v>11000000</v>
      </c>
      <c r="F16" s="45">
        <v>811000000</v>
      </c>
      <c r="G16" s="45">
        <v>711000000</v>
      </c>
      <c r="H16" s="45">
        <v>239000000</v>
      </c>
      <c r="I16" s="45">
        <v>7000000</v>
      </c>
      <c r="J16" s="45">
        <v>-1000000</v>
      </c>
      <c r="K16" s="45">
        <v>323000000</v>
      </c>
      <c r="L16" s="45">
        <v>204000000</v>
      </c>
      <c r="M16" s="45">
        <v>36000000</v>
      </c>
      <c r="N16" s="45">
        <v>-18000000</v>
      </c>
      <c r="O16" s="45">
        <v>63000000</v>
      </c>
      <c r="P16" s="45">
        <v>29000000</v>
      </c>
      <c r="Q16" s="45">
        <v>-36000000</v>
      </c>
      <c r="R16" s="45">
        <v>15000000</v>
      </c>
    </row>
    <row r="17" spans="1:18">
      <c r="A17" t="s">
        <v>277</v>
      </c>
      <c r="B17" s="45">
        <v>15000000</v>
      </c>
      <c r="C17" s="45">
        <v>5000000</v>
      </c>
      <c r="D17" s="45">
        <v>28000000</v>
      </c>
      <c r="E17" s="45">
        <v>-70000000</v>
      </c>
      <c r="F17" s="45">
        <v>-10000000</v>
      </c>
      <c r="G17" s="45">
        <v>8000000</v>
      </c>
      <c r="H17" s="45">
        <v>219000000</v>
      </c>
      <c r="I17" s="45">
        <v>67000000</v>
      </c>
      <c r="J17" s="45">
        <v>-64000000</v>
      </c>
      <c r="K17" s="45">
        <v>25000000</v>
      </c>
      <c r="L17" s="45">
        <v>-1000000</v>
      </c>
      <c r="M17" s="45">
        <v>-22000000</v>
      </c>
      <c r="N17" s="45">
        <v>4000000</v>
      </c>
      <c r="O17" s="45">
        <v>-40000000</v>
      </c>
      <c r="P17" s="45">
        <v>-13000000</v>
      </c>
      <c r="Q17" s="45">
        <v>14000000</v>
      </c>
      <c r="R17" s="45">
        <v>11000000</v>
      </c>
    </row>
    <row r="18" spans="1:18">
      <c r="A18" t="s">
        <v>278</v>
      </c>
      <c r="B18" s="45">
        <v>-29000000</v>
      </c>
      <c r="C18" s="45">
        <v>-61000000</v>
      </c>
      <c r="D18" s="45">
        <v>-64000000</v>
      </c>
      <c r="E18" s="45">
        <v>-140000000</v>
      </c>
      <c r="F18" s="45">
        <v>52000000</v>
      </c>
      <c r="G18" s="45">
        <v>-42000000</v>
      </c>
      <c r="H18" s="45">
        <v>20000000</v>
      </c>
      <c r="I18" s="45">
        <v>19000000</v>
      </c>
      <c r="J18" s="45">
        <v>7000000</v>
      </c>
      <c r="K18" s="45">
        <v>-31000000</v>
      </c>
      <c r="L18" s="45">
        <v>-58000000</v>
      </c>
      <c r="M18" s="45">
        <v>-27000000</v>
      </c>
      <c r="N18" s="45">
        <v>-11000000</v>
      </c>
      <c r="O18" s="45">
        <v>-9000000</v>
      </c>
      <c r="P18" s="45">
        <v>-60000000</v>
      </c>
      <c r="Q18" s="45">
        <v>-63000000</v>
      </c>
      <c r="R18" s="45">
        <v>106000000</v>
      </c>
    </row>
    <row r="19" spans="1:18">
      <c r="A19" t="s">
        <v>279</v>
      </c>
      <c r="B19" s="45">
        <v>30000000</v>
      </c>
      <c r="C19" s="45">
        <v>45000000</v>
      </c>
      <c r="D19" s="45">
        <v>49000000</v>
      </c>
      <c r="E19" s="45">
        <v>72000000</v>
      </c>
      <c r="F19" s="45">
        <v>-29000000</v>
      </c>
      <c r="G19" s="45">
        <v>10000000</v>
      </c>
      <c r="H19" s="45">
        <v>4000000</v>
      </c>
      <c r="I19" s="45">
        <v>4000000</v>
      </c>
      <c r="J19">
        <v>0</v>
      </c>
      <c r="K19" s="45">
        <v>13000000</v>
      </c>
      <c r="L19" s="45">
        <v>10000000</v>
      </c>
      <c r="M19" s="45">
        <v>23000000</v>
      </c>
      <c r="N19" s="45">
        <v>5000000</v>
      </c>
      <c r="O19">
        <v>0</v>
      </c>
    </row>
    <row r="20" spans="1:18">
      <c r="A20" t="s">
        <v>280</v>
      </c>
      <c r="B20" s="45">
        <v>32000000</v>
      </c>
      <c r="C20" s="45">
        <v>38000000</v>
      </c>
      <c r="D20" s="45">
        <v>8000000</v>
      </c>
      <c r="E20" s="45">
        <v>62000000</v>
      </c>
      <c r="F20" s="45">
        <v>18000000</v>
      </c>
      <c r="G20" s="45">
        <v>25000000</v>
      </c>
      <c r="H20">
        <v>0</v>
      </c>
      <c r="I20">
        <v>0</v>
      </c>
      <c r="J20" s="45">
        <v>5000000</v>
      </c>
      <c r="K20" s="45">
        <v>17000000</v>
      </c>
      <c r="L20" s="45">
        <v>22000000</v>
      </c>
      <c r="M20">
        <v>0</v>
      </c>
      <c r="N20" s="45">
        <v>6000000</v>
      </c>
      <c r="O20" s="45">
        <v>44000000</v>
      </c>
      <c r="P20" s="45">
        <v>12000000</v>
      </c>
      <c r="Q20" s="45">
        <v>86000000</v>
      </c>
      <c r="R20" s="45">
        <v>61000000</v>
      </c>
    </row>
    <row r="21" spans="1:18">
      <c r="A21" t="s">
        <v>281</v>
      </c>
      <c r="C21" s="45">
        <v>-16000000</v>
      </c>
      <c r="D21" s="45">
        <v>22000000</v>
      </c>
      <c r="E21" s="45">
        <v>29000000</v>
      </c>
      <c r="F21">
        <v>0</v>
      </c>
      <c r="G21" s="45">
        <v>22000000</v>
      </c>
      <c r="H21">
        <v>0</v>
      </c>
      <c r="I21">
        <v>0</v>
      </c>
      <c r="K21">
        <v>0</v>
      </c>
      <c r="L21">
        <v>0</v>
      </c>
      <c r="M21" s="45">
        <v>4000000</v>
      </c>
      <c r="N21">
        <v>0</v>
      </c>
      <c r="O21">
        <v>0</v>
      </c>
    </row>
    <row r="22" spans="1:18">
      <c r="A22" t="s">
        <v>282</v>
      </c>
      <c r="B22" s="45">
        <v>-17000000</v>
      </c>
      <c r="C22" s="45">
        <v>-6000000</v>
      </c>
      <c r="D22" s="45">
        <v>-15000000</v>
      </c>
      <c r="E22" s="45">
        <v>-23000000</v>
      </c>
      <c r="F22" s="45">
        <v>-25000000</v>
      </c>
      <c r="G22" s="45">
        <v>-15000000</v>
      </c>
      <c r="H22" s="45">
        <v>-24000000</v>
      </c>
      <c r="I22" s="45">
        <v>-23000000</v>
      </c>
      <c r="J22" s="45">
        <v>-12000000</v>
      </c>
      <c r="K22" s="45">
        <v>14000000</v>
      </c>
      <c r="L22" s="45">
        <v>55000000</v>
      </c>
      <c r="N22" s="45">
        <v>9000000</v>
      </c>
      <c r="O22" s="45">
        <v>-35000000</v>
      </c>
      <c r="P22" s="45">
        <v>48000000</v>
      </c>
      <c r="Q22" s="45">
        <v>-23000000</v>
      </c>
      <c r="R22" s="45">
        <v>-145000000</v>
      </c>
    </row>
    <row r="23" spans="1:18">
      <c r="A23" t="s">
        <v>283</v>
      </c>
      <c r="D23">
        <v>0</v>
      </c>
      <c r="E23">
        <v>0</v>
      </c>
      <c r="F23" s="45">
        <v>16000000</v>
      </c>
      <c r="G23">
        <v>0</v>
      </c>
      <c r="H23">
        <v>0</v>
      </c>
      <c r="I23" s="45">
        <v>-6000000</v>
      </c>
      <c r="J23">
        <v>0</v>
      </c>
      <c r="K23">
        <v>0</v>
      </c>
      <c r="L23" s="45">
        <v>29000000</v>
      </c>
      <c r="M23">
        <v>0</v>
      </c>
      <c r="N23">
        <v>0</v>
      </c>
      <c r="O23" s="45">
        <v>26000000</v>
      </c>
      <c r="P23">
        <v>0</v>
      </c>
      <c r="Q23">
        <v>0</v>
      </c>
      <c r="R23" s="45">
        <v>22000000</v>
      </c>
    </row>
    <row r="24" spans="1:18">
      <c r="A24" t="s">
        <v>284</v>
      </c>
      <c r="B24" s="45">
        <v>4000000</v>
      </c>
      <c r="C24" s="45">
        <v>6000000</v>
      </c>
      <c r="D24" s="45">
        <v>-11000000</v>
      </c>
      <c r="E24" s="45">
        <v>-31000000</v>
      </c>
      <c r="F24" s="45">
        <v>6000000</v>
      </c>
      <c r="G24" s="45">
        <v>-10000000</v>
      </c>
      <c r="H24" s="45">
        <v>-46000000</v>
      </c>
      <c r="I24" s="45">
        <v>-31000000</v>
      </c>
      <c r="J24" s="45">
        <v>-11000000</v>
      </c>
      <c r="K24" s="45">
        <v>-11000000</v>
      </c>
      <c r="L24" s="45">
        <v>-9000000</v>
      </c>
      <c r="M24" s="45">
        <v>-4000000</v>
      </c>
      <c r="N24" s="45">
        <v>-11000000</v>
      </c>
      <c r="O24" s="45">
        <v>-1000000</v>
      </c>
    </row>
    <row r="25" spans="1:18">
      <c r="A25" t="s">
        <v>285</v>
      </c>
      <c r="B25" s="45">
        <v>360000000</v>
      </c>
      <c r="C25" s="45">
        <v>363000000</v>
      </c>
      <c r="D25" s="45">
        <v>44000000</v>
      </c>
      <c r="E25" s="45">
        <v>-960000000</v>
      </c>
      <c r="F25" s="45">
        <v>1006000000</v>
      </c>
      <c r="G25" s="45">
        <v>951000000</v>
      </c>
      <c r="H25" s="45">
        <v>722000000</v>
      </c>
      <c r="I25" s="45">
        <v>282000000</v>
      </c>
      <c r="J25" s="45">
        <v>194000000</v>
      </c>
      <c r="K25" s="45">
        <v>525000000</v>
      </c>
      <c r="L25" s="45">
        <v>321000000</v>
      </c>
      <c r="M25" s="45">
        <v>95000000</v>
      </c>
      <c r="N25" s="45">
        <v>83000000</v>
      </c>
      <c r="O25" s="45">
        <v>88000000</v>
      </c>
      <c r="P25" s="45">
        <v>-51000000</v>
      </c>
      <c r="Q25" s="45">
        <v>204000000</v>
      </c>
      <c r="R25" s="45">
        <v>474000000</v>
      </c>
    </row>
    <row r="26" spans="1:18">
      <c r="A26" t="s">
        <v>286</v>
      </c>
      <c r="B26" s="45">
        <v>-128000000</v>
      </c>
      <c r="C26" s="45">
        <v>-92000000</v>
      </c>
      <c r="D26" s="45">
        <v>266000000</v>
      </c>
      <c r="E26" s="45">
        <v>-257000000</v>
      </c>
      <c r="F26" s="45">
        <v>240000000</v>
      </c>
      <c r="G26" s="45">
        <v>182000000</v>
      </c>
      <c r="H26" s="45">
        <v>332000000</v>
      </c>
      <c r="I26" s="45">
        <v>76000000</v>
      </c>
      <c r="J26" s="45">
        <v>70000000</v>
      </c>
      <c r="K26" s="45">
        <v>179000000</v>
      </c>
      <c r="L26" s="45">
        <v>116000000</v>
      </c>
      <c r="M26" s="45">
        <v>8000000</v>
      </c>
      <c r="N26" s="45">
        <v>-28000000</v>
      </c>
      <c r="O26" s="45">
        <v>37000000</v>
      </c>
      <c r="P26" s="45">
        <v>-8000000</v>
      </c>
      <c r="Q26" s="45">
        <v>90000000</v>
      </c>
      <c r="R26" s="45">
        <v>208000000</v>
      </c>
    </row>
    <row r="27" spans="1:18">
      <c r="A27" t="s">
        <v>287</v>
      </c>
      <c r="B27" s="45">
        <v>488000000</v>
      </c>
      <c r="C27" s="45">
        <v>455000000</v>
      </c>
      <c r="D27" s="45">
        <v>-222000000</v>
      </c>
      <c r="E27" s="45">
        <v>-703000000</v>
      </c>
      <c r="F27" s="45">
        <v>766000000</v>
      </c>
      <c r="G27" s="45">
        <v>769000000</v>
      </c>
      <c r="H27" s="45">
        <v>389000000</v>
      </c>
      <c r="I27" s="45">
        <v>206000000</v>
      </c>
      <c r="J27" s="45">
        <v>124000000</v>
      </c>
      <c r="K27" s="45">
        <v>344000000</v>
      </c>
      <c r="L27" s="45">
        <v>207000000</v>
      </c>
      <c r="M27" s="45">
        <v>88000000</v>
      </c>
      <c r="N27" s="45">
        <v>113000000</v>
      </c>
      <c r="O27" s="45">
        <v>66000000</v>
      </c>
      <c r="P27" s="45">
        <v>-43000000</v>
      </c>
      <c r="Q27" s="45">
        <v>168000000</v>
      </c>
      <c r="R27" s="45">
        <v>271000000</v>
      </c>
    </row>
    <row r="28" spans="1:18">
      <c r="A28" t="s">
        <v>288</v>
      </c>
      <c r="B28" s="45">
        <v>488000000</v>
      </c>
      <c r="C28" s="45">
        <v>455000000</v>
      </c>
      <c r="D28" s="45">
        <v>-222000000</v>
      </c>
      <c r="E28" s="45">
        <v>-703000000</v>
      </c>
      <c r="F28" s="45">
        <v>766000000</v>
      </c>
      <c r="G28" s="45">
        <v>769000000</v>
      </c>
      <c r="H28" s="45">
        <v>389000000</v>
      </c>
      <c r="I28" s="45">
        <v>206000000</v>
      </c>
      <c r="J28" s="45">
        <v>124000000</v>
      </c>
      <c r="K28" s="45">
        <v>344000000</v>
      </c>
      <c r="L28" s="45">
        <v>207000000</v>
      </c>
      <c r="M28" s="45">
        <v>88000000</v>
      </c>
      <c r="N28" s="45">
        <v>113000000</v>
      </c>
      <c r="O28" s="45">
        <v>66000000</v>
      </c>
      <c r="P28" s="45">
        <v>-43000000</v>
      </c>
      <c r="Q28" s="45">
        <v>168000000</v>
      </c>
      <c r="R28" s="45">
        <v>271000000</v>
      </c>
    </row>
    <row r="29" spans="1:18">
      <c r="A29" t="s">
        <v>289</v>
      </c>
      <c r="B29" s="45">
        <v>488000000</v>
      </c>
      <c r="C29" s="45">
        <v>455000000</v>
      </c>
      <c r="D29" s="45">
        <v>-222000000</v>
      </c>
      <c r="E29" s="45">
        <v>-703000000</v>
      </c>
      <c r="F29" s="45">
        <v>766000000</v>
      </c>
      <c r="G29" s="45">
        <v>769000000</v>
      </c>
      <c r="H29" s="45">
        <v>390000000</v>
      </c>
      <c r="I29" s="45">
        <v>206000000</v>
      </c>
      <c r="J29" s="45">
        <v>124000000</v>
      </c>
      <c r="K29" s="45">
        <v>346000000</v>
      </c>
      <c r="L29" s="45">
        <v>205000000</v>
      </c>
      <c r="M29" s="45">
        <v>87000000</v>
      </c>
      <c r="N29" s="45">
        <v>111000000</v>
      </c>
      <c r="O29" s="45">
        <v>55000000</v>
      </c>
      <c r="P29" s="45">
        <v>-46000000</v>
      </c>
      <c r="Q29" s="45">
        <v>170000000</v>
      </c>
      <c r="R29" s="45">
        <v>270000000</v>
      </c>
    </row>
    <row r="30" spans="1:18">
      <c r="A30" t="s">
        <v>290</v>
      </c>
      <c r="B30" s="45">
        <v>488000000</v>
      </c>
      <c r="C30" s="45">
        <v>455000000</v>
      </c>
      <c r="D30" s="45">
        <v>-222000000</v>
      </c>
      <c r="E30" s="45">
        <v>-703000000</v>
      </c>
      <c r="F30" s="45">
        <v>766000000</v>
      </c>
      <c r="G30" s="45">
        <v>769000000</v>
      </c>
      <c r="H30" s="45">
        <v>390000000</v>
      </c>
      <c r="I30" s="45">
        <v>206000000</v>
      </c>
      <c r="J30" s="45">
        <v>124000000</v>
      </c>
      <c r="K30" s="45">
        <v>346000000</v>
      </c>
      <c r="L30" s="45">
        <v>205000000</v>
      </c>
      <c r="M30" s="45">
        <v>87000000</v>
      </c>
      <c r="N30" s="45">
        <v>111000000</v>
      </c>
      <c r="O30" s="45">
        <v>51000000</v>
      </c>
      <c r="P30" s="45">
        <v>-43000000</v>
      </c>
      <c r="Q30" s="45">
        <v>114000000</v>
      </c>
      <c r="R30" s="45">
        <v>266000000</v>
      </c>
    </row>
    <row r="31" spans="1:18">
      <c r="A31" t="s">
        <v>291</v>
      </c>
      <c r="M31">
        <v>0</v>
      </c>
      <c r="N31">
        <v>0</v>
      </c>
      <c r="O31" s="45">
        <v>4000000</v>
      </c>
      <c r="P31" s="45">
        <v>-3000000</v>
      </c>
      <c r="Q31" s="45">
        <v>56000000</v>
      </c>
      <c r="R31" s="45">
        <v>5000000</v>
      </c>
    </row>
    <row r="32" spans="1:18">
      <c r="A32" t="s">
        <v>292</v>
      </c>
      <c r="Q32">
        <v>0</v>
      </c>
      <c r="R32">
        <v>0</v>
      </c>
    </row>
    <row r="33" spans="1:18">
      <c r="A33" t="s">
        <v>293</v>
      </c>
      <c r="Q33" s="45">
        <v>-2000000</v>
      </c>
      <c r="R33" s="45">
        <v>-1000000</v>
      </c>
    </row>
    <row r="34" spans="1:18">
      <c r="A34" t="s">
        <v>294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 s="45">
        <v>-1000000</v>
      </c>
      <c r="I34">
        <v>0</v>
      </c>
      <c r="J34">
        <v>0</v>
      </c>
      <c r="K34" s="45">
        <v>-2000000</v>
      </c>
      <c r="L34" s="45">
        <v>2000000</v>
      </c>
      <c r="M34" s="45">
        <v>1000000</v>
      </c>
      <c r="N34" s="45">
        <v>2000000</v>
      </c>
      <c r="O34" s="45">
        <v>11000000</v>
      </c>
      <c r="P34" s="45">
        <v>3000000</v>
      </c>
      <c r="Q34" s="45">
        <v>-2000000</v>
      </c>
      <c r="R34" s="45">
        <v>-1000000</v>
      </c>
    </row>
    <row r="35" spans="1:18">
      <c r="A35" t="s">
        <v>295</v>
      </c>
      <c r="B35" s="45">
        <v>488000000</v>
      </c>
      <c r="C35" s="45">
        <v>455000000</v>
      </c>
      <c r="D35" s="45">
        <v>-222000000</v>
      </c>
      <c r="E35" s="45">
        <v>-703000000</v>
      </c>
      <c r="F35" s="45">
        <v>766000000</v>
      </c>
      <c r="G35" s="45">
        <v>769000000</v>
      </c>
      <c r="H35" s="45">
        <v>389000000</v>
      </c>
      <c r="I35" s="45">
        <v>206000000</v>
      </c>
      <c r="J35" s="45">
        <v>124000000</v>
      </c>
      <c r="K35" s="45">
        <v>344000000</v>
      </c>
      <c r="L35" s="45">
        <v>207000000</v>
      </c>
      <c r="M35" s="45">
        <v>88000000</v>
      </c>
      <c r="N35" s="45">
        <v>113000000</v>
      </c>
      <c r="O35" s="45">
        <v>66000000</v>
      </c>
      <c r="P35" s="45">
        <v>-43000000</v>
      </c>
      <c r="Q35" s="45">
        <v>168000000</v>
      </c>
      <c r="R35" s="45">
        <v>271000000</v>
      </c>
    </row>
    <row r="36" spans="1:18">
      <c r="A36" t="s">
        <v>296</v>
      </c>
      <c r="B36">
        <v>4.55</v>
      </c>
      <c r="C36">
        <v>4.17</v>
      </c>
      <c r="D36">
        <v>-2.13</v>
      </c>
      <c r="E36">
        <v>-6.93</v>
      </c>
      <c r="F36">
        <v>7.33</v>
      </c>
      <c r="G36">
        <v>6.79</v>
      </c>
      <c r="H36">
        <v>3.12</v>
      </c>
      <c r="I36">
        <v>1.55</v>
      </c>
      <c r="J36">
        <v>0.87</v>
      </c>
      <c r="K36">
        <v>2.25</v>
      </c>
      <c r="L36">
        <v>1.3</v>
      </c>
      <c r="M36">
        <v>0.53</v>
      </c>
      <c r="N36">
        <v>0.67</v>
      </c>
      <c r="O36">
        <v>0.38</v>
      </c>
      <c r="P36">
        <v>-0.28000000000000003</v>
      </c>
      <c r="Q36">
        <v>1.31</v>
      </c>
      <c r="R36">
        <v>2.0099999999999998</v>
      </c>
    </row>
    <row r="37" spans="1:18">
      <c r="A37" t="s">
        <v>297</v>
      </c>
      <c r="B37">
        <v>4.45</v>
      </c>
      <c r="C37">
        <v>4.09</v>
      </c>
      <c r="D37">
        <v>-2.13</v>
      </c>
      <c r="E37">
        <v>-6.93</v>
      </c>
      <c r="F37">
        <v>7.21</v>
      </c>
      <c r="G37">
        <v>6.68</v>
      </c>
      <c r="H37">
        <v>3.08</v>
      </c>
      <c r="I37">
        <v>1.53</v>
      </c>
      <c r="J37">
        <v>0.86</v>
      </c>
      <c r="K37">
        <v>2.23</v>
      </c>
      <c r="L37">
        <v>1.3</v>
      </c>
      <c r="M37">
        <v>0.53</v>
      </c>
      <c r="N37">
        <v>0.67</v>
      </c>
      <c r="O37">
        <v>0.38</v>
      </c>
      <c r="P37">
        <v>-0.28000000000000003</v>
      </c>
      <c r="Q37">
        <v>1.31</v>
      </c>
      <c r="R37">
        <v>2.0099999999999998</v>
      </c>
    </row>
    <row r="38" spans="1:18">
      <c r="A38" t="s">
        <v>298</v>
      </c>
      <c r="B38" s="45">
        <v>105854955</v>
      </c>
      <c r="C38" s="45">
        <v>109093790</v>
      </c>
      <c r="D38" s="45">
        <v>103970738</v>
      </c>
      <c r="E38" s="45">
        <v>101325394</v>
      </c>
      <c r="F38" s="45">
        <v>104590383</v>
      </c>
      <c r="G38" s="45">
        <v>113259113</v>
      </c>
      <c r="H38" s="45">
        <v>124836917</v>
      </c>
      <c r="I38" s="45">
        <v>132930578</v>
      </c>
      <c r="J38" s="45">
        <v>142814868</v>
      </c>
      <c r="K38" s="45">
        <v>153136511</v>
      </c>
      <c r="L38" s="45">
        <v>158544930</v>
      </c>
      <c r="M38" s="45">
        <v>165017485</v>
      </c>
      <c r="N38" s="45">
        <v>168761751</v>
      </c>
      <c r="O38" s="45">
        <v>174115200</v>
      </c>
      <c r="P38" s="45">
        <v>153571429</v>
      </c>
      <c r="Q38" s="45">
        <v>128037015</v>
      </c>
      <c r="R38" s="45">
        <v>134585000</v>
      </c>
    </row>
    <row r="39" spans="1:18">
      <c r="A39" t="s">
        <v>299</v>
      </c>
      <c r="B39" s="45">
        <v>108325838</v>
      </c>
      <c r="C39" s="45">
        <v>111264939</v>
      </c>
      <c r="D39" s="45">
        <v>103970738</v>
      </c>
      <c r="E39" s="45">
        <v>101325394</v>
      </c>
      <c r="F39" s="45">
        <v>106292404</v>
      </c>
      <c r="G39" s="45">
        <v>115125017</v>
      </c>
      <c r="H39" s="45">
        <v>126346903</v>
      </c>
      <c r="I39" s="45">
        <v>133939331</v>
      </c>
      <c r="J39" s="45">
        <v>143999323</v>
      </c>
      <c r="K39" s="45">
        <v>154350452</v>
      </c>
      <c r="L39" s="45">
        <v>159189079</v>
      </c>
      <c r="M39" s="45">
        <v>165377328</v>
      </c>
      <c r="N39" s="45">
        <v>169240447</v>
      </c>
      <c r="O39" s="45">
        <v>174354202</v>
      </c>
      <c r="P39" s="45">
        <v>153571429</v>
      </c>
      <c r="Q39" s="45">
        <v>128061147</v>
      </c>
      <c r="R39" s="45">
        <v>134634000</v>
      </c>
    </row>
    <row r="40" spans="1:18">
      <c r="A40" t="s">
        <v>300</v>
      </c>
      <c r="B40" s="45">
        <v>6243000000</v>
      </c>
      <c r="C40" s="45">
        <v>5493000000</v>
      </c>
      <c r="D40" s="45">
        <v>3279000000</v>
      </c>
      <c r="E40" s="45">
        <v>2698000000</v>
      </c>
      <c r="F40" s="45">
        <v>4823000000</v>
      </c>
      <c r="G40" s="45">
        <v>4122000000</v>
      </c>
      <c r="H40" s="45">
        <v>4202000000</v>
      </c>
      <c r="I40" s="45">
        <v>3997000000</v>
      </c>
      <c r="J40" s="45">
        <v>4005000000</v>
      </c>
      <c r="K40" s="45">
        <v>4136000000</v>
      </c>
      <c r="L40" s="45">
        <v>3951000000</v>
      </c>
      <c r="M40" s="45">
        <v>3790000000</v>
      </c>
      <c r="N40" s="45">
        <v>3545000000</v>
      </c>
      <c r="O40" s="45">
        <v>3419000000</v>
      </c>
      <c r="P40" s="45">
        <v>3281000000</v>
      </c>
      <c r="Q40" s="45">
        <v>3473000000</v>
      </c>
      <c r="R40" s="45">
        <v>3353000000</v>
      </c>
    </row>
    <row r="41" spans="1:18">
      <c r="A41" t="s">
        <v>301</v>
      </c>
      <c r="B41" s="45">
        <v>488000000</v>
      </c>
      <c r="C41" s="45">
        <v>455000000</v>
      </c>
      <c r="D41" s="45">
        <v>-222000000</v>
      </c>
      <c r="E41" s="45">
        <v>-703000000</v>
      </c>
      <c r="F41" s="45">
        <v>766000000</v>
      </c>
      <c r="G41" s="45">
        <v>769000000</v>
      </c>
      <c r="H41" s="45">
        <v>389000000</v>
      </c>
      <c r="I41" s="45">
        <v>206000000</v>
      </c>
      <c r="J41" s="45">
        <v>124000000</v>
      </c>
      <c r="K41" s="45">
        <v>344000000</v>
      </c>
      <c r="L41" s="45">
        <v>207000000</v>
      </c>
      <c r="M41" s="45">
        <v>88000000</v>
      </c>
      <c r="N41" s="45">
        <v>113000000</v>
      </c>
      <c r="O41" s="45">
        <v>66000000</v>
      </c>
      <c r="P41" s="45">
        <v>-43000000</v>
      </c>
      <c r="Q41" s="45">
        <v>168000000</v>
      </c>
      <c r="R41" s="45">
        <v>272000000</v>
      </c>
    </row>
    <row r="42" spans="1:18">
      <c r="A42" t="s">
        <v>302</v>
      </c>
      <c r="B42" s="45">
        <v>442970000</v>
      </c>
      <c r="C42" s="45">
        <v>407600000</v>
      </c>
      <c r="D42" s="45">
        <v>-523490000</v>
      </c>
      <c r="E42" s="45">
        <v>-608572000</v>
      </c>
      <c r="F42" s="45">
        <v>109257000</v>
      </c>
      <c r="G42" s="45">
        <v>119401000</v>
      </c>
      <c r="H42" s="45">
        <v>233600000</v>
      </c>
      <c r="I42" s="45">
        <v>187020000</v>
      </c>
      <c r="J42" s="45">
        <v>120172000</v>
      </c>
      <c r="K42" s="45">
        <v>151572000</v>
      </c>
      <c r="L42" s="45">
        <v>113852000</v>
      </c>
      <c r="M42" s="45">
        <v>79747000</v>
      </c>
      <c r="N42" s="45">
        <v>131850000</v>
      </c>
      <c r="O42" s="45">
        <v>26900000</v>
      </c>
      <c r="P42" s="122">
        <v>-13862745.097999999</v>
      </c>
      <c r="Q42" s="45">
        <v>176350000</v>
      </c>
      <c r="R42" s="45">
        <v>188350000</v>
      </c>
    </row>
    <row r="43" spans="1:18">
      <c r="A43" t="s">
        <v>303</v>
      </c>
      <c r="B43" s="45">
        <v>71000000</v>
      </c>
      <c r="C43" s="45">
        <v>44000000</v>
      </c>
      <c r="D43" s="45">
        <v>28000000</v>
      </c>
      <c r="E43" s="45">
        <v>30000000</v>
      </c>
      <c r="F43" s="45">
        <v>25000000</v>
      </c>
      <c r="G43" s="45">
        <v>28000000</v>
      </c>
      <c r="H43" s="45">
        <v>110000000</v>
      </c>
      <c r="I43" s="45">
        <v>28000000</v>
      </c>
      <c r="J43" s="45">
        <v>8000000</v>
      </c>
      <c r="K43" s="45">
        <v>11000000</v>
      </c>
      <c r="L43" s="45">
        <v>17000000</v>
      </c>
      <c r="M43" s="45">
        <v>23000000</v>
      </c>
      <c r="N43" s="45">
        <v>23000000</v>
      </c>
      <c r="O43" s="45">
        <v>21000000</v>
      </c>
    </row>
    <row r="44" spans="1:18">
      <c r="A44" t="s">
        <v>304</v>
      </c>
      <c r="B44" s="45">
        <v>139000000</v>
      </c>
      <c r="C44" s="45">
        <v>150000000</v>
      </c>
      <c r="D44" s="45">
        <v>163000000</v>
      </c>
      <c r="E44" s="45">
        <v>128000000</v>
      </c>
      <c r="F44" s="45">
        <v>75000000</v>
      </c>
      <c r="G44" s="45">
        <v>76000000</v>
      </c>
      <c r="H44" s="45">
        <v>80000000</v>
      </c>
      <c r="I44" s="45">
        <v>76000000</v>
      </c>
      <c r="J44" s="45">
        <v>68000000</v>
      </c>
      <c r="K44" s="45">
        <v>71000000</v>
      </c>
      <c r="L44" s="45">
        <v>65000000</v>
      </c>
      <c r="M44" s="45">
        <v>70000000</v>
      </c>
      <c r="N44" s="45">
        <v>57000000</v>
      </c>
      <c r="O44" s="45">
        <v>54000000</v>
      </c>
      <c r="P44" s="45">
        <v>56000000</v>
      </c>
      <c r="Q44" s="45">
        <v>75000000</v>
      </c>
      <c r="R44" s="45">
        <v>43000000</v>
      </c>
    </row>
    <row r="45" spans="1:18">
      <c r="A45" t="s">
        <v>305</v>
      </c>
      <c r="B45" s="45">
        <v>-68000000</v>
      </c>
      <c r="C45" s="45">
        <v>-106000000</v>
      </c>
      <c r="D45" s="45">
        <v>-135000000</v>
      </c>
      <c r="E45" s="45">
        <v>-98000000</v>
      </c>
      <c r="F45" s="45">
        <v>-50000000</v>
      </c>
      <c r="G45" s="45">
        <v>-48000000</v>
      </c>
      <c r="H45" s="45">
        <v>30000000</v>
      </c>
      <c r="I45" s="45">
        <v>-48000000</v>
      </c>
      <c r="J45" s="45">
        <v>-60000000</v>
      </c>
      <c r="K45" s="45">
        <v>-60000000</v>
      </c>
      <c r="L45" s="45">
        <v>-48000000</v>
      </c>
      <c r="M45" s="45">
        <v>-47000000</v>
      </c>
      <c r="N45" s="45">
        <v>-34000000</v>
      </c>
      <c r="O45" s="45">
        <v>-33000000</v>
      </c>
      <c r="P45" s="45">
        <v>-56000000</v>
      </c>
      <c r="Q45" s="45">
        <v>-75000000</v>
      </c>
      <c r="R45" s="45">
        <v>-43000000</v>
      </c>
    </row>
    <row r="46" spans="1:18">
      <c r="A46" t="s">
        <v>306</v>
      </c>
      <c r="B46" s="45">
        <v>499000000</v>
      </c>
      <c r="C46" s="45">
        <v>513000000</v>
      </c>
      <c r="D46" s="45">
        <v>207000000</v>
      </c>
      <c r="E46" s="45">
        <v>-832000000</v>
      </c>
      <c r="F46" s="45">
        <v>1081000000</v>
      </c>
      <c r="G46" s="45">
        <v>1027000000</v>
      </c>
      <c r="H46" s="45">
        <v>802000000</v>
      </c>
      <c r="I46" s="45">
        <v>358000000</v>
      </c>
      <c r="J46" s="45">
        <v>262000000</v>
      </c>
      <c r="K46" s="45">
        <v>596000000</v>
      </c>
      <c r="L46" s="45">
        <v>386000000</v>
      </c>
      <c r="M46" s="45">
        <v>165000000</v>
      </c>
      <c r="N46" s="45">
        <v>140000000</v>
      </c>
      <c r="O46" s="45">
        <v>142000000</v>
      </c>
      <c r="P46" s="45">
        <v>5000000</v>
      </c>
      <c r="Q46" s="45">
        <v>279000000</v>
      </c>
      <c r="R46" s="45">
        <v>517000000</v>
      </c>
    </row>
    <row r="47" spans="1:18">
      <c r="A47" t="s">
        <v>103</v>
      </c>
      <c r="B47" s="45">
        <v>940000000</v>
      </c>
      <c r="C47" s="45">
        <v>974000000</v>
      </c>
      <c r="D47" s="45">
        <v>544000000</v>
      </c>
      <c r="E47" s="45">
        <v>-491000000</v>
      </c>
      <c r="F47" s="45">
        <v>1445000000</v>
      </c>
      <c r="G47" s="45">
        <v>1354000000</v>
      </c>
      <c r="H47" s="45">
        <v>1150000000</v>
      </c>
      <c r="I47" s="45">
        <v>684000000</v>
      </c>
      <c r="J47" s="45">
        <v>582000000</v>
      </c>
      <c r="K47" s="45">
        <v>950000000</v>
      </c>
      <c r="L47" s="45">
        <v>731000000</v>
      </c>
      <c r="M47" s="45">
        <v>518000000</v>
      </c>
      <c r="N47" s="45">
        <v>445000000</v>
      </c>
      <c r="O47" s="45">
        <v>421000000</v>
      </c>
      <c r="P47" s="45">
        <v>274000000</v>
      </c>
      <c r="Q47" s="45">
        <v>528000000</v>
      </c>
      <c r="R47" s="45">
        <v>731000000</v>
      </c>
    </row>
    <row r="48" spans="1:18">
      <c r="A48" t="s">
        <v>307</v>
      </c>
      <c r="B48" s="45">
        <v>5199000000</v>
      </c>
      <c r="C48" s="45">
        <v>4568000000</v>
      </c>
      <c r="D48" s="45">
        <v>2576000000</v>
      </c>
      <c r="E48" s="45">
        <v>2036000000</v>
      </c>
      <c r="F48" s="45">
        <v>4042000000</v>
      </c>
      <c r="G48" s="45">
        <v>3475000000</v>
      </c>
      <c r="H48" s="45">
        <v>3477000000</v>
      </c>
      <c r="I48" s="45">
        <v>3356000000</v>
      </c>
      <c r="J48" s="45">
        <v>3377000000</v>
      </c>
      <c r="K48" s="45">
        <v>3433000000</v>
      </c>
      <c r="L48" s="45">
        <v>3283000000</v>
      </c>
      <c r="M48" s="45">
        <v>3121000000</v>
      </c>
      <c r="N48" s="45">
        <v>2957000000</v>
      </c>
      <c r="O48" s="45">
        <v>2864000000</v>
      </c>
      <c r="P48" s="45">
        <v>2751000000</v>
      </c>
      <c r="Q48" s="45">
        <v>2934000000</v>
      </c>
      <c r="R48" s="45">
        <v>2847000000</v>
      </c>
    </row>
    <row r="49" spans="1:18">
      <c r="A49" t="s">
        <v>308</v>
      </c>
      <c r="B49" s="45">
        <v>441000000</v>
      </c>
      <c r="C49" s="45">
        <v>461000000</v>
      </c>
      <c r="D49" s="45">
        <v>337000000</v>
      </c>
      <c r="E49" s="45">
        <v>341000000</v>
      </c>
      <c r="F49" s="45">
        <v>364000000</v>
      </c>
      <c r="G49" s="45">
        <v>327000000</v>
      </c>
      <c r="H49" s="45">
        <v>348000000</v>
      </c>
      <c r="I49" s="45">
        <v>326000000</v>
      </c>
      <c r="J49" s="45">
        <v>320000000</v>
      </c>
      <c r="K49" s="45">
        <v>354000000</v>
      </c>
      <c r="L49" s="45">
        <v>345000000</v>
      </c>
      <c r="M49" s="45">
        <v>353000000</v>
      </c>
      <c r="N49" s="45">
        <v>305000000</v>
      </c>
      <c r="O49" s="45">
        <v>279000000</v>
      </c>
      <c r="P49" s="45">
        <v>269000000</v>
      </c>
      <c r="Q49" s="45">
        <v>249000000</v>
      </c>
      <c r="R49" s="45">
        <v>214000000</v>
      </c>
    </row>
    <row r="50" spans="1:18">
      <c r="A50" t="s">
        <v>309</v>
      </c>
      <c r="B50" s="45">
        <v>488000000</v>
      </c>
      <c r="C50" s="45">
        <v>455000000</v>
      </c>
      <c r="D50" s="45">
        <v>-222000000</v>
      </c>
      <c r="E50" s="45">
        <v>-703000000</v>
      </c>
      <c r="F50" s="45">
        <v>766000000</v>
      </c>
      <c r="G50" s="45">
        <v>769000000</v>
      </c>
      <c r="H50" s="45">
        <v>389000000</v>
      </c>
      <c r="I50" s="45">
        <v>206000000</v>
      </c>
      <c r="J50" s="45">
        <v>124000000</v>
      </c>
      <c r="K50" s="45">
        <v>344000000</v>
      </c>
      <c r="L50" s="45">
        <v>207000000</v>
      </c>
      <c r="M50" s="45">
        <v>88000000</v>
      </c>
      <c r="N50" s="45">
        <v>113000000</v>
      </c>
      <c r="O50" s="45">
        <v>62000000</v>
      </c>
      <c r="P50" s="45">
        <v>-40000000</v>
      </c>
      <c r="Q50" s="45">
        <v>112000000</v>
      </c>
      <c r="R50" s="45">
        <v>267000000</v>
      </c>
    </row>
    <row r="51" spans="1:18">
      <c r="A51" t="s">
        <v>310</v>
      </c>
      <c r="B51" s="45">
        <v>57000000</v>
      </c>
      <c r="C51" s="45">
        <v>60000000</v>
      </c>
      <c r="D51" s="45">
        <v>413000000</v>
      </c>
      <c r="E51" s="45">
        <v>-129000000</v>
      </c>
      <c r="F51" s="45">
        <v>863000000</v>
      </c>
      <c r="G51" s="45">
        <v>669000000</v>
      </c>
      <c r="H51" s="45">
        <v>259000000</v>
      </c>
      <c r="I51" s="45">
        <v>26000000</v>
      </c>
      <c r="J51" s="45">
        <v>6000000</v>
      </c>
      <c r="K51" s="45">
        <v>292000000</v>
      </c>
      <c r="L51" s="45">
        <v>146000000</v>
      </c>
      <c r="M51" s="45">
        <v>9000000</v>
      </c>
      <c r="N51" s="45">
        <v>-29000000</v>
      </c>
      <c r="O51" s="45">
        <v>54000000</v>
      </c>
      <c r="P51" s="45">
        <v>-31000000</v>
      </c>
      <c r="Q51" s="45">
        <v>-99000000</v>
      </c>
      <c r="R51" s="45">
        <v>121000000</v>
      </c>
    </row>
    <row r="52" spans="1:18">
      <c r="A52" t="s">
        <v>311</v>
      </c>
      <c r="B52" s="45">
        <v>57000000</v>
      </c>
      <c r="C52" s="45">
        <v>60000000</v>
      </c>
      <c r="D52" s="45">
        <v>413000000</v>
      </c>
      <c r="E52" s="45">
        <v>-129000000</v>
      </c>
      <c r="F52" s="45">
        <v>863000000</v>
      </c>
      <c r="G52" s="45">
        <v>669000000</v>
      </c>
      <c r="H52" s="45">
        <v>259000000</v>
      </c>
      <c r="I52" s="45">
        <v>26000000</v>
      </c>
      <c r="J52" s="45">
        <v>6000000</v>
      </c>
      <c r="K52" s="45">
        <v>292000000</v>
      </c>
      <c r="L52" s="45">
        <v>146000000</v>
      </c>
      <c r="M52" s="45">
        <v>9000000</v>
      </c>
      <c r="N52" s="45">
        <v>-29000000</v>
      </c>
      <c r="O52" s="45">
        <v>54000000</v>
      </c>
      <c r="P52" s="45">
        <v>-31000000</v>
      </c>
      <c r="Q52" s="45">
        <v>-99000000</v>
      </c>
      <c r="R52" s="45">
        <v>121000000</v>
      </c>
    </row>
    <row r="53" spans="1:18">
      <c r="A53" t="s">
        <v>312</v>
      </c>
      <c r="B53" s="45">
        <v>883000000</v>
      </c>
      <c r="C53" s="45">
        <v>914000000</v>
      </c>
      <c r="D53" s="45">
        <v>131000000</v>
      </c>
      <c r="E53" s="45">
        <v>-362000000</v>
      </c>
      <c r="F53" s="45">
        <v>582000000</v>
      </c>
      <c r="G53" s="45">
        <v>685000000</v>
      </c>
      <c r="H53" s="45">
        <v>891000000</v>
      </c>
      <c r="I53" s="45">
        <v>658000000</v>
      </c>
      <c r="J53" s="45">
        <v>576000000</v>
      </c>
      <c r="K53" s="45">
        <v>658000000</v>
      </c>
      <c r="L53" s="45">
        <v>585000000</v>
      </c>
      <c r="M53" s="45">
        <v>509000000</v>
      </c>
      <c r="N53" s="45">
        <v>474000000</v>
      </c>
      <c r="O53" s="45">
        <v>367000000</v>
      </c>
      <c r="P53" s="45">
        <v>305000000</v>
      </c>
      <c r="Q53" s="45">
        <v>627000000</v>
      </c>
      <c r="R53" s="45">
        <v>610000000</v>
      </c>
    </row>
    <row r="54" spans="1:18">
      <c r="A54" t="s">
        <v>313</v>
      </c>
      <c r="B54">
        <v>0.21</v>
      </c>
      <c r="C54">
        <v>0.21</v>
      </c>
      <c r="D54">
        <v>0.27</v>
      </c>
      <c r="E54">
        <v>0.26800000000000002</v>
      </c>
      <c r="F54">
        <v>0.23899999999999999</v>
      </c>
      <c r="G54">
        <v>2.9000000000000001E-2</v>
      </c>
      <c r="H54">
        <v>0.4</v>
      </c>
      <c r="I54">
        <v>0.27</v>
      </c>
      <c r="J54">
        <v>0.36199999999999999</v>
      </c>
      <c r="K54">
        <v>0.34100000000000003</v>
      </c>
      <c r="L54">
        <v>0.36199999999999999</v>
      </c>
      <c r="M54">
        <v>8.3000000000000004E-2</v>
      </c>
      <c r="N54">
        <v>0.35</v>
      </c>
      <c r="O54">
        <v>0.35</v>
      </c>
      <c r="P54">
        <v>0.157</v>
      </c>
      <c r="Q54">
        <v>0.35</v>
      </c>
      <c r="R54">
        <v>0.35</v>
      </c>
    </row>
    <row r="55" spans="1:18">
      <c r="A55" t="s">
        <v>314</v>
      </c>
      <c r="B55" s="45">
        <v>11970000</v>
      </c>
      <c r="C55" s="45">
        <v>12600000</v>
      </c>
      <c r="D55" s="45">
        <v>111510000</v>
      </c>
      <c r="E55" s="45">
        <v>-34572000</v>
      </c>
      <c r="F55" s="45">
        <v>206257000</v>
      </c>
      <c r="G55" s="45">
        <v>19401000</v>
      </c>
      <c r="H55" s="45">
        <v>103600000</v>
      </c>
      <c r="I55" s="45">
        <v>7020000</v>
      </c>
      <c r="J55" s="45">
        <v>2172000</v>
      </c>
      <c r="K55" s="45">
        <v>99572000</v>
      </c>
      <c r="L55" s="45">
        <v>52852000</v>
      </c>
      <c r="M55" s="45">
        <v>747000</v>
      </c>
      <c r="N55" s="45">
        <v>-10150000</v>
      </c>
      <c r="O55" s="45">
        <v>18900000</v>
      </c>
      <c r="P55" s="122">
        <v>-4862745.0980000002</v>
      </c>
      <c r="Q55" s="45">
        <v>-34650000</v>
      </c>
      <c r="R55" s="45">
        <v>42350000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9EFE-3EEB-4FED-9CA7-42023775A597}">
  <sheetPr>
    <tabColor rgb="FFFF0000"/>
  </sheetPr>
  <dimension ref="A1:R92"/>
  <sheetViews>
    <sheetView workbookViewId="0">
      <selection activeCell="A9" sqref="A9"/>
    </sheetView>
  </sheetViews>
  <sheetFormatPr defaultRowHeight="15"/>
  <cols>
    <col min="1" max="1" width="50.140625" bestFit="1" customWidth="1"/>
    <col min="2" max="2" width="13.42578125" customWidth="1"/>
    <col min="3" max="4" width="13.5703125" bestFit="1" customWidth="1"/>
    <col min="5" max="18" width="13.140625" bestFit="1" customWidth="1"/>
  </cols>
  <sheetData>
    <row r="1" spans="1:18">
      <c r="A1" t="s">
        <v>260</v>
      </c>
      <c r="B1" s="73">
        <v>45199</v>
      </c>
      <c r="C1" s="73">
        <v>44926</v>
      </c>
      <c r="D1" s="73">
        <v>44561</v>
      </c>
      <c r="E1" s="73">
        <v>44196</v>
      </c>
      <c r="F1" s="73">
        <v>43830</v>
      </c>
      <c r="G1" s="73">
        <v>43465</v>
      </c>
      <c r="H1" s="73">
        <v>43100</v>
      </c>
      <c r="I1" s="73">
        <v>42735</v>
      </c>
      <c r="J1" s="73">
        <v>42369</v>
      </c>
      <c r="K1" s="73">
        <v>42004</v>
      </c>
      <c r="L1" s="73">
        <v>41639</v>
      </c>
      <c r="M1" s="73">
        <v>41274</v>
      </c>
      <c r="N1" s="73">
        <v>40908</v>
      </c>
      <c r="O1" s="73">
        <v>40543</v>
      </c>
      <c r="P1" s="73">
        <v>40178</v>
      </c>
      <c r="Q1" s="73">
        <v>39813</v>
      </c>
      <c r="R1" s="73">
        <v>39447</v>
      </c>
    </row>
    <row r="2" spans="1:18">
      <c r="A2" t="s">
        <v>315</v>
      </c>
      <c r="B2" s="45">
        <v>12317000000</v>
      </c>
      <c r="C2" s="45">
        <v>12312000000</v>
      </c>
      <c r="D2" s="45">
        <v>12603000000</v>
      </c>
      <c r="E2" s="45">
        <v>9129000000</v>
      </c>
      <c r="F2" s="45">
        <v>8417000000</v>
      </c>
      <c r="G2" s="45">
        <v>7643000000</v>
      </c>
      <c r="H2" s="45">
        <v>7572000000</v>
      </c>
      <c r="I2" s="45">
        <v>7749000000</v>
      </c>
      <c r="J2" s="45">
        <v>7591000000</v>
      </c>
      <c r="K2" s="45">
        <v>8143000000</v>
      </c>
      <c r="L2" s="45">
        <v>8177000000</v>
      </c>
      <c r="M2" s="45">
        <v>7630000000</v>
      </c>
      <c r="N2" s="45">
        <v>7507000000</v>
      </c>
      <c r="O2" s="45">
        <v>7243000000</v>
      </c>
      <c r="P2" s="45">
        <v>7155000000</v>
      </c>
      <c r="Q2" s="45">
        <v>6119000000</v>
      </c>
      <c r="R2" s="45">
        <v>6248000000</v>
      </c>
    </row>
    <row r="3" spans="1:18">
      <c r="A3" t="s">
        <v>316</v>
      </c>
      <c r="B3" s="45">
        <v>1751000000</v>
      </c>
      <c r="C3" s="45">
        <v>2250000000</v>
      </c>
      <c r="D3" s="45">
        <v>2062000000</v>
      </c>
      <c r="E3" s="45">
        <v>2563000000</v>
      </c>
      <c r="F3" s="45">
        <v>1706000000</v>
      </c>
      <c r="G3" s="45">
        <v>1345000000</v>
      </c>
      <c r="H3" s="45">
        <v>1327000000</v>
      </c>
      <c r="I3" s="45">
        <v>1139000000</v>
      </c>
      <c r="J3" s="45">
        <v>1124000000</v>
      </c>
      <c r="K3" s="45">
        <v>1709000000</v>
      </c>
      <c r="L3" s="45">
        <v>1163000000</v>
      </c>
      <c r="M3" s="45">
        <v>1758000000</v>
      </c>
      <c r="N3" s="45">
        <v>1591000000</v>
      </c>
      <c r="O3" s="45">
        <v>2165000000</v>
      </c>
      <c r="P3" s="45">
        <v>2009000000</v>
      </c>
      <c r="Q3" s="45">
        <v>1057000000</v>
      </c>
      <c r="R3" s="45">
        <v>1065000000</v>
      </c>
    </row>
    <row r="4" spans="1:18">
      <c r="A4" t="s">
        <v>317</v>
      </c>
      <c r="B4" s="45">
        <v>727000000</v>
      </c>
      <c r="C4" s="45">
        <v>1149000000</v>
      </c>
      <c r="D4" s="45">
        <v>1187000000</v>
      </c>
      <c r="E4" s="45">
        <v>1882000000</v>
      </c>
      <c r="F4" s="45">
        <v>961000000</v>
      </c>
      <c r="G4" s="45">
        <v>686000000</v>
      </c>
      <c r="H4" s="45">
        <v>552000000</v>
      </c>
      <c r="I4" s="45">
        <v>538000000</v>
      </c>
      <c r="J4" s="45">
        <v>503000000</v>
      </c>
      <c r="K4" s="45">
        <v>815000000</v>
      </c>
      <c r="L4" s="45">
        <v>484000000</v>
      </c>
      <c r="M4" s="45">
        <v>927000000</v>
      </c>
      <c r="N4" s="45">
        <v>1122000000</v>
      </c>
      <c r="O4" s="45">
        <v>1634000000</v>
      </c>
      <c r="P4" s="45">
        <v>1431000000</v>
      </c>
      <c r="Q4" s="45">
        <v>428000000</v>
      </c>
      <c r="R4" s="45">
        <v>409000000</v>
      </c>
    </row>
    <row r="5" spans="1:18">
      <c r="A5" t="s">
        <v>318</v>
      </c>
      <c r="B5" s="45">
        <v>701000000</v>
      </c>
      <c r="C5" s="45">
        <v>991000000</v>
      </c>
      <c r="D5" s="45">
        <v>960000000</v>
      </c>
      <c r="E5" s="45">
        <v>1207000000</v>
      </c>
      <c r="F5" s="45">
        <v>893000000</v>
      </c>
      <c r="G5" s="45">
        <v>570000000</v>
      </c>
      <c r="H5" s="45">
        <v>503000000</v>
      </c>
      <c r="I5" s="45">
        <v>482000000</v>
      </c>
      <c r="J5" s="45">
        <v>457000000</v>
      </c>
      <c r="K5" s="45">
        <v>685000000</v>
      </c>
      <c r="L5" s="45">
        <v>454000000</v>
      </c>
      <c r="M5" s="45">
        <v>413000000</v>
      </c>
      <c r="N5" s="45">
        <v>534000000</v>
      </c>
      <c r="O5" s="45">
        <v>1110000000</v>
      </c>
      <c r="P5" s="45">
        <v>1327000000</v>
      </c>
      <c r="Q5" s="45">
        <v>428000000</v>
      </c>
      <c r="R5" s="45">
        <v>409000000</v>
      </c>
    </row>
    <row r="6" spans="1:18">
      <c r="A6" t="s">
        <v>319</v>
      </c>
      <c r="B6" s="45">
        <v>26000000</v>
      </c>
      <c r="C6" s="45">
        <v>158000000</v>
      </c>
      <c r="D6" s="45">
        <v>227000000</v>
      </c>
      <c r="E6" s="45">
        <v>675000000</v>
      </c>
      <c r="F6" s="45">
        <v>68000000</v>
      </c>
      <c r="G6" s="45">
        <v>116000000</v>
      </c>
      <c r="H6" s="45">
        <v>49000000</v>
      </c>
      <c r="I6" s="45">
        <v>56000000</v>
      </c>
      <c r="J6" s="45">
        <v>46000000</v>
      </c>
      <c r="K6" s="45">
        <v>130000000</v>
      </c>
      <c r="L6" s="45">
        <v>30000000</v>
      </c>
      <c r="M6" s="45">
        <v>514000000</v>
      </c>
      <c r="N6" s="45">
        <v>588000000</v>
      </c>
      <c r="O6" s="45">
        <v>524000000</v>
      </c>
      <c r="P6" s="45">
        <v>104000000</v>
      </c>
    </row>
    <row r="7" spans="1:18">
      <c r="A7" t="s">
        <v>320</v>
      </c>
      <c r="B7" s="45">
        <v>762000000</v>
      </c>
      <c r="C7" s="45">
        <v>834000000</v>
      </c>
      <c r="D7" s="45">
        <v>633000000</v>
      </c>
      <c r="E7" s="45">
        <v>316000000</v>
      </c>
      <c r="F7" s="45">
        <v>421000000</v>
      </c>
      <c r="G7" s="45">
        <v>427000000</v>
      </c>
      <c r="H7" s="45">
        <v>350000000</v>
      </c>
      <c r="I7" s="45">
        <v>304000000</v>
      </c>
      <c r="J7" s="45">
        <v>298000000</v>
      </c>
      <c r="K7" s="45">
        <v>274000000</v>
      </c>
      <c r="L7" s="45">
        <v>273000000</v>
      </c>
      <c r="M7" s="45">
        <v>531000000</v>
      </c>
      <c r="N7" s="45">
        <v>225000000</v>
      </c>
      <c r="O7" s="45">
        <v>272000000</v>
      </c>
      <c r="P7" s="45">
        <v>306000000</v>
      </c>
      <c r="Q7" s="45">
        <v>353000000</v>
      </c>
      <c r="R7" s="45">
        <v>391000000</v>
      </c>
    </row>
    <row r="8" spans="1:18">
      <c r="A8" t="s">
        <v>321</v>
      </c>
      <c r="B8" s="45">
        <v>762000000</v>
      </c>
      <c r="C8" s="45">
        <v>834000000</v>
      </c>
      <c r="D8" s="45">
        <v>633000000</v>
      </c>
      <c r="E8" s="45">
        <v>316000000</v>
      </c>
      <c r="F8" s="45">
        <v>421000000</v>
      </c>
      <c r="G8" s="45">
        <v>427000000</v>
      </c>
      <c r="H8" s="45">
        <v>350000000</v>
      </c>
      <c r="I8" s="45">
        <v>304000000</v>
      </c>
      <c r="J8" s="45">
        <v>298000000</v>
      </c>
      <c r="K8" s="45">
        <v>274000000</v>
      </c>
      <c r="L8" s="45">
        <v>273000000</v>
      </c>
      <c r="M8" s="45">
        <v>531000000</v>
      </c>
      <c r="N8" s="45">
        <v>225000000</v>
      </c>
    </row>
    <row r="9" spans="1:18">
      <c r="A9" t="s">
        <v>322</v>
      </c>
      <c r="B9" s="45">
        <v>816000000</v>
      </c>
      <c r="C9" s="45">
        <v>897000000</v>
      </c>
      <c r="D9" s="45">
        <v>686000000</v>
      </c>
      <c r="E9" s="45">
        <v>372000000</v>
      </c>
      <c r="F9" s="45">
        <v>453000000</v>
      </c>
      <c r="G9" s="45">
        <v>453000000</v>
      </c>
      <c r="H9" s="45">
        <v>371000000</v>
      </c>
      <c r="I9" s="45">
        <v>322000000</v>
      </c>
      <c r="J9" s="45">
        <v>313000000</v>
      </c>
      <c r="K9" s="45">
        <v>287000000</v>
      </c>
      <c r="L9" s="45">
        <v>284000000</v>
      </c>
      <c r="M9" s="45">
        <v>542000000</v>
      </c>
      <c r="N9" s="45">
        <v>235000000</v>
      </c>
    </row>
    <row r="10" spans="1:18">
      <c r="A10" t="s">
        <v>323</v>
      </c>
      <c r="B10" s="45">
        <v>-54000000</v>
      </c>
      <c r="C10" s="45">
        <v>-63000000</v>
      </c>
      <c r="D10" s="45">
        <v>-53000000</v>
      </c>
      <c r="E10" s="45">
        <v>-56000000</v>
      </c>
      <c r="F10" s="45">
        <v>-32000000</v>
      </c>
      <c r="G10" s="45">
        <v>-26000000</v>
      </c>
      <c r="H10" s="45">
        <v>-21000000</v>
      </c>
      <c r="I10" s="45">
        <v>-18000000</v>
      </c>
      <c r="J10" s="45">
        <v>-15000000</v>
      </c>
      <c r="K10" s="45">
        <v>-13000000</v>
      </c>
      <c r="L10" s="45">
        <v>-11000000</v>
      </c>
      <c r="M10" s="45">
        <v>-11000000</v>
      </c>
      <c r="N10" s="45">
        <v>-10000000</v>
      </c>
    </row>
    <row r="11" spans="1:18">
      <c r="A11" t="s">
        <v>324</v>
      </c>
      <c r="B11" s="45">
        <v>10000000</v>
      </c>
      <c r="C11" s="45">
        <v>9000000</v>
      </c>
      <c r="D11" s="45">
        <v>10000000</v>
      </c>
      <c r="E11" s="45">
        <v>9000000</v>
      </c>
      <c r="F11" s="45">
        <v>12000000</v>
      </c>
      <c r="G11" s="45">
        <v>14000000</v>
      </c>
      <c r="H11" s="45">
        <v>14000000</v>
      </c>
      <c r="I11" s="45">
        <v>28000000</v>
      </c>
      <c r="J11" s="45">
        <v>12000000</v>
      </c>
      <c r="K11" s="45">
        <v>17000000</v>
      </c>
      <c r="L11" s="45">
        <v>77000000</v>
      </c>
      <c r="M11" s="45">
        <v>80000000</v>
      </c>
      <c r="N11" s="45">
        <v>87000000</v>
      </c>
      <c r="O11" s="45">
        <v>100000000</v>
      </c>
      <c r="P11" s="45">
        <v>133000000</v>
      </c>
      <c r="Q11" s="45">
        <v>170000000</v>
      </c>
      <c r="R11" s="45">
        <v>150000000</v>
      </c>
    </row>
    <row r="12" spans="1:18">
      <c r="A12" t="s">
        <v>325</v>
      </c>
      <c r="B12" s="45">
        <v>56000000</v>
      </c>
      <c r="C12" s="45">
        <v>39000000</v>
      </c>
      <c r="D12" s="45">
        <v>26000000</v>
      </c>
      <c r="E12" s="45">
        <v>281000000</v>
      </c>
      <c r="F12" s="45">
        <v>28000000</v>
      </c>
      <c r="G12" s="45">
        <v>36000000</v>
      </c>
      <c r="H12" s="45">
        <v>24000000</v>
      </c>
      <c r="I12" s="45">
        <v>40000000</v>
      </c>
      <c r="J12" s="45">
        <v>63000000</v>
      </c>
      <c r="K12" s="45">
        <v>47000000</v>
      </c>
      <c r="L12" s="45">
        <v>12000000</v>
      </c>
      <c r="M12" s="45">
        <v>12000000</v>
      </c>
      <c r="N12" s="45">
        <v>29000000</v>
      </c>
      <c r="O12" s="45">
        <v>6000000</v>
      </c>
      <c r="P12" s="45">
        <v>85000000</v>
      </c>
      <c r="Q12" s="45">
        <v>18000000</v>
      </c>
      <c r="R12" s="45">
        <v>3000000</v>
      </c>
    </row>
    <row r="13" spans="1:18">
      <c r="A13" t="s">
        <v>326</v>
      </c>
      <c r="B13" s="45">
        <v>13000000</v>
      </c>
      <c r="C13" s="45">
        <v>39000000</v>
      </c>
      <c r="D13" s="45">
        <v>57000000</v>
      </c>
      <c r="E13" s="45">
        <v>11000000</v>
      </c>
      <c r="F13" s="45">
        <v>150000000</v>
      </c>
      <c r="G13" s="45">
        <v>33000000</v>
      </c>
      <c r="H13" s="45">
        <v>234000000</v>
      </c>
      <c r="I13" s="45">
        <v>76000000</v>
      </c>
      <c r="J13" s="45">
        <v>96000000</v>
      </c>
      <c r="K13" s="45">
        <v>359000000</v>
      </c>
      <c r="L13" s="45">
        <v>184000000</v>
      </c>
      <c r="M13" s="45">
        <v>72000000</v>
      </c>
      <c r="N13" s="45">
        <v>27000000</v>
      </c>
      <c r="O13" s="45">
        <v>106000000</v>
      </c>
      <c r="P13" s="45">
        <v>11000000</v>
      </c>
      <c r="Q13" s="45">
        <v>37000000</v>
      </c>
      <c r="R13" s="45">
        <v>20000000</v>
      </c>
    </row>
    <row r="14" spans="1:18">
      <c r="A14" t="s">
        <v>327</v>
      </c>
      <c r="K14" s="45">
        <v>26000000</v>
      </c>
      <c r="L14" s="45">
        <v>11000000</v>
      </c>
      <c r="M14" s="45">
        <v>19000000</v>
      </c>
      <c r="N14" s="45">
        <v>23000000</v>
      </c>
      <c r="O14" s="45">
        <v>29000000</v>
      </c>
      <c r="P14" s="45">
        <v>23000000</v>
      </c>
      <c r="Q14" s="45">
        <v>51000000</v>
      </c>
      <c r="R14" s="45">
        <v>25000000</v>
      </c>
    </row>
    <row r="15" spans="1:18">
      <c r="A15" t="s">
        <v>328</v>
      </c>
      <c r="K15" s="45">
        <v>26000000</v>
      </c>
      <c r="L15" s="45">
        <v>11000000</v>
      </c>
      <c r="M15" s="45">
        <v>19000000</v>
      </c>
      <c r="N15" s="45">
        <v>23000000</v>
      </c>
      <c r="O15" s="45">
        <v>29000000</v>
      </c>
      <c r="P15" s="45">
        <v>23000000</v>
      </c>
      <c r="Q15" s="45">
        <v>51000000</v>
      </c>
      <c r="R15" s="45">
        <v>25000000</v>
      </c>
    </row>
    <row r="16" spans="1:18">
      <c r="A16" t="s">
        <v>329</v>
      </c>
      <c r="K16" s="45">
        <v>63000000</v>
      </c>
      <c r="L16">
        <v>0</v>
      </c>
      <c r="M16" s="45">
        <v>34000000</v>
      </c>
      <c r="N16">
        <v>0</v>
      </c>
    </row>
    <row r="17" spans="1:18">
      <c r="A17" t="s">
        <v>330</v>
      </c>
      <c r="B17" s="45">
        <v>183000000</v>
      </c>
      <c r="C17" s="45">
        <v>180000000</v>
      </c>
      <c r="D17" s="45">
        <v>149000000</v>
      </c>
      <c r="E17" s="45">
        <v>64000000</v>
      </c>
      <c r="F17" s="45">
        <v>134000000</v>
      </c>
      <c r="G17" s="45">
        <v>149000000</v>
      </c>
      <c r="H17" s="45">
        <v>153000000</v>
      </c>
      <c r="I17" s="45">
        <v>153000000</v>
      </c>
      <c r="J17" s="45">
        <v>152000000</v>
      </c>
      <c r="K17" s="45">
        <v>108000000</v>
      </c>
      <c r="L17" s="45">
        <v>122000000</v>
      </c>
      <c r="M17" s="45">
        <v>83000000</v>
      </c>
      <c r="N17" s="45">
        <v>78000000</v>
      </c>
      <c r="O17" s="45">
        <v>18000000</v>
      </c>
      <c r="P17" s="45">
        <v>20000000</v>
      </c>
      <c r="R17" s="45">
        <v>67000000</v>
      </c>
    </row>
    <row r="18" spans="1:18">
      <c r="A18" t="s">
        <v>331</v>
      </c>
      <c r="B18" s="45">
        <v>10566000000</v>
      </c>
      <c r="C18" s="45">
        <v>10062000000</v>
      </c>
      <c r="D18" s="45">
        <v>10541000000</v>
      </c>
      <c r="E18" s="45">
        <v>6566000000</v>
      </c>
      <c r="F18" s="45">
        <v>6711000000</v>
      </c>
      <c r="G18" s="45">
        <v>6298000000</v>
      </c>
      <c r="H18" s="45">
        <v>6245000000</v>
      </c>
      <c r="I18" s="45">
        <v>6610000000</v>
      </c>
      <c r="J18" s="45">
        <v>6467000000</v>
      </c>
      <c r="K18" s="45">
        <v>6434000000</v>
      </c>
      <c r="L18" s="45">
        <v>7014000000</v>
      </c>
      <c r="M18" s="45">
        <v>5872000000</v>
      </c>
      <c r="N18" s="45">
        <v>5916000000</v>
      </c>
      <c r="O18" s="45">
        <v>5078000000</v>
      </c>
      <c r="P18" s="45">
        <v>5146000000</v>
      </c>
      <c r="Q18" s="45">
        <v>5062000000</v>
      </c>
      <c r="R18" s="45">
        <v>5183000000</v>
      </c>
    </row>
    <row r="19" spans="1:18">
      <c r="A19" t="s">
        <v>332</v>
      </c>
      <c r="B19" s="45">
        <v>2739000000</v>
      </c>
      <c r="C19" s="45">
        <v>2769000000</v>
      </c>
      <c r="D19" s="45">
        <v>3294000000</v>
      </c>
      <c r="E19" s="45">
        <v>3600000000</v>
      </c>
      <c r="F19" s="45">
        <v>3949000000</v>
      </c>
      <c r="G19" s="45">
        <v>3608000000</v>
      </c>
      <c r="H19" s="45">
        <v>4034000000</v>
      </c>
      <c r="I19" s="45">
        <v>4270000000</v>
      </c>
      <c r="J19" s="45">
        <v>4031000000</v>
      </c>
      <c r="K19" s="45">
        <v>4186000000</v>
      </c>
      <c r="L19" s="45">
        <v>4671000000</v>
      </c>
      <c r="M19" s="45">
        <v>4139000000</v>
      </c>
      <c r="N19" s="45">
        <v>4043000000</v>
      </c>
      <c r="O19" s="45">
        <v>3453000000</v>
      </c>
      <c r="P19" s="45">
        <v>3585000000</v>
      </c>
      <c r="Q19" s="45">
        <v>3495000000</v>
      </c>
      <c r="R19" s="45">
        <v>3495000000</v>
      </c>
    </row>
    <row r="20" spans="1:18">
      <c r="A20" t="s">
        <v>333</v>
      </c>
      <c r="B20" s="45">
        <v>2739000000</v>
      </c>
      <c r="C20" s="45">
        <v>4950000000</v>
      </c>
      <c r="D20" s="45">
        <v>5612000000</v>
      </c>
      <c r="E20" s="45">
        <v>5948000000</v>
      </c>
      <c r="F20" s="45">
        <v>6098000000</v>
      </c>
      <c r="G20" s="45">
        <v>5847000000</v>
      </c>
      <c r="H20" s="45">
        <v>6332000000</v>
      </c>
      <c r="I20" s="45">
        <v>6634000000</v>
      </c>
      <c r="J20" s="45">
        <v>6252000000</v>
      </c>
      <c r="K20" s="45">
        <v>6208000000</v>
      </c>
      <c r="L20" s="45">
        <v>7016000000</v>
      </c>
      <c r="M20" s="45">
        <v>6351000000</v>
      </c>
      <c r="N20" s="45">
        <v>6083000000</v>
      </c>
      <c r="O20" s="45">
        <v>5437000000</v>
      </c>
      <c r="P20" s="45">
        <v>5499000000</v>
      </c>
      <c r="Q20" s="45">
        <v>5211000000</v>
      </c>
      <c r="R20" s="45">
        <v>5211000000</v>
      </c>
    </row>
    <row r="21" spans="1:18">
      <c r="A21" t="s">
        <v>334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>
      <c r="A22" t="s">
        <v>335</v>
      </c>
      <c r="C22" s="45">
        <v>557000000</v>
      </c>
      <c r="D22" s="45">
        <v>676000000</v>
      </c>
      <c r="E22" s="45">
        <v>658000000</v>
      </c>
      <c r="F22" s="45">
        <v>690000000</v>
      </c>
      <c r="G22" s="45">
        <v>713000000</v>
      </c>
      <c r="H22" s="45">
        <v>916000000</v>
      </c>
      <c r="I22" s="45">
        <v>901000000</v>
      </c>
      <c r="J22" s="45">
        <v>674000000</v>
      </c>
      <c r="K22" s="45">
        <v>710000000</v>
      </c>
      <c r="L22" s="45">
        <v>672000000</v>
      </c>
      <c r="M22" s="45">
        <v>688000000</v>
      </c>
      <c r="N22" s="45">
        <v>666000000</v>
      </c>
      <c r="O22" s="45">
        <v>621000000</v>
      </c>
      <c r="P22" s="45">
        <v>557000000</v>
      </c>
      <c r="Q22" s="45">
        <v>560000000</v>
      </c>
      <c r="R22" s="45">
        <v>560000000</v>
      </c>
    </row>
    <row r="23" spans="1:18">
      <c r="A23" t="s">
        <v>336</v>
      </c>
      <c r="B23" s="45">
        <v>2739000000</v>
      </c>
      <c r="C23" s="45">
        <v>2658000000</v>
      </c>
      <c r="D23" s="45">
        <v>3065000000</v>
      </c>
      <c r="E23" s="45">
        <v>3381000000</v>
      </c>
      <c r="F23" s="45">
        <v>3285000000</v>
      </c>
      <c r="G23" s="45">
        <v>3583000000</v>
      </c>
      <c r="H23" s="45">
        <v>3880000000</v>
      </c>
      <c r="I23" s="45">
        <v>4125000000</v>
      </c>
      <c r="J23" s="45">
        <v>3898000000</v>
      </c>
      <c r="K23" s="45">
        <v>3948000000</v>
      </c>
      <c r="L23" s="45">
        <v>4628000000</v>
      </c>
      <c r="M23" s="45">
        <v>4062000000</v>
      </c>
      <c r="N23" s="45">
        <v>3878000000</v>
      </c>
      <c r="O23" s="45">
        <v>3365000000</v>
      </c>
      <c r="P23" s="45">
        <v>3310000000</v>
      </c>
      <c r="Q23" s="45">
        <v>3158000000</v>
      </c>
      <c r="R23" s="45">
        <v>3158000000</v>
      </c>
    </row>
    <row r="24" spans="1:18">
      <c r="A24" t="s">
        <v>337</v>
      </c>
      <c r="C24" s="45">
        <v>1136000000</v>
      </c>
      <c r="D24" s="45">
        <v>1186000000</v>
      </c>
      <c r="E24" s="45">
        <v>1216000000</v>
      </c>
      <c r="F24" s="45">
        <v>1183000000</v>
      </c>
      <c r="G24" s="45">
        <v>1178000000</v>
      </c>
      <c r="H24" s="45">
        <v>1204000000</v>
      </c>
      <c r="I24" s="45">
        <v>1316000000</v>
      </c>
      <c r="J24" s="45">
        <v>1209000000</v>
      </c>
      <c r="K24" s="45">
        <v>1173000000</v>
      </c>
      <c r="L24" s="45">
        <v>1376000000</v>
      </c>
      <c r="M24" s="45">
        <v>1288000000</v>
      </c>
      <c r="N24" s="45">
        <v>1243000000</v>
      </c>
      <c r="O24" s="45">
        <v>1106000000</v>
      </c>
      <c r="P24" s="45">
        <v>1123000000</v>
      </c>
      <c r="Q24" s="45">
        <v>1057000000</v>
      </c>
      <c r="R24" s="45">
        <v>1057000000</v>
      </c>
    </row>
    <row r="25" spans="1:18">
      <c r="A25" t="s">
        <v>338</v>
      </c>
      <c r="C25" s="45">
        <v>385000000</v>
      </c>
      <c r="D25" s="45">
        <v>446000000</v>
      </c>
      <c r="E25" s="45">
        <v>474000000</v>
      </c>
      <c r="F25" s="45">
        <v>493000000</v>
      </c>
    </row>
    <row r="26" spans="1:18">
      <c r="A26" t="s">
        <v>339</v>
      </c>
      <c r="C26" s="45">
        <v>30000000</v>
      </c>
      <c r="D26" s="45">
        <v>47000000</v>
      </c>
      <c r="E26" s="45">
        <v>32000000</v>
      </c>
      <c r="F26" s="45">
        <v>253000000</v>
      </c>
      <c r="G26" s="45">
        <v>158000000</v>
      </c>
      <c r="H26" s="45">
        <v>122000000</v>
      </c>
      <c r="I26" s="45">
        <v>90000000</v>
      </c>
      <c r="J26" s="45">
        <v>251000000</v>
      </c>
      <c r="K26" s="45">
        <v>151000000</v>
      </c>
      <c r="L26" s="45">
        <v>86000000</v>
      </c>
      <c r="M26" s="45">
        <v>65000000</v>
      </c>
      <c r="N26" s="45">
        <v>56000000</v>
      </c>
      <c r="O26" s="45">
        <v>84000000</v>
      </c>
      <c r="P26" s="45">
        <v>246000000</v>
      </c>
      <c r="Q26" s="45">
        <v>202000000</v>
      </c>
      <c r="R26" s="45">
        <v>202000000</v>
      </c>
    </row>
    <row r="27" spans="1:18">
      <c r="A27" t="s">
        <v>340</v>
      </c>
      <c r="C27" s="45">
        <v>184000000</v>
      </c>
      <c r="D27" s="45">
        <v>192000000</v>
      </c>
      <c r="E27" s="45">
        <v>187000000</v>
      </c>
      <c r="F27" s="45">
        <v>194000000</v>
      </c>
      <c r="G27" s="45">
        <v>215000000</v>
      </c>
      <c r="H27" s="45">
        <v>210000000</v>
      </c>
      <c r="I27" s="45">
        <v>202000000</v>
      </c>
      <c r="J27" s="45">
        <v>220000000</v>
      </c>
      <c r="K27" s="45">
        <v>226000000</v>
      </c>
      <c r="L27" s="45">
        <v>254000000</v>
      </c>
      <c r="M27" s="45">
        <v>248000000</v>
      </c>
      <c r="N27" s="45">
        <v>240000000</v>
      </c>
      <c r="O27" s="45">
        <v>261000000</v>
      </c>
      <c r="P27" s="45">
        <v>263000000</v>
      </c>
      <c r="Q27" s="45">
        <v>234000000</v>
      </c>
      <c r="R27" s="45">
        <v>234000000</v>
      </c>
    </row>
    <row r="28" spans="1:18">
      <c r="A28" t="s">
        <v>341</v>
      </c>
      <c r="C28" s="45">
        <v>-2181000000</v>
      </c>
      <c r="D28" s="45">
        <v>-2318000000</v>
      </c>
      <c r="E28" s="45">
        <v>-2348000000</v>
      </c>
      <c r="F28" s="45">
        <v>-2149000000</v>
      </c>
      <c r="G28" s="45">
        <v>-2239000000</v>
      </c>
      <c r="H28" s="45">
        <v>-2298000000</v>
      </c>
      <c r="I28" s="45">
        <v>-2364000000</v>
      </c>
      <c r="J28" s="45">
        <v>-2221000000</v>
      </c>
      <c r="K28" s="45">
        <v>-2022000000</v>
      </c>
      <c r="L28" s="45">
        <v>-2345000000</v>
      </c>
      <c r="M28" s="45">
        <v>-2212000000</v>
      </c>
      <c r="N28" s="45">
        <v>-2040000000</v>
      </c>
      <c r="O28" s="45">
        <v>-1984000000</v>
      </c>
      <c r="P28" s="45">
        <v>-1914000000</v>
      </c>
      <c r="Q28" s="45">
        <v>-1716000000</v>
      </c>
      <c r="R28" s="45">
        <v>-1716000000</v>
      </c>
    </row>
    <row r="29" spans="1:18">
      <c r="A29" t="s">
        <v>342</v>
      </c>
      <c r="B29" s="45">
        <v>4930000000</v>
      </c>
      <c r="C29" s="45">
        <v>4769000000</v>
      </c>
      <c r="D29" s="45">
        <v>4942000000</v>
      </c>
      <c r="E29" s="45">
        <v>673000000</v>
      </c>
      <c r="F29" s="45">
        <v>763000000</v>
      </c>
      <c r="G29" s="45">
        <v>911000000</v>
      </c>
      <c r="H29" s="45">
        <v>455000000</v>
      </c>
      <c r="I29" s="45">
        <v>724000000</v>
      </c>
      <c r="J29" s="45">
        <v>676000000</v>
      </c>
      <c r="K29" s="45">
        <v>685000000</v>
      </c>
      <c r="L29" s="45">
        <v>738000000</v>
      </c>
      <c r="M29" s="45">
        <v>521000000</v>
      </c>
      <c r="N29" s="45">
        <v>461000000</v>
      </c>
      <c r="O29" s="45">
        <v>382000000</v>
      </c>
      <c r="P29" s="45">
        <v>397000000</v>
      </c>
      <c r="Q29" s="45">
        <v>376000000</v>
      </c>
      <c r="R29" s="45">
        <v>562000000</v>
      </c>
    </row>
    <row r="30" spans="1:18">
      <c r="A30" t="s">
        <v>343</v>
      </c>
      <c r="B30" s="45">
        <v>3202000000</v>
      </c>
      <c r="C30" s="45">
        <v>3101000000</v>
      </c>
      <c r="D30" s="45">
        <v>2965000000</v>
      </c>
      <c r="E30" s="45">
        <v>288000000</v>
      </c>
      <c r="F30" s="45">
        <v>326000000</v>
      </c>
      <c r="G30" s="45">
        <v>283000000</v>
      </c>
      <c r="H30" s="45">
        <v>150000000</v>
      </c>
      <c r="I30" s="45">
        <v>125000000</v>
      </c>
      <c r="J30" s="45">
        <v>129000000</v>
      </c>
      <c r="K30" s="45">
        <v>133000000</v>
      </c>
      <c r="L30" s="45">
        <v>147000000</v>
      </c>
      <c r="M30" s="45">
        <v>133000000</v>
      </c>
      <c r="N30" s="45">
        <v>102000000</v>
      </c>
      <c r="O30" s="45">
        <v>102000000</v>
      </c>
      <c r="P30" s="45">
        <v>113000000</v>
      </c>
      <c r="Q30" s="45">
        <v>120000000</v>
      </c>
      <c r="R30" s="45">
        <v>203000000</v>
      </c>
    </row>
    <row r="31" spans="1:18">
      <c r="A31" t="s">
        <v>344</v>
      </c>
      <c r="B31" s="45">
        <v>1728000000</v>
      </c>
      <c r="C31" s="45">
        <v>1668000000</v>
      </c>
      <c r="D31" s="45">
        <v>1977000000</v>
      </c>
      <c r="E31" s="45">
        <v>385000000</v>
      </c>
      <c r="F31" s="45">
        <v>437000000</v>
      </c>
      <c r="G31" s="45">
        <v>628000000</v>
      </c>
      <c r="H31" s="45">
        <v>305000000</v>
      </c>
      <c r="I31" s="45">
        <v>599000000</v>
      </c>
      <c r="J31" s="45">
        <v>547000000</v>
      </c>
      <c r="K31" s="45">
        <v>552000000</v>
      </c>
      <c r="L31" s="45">
        <v>591000000</v>
      </c>
      <c r="M31" s="45">
        <v>388000000</v>
      </c>
      <c r="N31" s="45">
        <v>359000000</v>
      </c>
      <c r="O31" s="45">
        <v>280000000</v>
      </c>
      <c r="P31" s="45">
        <v>284000000</v>
      </c>
      <c r="Q31" s="45">
        <v>256000000</v>
      </c>
      <c r="R31" s="45">
        <v>359000000</v>
      </c>
    </row>
    <row r="32" spans="1:18">
      <c r="A32" t="s">
        <v>345</v>
      </c>
      <c r="B32" s="45">
        <v>953000000</v>
      </c>
      <c r="C32" s="45">
        <v>833000000</v>
      </c>
      <c r="D32" s="45">
        <v>954000000</v>
      </c>
      <c r="E32" s="45">
        <v>980000000</v>
      </c>
      <c r="F32" s="45">
        <v>843000000</v>
      </c>
      <c r="G32" s="45">
        <v>735000000</v>
      </c>
      <c r="H32" s="45">
        <v>750000000</v>
      </c>
      <c r="I32" s="45">
        <v>186000000</v>
      </c>
      <c r="J32" s="45">
        <v>327000000</v>
      </c>
      <c r="K32" s="45">
        <v>334000000</v>
      </c>
      <c r="L32" s="45">
        <v>329000000</v>
      </c>
      <c r="M32" s="45">
        <v>283000000</v>
      </c>
      <c r="N32" s="45">
        <v>280000000</v>
      </c>
      <c r="O32" s="45">
        <v>245000000</v>
      </c>
      <c r="P32" s="45">
        <v>223000000</v>
      </c>
      <c r="Q32" s="45">
        <v>204000000</v>
      </c>
      <c r="R32" s="45">
        <v>324000000</v>
      </c>
    </row>
    <row r="33" spans="1:18">
      <c r="A33" t="s">
        <v>346</v>
      </c>
      <c r="B33" s="45">
        <v>212000000</v>
      </c>
      <c r="C33" s="45">
        <v>178000000</v>
      </c>
      <c r="D33" s="45">
        <v>216000000</v>
      </c>
      <c r="E33" s="45">
        <v>260000000</v>
      </c>
      <c r="F33" s="45">
        <v>232000000</v>
      </c>
      <c r="G33" s="45">
        <v>233000000</v>
      </c>
      <c r="H33" s="45">
        <v>212000000</v>
      </c>
    </row>
    <row r="34" spans="1:18">
      <c r="A34" t="s">
        <v>347</v>
      </c>
      <c r="B34" s="45">
        <v>648000000</v>
      </c>
      <c r="C34" s="45">
        <v>578000000</v>
      </c>
      <c r="D34" s="45">
        <v>673000000</v>
      </c>
      <c r="E34" s="45">
        <v>627000000</v>
      </c>
      <c r="F34" s="45">
        <v>546000000</v>
      </c>
      <c r="G34" s="45">
        <v>390000000</v>
      </c>
      <c r="H34" s="45">
        <v>429000000</v>
      </c>
    </row>
    <row r="35" spans="1:18">
      <c r="A35" t="s">
        <v>348</v>
      </c>
      <c r="B35" s="45">
        <v>648000000</v>
      </c>
      <c r="C35" s="45">
        <v>578000000</v>
      </c>
      <c r="D35" s="45">
        <v>673000000</v>
      </c>
      <c r="E35" s="45">
        <v>627000000</v>
      </c>
      <c r="F35" s="45">
        <v>546000000</v>
      </c>
      <c r="G35" s="45">
        <v>390000000</v>
      </c>
      <c r="H35" s="45">
        <v>429000000</v>
      </c>
    </row>
    <row r="36" spans="1:18">
      <c r="A36" t="s">
        <v>349</v>
      </c>
      <c r="B36" s="45">
        <v>93000000</v>
      </c>
      <c r="C36" s="45">
        <v>77000000</v>
      </c>
      <c r="D36" s="45">
        <v>65000000</v>
      </c>
      <c r="E36" s="45">
        <v>93000000</v>
      </c>
      <c r="F36" s="45">
        <v>65000000</v>
      </c>
      <c r="G36" s="45">
        <v>112000000</v>
      </c>
      <c r="H36" s="45">
        <v>109000000</v>
      </c>
    </row>
    <row r="37" spans="1:18">
      <c r="A37" t="s">
        <v>350</v>
      </c>
      <c r="F37" s="45">
        <v>35000000</v>
      </c>
      <c r="G37" s="45">
        <v>13000000</v>
      </c>
      <c r="H37" s="45">
        <v>19000000</v>
      </c>
      <c r="I37" s="45">
        <v>19000000</v>
      </c>
      <c r="J37" s="45">
        <v>20000000</v>
      </c>
      <c r="K37" s="45">
        <v>40000000</v>
      </c>
      <c r="L37" s="45">
        <v>119000000</v>
      </c>
      <c r="M37" s="45">
        <v>126000000</v>
      </c>
      <c r="N37" s="45">
        <v>360000000</v>
      </c>
    </row>
    <row r="38" spans="1:18">
      <c r="A38" t="s">
        <v>351</v>
      </c>
      <c r="B38" s="45">
        <v>71000000</v>
      </c>
      <c r="C38" s="45">
        <v>60000000</v>
      </c>
      <c r="D38" s="45">
        <v>41000000</v>
      </c>
      <c r="E38" s="45">
        <v>29000000</v>
      </c>
      <c r="F38" s="45">
        <v>35000000</v>
      </c>
      <c r="G38" s="45">
        <v>13000000</v>
      </c>
      <c r="H38" s="45">
        <v>19000000</v>
      </c>
      <c r="I38" s="45">
        <v>19000000</v>
      </c>
      <c r="J38" s="45">
        <v>20000000</v>
      </c>
      <c r="K38" s="45">
        <v>40000000</v>
      </c>
      <c r="L38" s="45">
        <v>119000000</v>
      </c>
      <c r="M38" s="45">
        <v>126000000</v>
      </c>
      <c r="N38" s="45">
        <v>360000000</v>
      </c>
      <c r="P38" s="45">
        <v>385000000</v>
      </c>
      <c r="Q38" s="45">
        <v>410000000</v>
      </c>
      <c r="R38" s="45">
        <v>160000000</v>
      </c>
    </row>
    <row r="39" spans="1:18">
      <c r="A39" t="s">
        <v>352</v>
      </c>
      <c r="B39" s="45">
        <v>484000000</v>
      </c>
      <c r="C39" s="45">
        <v>363000000</v>
      </c>
      <c r="D39" s="45">
        <v>28000000</v>
      </c>
      <c r="E39" s="45">
        <v>207000000</v>
      </c>
      <c r="F39" s="45">
        <v>144000000</v>
      </c>
      <c r="G39" s="45">
        <v>180000000</v>
      </c>
      <c r="H39" s="45">
        <v>141000000</v>
      </c>
      <c r="I39" s="45">
        <v>313000000</v>
      </c>
      <c r="J39" s="45">
        <v>301000000</v>
      </c>
      <c r="K39" s="45">
        <v>196000000</v>
      </c>
      <c r="L39" s="45">
        <v>198000000</v>
      </c>
      <c r="M39" s="45">
        <v>183000000</v>
      </c>
      <c r="N39" s="45">
        <v>197000000</v>
      </c>
      <c r="O39" s="45">
        <v>62000000</v>
      </c>
      <c r="P39" s="45">
        <v>74000000</v>
      </c>
      <c r="Q39" s="45">
        <v>126000000</v>
      </c>
      <c r="R39" s="45">
        <v>151000000</v>
      </c>
    </row>
    <row r="40" spans="1:18">
      <c r="A40" t="s">
        <v>353</v>
      </c>
      <c r="B40" s="45">
        <v>312000000</v>
      </c>
      <c r="C40" s="45">
        <v>257000000</v>
      </c>
      <c r="D40" s="45">
        <v>14000000</v>
      </c>
      <c r="E40" s="45">
        <v>207000000</v>
      </c>
      <c r="F40" s="45">
        <v>144000000</v>
      </c>
      <c r="G40" s="45">
        <v>180000000</v>
      </c>
      <c r="H40" s="45">
        <v>141000000</v>
      </c>
      <c r="I40" s="45">
        <v>313000000</v>
      </c>
      <c r="J40" s="45">
        <v>301000000</v>
      </c>
      <c r="K40" s="45">
        <v>196000000</v>
      </c>
      <c r="L40" s="45">
        <v>198000000</v>
      </c>
      <c r="M40" s="45">
        <v>183000000</v>
      </c>
      <c r="N40" s="45">
        <v>197000000</v>
      </c>
      <c r="O40" s="45">
        <v>62000000</v>
      </c>
      <c r="P40" s="45">
        <v>74000000</v>
      </c>
      <c r="Q40" s="45">
        <v>126000000</v>
      </c>
      <c r="R40" s="45">
        <v>151000000</v>
      </c>
    </row>
    <row r="41" spans="1:18">
      <c r="A41" t="s">
        <v>354</v>
      </c>
      <c r="B41" s="45">
        <v>1389000000</v>
      </c>
      <c r="C41" s="45">
        <v>1268000000</v>
      </c>
      <c r="D41" s="45">
        <v>1282000000</v>
      </c>
      <c r="E41" s="45">
        <v>1077000000</v>
      </c>
      <c r="F41" s="45">
        <v>977000000</v>
      </c>
      <c r="G41" s="45">
        <v>851000000</v>
      </c>
      <c r="H41" s="45">
        <v>846000000</v>
      </c>
      <c r="I41" s="45">
        <v>1098000000</v>
      </c>
      <c r="J41" s="45">
        <v>1112000000</v>
      </c>
      <c r="K41" s="45">
        <v>993000000</v>
      </c>
      <c r="L41" s="45">
        <v>959000000</v>
      </c>
      <c r="M41" s="45">
        <v>620000000</v>
      </c>
      <c r="N41" s="45">
        <v>575000000</v>
      </c>
      <c r="O41" s="45">
        <v>936000000</v>
      </c>
      <c r="P41" s="45">
        <v>867000000</v>
      </c>
      <c r="Q41" s="45">
        <v>451000000</v>
      </c>
      <c r="R41" s="45">
        <v>491000000</v>
      </c>
    </row>
    <row r="42" spans="1:18">
      <c r="A42" t="s">
        <v>355</v>
      </c>
      <c r="B42" s="45">
        <v>8728000000</v>
      </c>
      <c r="C42" s="45">
        <v>8610000000</v>
      </c>
      <c r="D42" s="45">
        <v>9037000000</v>
      </c>
      <c r="E42" s="45">
        <v>5915000000</v>
      </c>
      <c r="F42" s="45">
        <v>4450000000</v>
      </c>
      <c r="G42" s="45">
        <v>3966000000</v>
      </c>
      <c r="H42" s="45">
        <v>3719000000</v>
      </c>
      <c r="I42" s="45">
        <v>3841000000</v>
      </c>
      <c r="J42" s="45">
        <v>3596000000</v>
      </c>
      <c r="K42" s="45">
        <v>3512000000</v>
      </c>
      <c r="L42" s="45">
        <v>3400000000</v>
      </c>
      <c r="M42" s="45">
        <v>2809000000</v>
      </c>
      <c r="N42" s="45">
        <v>2679000000</v>
      </c>
      <c r="O42" s="45">
        <v>2112000000</v>
      </c>
      <c r="P42" s="45">
        <v>2115000000</v>
      </c>
      <c r="Q42" s="45">
        <v>2527000000</v>
      </c>
      <c r="R42" s="45">
        <v>2779000000</v>
      </c>
    </row>
    <row r="43" spans="1:18">
      <c r="A43" t="s">
        <v>356</v>
      </c>
      <c r="B43" s="45">
        <v>2408000000</v>
      </c>
      <c r="C43" s="45">
        <v>3287000000</v>
      </c>
      <c r="D43" s="45">
        <v>2232000000</v>
      </c>
      <c r="E43" s="45">
        <v>984000000</v>
      </c>
      <c r="F43" s="45">
        <v>1086000000</v>
      </c>
      <c r="G43" s="45">
        <v>1061000000</v>
      </c>
      <c r="H43" s="45">
        <v>992000000</v>
      </c>
      <c r="I43" s="45">
        <v>924000000</v>
      </c>
      <c r="J43" s="45">
        <v>1107000000</v>
      </c>
      <c r="K43" s="45">
        <v>730000000</v>
      </c>
      <c r="L43" s="45">
        <v>871000000</v>
      </c>
      <c r="M43" s="45">
        <v>618000000</v>
      </c>
      <c r="N43" s="45">
        <v>568000000</v>
      </c>
      <c r="O43" s="45">
        <v>596000000</v>
      </c>
      <c r="P43" s="45">
        <v>495000000</v>
      </c>
      <c r="Q43" s="45">
        <v>653000000</v>
      </c>
      <c r="R43" s="45">
        <v>697000000</v>
      </c>
    </row>
    <row r="44" spans="1:18">
      <c r="A44" t="s">
        <v>357</v>
      </c>
      <c r="B44" s="45">
        <v>830000000</v>
      </c>
      <c r="C44" s="45">
        <v>915000000</v>
      </c>
      <c r="D44" s="45">
        <v>822000000</v>
      </c>
      <c r="E44" s="45">
        <v>302000000</v>
      </c>
      <c r="F44" s="45">
        <v>454000000</v>
      </c>
      <c r="G44" s="45">
        <v>512000000</v>
      </c>
      <c r="H44" s="45">
        <v>488000000</v>
      </c>
      <c r="I44" s="45">
        <v>676000000</v>
      </c>
      <c r="J44" s="45">
        <v>657000000</v>
      </c>
      <c r="K44" s="45">
        <v>598000000</v>
      </c>
      <c r="L44" s="45">
        <v>544000000</v>
      </c>
      <c r="M44" s="45">
        <v>476000000</v>
      </c>
      <c r="N44" s="45">
        <v>450000000</v>
      </c>
      <c r="O44" s="45">
        <v>539000000</v>
      </c>
      <c r="P44" s="45">
        <v>483000000</v>
      </c>
      <c r="Q44" s="45">
        <v>615000000</v>
      </c>
      <c r="R44" s="45">
        <v>663000000</v>
      </c>
    </row>
    <row r="45" spans="1:18">
      <c r="A45" t="s">
        <v>358</v>
      </c>
      <c r="B45" s="45">
        <v>369000000</v>
      </c>
      <c r="C45" s="45">
        <v>500000000</v>
      </c>
      <c r="D45" s="45">
        <v>523000000</v>
      </c>
      <c r="E45" s="45">
        <v>102000000</v>
      </c>
      <c r="F45" s="45">
        <v>150000000</v>
      </c>
      <c r="G45" s="45">
        <v>151000000</v>
      </c>
      <c r="H45" s="45">
        <v>136000000</v>
      </c>
      <c r="I45" s="45">
        <v>162000000</v>
      </c>
      <c r="J45" s="45">
        <v>141000000</v>
      </c>
      <c r="K45" s="45">
        <v>130000000</v>
      </c>
      <c r="L45" s="45">
        <v>133000000</v>
      </c>
      <c r="M45" s="45">
        <v>138000000</v>
      </c>
      <c r="N45" s="45">
        <v>144000000</v>
      </c>
      <c r="O45" s="45">
        <v>145000000</v>
      </c>
      <c r="P45" s="45">
        <v>196000000</v>
      </c>
      <c r="Q45" s="45">
        <v>341000000</v>
      </c>
      <c r="R45" s="45">
        <v>357000000</v>
      </c>
    </row>
    <row r="46" spans="1:18">
      <c r="A46" t="s">
        <v>359</v>
      </c>
      <c r="B46" s="45">
        <v>369000000</v>
      </c>
      <c r="C46" s="45">
        <v>500000000</v>
      </c>
      <c r="D46" s="45">
        <v>523000000</v>
      </c>
      <c r="E46" s="45">
        <v>102000000</v>
      </c>
      <c r="F46" s="45">
        <v>150000000</v>
      </c>
      <c r="G46" s="45">
        <v>151000000</v>
      </c>
      <c r="H46" s="45">
        <v>136000000</v>
      </c>
      <c r="I46" s="45">
        <v>162000000</v>
      </c>
      <c r="J46" s="45">
        <v>141000000</v>
      </c>
      <c r="K46" s="45">
        <v>130000000</v>
      </c>
      <c r="L46" s="45">
        <v>133000000</v>
      </c>
      <c r="M46" s="45">
        <v>138000000</v>
      </c>
      <c r="N46" s="45">
        <v>144000000</v>
      </c>
      <c r="O46" s="45">
        <v>145000000</v>
      </c>
      <c r="P46" s="45">
        <v>196000000</v>
      </c>
      <c r="Q46" s="45">
        <v>318000000</v>
      </c>
      <c r="R46" s="45">
        <v>303000000</v>
      </c>
    </row>
    <row r="47" spans="1:18">
      <c r="A47" t="s">
        <v>360</v>
      </c>
      <c r="P47" s="45">
        <v>5000000</v>
      </c>
      <c r="Q47" s="45">
        <v>23000000</v>
      </c>
      <c r="R47" s="45">
        <v>54000000</v>
      </c>
    </row>
    <row r="48" spans="1:18">
      <c r="A48" t="s">
        <v>361</v>
      </c>
      <c r="P48" s="45">
        <v>5000000</v>
      </c>
      <c r="Q48" s="45">
        <v>23000000</v>
      </c>
      <c r="R48" s="45">
        <v>54000000</v>
      </c>
    </row>
    <row r="49" spans="1:18">
      <c r="A49" t="s">
        <v>362</v>
      </c>
      <c r="B49" s="45">
        <v>461000000</v>
      </c>
      <c r="C49" s="45">
        <v>415000000</v>
      </c>
      <c r="D49" s="45">
        <v>299000000</v>
      </c>
      <c r="E49" s="45">
        <v>200000000</v>
      </c>
      <c r="F49" s="45">
        <v>304000000</v>
      </c>
      <c r="G49" s="45">
        <v>361000000</v>
      </c>
      <c r="H49" s="45">
        <v>352000000</v>
      </c>
      <c r="I49" s="45">
        <v>514000000</v>
      </c>
      <c r="J49" s="45">
        <v>516000000</v>
      </c>
      <c r="K49" s="45">
        <v>468000000</v>
      </c>
      <c r="L49" s="45">
        <v>411000000</v>
      </c>
      <c r="M49" s="45">
        <v>338000000</v>
      </c>
      <c r="N49" s="45">
        <v>306000000</v>
      </c>
      <c r="O49" s="45">
        <v>394000000</v>
      </c>
      <c r="P49" s="45">
        <v>287000000</v>
      </c>
      <c r="Q49" s="45">
        <v>274000000</v>
      </c>
      <c r="R49" s="45">
        <v>306000000</v>
      </c>
    </row>
    <row r="50" spans="1:18">
      <c r="A50" t="s">
        <v>363</v>
      </c>
      <c r="B50" s="45">
        <v>182000000</v>
      </c>
      <c r="C50" s="45">
        <v>235000000</v>
      </c>
      <c r="D50" s="45">
        <v>187000000</v>
      </c>
      <c r="E50" s="45">
        <v>111000000</v>
      </c>
      <c r="F50" s="45">
        <v>144000000</v>
      </c>
      <c r="G50" s="45">
        <v>150000000</v>
      </c>
      <c r="H50" s="45">
        <v>145000000</v>
      </c>
      <c r="I50" s="45">
        <v>129000000</v>
      </c>
      <c r="J50" s="45">
        <v>122000000</v>
      </c>
      <c r="K50" s="45">
        <v>120000000</v>
      </c>
      <c r="L50" s="45">
        <v>133000000</v>
      </c>
      <c r="M50" s="45">
        <v>137000000</v>
      </c>
      <c r="N50" s="45">
        <v>114000000</v>
      </c>
    </row>
    <row r="51" spans="1:18">
      <c r="A51" t="s">
        <v>364</v>
      </c>
      <c r="B51" s="45">
        <v>46000000</v>
      </c>
      <c r="C51" s="45">
        <v>699000000</v>
      </c>
      <c r="D51" s="45">
        <v>45000000</v>
      </c>
      <c r="E51" s="45">
        <v>289000000</v>
      </c>
      <c r="F51" s="45">
        <v>43000000</v>
      </c>
      <c r="G51" s="45">
        <v>11000000</v>
      </c>
      <c r="H51" s="45">
        <v>11000000</v>
      </c>
      <c r="I51" s="45">
        <v>119000000</v>
      </c>
      <c r="J51" s="45">
        <v>328000000</v>
      </c>
      <c r="K51" s="45">
        <v>9000000</v>
      </c>
      <c r="L51" s="45">
        <v>194000000</v>
      </c>
      <c r="M51" s="45">
        <v>4000000</v>
      </c>
      <c r="N51" s="45">
        <v>4000000</v>
      </c>
      <c r="O51" s="45">
        <v>57000000</v>
      </c>
      <c r="P51" s="45">
        <v>12000000</v>
      </c>
      <c r="Q51" s="45">
        <v>38000000</v>
      </c>
      <c r="R51" s="45">
        <v>26000000</v>
      </c>
    </row>
    <row r="52" spans="1:18">
      <c r="A52" t="s">
        <v>365</v>
      </c>
      <c r="B52" s="45">
        <v>6000000</v>
      </c>
      <c r="C52" s="45">
        <v>660000000</v>
      </c>
      <c r="D52" s="45">
        <v>10000000</v>
      </c>
      <c r="E52" s="45">
        <v>260000000</v>
      </c>
      <c r="F52" s="45">
        <v>11000000</v>
      </c>
      <c r="G52" s="45">
        <v>11000000</v>
      </c>
      <c r="H52" s="45">
        <v>11000000</v>
      </c>
      <c r="I52" s="45">
        <v>119000000</v>
      </c>
      <c r="J52" s="45">
        <v>328000000</v>
      </c>
      <c r="K52" s="45">
        <v>9000000</v>
      </c>
      <c r="L52" s="45">
        <v>194000000</v>
      </c>
      <c r="M52" s="45">
        <v>4000000</v>
      </c>
      <c r="N52" s="45">
        <v>4000000</v>
      </c>
      <c r="O52" s="45">
        <v>57000000</v>
      </c>
      <c r="P52" s="45">
        <v>12000000</v>
      </c>
      <c r="Q52" s="45">
        <v>38000000</v>
      </c>
      <c r="R52" s="45">
        <v>26000000</v>
      </c>
    </row>
    <row r="53" spans="1:18">
      <c r="A53" t="s">
        <v>366</v>
      </c>
      <c r="B53" s="45">
        <v>6000000</v>
      </c>
      <c r="C53" s="45">
        <v>660000000</v>
      </c>
      <c r="D53" s="45">
        <v>10000000</v>
      </c>
      <c r="E53" s="45">
        <v>260000000</v>
      </c>
      <c r="F53" s="45">
        <v>11000000</v>
      </c>
      <c r="G53" s="45">
        <v>11000000</v>
      </c>
    </row>
    <row r="54" spans="1:18">
      <c r="A54" t="s">
        <v>367</v>
      </c>
      <c r="B54" s="45">
        <v>40000000</v>
      </c>
      <c r="C54" s="45">
        <v>39000000</v>
      </c>
      <c r="D54" s="45">
        <v>35000000</v>
      </c>
      <c r="E54" s="45">
        <v>29000000</v>
      </c>
      <c r="F54" s="45">
        <v>32000000</v>
      </c>
      <c r="G54">
        <v>0</v>
      </c>
    </row>
    <row r="55" spans="1:18">
      <c r="A55" t="s">
        <v>368</v>
      </c>
      <c r="B55" s="45">
        <v>1350000000</v>
      </c>
      <c r="C55" s="45">
        <v>1438000000</v>
      </c>
      <c r="D55" s="45">
        <v>1178000000</v>
      </c>
      <c r="E55" s="45">
        <v>282000000</v>
      </c>
      <c r="F55" s="45">
        <v>445000000</v>
      </c>
      <c r="G55" s="45">
        <v>388000000</v>
      </c>
      <c r="H55" s="45">
        <v>348000000</v>
      </c>
    </row>
    <row r="56" spans="1:18">
      <c r="A56" t="s">
        <v>369</v>
      </c>
      <c r="B56" s="45">
        <v>1350000000</v>
      </c>
      <c r="C56" s="45">
        <v>1438000000</v>
      </c>
      <c r="D56" s="45">
        <v>1178000000</v>
      </c>
      <c r="E56" s="45">
        <v>282000000</v>
      </c>
      <c r="F56" s="45">
        <v>445000000</v>
      </c>
      <c r="G56" s="45">
        <v>388000000</v>
      </c>
      <c r="H56" s="45">
        <v>348000000</v>
      </c>
    </row>
    <row r="57" spans="1:18">
      <c r="A57" t="s">
        <v>370</v>
      </c>
      <c r="K57" s="45">
        <v>3000000</v>
      </c>
      <c r="M57" s="45">
        <v>1000000</v>
      </c>
      <c r="R57" s="45">
        <v>8000000</v>
      </c>
    </row>
    <row r="58" spans="1:18">
      <c r="A58" t="s">
        <v>371</v>
      </c>
      <c r="B58" s="45">
        <v>6320000000</v>
      </c>
      <c r="C58" s="45">
        <v>5323000000</v>
      </c>
      <c r="D58" s="45">
        <v>6805000000</v>
      </c>
      <c r="E58" s="45">
        <v>4931000000</v>
      </c>
      <c r="F58" s="45">
        <v>3364000000</v>
      </c>
      <c r="G58" s="45">
        <v>2905000000</v>
      </c>
      <c r="H58" s="45">
        <v>2727000000</v>
      </c>
      <c r="I58" s="45">
        <v>2917000000</v>
      </c>
      <c r="J58" s="45">
        <v>2489000000</v>
      </c>
      <c r="K58" s="45">
        <v>2782000000</v>
      </c>
      <c r="L58" s="45">
        <v>2529000000</v>
      </c>
      <c r="M58" s="45">
        <v>2191000000</v>
      </c>
      <c r="N58" s="45">
        <v>2111000000</v>
      </c>
      <c r="O58" s="45">
        <v>1516000000</v>
      </c>
      <c r="P58" s="45">
        <v>1620000000</v>
      </c>
      <c r="Q58" s="45">
        <v>1874000000</v>
      </c>
      <c r="R58" s="45">
        <v>2082000000</v>
      </c>
    </row>
    <row r="59" spans="1:18">
      <c r="A59" t="s">
        <v>372</v>
      </c>
      <c r="I59" s="45">
        <v>296000000</v>
      </c>
      <c r="J59" s="45">
        <v>280000000</v>
      </c>
      <c r="K59" s="45">
        <v>284000000</v>
      </c>
      <c r="L59" s="45">
        <v>262000000</v>
      </c>
      <c r="M59" s="45">
        <v>267000000</v>
      </c>
      <c r="N59" s="45">
        <v>237000000</v>
      </c>
    </row>
    <row r="60" spans="1:18">
      <c r="A60" t="s">
        <v>373</v>
      </c>
      <c r="B60" s="45">
        <v>3325000000</v>
      </c>
      <c r="C60" s="45">
        <v>2751000000</v>
      </c>
      <c r="D60" s="45">
        <v>4317000000</v>
      </c>
      <c r="E60" s="45">
        <v>3361000000</v>
      </c>
      <c r="F60" s="45">
        <v>2005000000</v>
      </c>
      <c r="G60" s="45">
        <v>1623000000</v>
      </c>
      <c r="H60" s="45">
        <v>1440000000</v>
      </c>
      <c r="I60" s="45">
        <v>1445000000</v>
      </c>
      <c r="J60" s="45">
        <v>1042000000</v>
      </c>
      <c r="K60" s="45">
        <v>1381000000</v>
      </c>
      <c r="L60" s="45">
        <v>1289000000</v>
      </c>
      <c r="M60" s="45">
        <v>1229000000</v>
      </c>
      <c r="N60" s="45">
        <v>1221000000</v>
      </c>
      <c r="O60" s="45">
        <v>1516000000</v>
      </c>
      <c r="P60" s="45">
        <v>1620000000</v>
      </c>
      <c r="Q60" s="45">
        <v>1874000000</v>
      </c>
      <c r="R60" s="45">
        <v>794000000</v>
      </c>
    </row>
    <row r="61" spans="1:18">
      <c r="A61" t="s">
        <v>374</v>
      </c>
      <c r="B61" s="45">
        <v>3049000000</v>
      </c>
      <c r="C61" s="45">
        <v>2453000000</v>
      </c>
      <c r="D61" s="45">
        <v>3968000000</v>
      </c>
      <c r="E61" s="45">
        <v>2984000000</v>
      </c>
      <c r="F61" s="45">
        <v>1612000000</v>
      </c>
      <c r="G61" s="45">
        <v>1623000000</v>
      </c>
      <c r="H61" s="45">
        <v>1440000000</v>
      </c>
      <c r="I61" s="45">
        <v>1445000000</v>
      </c>
      <c r="J61" s="45">
        <v>1042000000</v>
      </c>
      <c r="K61" s="45">
        <v>1381000000</v>
      </c>
      <c r="L61" s="45">
        <v>1289000000</v>
      </c>
      <c r="M61" s="45">
        <v>1229000000</v>
      </c>
      <c r="N61" s="45">
        <v>1221000000</v>
      </c>
      <c r="O61" s="45">
        <v>1516000000</v>
      </c>
      <c r="P61" s="45">
        <v>1620000000</v>
      </c>
      <c r="Q61" s="45">
        <v>1874000000</v>
      </c>
      <c r="R61" s="45">
        <v>794000000</v>
      </c>
    </row>
    <row r="62" spans="1:18">
      <c r="A62" t="s">
        <v>375</v>
      </c>
      <c r="B62" s="45">
        <v>276000000</v>
      </c>
      <c r="C62" s="45">
        <v>298000000</v>
      </c>
      <c r="D62" s="45">
        <v>349000000</v>
      </c>
      <c r="E62" s="45">
        <v>377000000</v>
      </c>
      <c r="F62" s="45">
        <v>393000000</v>
      </c>
      <c r="G62">
        <v>0</v>
      </c>
    </row>
    <row r="63" spans="1:18">
      <c r="A63" t="s">
        <v>376</v>
      </c>
      <c r="B63" s="45">
        <v>2231000000</v>
      </c>
      <c r="C63" s="45">
        <v>1987000000</v>
      </c>
      <c r="D63" s="45">
        <v>1985000000</v>
      </c>
      <c r="E63" s="45">
        <v>1218000000</v>
      </c>
      <c r="F63" s="45">
        <v>972000000</v>
      </c>
      <c r="G63" s="45">
        <v>863000000</v>
      </c>
      <c r="H63" s="45">
        <v>888000000</v>
      </c>
      <c r="I63" s="45">
        <v>772000000</v>
      </c>
      <c r="J63" s="45">
        <v>759000000</v>
      </c>
      <c r="K63" s="45">
        <v>790000000</v>
      </c>
      <c r="L63" s="45">
        <v>604000000</v>
      </c>
      <c r="M63" s="45">
        <v>453000000</v>
      </c>
      <c r="N63" s="45">
        <v>312000000</v>
      </c>
    </row>
    <row r="64" spans="1:18">
      <c r="A64" t="s">
        <v>377</v>
      </c>
      <c r="B64" s="45">
        <v>82000000</v>
      </c>
      <c r="C64" s="45">
        <v>72000000</v>
      </c>
      <c r="D64" s="45">
        <v>93000000</v>
      </c>
      <c r="E64" s="45">
        <v>48000000</v>
      </c>
      <c r="F64" s="45">
        <v>47000000</v>
      </c>
      <c r="G64" s="45">
        <v>54000000</v>
      </c>
      <c r="H64" s="45">
        <v>62000000</v>
      </c>
      <c r="I64" s="45">
        <v>57000000</v>
      </c>
      <c r="J64" s="45">
        <v>59000000</v>
      </c>
      <c r="K64" s="45">
        <v>66000000</v>
      </c>
      <c r="L64" s="45">
        <v>74000000</v>
      </c>
      <c r="M64" s="45">
        <v>80000000</v>
      </c>
      <c r="N64" s="45">
        <v>5000000</v>
      </c>
    </row>
    <row r="65" spans="1:18">
      <c r="A65" t="s">
        <v>378</v>
      </c>
      <c r="B65" s="45">
        <v>1700000000</v>
      </c>
      <c r="C65" s="45">
        <v>1495000000</v>
      </c>
      <c r="D65" s="45">
        <v>1349000000</v>
      </c>
      <c r="E65" s="45">
        <v>659000000</v>
      </c>
      <c r="F65" s="45">
        <v>475000000</v>
      </c>
      <c r="G65" s="45">
        <v>442000000</v>
      </c>
      <c r="H65" s="45">
        <v>424000000</v>
      </c>
      <c r="I65" s="45">
        <v>363000000</v>
      </c>
      <c r="J65" s="45">
        <v>367000000</v>
      </c>
      <c r="K65" s="45">
        <v>383000000</v>
      </c>
      <c r="L65" s="45">
        <v>192000000</v>
      </c>
      <c r="M65" s="45">
        <v>93000000</v>
      </c>
      <c r="N65" s="45">
        <v>57000000</v>
      </c>
    </row>
    <row r="66" spans="1:18">
      <c r="A66" t="s">
        <v>379</v>
      </c>
      <c r="B66" s="45">
        <v>403000000</v>
      </c>
      <c r="C66" s="45">
        <v>339000000</v>
      </c>
      <c r="D66" s="45">
        <v>281000000</v>
      </c>
      <c r="E66" s="45">
        <v>166000000</v>
      </c>
      <c r="F66" s="45">
        <v>147000000</v>
      </c>
      <c r="G66" s="45">
        <v>131000000</v>
      </c>
      <c r="H66" s="45">
        <v>107000000</v>
      </c>
      <c r="I66" s="45">
        <v>100000000</v>
      </c>
      <c r="J66" s="45">
        <v>127000000</v>
      </c>
      <c r="K66" s="45">
        <v>62000000</v>
      </c>
      <c r="L66" s="45">
        <v>90000000</v>
      </c>
      <c r="M66" s="45">
        <v>91000000</v>
      </c>
      <c r="N66" s="45">
        <v>198000000</v>
      </c>
    </row>
    <row r="67" spans="1:18">
      <c r="A67" t="s">
        <v>380</v>
      </c>
      <c r="B67" s="45">
        <v>72000000</v>
      </c>
      <c r="C67" s="45">
        <v>68000000</v>
      </c>
      <c r="D67" s="45">
        <v>66000000</v>
      </c>
      <c r="E67" s="45">
        <v>67000000</v>
      </c>
      <c r="F67" s="45">
        <v>80000000</v>
      </c>
      <c r="G67" s="45">
        <v>78000000</v>
      </c>
      <c r="H67" s="45">
        <v>69000000</v>
      </c>
      <c r="I67" s="45">
        <v>20000000</v>
      </c>
      <c r="J67" s="45">
        <v>20000000</v>
      </c>
      <c r="K67" s="45">
        <v>19000000</v>
      </c>
      <c r="L67" s="45">
        <v>18000000</v>
      </c>
      <c r="M67" s="45">
        <v>20000000</v>
      </c>
      <c r="N67" s="45">
        <v>20000000</v>
      </c>
    </row>
    <row r="68" spans="1:18">
      <c r="A68" t="s">
        <v>381</v>
      </c>
      <c r="I68" s="45">
        <v>20000000</v>
      </c>
      <c r="J68" s="45">
        <v>20000000</v>
      </c>
      <c r="K68" s="45">
        <v>19000000</v>
      </c>
      <c r="L68" s="45">
        <v>18000000</v>
      </c>
      <c r="M68" s="45">
        <v>20000000</v>
      </c>
      <c r="N68" s="45">
        <v>20000000</v>
      </c>
    </row>
    <row r="69" spans="1:18">
      <c r="A69" t="s">
        <v>382</v>
      </c>
      <c r="B69" s="45">
        <v>289000000</v>
      </c>
      <c r="C69" s="45">
        <v>178000000</v>
      </c>
      <c r="D69" s="45">
        <v>156000000</v>
      </c>
      <c r="E69" s="45">
        <v>119000000</v>
      </c>
      <c r="F69" s="45">
        <v>160000000</v>
      </c>
      <c r="G69" s="45">
        <v>210000000</v>
      </c>
      <c r="H69" s="45">
        <v>223000000</v>
      </c>
      <c r="I69" s="45">
        <v>600000000</v>
      </c>
      <c r="J69" s="45">
        <v>261000000</v>
      </c>
      <c r="K69" s="45">
        <v>246000000</v>
      </c>
      <c r="L69" s="45">
        <v>266000000</v>
      </c>
      <c r="M69" s="45">
        <v>131000000</v>
      </c>
      <c r="N69" s="45">
        <v>123000000</v>
      </c>
      <c r="Q69" s="45">
        <v>1209000000</v>
      </c>
      <c r="R69" s="45">
        <v>1288000000</v>
      </c>
    </row>
    <row r="70" spans="1:18">
      <c r="A70" t="s">
        <v>383</v>
      </c>
      <c r="B70" s="45">
        <v>3589000000</v>
      </c>
      <c r="C70" s="45">
        <v>3702000000</v>
      </c>
      <c r="D70" s="45">
        <v>3566000000</v>
      </c>
      <c r="E70" s="45">
        <v>3214000000</v>
      </c>
      <c r="F70" s="45">
        <v>3967000000</v>
      </c>
      <c r="G70" s="45">
        <v>3677000000</v>
      </c>
      <c r="H70" s="45">
        <v>3853000000</v>
      </c>
      <c r="I70" s="45">
        <v>3908000000</v>
      </c>
      <c r="J70" s="45">
        <v>3995000000</v>
      </c>
      <c r="K70" s="45">
        <v>4631000000</v>
      </c>
      <c r="L70" s="45">
        <v>4777000000</v>
      </c>
      <c r="M70" s="45">
        <v>4821000000</v>
      </c>
      <c r="N70" s="45">
        <v>4828000000</v>
      </c>
      <c r="O70" s="45">
        <v>5131000000</v>
      </c>
      <c r="P70" s="45">
        <v>5040000000</v>
      </c>
      <c r="Q70" s="45">
        <v>3592000000</v>
      </c>
      <c r="R70" s="45">
        <v>3469000000</v>
      </c>
    </row>
    <row r="71" spans="1:18">
      <c r="A71" t="s">
        <v>384</v>
      </c>
      <c r="B71" s="45">
        <v>3586000000</v>
      </c>
      <c r="C71" s="45">
        <v>3699000000</v>
      </c>
      <c r="D71" s="45">
        <v>3563000000</v>
      </c>
      <c r="E71" s="45">
        <v>3211000000</v>
      </c>
      <c r="F71" s="45">
        <v>3962000000</v>
      </c>
      <c r="G71" s="45">
        <v>3670000000</v>
      </c>
      <c r="H71" s="45">
        <v>3837000000</v>
      </c>
      <c r="I71" s="45">
        <v>3903000000</v>
      </c>
      <c r="J71" s="45">
        <v>3991000000</v>
      </c>
      <c r="K71" s="45">
        <v>4627000000</v>
      </c>
      <c r="L71" s="45">
        <v>4769000000</v>
      </c>
      <c r="M71" s="45">
        <v>4811000000</v>
      </c>
      <c r="N71" s="45">
        <v>4818000000</v>
      </c>
      <c r="O71" s="45">
        <v>5118000000</v>
      </c>
      <c r="P71" s="45">
        <v>5016000000</v>
      </c>
      <c r="Q71" s="45">
        <v>3564000000</v>
      </c>
      <c r="R71" s="45">
        <v>3434000000</v>
      </c>
    </row>
    <row r="72" spans="1:18">
      <c r="A72" t="s">
        <v>385</v>
      </c>
      <c r="B72" s="45">
        <v>1000000</v>
      </c>
      <c r="C72" s="45">
        <v>1000000</v>
      </c>
      <c r="D72" s="45">
        <v>1000000</v>
      </c>
      <c r="E72" s="45">
        <v>1000000</v>
      </c>
      <c r="F72" s="45">
        <v>1000000</v>
      </c>
      <c r="G72" s="45">
        <v>1000000</v>
      </c>
      <c r="H72" s="45">
        <v>1000000</v>
      </c>
      <c r="I72" s="45">
        <v>1000000</v>
      </c>
      <c r="J72" s="45">
        <v>1000000</v>
      </c>
      <c r="K72" s="45">
        <v>2000000</v>
      </c>
      <c r="L72" s="45">
        <v>2000000</v>
      </c>
      <c r="M72" s="45">
        <v>2000000</v>
      </c>
      <c r="N72" s="45">
        <v>2000000</v>
      </c>
      <c r="O72" s="45">
        <v>2000000</v>
      </c>
      <c r="P72" s="45">
        <v>2000000</v>
      </c>
      <c r="Q72" s="45">
        <v>1000000</v>
      </c>
      <c r="R72" s="45">
        <v>1000000</v>
      </c>
    </row>
    <row r="73" spans="1:18">
      <c r="A73" t="s">
        <v>386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>
      <c r="A74" t="s">
        <v>387</v>
      </c>
      <c r="B74" s="45">
        <v>1000000</v>
      </c>
      <c r="C74" s="45">
        <v>1000000</v>
      </c>
      <c r="D74" s="45">
        <v>1000000</v>
      </c>
      <c r="E74" s="45">
        <v>1000000</v>
      </c>
      <c r="F74" s="45">
        <v>1000000</v>
      </c>
      <c r="G74" s="45">
        <v>1000000</v>
      </c>
      <c r="H74" s="45">
        <v>1000000</v>
      </c>
      <c r="I74" s="45">
        <v>1000000</v>
      </c>
      <c r="J74" s="45">
        <v>1000000</v>
      </c>
      <c r="K74" s="45">
        <v>2000000</v>
      </c>
      <c r="L74" s="45">
        <v>2000000</v>
      </c>
      <c r="M74" s="45">
        <v>2000000</v>
      </c>
      <c r="N74" s="45">
        <v>2000000</v>
      </c>
      <c r="O74" s="45">
        <v>2000000</v>
      </c>
      <c r="P74" s="45">
        <v>2000000</v>
      </c>
      <c r="Q74" s="45">
        <v>1000000</v>
      </c>
      <c r="R74" s="45">
        <v>1000000</v>
      </c>
    </row>
    <row r="75" spans="1:18">
      <c r="A75" t="s">
        <v>388</v>
      </c>
      <c r="B75" s="45">
        <v>25000000</v>
      </c>
      <c r="C75" s="45">
        <v>318000000</v>
      </c>
      <c r="D75" s="45">
        <v>640000000</v>
      </c>
      <c r="E75" s="45">
        <v>13000000</v>
      </c>
      <c r="F75">
        <v>0</v>
      </c>
      <c r="G75" s="45">
        <v>50000000</v>
      </c>
      <c r="H75" s="45">
        <v>967000000</v>
      </c>
      <c r="I75" s="45">
        <v>1686000000</v>
      </c>
      <c r="J75" s="45">
        <v>1931000000</v>
      </c>
      <c r="K75" s="45">
        <v>2621000000</v>
      </c>
      <c r="L75" s="45">
        <v>3015000000</v>
      </c>
      <c r="M75" s="45">
        <v>3263000000</v>
      </c>
      <c r="N75" s="45">
        <v>3380000000</v>
      </c>
      <c r="O75" s="45">
        <v>3751000000</v>
      </c>
      <c r="P75" s="45">
        <v>3731000000</v>
      </c>
      <c r="Q75" s="45">
        <v>2242000000</v>
      </c>
      <c r="R75" s="45">
        <v>3325000000</v>
      </c>
    </row>
    <row r="76" spans="1:18">
      <c r="A76" t="s">
        <v>389</v>
      </c>
      <c r="B76" s="45">
        <v>3784000000</v>
      </c>
      <c r="C76" s="45">
        <v>3622000000</v>
      </c>
      <c r="D76" s="45">
        <v>3167000000</v>
      </c>
      <c r="E76" s="45">
        <v>3389000000</v>
      </c>
      <c r="F76" s="45">
        <v>4170000000</v>
      </c>
      <c r="G76" s="45">
        <v>3819000000</v>
      </c>
      <c r="H76" s="45">
        <v>3054000000</v>
      </c>
      <c r="I76" s="45">
        <v>2493000000</v>
      </c>
      <c r="J76" s="45">
        <v>2289000000</v>
      </c>
      <c r="K76" s="45">
        <v>2165000000</v>
      </c>
      <c r="L76" s="45">
        <v>1821000000</v>
      </c>
      <c r="M76" s="45">
        <v>1614000000</v>
      </c>
      <c r="N76" s="45">
        <v>1517000000</v>
      </c>
      <c r="O76" s="45">
        <v>1404000000</v>
      </c>
      <c r="P76" s="45">
        <v>1338000000</v>
      </c>
      <c r="Q76" s="45">
        <v>1381000000</v>
      </c>
      <c r="R76" s="45">
        <v>1213000000</v>
      </c>
    </row>
    <row r="77" spans="1:18">
      <c r="A77" t="s">
        <v>390</v>
      </c>
      <c r="J77">
        <v>0</v>
      </c>
      <c r="K77" s="45">
        <v>1000000</v>
      </c>
      <c r="L77" s="45">
        <v>1000000</v>
      </c>
      <c r="M77" s="45">
        <v>1000000</v>
      </c>
      <c r="N77" s="45">
        <v>1000000</v>
      </c>
      <c r="O77" s="45">
        <v>1000000</v>
      </c>
      <c r="P77" s="45">
        <v>2000000</v>
      </c>
      <c r="Q77">
        <v>0</v>
      </c>
      <c r="R77" s="45">
        <v>1101000000</v>
      </c>
    </row>
    <row r="78" spans="1:18">
      <c r="A78" t="s">
        <v>391</v>
      </c>
      <c r="B78" s="45">
        <v>-224000000</v>
      </c>
      <c r="C78" s="45">
        <v>-242000000</v>
      </c>
      <c r="D78" s="45">
        <v>-245000000</v>
      </c>
      <c r="E78" s="45">
        <v>-192000000</v>
      </c>
      <c r="F78" s="45">
        <v>-209000000</v>
      </c>
      <c r="G78" s="45">
        <v>-200000000</v>
      </c>
      <c r="H78" s="45">
        <v>-185000000</v>
      </c>
      <c r="I78" s="45">
        <v>-277000000</v>
      </c>
      <c r="J78" s="45">
        <v>-230000000</v>
      </c>
      <c r="K78" s="45">
        <v>-160000000</v>
      </c>
      <c r="L78" s="45">
        <v>-68000000</v>
      </c>
      <c r="M78" s="45">
        <v>-67000000</v>
      </c>
      <c r="N78" s="45">
        <v>-80000000</v>
      </c>
      <c r="O78" s="45">
        <v>-38000000</v>
      </c>
      <c r="P78" s="45">
        <v>-53000000</v>
      </c>
      <c r="Q78" s="45">
        <v>-60000000</v>
      </c>
      <c r="R78" s="45">
        <v>-4000000</v>
      </c>
    </row>
    <row r="79" spans="1:18">
      <c r="A79" t="s">
        <v>392</v>
      </c>
      <c r="B79" s="45">
        <v>-224000000</v>
      </c>
      <c r="C79" s="45">
        <v>-242000000</v>
      </c>
      <c r="D79" s="45">
        <v>-245000000</v>
      </c>
      <c r="E79" s="45">
        <v>-192000000</v>
      </c>
      <c r="F79" s="45">
        <v>-209000000</v>
      </c>
      <c r="G79" s="45">
        <v>-200000000</v>
      </c>
      <c r="H79" s="45">
        <v>-185000000</v>
      </c>
      <c r="I79" s="45">
        <v>-277000000</v>
      </c>
      <c r="J79" s="45">
        <v>-230000000</v>
      </c>
      <c r="K79" s="45">
        <v>-160000000</v>
      </c>
      <c r="L79" s="45">
        <v>-68000000</v>
      </c>
      <c r="M79" s="45">
        <v>-67000000</v>
      </c>
      <c r="N79" s="45">
        <v>-80000000</v>
      </c>
    </row>
    <row r="80" spans="1:18">
      <c r="A80" t="s">
        <v>393</v>
      </c>
      <c r="B80" s="45">
        <v>3000000</v>
      </c>
      <c r="C80" s="45">
        <v>3000000</v>
      </c>
      <c r="D80" s="45">
        <v>3000000</v>
      </c>
      <c r="E80" s="45">
        <v>3000000</v>
      </c>
      <c r="F80" s="45">
        <v>5000000</v>
      </c>
      <c r="G80" s="45">
        <v>7000000</v>
      </c>
      <c r="H80" s="45">
        <v>16000000</v>
      </c>
      <c r="I80" s="45">
        <v>5000000</v>
      </c>
      <c r="J80" s="45">
        <v>4000000</v>
      </c>
      <c r="K80" s="45">
        <v>4000000</v>
      </c>
      <c r="L80" s="45">
        <v>8000000</v>
      </c>
      <c r="M80" s="45">
        <v>10000000</v>
      </c>
      <c r="N80" s="45">
        <v>10000000</v>
      </c>
      <c r="O80" s="45">
        <v>13000000</v>
      </c>
      <c r="P80" s="45">
        <v>24000000</v>
      </c>
      <c r="Q80" s="45">
        <v>28000000</v>
      </c>
      <c r="R80" s="45">
        <v>35000000</v>
      </c>
    </row>
    <row r="81" spans="1:18">
      <c r="A81" t="s">
        <v>394</v>
      </c>
      <c r="B81" s="45">
        <v>6635000000</v>
      </c>
      <c r="C81" s="45">
        <v>6152000000</v>
      </c>
      <c r="D81" s="45">
        <v>7531000000</v>
      </c>
      <c r="E81" s="45">
        <v>6195000000</v>
      </c>
      <c r="F81" s="45">
        <v>5574000000</v>
      </c>
      <c r="G81" s="45">
        <v>5293000000</v>
      </c>
      <c r="H81" s="45">
        <v>5277000000</v>
      </c>
      <c r="I81" s="45">
        <v>5348000000</v>
      </c>
      <c r="J81" s="45">
        <v>5033000000</v>
      </c>
      <c r="K81" s="45">
        <v>6008000000</v>
      </c>
      <c r="L81" s="45">
        <v>6058000000</v>
      </c>
      <c r="M81" s="45">
        <v>6040000000</v>
      </c>
      <c r="N81" s="45">
        <v>6039000000</v>
      </c>
      <c r="O81" s="45">
        <v>6634000000</v>
      </c>
      <c r="P81" s="45">
        <v>6636000000</v>
      </c>
      <c r="Q81" s="45">
        <v>5438000000</v>
      </c>
      <c r="R81" s="45">
        <v>4228000000</v>
      </c>
    </row>
    <row r="82" spans="1:18">
      <c r="A82" t="s">
        <v>395</v>
      </c>
      <c r="B82" s="45">
        <v>3586000000</v>
      </c>
      <c r="C82" s="45">
        <v>3699000000</v>
      </c>
      <c r="D82" s="45">
        <v>3563000000</v>
      </c>
      <c r="E82" s="45">
        <v>3211000000</v>
      </c>
      <c r="F82" s="45">
        <v>3962000000</v>
      </c>
      <c r="G82" s="45">
        <v>3670000000</v>
      </c>
      <c r="H82" s="45">
        <v>3837000000</v>
      </c>
      <c r="I82" s="45">
        <v>3903000000</v>
      </c>
      <c r="J82" s="45">
        <v>3991000000</v>
      </c>
      <c r="K82" s="45">
        <v>4627000000</v>
      </c>
      <c r="L82" s="45">
        <v>4769000000</v>
      </c>
      <c r="M82" s="45">
        <v>4811000000</v>
      </c>
      <c r="N82" s="45">
        <v>4818000000</v>
      </c>
      <c r="O82" s="45">
        <v>5118000000</v>
      </c>
      <c r="P82" s="45">
        <v>5016000000</v>
      </c>
      <c r="Q82" s="45">
        <v>3564000000</v>
      </c>
      <c r="R82" s="45">
        <v>3434000000</v>
      </c>
    </row>
    <row r="83" spans="1:18">
      <c r="A83" t="s">
        <v>396</v>
      </c>
      <c r="B83" s="45">
        <v>316000000</v>
      </c>
      <c r="C83" s="45">
        <v>337000000</v>
      </c>
      <c r="D83" s="45">
        <v>384000000</v>
      </c>
      <c r="E83" s="45">
        <v>406000000</v>
      </c>
      <c r="F83" s="45">
        <v>425000000</v>
      </c>
      <c r="G83">
        <v>0</v>
      </c>
    </row>
    <row r="84" spans="1:18">
      <c r="A84" t="s">
        <v>397</v>
      </c>
      <c r="B84" s="45">
        <v>-1344000000</v>
      </c>
      <c r="C84" s="45">
        <v>-1070000000</v>
      </c>
      <c r="D84" s="45">
        <v>-1379000000</v>
      </c>
      <c r="E84" s="45">
        <v>2538000000</v>
      </c>
      <c r="F84" s="45">
        <v>3199000000</v>
      </c>
      <c r="G84" s="45">
        <v>2759000000</v>
      </c>
      <c r="H84" s="45">
        <v>3382000000</v>
      </c>
      <c r="I84" s="45">
        <v>3179000000</v>
      </c>
      <c r="J84" s="45">
        <v>3315000000</v>
      </c>
      <c r="K84" s="45">
        <v>3942000000</v>
      </c>
      <c r="L84" s="45">
        <v>4031000000</v>
      </c>
      <c r="M84" s="45">
        <v>4290000000</v>
      </c>
      <c r="N84" s="45">
        <v>4357000000</v>
      </c>
      <c r="O84" s="45">
        <v>4736000000</v>
      </c>
      <c r="P84" s="45">
        <v>4619000000</v>
      </c>
      <c r="Q84" s="45">
        <v>3188000000</v>
      </c>
      <c r="R84" s="45">
        <v>2872000000</v>
      </c>
    </row>
    <row r="85" spans="1:18">
      <c r="A85" t="s">
        <v>398</v>
      </c>
      <c r="B85" s="45">
        <v>-657000000</v>
      </c>
      <c r="C85" s="45">
        <v>-1037000000</v>
      </c>
      <c r="D85" s="45">
        <v>-170000000</v>
      </c>
      <c r="E85" s="45">
        <v>1579000000</v>
      </c>
      <c r="F85" s="45">
        <v>620000000</v>
      </c>
      <c r="G85" s="45">
        <v>284000000</v>
      </c>
      <c r="H85" s="45">
        <v>335000000</v>
      </c>
      <c r="I85" s="45">
        <v>215000000</v>
      </c>
      <c r="J85" s="45">
        <v>17000000</v>
      </c>
      <c r="K85" s="45">
        <v>979000000</v>
      </c>
      <c r="L85" s="45">
        <v>292000000</v>
      </c>
      <c r="M85" s="45">
        <v>1140000000</v>
      </c>
      <c r="N85" s="45">
        <v>1023000000</v>
      </c>
      <c r="O85" s="45">
        <v>1569000000</v>
      </c>
      <c r="P85" s="45">
        <v>1514000000</v>
      </c>
      <c r="Q85" s="45">
        <v>404000000</v>
      </c>
      <c r="R85" s="45">
        <v>368000000</v>
      </c>
    </row>
    <row r="86" spans="1:18">
      <c r="A86" t="s">
        <v>399</v>
      </c>
      <c r="B86" s="45">
        <v>6641000000</v>
      </c>
      <c r="C86" s="45">
        <v>6812000000</v>
      </c>
      <c r="D86" s="45">
        <v>7541000000</v>
      </c>
      <c r="E86" s="45">
        <v>6455000000</v>
      </c>
      <c r="F86" s="45">
        <v>5585000000</v>
      </c>
      <c r="G86" s="45">
        <v>5304000000</v>
      </c>
      <c r="H86" s="45">
        <v>5288000000</v>
      </c>
      <c r="I86" s="45">
        <v>5467000000</v>
      </c>
      <c r="J86" s="45">
        <v>5361000000</v>
      </c>
      <c r="K86" s="45">
        <v>6017000000</v>
      </c>
      <c r="L86" s="45">
        <v>6252000000</v>
      </c>
      <c r="M86" s="45">
        <v>6044000000</v>
      </c>
      <c r="N86" s="45">
        <v>6043000000</v>
      </c>
      <c r="O86" s="45">
        <v>6691000000</v>
      </c>
      <c r="P86" s="45">
        <v>6648000000</v>
      </c>
      <c r="Q86" s="45">
        <v>5476000000</v>
      </c>
      <c r="R86" s="45">
        <v>4254000000</v>
      </c>
    </row>
    <row r="87" spans="1:18">
      <c r="A87" t="s">
        <v>400</v>
      </c>
      <c r="B87" s="45">
        <v>-1344000000</v>
      </c>
      <c r="C87" s="45">
        <v>-1070000000</v>
      </c>
      <c r="D87" s="45">
        <v>-1379000000</v>
      </c>
      <c r="E87" s="45">
        <v>2538000000</v>
      </c>
      <c r="F87" s="45">
        <v>3199000000</v>
      </c>
      <c r="G87" s="45">
        <v>2759000000</v>
      </c>
      <c r="H87" s="45">
        <v>3382000000</v>
      </c>
      <c r="I87" s="45">
        <v>3179000000</v>
      </c>
      <c r="J87" s="45">
        <v>3315000000</v>
      </c>
      <c r="K87" s="45">
        <v>3942000000</v>
      </c>
      <c r="L87" s="45">
        <v>4031000000</v>
      </c>
      <c r="M87" s="45">
        <v>4290000000</v>
      </c>
      <c r="N87" s="45">
        <v>4357000000</v>
      </c>
      <c r="O87" s="45">
        <v>4736000000</v>
      </c>
      <c r="P87" s="45">
        <v>4619000000</v>
      </c>
      <c r="Q87" s="45">
        <v>3188000000</v>
      </c>
      <c r="R87" s="45">
        <v>2872000000</v>
      </c>
    </row>
    <row r="88" spans="1:18">
      <c r="A88" t="s">
        <v>401</v>
      </c>
      <c r="B88" s="45">
        <v>3371000000</v>
      </c>
      <c r="C88" s="45">
        <v>3450000000</v>
      </c>
      <c r="D88" s="45">
        <v>4362000000</v>
      </c>
      <c r="E88" s="45">
        <v>3650000000</v>
      </c>
      <c r="F88" s="45">
        <v>2048000000</v>
      </c>
      <c r="G88" s="45">
        <v>1634000000</v>
      </c>
      <c r="H88" s="45">
        <v>1451000000</v>
      </c>
      <c r="I88" s="45">
        <v>1564000000</v>
      </c>
      <c r="J88" s="45">
        <v>1370000000</v>
      </c>
      <c r="K88" s="45">
        <v>1390000000</v>
      </c>
      <c r="L88" s="45">
        <v>1483000000</v>
      </c>
      <c r="M88" s="45">
        <v>1233000000</v>
      </c>
      <c r="N88" s="45">
        <v>1225000000</v>
      </c>
      <c r="O88" s="45">
        <v>1573000000</v>
      </c>
      <c r="P88" s="45">
        <v>1632000000</v>
      </c>
      <c r="Q88" s="45">
        <v>1912000000</v>
      </c>
      <c r="R88" s="45">
        <v>820000000</v>
      </c>
    </row>
    <row r="89" spans="1:18">
      <c r="A89" t="s">
        <v>402</v>
      </c>
      <c r="B89" s="45">
        <v>2354000000</v>
      </c>
      <c r="C89" s="45">
        <v>2122000000</v>
      </c>
      <c r="D89" s="45">
        <v>3018000000</v>
      </c>
      <c r="E89" s="45">
        <v>2037000000</v>
      </c>
      <c r="F89" s="45">
        <v>730000000</v>
      </c>
      <c r="G89" s="45">
        <v>1064000000</v>
      </c>
      <c r="H89" s="45">
        <v>948000000</v>
      </c>
      <c r="I89" s="45">
        <v>1082000000</v>
      </c>
      <c r="J89" s="45">
        <v>913000000</v>
      </c>
      <c r="K89" s="45">
        <v>705000000</v>
      </c>
      <c r="L89" s="45">
        <v>1029000000</v>
      </c>
      <c r="M89" s="45">
        <v>820000000</v>
      </c>
      <c r="N89" s="45">
        <v>691000000</v>
      </c>
      <c r="O89" s="45">
        <v>463000000</v>
      </c>
      <c r="P89" s="45">
        <v>305000000</v>
      </c>
      <c r="Q89" s="45">
        <v>1484000000</v>
      </c>
      <c r="R89" s="45">
        <v>411000000</v>
      </c>
    </row>
    <row r="90" spans="1:18">
      <c r="A90" t="s">
        <v>403</v>
      </c>
      <c r="B90" s="45">
        <v>103595267</v>
      </c>
      <c r="C90" s="45">
        <v>106400536</v>
      </c>
      <c r="D90" s="45">
        <v>109975321</v>
      </c>
      <c r="E90" s="45">
        <v>101289159</v>
      </c>
      <c r="F90" s="45">
        <v>101572453</v>
      </c>
      <c r="G90" s="45">
        <v>106623645</v>
      </c>
      <c r="H90" s="45">
        <v>118984986</v>
      </c>
      <c r="I90" s="45">
        <v>130815270</v>
      </c>
      <c r="J90" s="45">
        <v>136233649</v>
      </c>
      <c r="K90" s="45">
        <v>149118226</v>
      </c>
      <c r="L90" s="45">
        <v>156147880</v>
      </c>
      <c r="M90" s="45">
        <v>162102393</v>
      </c>
      <c r="N90" s="45">
        <v>165198512</v>
      </c>
      <c r="O90" s="45">
        <v>173989470</v>
      </c>
      <c r="P90" s="45">
        <v>173942263</v>
      </c>
      <c r="Q90" s="45">
        <v>168039995</v>
      </c>
      <c r="R90" s="45">
        <v>168039995</v>
      </c>
    </row>
    <row r="91" spans="1:18">
      <c r="A91" t="s">
        <v>404</v>
      </c>
      <c r="B91" s="45">
        <v>103595267</v>
      </c>
      <c r="C91" s="45">
        <v>106400536</v>
      </c>
      <c r="D91" s="45">
        <v>109975321</v>
      </c>
      <c r="E91" s="45">
        <v>101289159</v>
      </c>
      <c r="F91" s="45">
        <v>101572453</v>
      </c>
      <c r="G91" s="45">
        <v>106623645</v>
      </c>
      <c r="H91" s="45">
        <v>118984986</v>
      </c>
      <c r="I91" s="45">
        <v>130815270</v>
      </c>
      <c r="J91" s="45">
        <v>136233649</v>
      </c>
      <c r="K91" s="45">
        <v>149081953</v>
      </c>
      <c r="L91" s="45">
        <v>156111607</v>
      </c>
      <c r="M91" s="45">
        <v>162066120</v>
      </c>
      <c r="N91" s="45">
        <v>165162239</v>
      </c>
      <c r="O91" s="45">
        <v>173953197</v>
      </c>
      <c r="P91" s="45">
        <v>173875185</v>
      </c>
      <c r="Q91" s="45">
        <v>168039995</v>
      </c>
      <c r="R91" s="45">
        <v>168039995</v>
      </c>
    </row>
    <row r="92" spans="1:18">
      <c r="A92" t="s">
        <v>405</v>
      </c>
      <c r="K92" s="45">
        <v>36273</v>
      </c>
      <c r="L92" s="45">
        <v>36273</v>
      </c>
      <c r="M92" s="45">
        <v>36273</v>
      </c>
      <c r="N92" s="45">
        <v>36273</v>
      </c>
      <c r="O92" s="45">
        <v>36273</v>
      </c>
      <c r="P92" s="45">
        <v>67078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11-9D76-4F9E-861A-C90CD6C9E8DE}">
  <sheetPr>
    <tabColor rgb="FFFF0000"/>
  </sheetPr>
  <dimension ref="A1:R78"/>
  <sheetViews>
    <sheetView workbookViewId="0"/>
  </sheetViews>
  <sheetFormatPr defaultRowHeight="15"/>
  <cols>
    <col min="1" max="1" width="38.5703125" bestFit="1" customWidth="1"/>
    <col min="2" max="5" width="13.140625" bestFit="1" customWidth="1"/>
    <col min="6" max="7" width="12.42578125" bestFit="1" customWidth="1"/>
    <col min="8" max="10" width="11.5703125" bestFit="1" customWidth="1"/>
    <col min="11" max="11" width="12.42578125" bestFit="1" customWidth="1"/>
    <col min="12" max="13" width="11.5703125" bestFit="1" customWidth="1"/>
    <col min="14" max="16" width="13.140625" bestFit="1" customWidth="1"/>
    <col min="17" max="17" width="11.5703125" bestFit="1" customWidth="1"/>
    <col min="18" max="18" width="13.140625" bestFit="1" customWidth="1"/>
  </cols>
  <sheetData>
    <row r="1" spans="1:18">
      <c r="A1" t="s">
        <v>260</v>
      </c>
      <c r="B1" t="s">
        <v>261</v>
      </c>
      <c r="C1" s="73">
        <v>44926</v>
      </c>
      <c r="D1" s="73">
        <v>44561</v>
      </c>
      <c r="E1" s="73">
        <v>44196</v>
      </c>
      <c r="F1" s="73">
        <v>43830</v>
      </c>
      <c r="G1" s="73">
        <v>43465</v>
      </c>
      <c r="H1" s="73">
        <v>43100</v>
      </c>
      <c r="I1" s="73">
        <v>42735</v>
      </c>
      <c r="J1" s="73">
        <v>42369</v>
      </c>
      <c r="K1" s="73">
        <v>42004</v>
      </c>
      <c r="L1" s="73">
        <v>41639</v>
      </c>
      <c r="M1" s="73">
        <v>41274</v>
      </c>
      <c r="N1" s="73">
        <v>40908</v>
      </c>
      <c r="O1" s="73">
        <v>40543</v>
      </c>
      <c r="P1" s="73">
        <v>40178</v>
      </c>
      <c r="Q1" s="73">
        <v>39813</v>
      </c>
      <c r="R1" s="73">
        <v>39447</v>
      </c>
    </row>
    <row r="2" spans="1:18">
      <c r="A2" t="s">
        <v>406</v>
      </c>
      <c r="B2" s="45">
        <v>697000000</v>
      </c>
      <c r="C2" s="45">
        <v>674000000</v>
      </c>
      <c r="D2" s="45">
        <v>315000000</v>
      </c>
      <c r="E2" s="45">
        <v>-611000000</v>
      </c>
      <c r="F2" s="45">
        <v>396000000</v>
      </c>
      <c r="G2" s="45">
        <v>341000000</v>
      </c>
      <c r="H2" s="45">
        <v>587000000</v>
      </c>
      <c r="I2" s="45">
        <v>462000000</v>
      </c>
      <c r="J2" s="45">
        <v>538000000</v>
      </c>
      <c r="K2" s="45">
        <v>473000000</v>
      </c>
      <c r="L2" s="45">
        <v>456000000</v>
      </c>
      <c r="M2" s="45">
        <v>499000000</v>
      </c>
      <c r="N2" s="45">
        <v>393000000</v>
      </c>
      <c r="O2" s="45">
        <v>450000000</v>
      </c>
      <c r="P2" s="45">
        <v>276000000</v>
      </c>
      <c r="Q2" s="45">
        <v>291000000</v>
      </c>
      <c r="R2" s="45">
        <v>386000000</v>
      </c>
    </row>
    <row r="3" spans="1:18">
      <c r="A3" t="s">
        <v>407</v>
      </c>
      <c r="B3" s="45">
        <v>697000000</v>
      </c>
      <c r="C3" s="45">
        <v>674000000</v>
      </c>
      <c r="D3" s="45">
        <v>315000000</v>
      </c>
      <c r="E3" s="45">
        <v>-611000000</v>
      </c>
      <c r="F3" s="45">
        <v>396000000</v>
      </c>
      <c r="G3" s="45">
        <v>341000000</v>
      </c>
      <c r="H3" s="45">
        <v>586000000</v>
      </c>
      <c r="I3" s="45">
        <v>462000000</v>
      </c>
      <c r="J3" s="45">
        <v>538000000</v>
      </c>
      <c r="K3" s="45">
        <v>473000000</v>
      </c>
      <c r="L3" s="45">
        <v>456000000</v>
      </c>
      <c r="M3" s="45">
        <v>499000000</v>
      </c>
      <c r="N3" s="45">
        <v>393000000</v>
      </c>
      <c r="O3" s="45">
        <v>450000000</v>
      </c>
      <c r="P3" s="45">
        <v>276000000</v>
      </c>
      <c r="Q3" s="45">
        <v>287000000</v>
      </c>
      <c r="R3" s="45">
        <v>362000000</v>
      </c>
    </row>
    <row r="4" spans="1:18">
      <c r="A4" t="s">
        <v>408</v>
      </c>
      <c r="B4" s="45">
        <v>488000000</v>
      </c>
      <c r="C4" s="45">
        <v>455000000</v>
      </c>
      <c r="D4" s="45">
        <v>-222000000</v>
      </c>
      <c r="E4" s="45">
        <v>-703000000</v>
      </c>
      <c r="F4" s="45">
        <v>766000000</v>
      </c>
      <c r="G4" s="45">
        <v>769000000</v>
      </c>
      <c r="H4" s="45">
        <v>390000000</v>
      </c>
      <c r="I4" s="45">
        <v>206000000</v>
      </c>
      <c r="J4" s="45">
        <v>124000000</v>
      </c>
      <c r="K4" s="45">
        <v>346000000</v>
      </c>
      <c r="L4" s="45">
        <v>205000000</v>
      </c>
      <c r="M4" s="45">
        <v>87000000</v>
      </c>
      <c r="N4" s="45">
        <v>111000000</v>
      </c>
      <c r="O4" s="45">
        <v>51000000</v>
      </c>
      <c r="P4" s="45">
        <v>-43000000</v>
      </c>
      <c r="Q4" s="45">
        <v>114000000</v>
      </c>
      <c r="R4" s="45">
        <v>266000000</v>
      </c>
    </row>
    <row r="5" spans="1:18">
      <c r="A5" t="s">
        <v>409</v>
      </c>
      <c r="B5" s="45">
        <v>-45000000</v>
      </c>
      <c r="C5" s="45">
        <v>-259000000</v>
      </c>
      <c r="D5" s="45">
        <v>-440000000</v>
      </c>
      <c r="E5" s="45">
        <v>106000000</v>
      </c>
      <c r="F5" s="45">
        <v>-729000000</v>
      </c>
      <c r="G5" s="45">
        <v>-780000000</v>
      </c>
      <c r="H5" s="45">
        <v>-414000000</v>
      </c>
      <c r="I5" s="45">
        <v>-57000000</v>
      </c>
      <c r="J5" s="45">
        <v>55000000</v>
      </c>
      <c r="K5" s="45">
        <v>-257000000</v>
      </c>
      <c r="L5" s="45">
        <v>-70000000</v>
      </c>
      <c r="M5" s="45">
        <v>30000000</v>
      </c>
      <c r="N5" s="45">
        <v>24000000</v>
      </c>
      <c r="O5" s="45">
        <v>-4000000</v>
      </c>
      <c r="P5" s="45">
        <v>13000000</v>
      </c>
      <c r="Q5" s="45">
        <v>-9000000</v>
      </c>
      <c r="R5" s="45">
        <v>-50000000</v>
      </c>
    </row>
    <row r="6" spans="1:18">
      <c r="A6" t="s">
        <v>410</v>
      </c>
      <c r="B6" s="45">
        <v>-730000000</v>
      </c>
      <c r="F6" s="45">
        <v>-723000000</v>
      </c>
      <c r="G6" s="45">
        <v>-772000000</v>
      </c>
      <c r="H6" s="45">
        <v>-236000000</v>
      </c>
      <c r="I6" s="45">
        <v>6000000</v>
      </c>
      <c r="J6" s="45">
        <v>-9000000</v>
      </c>
      <c r="K6" s="45">
        <v>-311000000</v>
      </c>
      <c r="L6" s="45">
        <v>-125000000</v>
      </c>
      <c r="M6">
        <v>0</v>
      </c>
      <c r="N6" s="45">
        <v>2000000</v>
      </c>
      <c r="O6" s="45">
        <v>-26000000</v>
      </c>
    </row>
    <row r="7" spans="1:18">
      <c r="A7" t="s">
        <v>411</v>
      </c>
      <c r="C7" s="45">
        <v>-263000000</v>
      </c>
      <c r="D7" s="45">
        <v>-414000000</v>
      </c>
      <c r="E7" s="45">
        <v>36000000</v>
      </c>
      <c r="F7" s="45">
        <v>-739000000</v>
      </c>
      <c r="G7" s="45">
        <v>-772000000</v>
      </c>
      <c r="H7" s="45">
        <v>-236000000</v>
      </c>
      <c r="I7" s="45">
        <v>6000000</v>
      </c>
      <c r="J7" s="45">
        <v>-9000000</v>
      </c>
      <c r="K7" s="45">
        <v>-311000000</v>
      </c>
      <c r="L7" s="45">
        <v>-125000000</v>
      </c>
      <c r="M7">
        <v>0</v>
      </c>
      <c r="N7" s="45">
        <v>2000000</v>
      </c>
      <c r="O7" s="45">
        <v>-26000000</v>
      </c>
      <c r="P7">
        <v>0</v>
      </c>
      <c r="Q7">
        <v>0</v>
      </c>
      <c r="R7" s="45">
        <v>-22000000</v>
      </c>
    </row>
    <row r="8" spans="1:18">
      <c r="A8" t="s">
        <v>412</v>
      </c>
      <c r="J8" s="45">
        <v>14000000</v>
      </c>
      <c r="K8" s="45">
        <v>3000000</v>
      </c>
      <c r="L8" s="45">
        <v>5000000</v>
      </c>
      <c r="M8" s="45">
        <v>3000000</v>
      </c>
      <c r="N8" s="45">
        <v>5000000</v>
      </c>
      <c r="O8" s="45">
        <v>3000000</v>
      </c>
      <c r="P8" s="45">
        <v>-5000000</v>
      </c>
      <c r="Q8" s="45">
        <v>23000000</v>
      </c>
      <c r="R8" s="45">
        <v>-17000000</v>
      </c>
    </row>
    <row r="9" spans="1:18">
      <c r="A9" t="s">
        <v>413</v>
      </c>
      <c r="F9" s="45">
        <v>-2000000</v>
      </c>
      <c r="G9" s="45">
        <v>3000000</v>
      </c>
      <c r="H9" s="45">
        <v>41000000</v>
      </c>
      <c r="I9" s="45">
        <v>4000000</v>
      </c>
      <c r="L9" s="45">
        <v>-2000000</v>
      </c>
      <c r="M9" s="45">
        <v>-17000000</v>
      </c>
      <c r="O9" s="45">
        <v>-19000000</v>
      </c>
      <c r="P9" s="45">
        <v>-10000000</v>
      </c>
      <c r="Q9" s="45">
        <v>37000000</v>
      </c>
      <c r="R9" s="45">
        <v>-12000000</v>
      </c>
    </row>
    <row r="10" spans="1:18">
      <c r="A10" t="s">
        <v>414</v>
      </c>
      <c r="B10" s="45">
        <v>-15000000</v>
      </c>
      <c r="C10" s="45">
        <v>-5000000</v>
      </c>
      <c r="D10" s="45">
        <v>-28000000</v>
      </c>
      <c r="E10" s="45">
        <v>70000000</v>
      </c>
      <c r="F10" s="45">
        <v>10000000</v>
      </c>
      <c r="G10" s="45">
        <v>-8000000</v>
      </c>
      <c r="H10" s="45">
        <v>-219000000</v>
      </c>
      <c r="I10" s="45">
        <v>-67000000</v>
      </c>
      <c r="J10" s="45">
        <v>64000000</v>
      </c>
      <c r="K10" s="45">
        <v>54000000</v>
      </c>
      <c r="L10" s="45">
        <v>50000000</v>
      </c>
      <c r="M10" s="45">
        <v>44000000</v>
      </c>
      <c r="N10" s="45">
        <v>17000000</v>
      </c>
      <c r="O10" s="45">
        <v>54000000</v>
      </c>
      <c r="P10" s="45">
        <v>28000000</v>
      </c>
      <c r="Q10" s="45">
        <v>-5000000</v>
      </c>
      <c r="R10" s="45">
        <v>1000000</v>
      </c>
    </row>
    <row r="11" spans="1:18">
      <c r="A11" t="s">
        <v>415</v>
      </c>
      <c r="B11" s="45">
        <v>441000000</v>
      </c>
      <c r="C11" s="45">
        <v>461000000</v>
      </c>
      <c r="D11" s="45">
        <v>337000000</v>
      </c>
      <c r="E11" s="45">
        <v>341000000</v>
      </c>
      <c r="F11" s="45">
        <v>364000000</v>
      </c>
      <c r="G11" s="45">
        <v>327000000</v>
      </c>
      <c r="H11" s="45">
        <v>348000000</v>
      </c>
      <c r="I11" s="45">
        <v>326000000</v>
      </c>
      <c r="J11" s="45">
        <v>320000000</v>
      </c>
      <c r="K11" s="45">
        <v>354000000</v>
      </c>
      <c r="L11" s="45">
        <v>345000000</v>
      </c>
      <c r="M11" s="45">
        <v>353000000</v>
      </c>
      <c r="N11" s="45">
        <v>305000000</v>
      </c>
      <c r="O11" s="45">
        <v>279000000</v>
      </c>
      <c r="P11" s="45">
        <v>269000000</v>
      </c>
      <c r="Q11" s="45">
        <v>249000000</v>
      </c>
      <c r="R11" s="45">
        <v>214000000</v>
      </c>
    </row>
    <row r="12" spans="1:18">
      <c r="A12" t="s">
        <v>416</v>
      </c>
      <c r="B12" s="45">
        <v>441000000</v>
      </c>
      <c r="C12" s="45">
        <v>461000000</v>
      </c>
      <c r="D12" s="45">
        <v>337000000</v>
      </c>
      <c r="E12" s="45">
        <v>341000000</v>
      </c>
      <c r="F12" s="45">
        <v>364000000</v>
      </c>
      <c r="G12" s="45">
        <v>327000000</v>
      </c>
      <c r="H12" s="45">
        <v>348000000</v>
      </c>
      <c r="I12" s="45">
        <v>326000000</v>
      </c>
      <c r="J12" s="45">
        <v>320000000</v>
      </c>
      <c r="K12" s="45">
        <v>354000000</v>
      </c>
      <c r="L12" s="45">
        <v>345000000</v>
      </c>
      <c r="M12" s="45">
        <v>353000000</v>
      </c>
      <c r="N12" s="45">
        <v>305000000</v>
      </c>
      <c r="O12" s="45">
        <v>279000000</v>
      </c>
      <c r="P12" s="45">
        <v>269000000</v>
      </c>
      <c r="Q12" s="45">
        <v>249000000</v>
      </c>
      <c r="R12" s="45">
        <v>214000000</v>
      </c>
    </row>
    <row r="13" spans="1:18">
      <c r="A13" t="s">
        <v>417</v>
      </c>
      <c r="B13" s="45">
        <v>441000000</v>
      </c>
      <c r="C13" s="45">
        <v>461000000</v>
      </c>
      <c r="D13" s="45">
        <v>337000000</v>
      </c>
      <c r="E13" s="45">
        <v>341000000</v>
      </c>
      <c r="F13" s="45">
        <v>364000000</v>
      </c>
      <c r="G13" s="45">
        <v>327000000</v>
      </c>
      <c r="H13" s="45">
        <v>348000000</v>
      </c>
    </row>
    <row r="14" spans="1:18">
      <c r="A14" t="s">
        <v>418</v>
      </c>
      <c r="B14" s="45">
        <v>-316000000</v>
      </c>
      <c r="C14" s="45">
        <v>-259000000</v>
      </c>
      <c r="D14" s="45">
        <v>200000000</v>
      </c>
      <c r="E14" s="45">
        <v>-59000000</v>
      </c>
      <c r="F14" s="45">
        <v>28000000</v>
      </c>
      <c r="G14" s="45">
        <v>-33000000</v>
      </c>
      <c r="H14" s="45">
        <v>56000000</v>
      </c>
      <c r="I14" s="45">
        <v>-12000000</v>
      </c>
      <c r="J14" s="45">
        <v>-103000000</v>
      </c>
      <c r="K14" s="45">
        <v>-28000000</v>
      </c>
      <c r="L14" s="45">
        <v>-7000000</v>
      </c>
      <c r="M14" s="45">
        <v>65000000</v>
      </c>
      <c r="N14" s="45">
        <v>-137000000</v>
      </c>
      <c r="O14" s="45">
        <v>-8000000</v>
      </c>
      <c r="P14" s="45">
        <v>73000000</v>
      </c>
      <c r="Q14" s="45">
        <v>6000000</v>
      </c>
      <c r="R14" s="45">
        <v>-100000000</v>
      </c>
    </row>
    <row r="15" spans="1:18">
      <c r="A15" t="s">
        <v>419</v>
      </c>
      <c r="B15" s="45">
        <v>-316000000</v>
      </c>
      <c r="C15" s="45">
        <v>-259000000</v>
      </c>
      <c r="D15" s="45">
        <v>200000000</v>
      </c>
      <c r="E15" s="45">
        <v>-59000000</v>
      </c>
      <c r="F15" s="45">
        <v>28000000</v>
      </c>
      <c r="G15" s="45">
        <v>-33000000</v>
      </c>
      <c r="H15" s="45">
        <v>56000000</v>
      </c>
      <c r="I15" s="45">
        <v>-12000000</v>
      </c>
      <c r="J15" s="45">
        <v>-103000000</v>
      </c>
      <c r="K15" s="45">
        <v>-28000000</v>
      </c>
      <c r="L15" s="45">
        <v>-7000000</v>
      </c>
      <c r="M15" s="45">
        <v>65000000</v>
      </c>
      <c r="N15" s="45">
        <v>-137000000</v>
      </c>
      <c r="O15" s="45">
        <v>-8000000</v>
      </c>
      <c r="P15" s="45">
        <v>73000000</v>
      </c>
      <c r="Q15" s="45">
        <v>6000000</v>
      </c>
      <c r="R15" s="45">
        <v>-100000000</v>
      </c>
    </row>
    <row r="16" spans="1:18">
      <c r="A16" t="s">
        <v>420</v>
      </c>
      <c r="B16" s="45">
        <v>32000000</v>
      </c>
      <c r="C16" s="45">
        <v>38000000</v>
      </c>
      <c r="D16" s="45">
        <v>8000000</v>
      </c>
      <c r="E16" s="45">
        <v>62000000</v>
      </c>
      <c r="F16" s="45">
        <v>18000000</v>
      </c>
      <c r="G16" s="45">
        <v>47000000</v>
      </c>
      <c r="H16">
        <v>0</v>
      </c>
      <c r="I16">
        <v>0</v>
      </c>
      <c r="J16" s="45">
        <v>5000000</v>
      </c>
      <c r="K16" s="45">
        <v>17000000</v>
      </c>
      <c r="L16" s="45">
        <v>22000000</v>
      </c>
      <c r="M16">
        <v>0</v>
      </c>
      <c r="N16" s="45">
        <v>6000000</v>
      </c>
      <c r="O16" s="45">
        <v>44000000</v>
      </c>
      <c r="P16" s="45">
        <v>12000000</v>
      </c>
      <c r="Q16" s="45">
        <v>86000000</v>
      </c>
      <c r="R16" s="45">
        <v>61000000</v>
      </c>
    </row>
    <row r="17" spans="1:18">
      <c r="A17" t="s">
        <v>421</v>
      </c>
      <c r="J17" s="45">
        <v>-6000000</v>
      </c>
      <c r="K17">
        <v>0</v>
      </c>
      <c r="L17" s="45">
        <v>6000000</v>
      </c>
      <c r="M17" s="45">
        <v>4000000</v>
      </c>
      <c r="N17" s="45">
        <v>4000000</v>
      </c>
      <c r="O17" s="45">
        <v>1000000</v>
      </c>
    </row>
    <row r="18" spans="1:18">
      <c r="A18" t="s">
        <v>422</v>
      </c>
      <c r="B18" s="45">
        <v>-22000000</v>
      </c>
      <c r="C18" s="45">
        <v>55000000</v>
      </c>
      <c r="D18" s="45">
        <v>-14000000</v>
      </c>
      <c r="E18" s="45">
        <v>13000000</v>
      </c>
      <c r="F18" s="45">
        <v>-26000000</v>
      </c>
      <c r="G18" s="45">
        <v>47000000</v>
      </c>
      <c r="H18" s="45">
        <v>-1000000</v>
      </c>
      <c r="L18">
        <v>0</v>
      </c>
      <c r="M18">
        <v>0</v>
      </c>
      <c r="N18" s="45">
        <v>13000000</v>
      </c>
      <c r="O18" s="45">
        <v>-19000000</v>
      </c>
    </row>
    <row r="19" spans="1:18">
      <c r="A19" t="s">
        <v>423</v>
      </c>
      <c r="B19" s="45">
        <v>74000000</v>
      </c>
      <c r="C19" s="45">
        <v>61000000</v>
      </c>
      <c r="D19" s="45">
        <v>59000000</v>
      </c>
      <c r="E19" s="45">
        <v>28000000</v>
      </c>
      <c r="F19" s="45">
        <v>35000000</v>
      </c>
      <c r="G19" s="45">
        <v>28000000</v>
      </c>
      <c r="H19" s="45">
        <v>32000000</v>
      </c>
      <c r="I19" s="45">
        <v>26000000</v>
      </c>
      <c r="J19" s="45">
        <v>26000000</v>
      </c>
      <c r="K19" s="45">
        <v>52000000</v>
      </c>
      <c r="L19" s="45">
        <v>27000000</v>
      </c>
      <c r="M19" s="45">
        <v>22000000</v>
      </c>
    </row>
    <row r="20" spans="1:18">
      <c r="A20" t="s">
        <v>424</v>
      </c>
      <c r="B20" s="45">
        <v>-54000000</v>
      </c>
      <c r="C20" s="45">
        <v>-61000000</v>
      </c>
      <c r="D20" s="45">
        <v>-3000000</v>
      </c>
      <c r="E20" s="45">
        <v>25000000</v>
      </c>
      <c r="F20" s="45">
        <v>-47000000</v>
      </c>
      <c r="G20" s="45">
        <v>-2000000</v>
      </c>
      <c r="H20" s="45">
        <v>22000000</v>
      </c>
      <c r="I20" s="45">
        <v>-26000000</v>
      </c>
      <c r="J20" s="45">
        <v>55000000</v>
      </c>
      <c r="K20" s="45">
        <v>-18000000</v>
      </c>
      <c r="L20" s="45">
        <v>-41000000</v>
      </c>
      <c r="M20" s="45">
        <v>5000000</v>
      </c>
      <c r="N20" s="45">
        <v>32000000</v>
      </c>
      <c r="O20" s="45">
        <v>36000000</v>
      </c>
      <c r="P20" s="45">
        <v>34000000</v>
      </c>
      <c r="Q20" s="45">
        <v>20000000</v>
      </c>
      <c r="R20" s="45">
        <v>-76000000</v>
      </c>
    </row>
    <row r="21" spans="1:18">
      <c r="A21" t="s">
        <v>425</v>
      </c>
      <c r="B21" s="45">
        <v>86000000</v>
      </c>
      <c r="C21" s="45">
        <v>167000000</v>
      </c>
      <c r="D21" s="45">
        <v>388000000</v>
      </c>
      <c r="E21" s="45">
        <v>-424000000</v>
      </c>
      <c r="F21" s="45">
        <v>-13000000</v>
      </c>
      <c r="G21" s="45">
        <v>-79000000</v>
      </c>
      <c r="H21" s="45">
        <v>125000000</v>
      </c>
      <c r="I21" s="45">
        <v>-36000000</v>
      </c>
      <c r="J21" s="45">
        <v>25000000</v>
      </c>
      <c r="K21" s="45">
        <v>24000000</v>
      </c>
      <c r="L21" s="45">
        <v>-31000000</v>
      </c>
      <c r="M21" s="45">
        <v>-67000000</v>
      </c>
      <c r="N21" s="45">
        <v>35000000</v>
      </c>
      <c r="O21" s="45">
        <v>70000000</v>
      </c>
      <c r="P21" s="45">
        <v>-82000000</v>
      </c>
      <c r="Q21" s="45">
        <v>-179000000</v>
      </c>
      <c r="R21" s="45">
        <v>47000000</v>
      </c>
    </row>
    <row r="22" spans="1:18">
      <c r="A22" t="s">
        <v>426</v>
      </c>
      <c r="C22" s="45">
        <v>-209000000</v>
      </c>
      <c r="D22" s="45">
        <v>-85000000</v>
      </c>
      <c r="E22" s="45">
        <v>120000000</v>
      </c>
      <c r="F22" s="45">
        <v>-26000000</v>
      </c>
      <c r="G22" s="45">
        <v>14000000</v>
      </c>
      <c r="H22" s="45">
        <v>-37000000</v>
      </c>
      <c r="I22" s="45">
        <v>-14000000</v>
      </c>
      <c r="J22" s="45">
        <v>29000000</v>
      </c>
      <c r="K22" s="45">
        <v>-28000000</v>
      </c>
      <c r="L22" s="45">
        <v>-9000000</v>
      </c>
      <c r="M22" s="45">
        <v>-33000000</v>
      </c>
      <c r="N22" s="45">
        <v>-17000000</v>
      </c>
      <c r="O22" s="45">
        <v>22000000</v>
      </c>
      <c r="P22" s="45">
        <v>57000000</v>
      </c>
      <c r="Q22" s="45">
        <v>4000000</v>
      </c>
      <c r="R22" s="45">
        <v>-19000000</v>
      </c>
    </row>
    <row r="23" spans="1:18">
      <c r="A23" t="s">
        <v>427</v>
      </c>
      <c r="F23" s="45">
        <v>1000000</v>
      </c>
      <c r="G23">
        <v>0</v>
      </c>
      <c r="H23" s="45">
        <v>12000000</v>
      </c>
      <c r="I23" s="45">
        <v>2000000</v>
      </c>
      <c r="J23" s="45">
        <v>1000000</v>
      </c>
      <c r="K23" s="45">
        <v>8000000</v>
      </c>
      <c r="L23" s="45">
        <v>3000000</v>
      </c>
      <c r="M23" s="45">
        <v>8000000</v>
      </c>
      <c r="N23" s="45">
        <v>7000000</v>
      </c>
      <c r="O23" s="45">
        <v>4000000</v>
      </c>
      <c r="P23" s="45">
        <v>-10000000</v>
      </c>
      <c r="Q23" s="45">
        <v>-21000000</v>
      </c>
      <c r="R23" s="45">
        <v>14000000</v>
      </c>
    </row>
    <row r="24" spans="1:18">
      <c r="A24" t="s">
        <v>428</v>
      </c>
      <c r="C24" s="45">
        <v>-112000000</v>
      </c>
      <c r="D24" s="45">
        <v>201000000</v>
      </c>
      <c r="E24" s="45">
        <v>-265000000</v>
      </c>
      <c r="F24" s="45">
        <v>-22000000</v>
      </c>
      <c r="G24" s="45">
        <v>-5000000</v>
      </c>
      <c r="H24" s="45">
        <v>14000000</v>
      </c>
      <c r="I24" s="45">
        <v>21000000</v>
      </c>
      <c r="J24" s="45">
        <v>-16000000</v>
      </c>
      <c r="K24" s="45">
        <v>-53000000</v>
      </c>
      <c r="L24" s="45">
        <v>16000000</v>
      </c>
      <c r="M24" s="45">
        <v>8000000</v>
      </c>
      <c r="N24" s="45">
        <v>-6000000</v>
      </c>
      <c r="O24" s="45">
        <v>76000000</v>
      </c>
      <c r="P24" s="45">
        <v>-66000000</v>
      </c>
      <c r="Q24" s="45">
        <v>-15000000</v>
      </c>
    </row>
    <row r="25" spans="1:18">
      <c r="A25" t="s">
        <v>429</v>
      </c>
      <c r="C25" s="45">
        <v>96000000</v>
      </c>
      <c r="D25" s="45">
        <v>87000000</v>
      </c>
      <c r="E25" s="45">
        <v>-256000000</v>
      </c>
      <c r="F25" s="45">
        <v>-33000000</v>
      </c>
      <c r="G25" s="45">
        <v>-130000000</v>
      </c>
      <c r="H25" s="45">
        <v>102000000</v>
      </c>
      <c r="I25" s="45">
        <v>7000000</v>
      </c>
      <c r="J25" s="45">
        <v>-7000000</v>
      </c>
      <c r="K25" s="45">
        <v>186000000</v>
      </c>
      <c r="L25" s="45">
        <v>71000000</v>
      </c>
      <c r="M25" s="45">
        <v>81000000</v>
      </c>
      <c r="N25" s="45">
        <v>10000000</v>
      </c>
      <c r="O25" s="45">
        <v>11000000</v>
      </c>
      <c r="P25" s="45">
        <v>-42000000</v>
      </c>
      <c r="Q25" s="45">
        <v>-136000000</v>
      </c>
      <c r="R25" s="45">
        <v>75000000</v>
      </c>
    </row>
    <row r="26" spans="1:18">
      <c r="A26" t="s">
        <v>430</v>
      </c>
      <c r="C26" s="45">
        <v>96000000</v>
      </c>
      <c r="D26" s="45">
        <v>87000000</v>
      </c>
      <c r="E26" s="45">
        <v>-256000000</v>
      </c>
      <c r="F26" s="45">
        <v>-33000000</v>
      </c>
      <c r="G26" s="45">
        <v>-130000000</v>
      </c>
      <c r="H26" s="45">
        <v>102000000</v>
      </c>
      <c r="I26" s="45">
        <v>7000000</v>
      </c>
      <c r="J26" s="45">
        <v>-7000000</v>
      </c>
      <c r="K26" s="45">
        <v>186000000</v>
      </c>
      <c r="L26" s="45">
        <v>71000000</v>
      </c>
      <c r="M26" s="45">
        <v>81000000</v>
      </c>
      <c r="N26" s="45">
        <v>10000000</v>
      </c>
      <c r="O26" s="45">
        <v>11000000</v>
      </c>
      <c r="P26" s="45">
        <v>-42000000</v>
      </c>
      <c r="Q26" s="45">
        <v>-136000000</v>
      </c>
      <c r="R26" s="45">
        <v>75000000</v>
      </c>
    </row>
    <row r="27" spans="1:18">
      <c r="A27" t="s">
        <v>431</v>
      </c>
      <c r="C27" s="45">
        <v>96000000</v>
      </c>
      <c r="D27" s="45">
        <v>87000000</v>
      </c>
      <c r="E27" s="45">
        <v>-256000000</v>
      </c>
      <c r="F27" s="45">
        <v>-33000000</v>
      </c>
      <c r="G27" s="45">
        <v>-130000000</v>
      </c>
      <c r="H27" s="45">
        <v>102000000</v>
      </c>
      <c r="I27" s="45">
        <v>7000000</v>
      </c>
      <c r="J27" s="45">
        <v>-7000000</v>
      </c>
      <c r="K27" s="45">
        <v>186000000</v>
      </c>
      <c r="L27" s="45">
        <v>71000000</v>
      </c>
      <c r="M27" s="45">
        <v>81000000</v>
      </c>
      <c r="N27" s="45">
        <v>10000000</v>
      </c>
      <c r="O27" s="45">
        <v>11000000</v>
      </c>
      <c r="P27" s="45">
        <v>-19000000</v>
      </c>
      <c r="Q27" s="45">
        <v>-10000000</v>
      </c>
      <c r="R27" s="45">
        <v>-19000000</v>
      </c>
    </row>
    <row r="28" spans="1:18">
      <c r="A28" t="s">
        <v>432</v>
      </c>
      <c r="C28" s="45">
        <v>-110000000</v>
      </c>
      <c r="D28" s="45">
        <v>-10000000</v>
      </c>
      <c r="H28" s="45">
        <v>13000000</v>
      </c>
      <c r="I28" s="45">
        <v>-4000000</v>
      </c>
      <c r="J28" s="45">
        <v>78000000</v>
      </c>
      <c r="K28" s="45">
        <v>-18000000</v>
      </c>
      <c r="L28" s="45">
        <v>-73000000</v>
      </c>
      <c r="M28" s="45">
        <v>-1000000</v>
      </c>
      <c r="N28" s="45">
        <v>-2000000</v>
      </c>
    </row>
    <row r="29" spans="1:18">
      <c r="A29" t="s">
        <v>433</v>
      </c>
      <c r="C29" s="45">
        <v>-35000000</v>
      </c>
      <c r="D29" s="45">
        <v>-50000000</v>
      </c>
      <c r="E29" s="45">
        <v>-50000000</v>
      </c>
      <c r="F29" s="45">
        <v>-43000000</v>
      </c>
      <c r="G29" s="45">
        <v>7000000</v>
      </c>
      <c r="H29" s="45">
        <v>53000000</v>
      </c>
      <c r="I29" s="45">
        <v>34000000</v>
      </c>
      <c r="J29" s="45">
        <v>1000000</v>
      </c>
      <c r="K29" s="45">
        <v>-19000000</v>
      </c>
      <c r="L29" s="45">
        <v>-6000000</v>
      </c>
      <c r="M29" s="45">
        <v>-118000000</v>
      </c>
      <c r="N29" s="45">
        <v>62000000</v>
      </c>
      <c r="O29" s="45">
        <v>-11000000</v>
      </c>
    </row>
    <row r="30" spans="1:18">
      <c r="A30" t="s">
        <v>434</v>
      </c>
      <c r="C30" s="45">
        <v>537000000</v>
      </c>
      <c r="D30" s="45">
        <v>245000000</v>
      </c>
      <c r="E30" s="45">
        <v>27000000</v>
      </c>
      <c r="F30" s="45">
        <v>111000000</v>
      </c>
      <c r="G30" s="45">
        <v>35000000</v>
      </c>
      <c r="H30" s="45">
        <v>-19000000</v>
      </c>
      <c r="I30" s="45">
        <v>-86000000</v>
      </c>
      <c r="J30" s="45">
        <v>17000000</v>
      </c>
      <c r="K30" s="45">
        <v>-70000000</v>
      </c>
      <c r="L30" s="45">
        <v>-106000000</v>
      </c>
      <c r="M30" s="45">
        <v>-13000000</v>
      </c>
      <c r="N30" s="45">
        <v>-21000000</v>
      </c>
      <c r="O30" s="45">
        <v>-32000000</v>
      </c>
      <c r="P30" s="45">
        <v>-21000000</v>
      </c>
      <c r="Q30" s="45">
        <v>-11000000</v>
      </c>
      <c r="R30" s="45">
        <v>-23000000</v>
      </c>
    </row>
    <row r="31" spans="1:18">
      <c r="A31" t="s">
        <v>435</v>
      </c>
      <c r="B31" s="45">
        <v>13000000</v>
      </c>
      <c r="C31" s="45">
        <v>16000000</v>
      </c>
      <c r="D31" s="45">
        <v>2000000</v>
      </c>
      <c r="E31" s="45">
        <v>3000000</v>
      </c>
      <c r="F31" s="45">
        <v>13000000</v>
      </c>
      <c r="G31" s="45">
        <v>17000000</v>
      </c>
      <c r="H31" s="45">
        <v>29000000</v>
      </c>
      <c r="I31" s="45">
        <v>35000000</v>
      </c>
      <c r="J31" s="45">
        <v>36000000</v>
      </c>
    </row>
    <row r="32" spans="1:18">
      <c r="A32" t="s">
        <v>436</v>
      </c>
      <c r="O32">
        <v>0</v>
      </c>
      <c r="P32">
        <v>0</v>
      </c>
      <c r="Q32" s="45">
        <v>4000000</v>
      </c>
      <c r="R32" s="45">
        <v>24000000</v>
      </c>
    </row>
    <row r="33" spans="1:18">
      <c r="A33" t="s">
        <v>437</v>
      </c>
      <c r="B33" s="45">
        <v>-318000000</v>
      </c>
      <c r="C33" s="45">
        <v>416000000</v>
      </c>
      <c r="D33" s="45">
        <v>-1772000000</v>
      </c>
      <c r="E33" s="45">
        <v>-736000000</v>
      </c>
      <c r="F33" s="45">
        <v>585000000</v>
      </c>
      <c r="G33" s="45">
        <v>374000000</v>
      </c>
      <c r="H33" s="45">
        <v>457000000</v>
      </c>
      <c r="I33" s="45">
        <v>-372000000</v>
      </c>
      <c r="J33" s="45">
        <v>-47000000</v>
      </c>
      <c r="K33" s="45">
        <v>373000000</v>
      </c>
      <c r="L33" s="45">
        <v>-147000000</v>
      </c>
      <c r="M33" s="45">
        <v>-489000000</v>
      </c>
      <c r="N33" s="45">
        <v>-1015000000</v>
      </c>
      <c r="O33" s="45">
        <v>-663000000</v>
      </c>
      <c r="P33" s="45">
        <v>-427000000</v>
      </c>
      <c r="Q33" s="45">
        <v>-284000000</v>
      </c>
      <c r="R33" s="45">
        <v>-389000000</v>
      </c>
    </row>
    <row r="34" spans="1:18">
      <c r="A34" t="s">
        <v>438</v>
      </c>
      <c r="B34" s="45">
        <v>-318000000</v>
      </c>
      <c r="C34" s="45">
        <v>416000000</v>
      </c>
      <c r="D34" s="45">
        <v>-1772000000</v>
      </c>
      <c r="E34" s="45">
        <v>-736000000</v>
      </c>
      <c r="F34" s="45">
        <v>585000000</v>
      </c>
      <c r="G34" s="45">
        <v>374000000</v>
      </c>
      <c r="H34" s="45">
        <v>457000000</v>
      </c>
      <c r="I34" s="45">
        <v>-372000000</v>
      </c>
      <c r="J34" s="45">
        <v>-47000000</v>
      </c>
      <c r="K34" s="45">
        <v>373000000</v>
      </c>
      <c r="L34" s="45">
        <v>-147000000</v>
      </c>
      <c r="M34" s="45">
        <v>-489000000</v>
      </c>
      <c r="N34" s="45">
        <v>-1015000000</v>
      </c>
      <c r="O34" s="45">
        <v>-663000000</v>
      </c>
      <c r="P34" s="45">
        <v>-427000000</v>
      </c>
      <c r="Q34" s="45">
        <v>-423000000</v>
      </c>
      <c r="R34" s="45">
        <v>-396000000</v>
      </c>
    </row>
    <row r="35" spans="1:18">
      <c r="A35" t="s">
        <v>439</v>
      </c>
      <c r="B35" s="45">
        <v>-193000000</v>
      </c>
      <c r="C35" s="45">
        <v>-201000000</v>
      </c>
      <c r="D35" s="45">
        <v>-111000000</v>
      </c>
      <c r="E35" s="45">
        <v>-122000000</v>
      </c>
      <c r="F35" s="45">
        <v>-369000000</v>
      </c>
      <c r="G35" s="45">
        <v>-297000000</v>
      </c>
      <c r="H35" s="45">
        <v>-298000000</v>
      </c>
      <c r="I35" s="45">
        <v>-211000000</v>
      </c>
      <c r="J35" s="45">
        <v>-269000000</v>
      </c>
      <c r="K35" s="45">
        <v>-253000000</v>
      </c>
      <c r="L35" s="45">
        <v>-232000000</v>
      </c>
      <c r="M35" s="45">
        <v>-301000000</v>
      </c>
      <c r="N35" s="45">
        <v>-331000000</v>
      </c>
      <c r="O35" s="45">
        <v>-310000000</v>
      </c>
      <c r="P35" s="45">
        <v>-216000000</v>
      </c>
      <c r="Q35" s="45">
        <v>-258000000</v>
      </c>
    </row>
    <row r="36" spans="1:18">
      <c r="A36" t="s">
        <v>440</v>
      </c>
      <c r="B36" s="45">
        <v>25000000</v>
      </c>
      <c r="C36" s="45">
        <v>625000000</v>
      </c>
      <c r="D36" s="45">
        <v>758000000</v>
      </c>
      <c r="E36" s="45">
        <v>85000000</v>
      </c>
      <c r="F36" s="45">
        <v>940000000</v>
      </c>
      <c r="G36" s="45">
        <v>1382000000</v>
      </c>
      <c r="H36" s="45">
        <v>663000000</v>
      </c>
      <c r="I36" s="45">
        <v>289000000</v>
      </c>
      <c r="J36" s="45">
        <v>231000000</v>
      </c>
      <c r="K36" s="45">
        <v>1311000000</v>
      </c>
      <c r="L36" s="45">
        <v>569000000</v>
      </c>
      <c r="M36" s="45">
        <v>43000000</v>
      </c>
      <c r="N36" s="45">
        <v>205000000</v>
      </c>
      <c r="O36" s="45">
        <v>136000000</v>
      </c>
      <c r="P36" s="45">
        <v>-109000000</v>
      </c>
      <c r="Q36" s="45">
        <v>-28000000</v>
      </c>
      <c r="R36" s="45">
        <v>-519000000</v>
      </c>
    </row>
    <row r="37" spans="1:18">
      <c r="A37" t="s">
        <v>441</v>
      </c>
      <c r="O37" s="45">
        <v>-210000000</v>
      </c>
      <c r="P37" s="45">
        <v>-109000000</v>
      </c>
      <c r="Q37" s="45">
        <v>-28000000</v>
      </c>
      <c r="R37" s="45">
        <v>-617000000</v>
      </c>
    </row>
    <row r="38" spans="1:18">
      <c r="A38" t="s">
        <v>442</v>
      </c>
      <c r="C38" s="45">
        <v>625000000</v>
      </c>
      <c r="D38" s="45">
        <v>758000000</v>
      </c>
      <c r="E38" s="45">
        <v>85000000</v>
      </c>
      <c r="F38" s="45">
        <v>940000000</v>
      </c>
      <c r="G38" s="45">
        <v>1382000000</v>
      </c>
      <c r="H38" s="45">
        <v>663000000</v>
      </c>
      <c r="I38" s="45">
        <v>289000000</v>
      </c>
      <c r="J38" s="45">
        <v>231000000</v>
      </c>
      <c r="K38" s="45">
        <v>1311000000</v>
      </c>
      <c r="L38" s="45">
        <v>569000000</v>
      </c>
      <c r="M38" s="45">
        <v>43000000</v>
      </c>
      <c r="N38" s="45">
        <v>205000000</v>
      </c>
      <c r="O38" s="45">
        <v>136000000</v>
      </c>
      <c r="P38">
        <v>0</v>
      </c>
      <c r="Q38">
        <v>0</v>
      </c>
      <c r="R38" s="45">
        <v>98000000</v>
      </c>
    </row>
    <row r="39" spans="1:18">
      <c r="A39" t="s">
        <v>443</v>
      </c>
      <c r="D39">
        <v>0</v>
      </c>
      <c r="E39">
        <v>0</v>
      </c>
      <c r="F39" s="45">
        <v>21000000</v>
      </c>
      <c r="G39">
        <v>0</v>
      </c>
      <c r="H39">
        <v>0</v>
      </c>
    </row>
    <row r="40" spans="1:18">
      <c r="A40" t="s">
        <v>444</v>
      </c>
      <c r="D40">
        <v>0</v>
      </c>
      <c r="E40">
        <v>0</v>
      </c>
      <c r="F40" s="45">
        <v>21000000</v>
      </c>
      <c r="G40">
        <v>0</v>
      </c>
      <c r="H40">
        <v>0</v>
      </c>
    </row>
    <row r="41" spans="1:18">
      <c r="A41" t="s">
        <v>445</v>
      </c>
      <c r="B41" s="45">
        <v>-189000000</v>
      </c>
      <c r="C41" s="45">
        <v>-128000000</v>
      </c>
      <c r="D41" s="45">
        <v>-2847000000</v>
      </c>
      <c r="E41" s="45">
        <v>-60000000</v>
      </c>
      <c r="F41" s="45">
        <v>-38000000</v>
      </c>
      <c r="G41" s="45">
        <v>-687000000</v>
      </c>
      <c r="H41" s="45">
        <v>77000000</v>
      </c>
      <c r="I41" s="45">
        <v>-467000000</v>
      </c>
      <c r="J41" s="45">
        <v>-3000000</v>
      </c>
      <c r="K41" s="45">
        <v>-548000000</v>
      </c>
      <c r="L41" s="45">
        <v>-814000000</v>
      </c>
      <c r="M41" s="45">
        <v>-233000000</v>
      </c>
      <c r="N41" s="45">
        <v>-716000000</v>
      </c>
      <c r="O41">
        <v>0</v>
      </c>
    </row>
    <row r="42" spans="1:18">
      <c r="A42" t="s">
        <v>446</v>
      </c>
      <c r="B42" s="45">
        <v>-212000000</v>
      </c>
      <c r="C42" s="45">
        <v>-182000000</v>
      </c>
      <c r="D42" s="45">
        <v>-2945000000</v>
      </c>
      <c r="E42" s="45">
        <v>-65000000</v>
      </c>
      <c r="F42" s="45">
        <v>-66000000</v>
      </c>
      <c r="G42" s="45">
        <v>-738000000</v>
      </c>
      <c r="H42" s="45">
        <v>-348000000</v>
      </c>
      <c r="I42" s="45">
        <v>-599000000</v>
      </c>
      <c r="J42" s="45">
        <v>-3000000</v>
      </c>
      <c r="K42" s="45">
        <v>-548000000</v>
      </c>
      <c r="L42" s="45">
        <v>-814000000</v>
      </c>
      <c r="M42" s="45">
        <v>-233000000</v>
      </c>
      <c r="N42" s="45">
        <v>-716000000</v>
      </c>
      <c r="O42">
        <v>0</v>
      </c>
    </row>
    <row r="43" spans="1:18">
      <c r="A43" t="s">
        <v>447</v>
      </c>
      <c r="B43" s="45">
        <v>23000000</v>
      </c>
      <c r="C43" s="45">
        <v>54000000</v>
      </c>
      <c r="D43" s="45">
        <v>98000000</v>
      </c>
      <c r="E43" s="45">
        <v>5000000</v>
      </c>
      <c r="F43" s="45">
        <v>28000000</v>
      </c>
      <c r="G43" s="45">
        <v>51000000</v>
      </c>
      <c r="H43" s="45">
        <v>425000000</v>
      </c>
      <c r="I43" s="45">
        <v>132000000</v>
      </c>
    </row>
    <row r="44" spans="1:18">
      <c r="A44" t="s">
        <v>448</v>
      </c>
      <c r="B44" s="45">
        <v>83000000</v>
      </c>
      <c r="C44" s="45">
        <v>108000000</v>
      </c>
      <c r="D44" s="45">
        <v>447000000</v>
      </c>
      <c r="E44" s="45">
        <v>-601000000</v>
      </c>
      <c r="F44" s="45">
        <v>-1000000</v>
      </c>
      <c r="G44" s="45">
        <v>-41000000</v>
      </c>
      <c r="H44" s="45">
        <v>11000000</v>
      </c>
      <c r="I44" s="45">
        <v>-7000000</v>
      </c>
      <c r="J44" s="45">
        <v>-27000000</v>
      </c>
      <c r="K44" s="45">
        <v>-158000000</v>
      </c>
      <c r="L44" s="45">
        <v>98000000</v>
      </c>
      <c r="M44" s="45">
        <v>98000000</v>
      </c>
      <c r="N44" s="45">
        <v>-127000000</v>
      </c>
      <c r="O44" s="45">
        <v>-482000000</v>
      </c>
      <c r="P44" s="45">
        <v>-132000000</v>
      </c>
      <c r="Q44" s="45">
        <v>-132000000</v>
      </c>
      <c r="R44" s="45">
        <v>80000000</v>
      </c>
    </row>
    <row r="45" spans="1:18">
      <c r="A45" t="s">
        <v>449</v>
      </c>
      <c r="B45" s="45">
        <v>-550000000</v>
      </c>
      <c r="C45" s="45">
        <v>-952000000</v>
      </c>
      <c r="D45" s="45">
        <v>-793000000</v>
      </c>
      <c r="E45" s="45">
        <v>-1143000000</v>
      </c>
      <c r="F45" s="45">
        <v>-350000000</v>
      </c>
      <c r="G45" s="45">
        <v>-665000000</v>
      </c>
      <c r="H45" s="45">
        <v>-469000000</v>
      </c>
      <c r="I45" s="45">
        <v>-464000000</v>
      </c>
      <c r="J45" s="45">
        <v>-567000000</v>
      </c>
      <c r="K45" s="45">
        <v>-535000000</v>
      </c>
      <c r="L45" s="45">
        <v>-729000000</v>
      </c>
      <c r="M45" s="45">
        <v>-460000000</v>
      </c>
      <c r="N45" s="45">
        <v>-547000000</v>
      </c>
      <c r="O45" s="45">
        <v>-1825000000</v>
      </c>
      <c r="P45" s="45">
        <v>-453000000</v>
      </c>
      <c r="Q45" s="45">
        <v>-368000000</v>
      </c>
      <c r="R45" s="45">
        <v>-55000000</v>
      </c>
    </row>
    <row r="46" spans="1:18">
      <c r="A46" t="s">
        <v>450</v>
      </c>
      <c r="B46" s="45">
        <v>633000000</v>
      </c>
      <c r="C46" s="45">
        <v>1060000000</v>
      </c>
      <c r="D46" s="45">
        <v>1240000000</v>
      </c>
      <c r="E46" s="45">
        <v>542000000</v>
      </c>
      <c r="F46" s="45">
        <v>349000000</v>
      </c>
      <c r="G46" s="45">
        <v>624000000</v>
      </c>
      <c r="H46" s="45">
        <v>480000000</v>
      </c>
      <c r="I46" s="45">
        <v>457000000</v>
      </c>
      <c r="J46" s="45">
        <v>540000000</v>
      </c>
      <c r="K46" s="45">
        <v>377000000</v>
      </c>
      <c r="L46" s="45">
        <v>827000000</v>
      </c>
      <c r="M46" s="45">
        <v>558000000</v>
      </c>
      <c r="N46" s="45">
        <v>420000000</v>
      </c>
      <c r="O46" s="45">
        <v>1343000000</v>
      </c>
      <c r="P46" s="45">
        <v>321000000</v>
      </c>
      <c r="Q46" s="45">
        <v>236000000</v>
      </c>
      <c r="R46" s="45">
        <v>135000000</v>
      </c>
    </row>
    <row r="47" spans="1:18">
      <c r="A47" t="s">
        <v>451</v>
      </c>
      <c r="B47" s="45">
        <v>-44000000</v>
      </c>
      <c r="C47" s="45">
        <v>12000000</v>
      </c>
      <c r="D47" s="45">
        <v>-19000000</v>
      </c>
      <c r="E47" s="45">
        <v>-38000000</v>
      </c>
      <c r="F47" s="45">
        <v>32000000</v>
      </c>
      <c r="G47" s="45">
        <v>17000000</v>
      </c>
      <c r="H47" s="45">
        <v>4000000</v>
      </c>
      <c r="I47" s="45">
        <v>24000000</v>
      </c>
      <c r="J47" s="45">
        <v>21000000</v>
      </c>
      <c r="K47" s="45">
        <v>21000000</v>
      </c>
      <c r="L47" s="45">
        <v>232000000</v>
      </c>
      <c r="M47" s="45">
        <v>-96000000</v>
      </c>
      <c r="N47" s="45">
        <v>-46000000</v>
      </c>
      <c r="O47" s="45">
        <v>-7000000</v>
      </c>
      <c r="P47" s="45">
        <v>30000000</v>
      </c>
      <c r="Q47" s="45">
        <v>-5000000</v>
      </c>
      <c r="R47" s="45">
        <v>43000000</v>
      </c>
    </row>
    <row r="48" spans="1:18">
      <c r="A48" t="s">
        <v>452</v>
      </c>
      <c r="N48">
        <v>0</v>
      </c>
      <c r="O48" s="45">
        <v>27000000</v>
      </c>
      <c r="P48">
        <v>0</v>
      </c>
      <c r="Q48" s="45">
        <v>139000000</v>
      </c>
      <c r="R48" s="45">
        <v>7000000</v>
      </c>
    </row>
    <row r="49" spans="1:18">
      <c r="A49" t="s">
        <v>453</v>
      </c>
      <c r="B49" s="45">
        <v>-1267000000</v>
      </c>
      <c r="C49" s="45">
        <v>-1106000000</v>
      </c>
      <c r="D49" s="45">
        <v>1288000000</v>
      </c>
      <c r="E49" s="45">
        <v>1525000000</v>
      </c>
      <c r="F49" s="45">
        <v>-541000000</v>
      </c>
      <c r="G49" s="45">
        <v>-850000000</v>
      </c>
      <c r="H49" s="45">
        <v>-858000000</v>
      </c>
      <c r="I49" s="45">
        <v>-96000000</v>
      </c>
      <c r="J49" s="45">
        <v>-715000000</v>
      </c>
      <c r="K49" s="45">
        <v>-607000000</v>
      </c>
      <c r="L49" s="45">
        <v>-264000000</v>
      </c>
      <c r="M49" s="45">
        <v>-124000000</v>
      </c>
      <c r="N49" s="45">
        <v>56000000</v>
      </c>
      <c r="O49" s="45">
        <v>-39000000</v>
      </c>
      <c r="P49" s="45">
        <v>1056000000</v>
      </c>
      <c r="Q49" s="45">
        <v>-20000000</v>
      </c>
      <c r="R49" s="45">
        <v>-374000000</v>
      </c>
    </row>
    <row r="50" spans="1:18">
      <c r="A50" t="s">
        <v>454</v>
      </c>
      <c r="B50" s="45">
        <v>-1267000000</v>
      </c>
      <c r="C50" s="45">
        <v>-1106000000</v>
      </c>
      <c r="D50" s="45">
        <v>1288000000</v>
      </c>
      <c r="E50" s="45">
        <v>1525000000</v>
      </c>
      <c r="F50" s="45">
        <v>-541000000</v>
      </c>
      <c r="G50" s="45">
        <v>-850000000</v>
      </c>
      <c r="H50" s="45">
        <v>-858000000</v>
      </c>
      <c r="I50" s="45">
        <v>-96000000</v>
      </c>
      <c r="J50" s="45">
        <v>-715000000</v>
      </c>
      <c r="K50" s="45">
        <v>-607000000</v>
      </c>
      <c r="L50" s="45">
        <v>-264000000</v>
      </c>
      <c r="M50" s="45">
        <v>-124000000</v>
      </c>
      <c r="N50" s="45">
        <v>56000000</v>
      </c>
      <c r="O50" s="45">
        <v>-39000000</v>
      </c>
      <c r="P50" s="45">
        <v>1056000000</v>
      </c>
      <c r="Q50" s="45">
        <v>-20000000</v>
      </c>
      <c r="R50" s="45">
        <v>-374000000</v>
      </c>
    </row>
    <row r="51" spans="1:18">
      <c r="A51" t="s">
        <v>455</v>
      </c>
      <c r="B51" s="45">
        <v>-757000000</v>
      </c>
      <c r="C51" s="45">
        <v>-711000000</v>
      </c>
      <c r="D51" s="45">
        <v>731000000</v>
      </c>
      <c r="E51" s="45">
        <v>1629000000</v>
      </c>
      <c r="F51" s="45">
        <v>-9000000</v>
      </c>
      <c r="G51" s="45">
        <v>185000000</v>
      </c>
      <c r="H51" s="45">
        <v>-112000000</v>
      </c>
      <c r="I51" s="45">
        <v>182000000</v>
      </c>
      <c r="J51" s="45">
        <v>7000000</v>
      </c>
      <c r="K51" s="45">
        <v>-150000000</v>
      </c>
      <c r="L51" s="45">
        <v>17000000</v>
      </c>
      <c r="M51" s="45">
        <v>10000000</v>
      </c>
      <c r="N51" s="45">
        <v>465000000</v>
      </c>
      <c r="O51" s="45">
        <v>-39000000</v>
      </c>
      <c r="P51" s="45">
        <v>-389000000</v>
      </c>
      <c r="Q51" s="45">
        <v>6000000</v>
      </c>
      <c r="R51" s="45">
        <v>228000000</v>
      </c>
    </row>
    <row r="52" spans="1:18">
      <c r="A52" t="s">
        <v>456</v>
      </c>
      <c r="B52" s="45">
        <v>-757000000</v>
      </c>
      <c r="C52" s="45">
        <v>-711000000</v>
      </c>
      <c r="D52" s="45">
        <v>731000000</v>
      </c>
      <c r="E52" s="45">
        <v>1629000000</v>
      </c>
      <c r="F52" s="45">
        <v>-9000000</v>
      </c>
      <c r="G52" s="45">
        <v>185000000</v>
      </c>
      <c r="H52" s="45">
        <v>-112000000</v>
      </c>
      <c r="I52" s="45">
        <v>182000000</v>
      </c>
      <c r="J52" s="45">
        <v>7000000</v>
      </c>
      <c r="K52" s="45">
        <v>-150000000</v>
      </c>
      <c r="L52" s="45">
        <v>17000000</v>
      </c>
      <c r="M52" s="45">
        <v>10000000</v>
      </c>
      <c r="N52" s="45">
        <v>465000000</v>
      </c>
      <c r="O52" s="45">
        <v>-39000000</v>
      </c>
      <c r="P52" s="45">
        <v>-359000000</v>
      </c>
      <c r="Q52" s="45">
        <v>-24000000</v>
      </c>
      <c r="R52" s="45">
        <v>228000000</v>
      </c>
    </row>
    <row r="53" spans="1:18">
      <c r="A53" t="s">
        <v>457</v>
      </c>
      <c r="B53" s="45">
        <v>596000000</v>
      </c>
      <c r="C53">
        <v>0</v>
      </c>
      <c r="D53" s="45">
        <v>1949000000</v>
      </c>
      <c r="E53" s="45">
        <v>2035000000</v>
      </c>
      <c r="F53" s="45">
        <v>400000000</v>
      </c>
      <c r="G53" s="45">
        <v>416000000</v>
      </c>
      <c r="H53" s="45">
        <v>670000000</v>
      </c>
      <c r="I53" s="45">
        <v>620000000</v>
      </c>
      <c r="J53" s="45">
        <v>12000000</v>
      </c>
      <c r="K53" s="45">
        <v>249000000</v>
      </c>
      <c r="L53" s="45">
        <v>385000000</v>
      </c>
      <c r="M53" s="45">
        <v>10000000</v>
      </c>
      <c r="N53" s="45">
        <v>519000000</v>
      </c>
      <c r="O53">
        <v>0</v>
      </c>
      <c r="P53" s="45">
        <v>498000000</v>
      </c>
      <c r="Q53">
        <v>0</v>
      </c>
      <c r="R53" s="45">
        <v>1386000000</v>
      </c>
    </row>
    <row r="54" spans="1:18">
      <c r="A54" t="s">
        <v>458</v>
      </c>
      <c r="B54" s="45">
        <v>-1353000000</v>
      </c>
      <c r="C54" s="45">
        <v>-711000000</v>
      </c>
      <c r="D54" s="45">
        <v>-1218000000</v>
      </c>
      <c r="E54" s="45">
        <v>-406000000</v>
      </c>
      <c r="F54" s="45">
        <v>-409000000</v>
      </c>
      <c r="G54" s="45">
        <v>-231000000</v>
      </c>
      <c r="H54" s="45">
        <v>-782000000</v>
      </c>
      <c r="I54" s="45">
        <v>-438000000</v>
      </c>
      <c r="J54" s="45">
        <v>-5000000</v>
      </c>
      <c r="K54" s="45">
        <v>-399000000</v>
      </c>
      <c r="L54" s="45">
        <v>-368000000</v>
      </c>
      <c r="M54">
        <v>0</v>
      </c>
      <c r="N54" s="45">
        <v>-54000000</v>
      </c>
      <c r="O54" s="45">
        <v>-39000000</v>
      </c>
      <c r="P54" s="45">
        <v>-857000000</v>
      </c>
      <c r="Q54" s="45">
        <v>-24000000</v>
      </c>
      <c r="R54" s="45">
        <v>-1158000000</v>
      </c>
    </row>
    <row r="55" spans="1:18">
      <c r="A55" t="s">
        <v>459</v>
      </c>
      <c r="N55">
        <v>0</v>
      </c>
      <c r="O55">
        <v>0</v>
      </c>
      <c r="P55" s="45">
        <v>-30000000</v>
      </c>
      <c r="Q55" s="45">
        <v>30000000</v>
      </c>
    </row>
    <row r="56" spans="1:18">
      <c r="A56" t="s">
        <v>460</v>
      </c>
      <c r="N56">
        <v>0</v>
      </c>
      <c r="O56">
        <v>0</v>
      </c>
      <c r="P56" s="45">
        <v>675000000</v>
      </c>
      <c r="Q56" s="45">
        <v>175000000</v>
      </c>
    </row>
    <row r="57" spans="1:18">
      <c r="A57" t="s">
        <v>461</v>
      </c>
      <c r="N57">
        <v>0</v>
      </c>
      <c r="O57">
        <v>0</v>
      </c>
      <c r="P57" s="45">
        <v>-705000000</v>
      </c>
      <c r="Q57" s="45">
        <v>-145000000</v>
      </c>
    </row>
    <row r="58" spans="1:18">
      <c r="A58" t="s">
        <v>462</v>
      </c>
      <c r="B58" s="45">
        <v>-464000000</v>
      </c>
      <c r="C58" s="45">
        <v>-369000000</v>
      </c>
      <c r="D58" s="45">
        <v>575000000</v>
      </c>
      <c r="E58" s="45">
        <v>-69000000</v>
      </c>
      <c r="F58" s="45">
        <v>-421000000</v>
      </c>
      <c r="G58" s="45">
        <v>-946000000</v>
      </c>
      <c r="H58" s="45">
        <v>-743000000</v>
      </c>
      <c r="I58" s="45">
        <v>-272000000</v>
      </c>
      <c r="J58" s="45">
        <v>-715000000</v>
      </c>
      <c r="K58" s="45">
        <v>-443000000</v>
      </c>
      <c r="L58" s="45">
        <v>-275000000</v>
      </c>
      <c r="M58" s="45">
        <v>-136000000</v>
      </c>
      <c r="N58" s="45">
        <v>-396000000</v>
      </c>
      <c r="O58">
        <v>0</v>
      </c>
      <c r="P58" s="45">
        <v>1482000000</v>
      </c>
      <c r="R58" s="45">
        <v>-1101000000</v>
      </c>
    </row>
    <row r="59" spans="1:18">
      <c r="A59" t="s">
        <v>463</v>
      </c>
      <c r="C59">
        <v>0</v>
      </c>
      <c r="D59" s="45">
        <v>575000000</v>
      </c>
      <c r="E59">
        <v>0</v>
      </c>
      <c r="F59">
        <v>0</v>
      </c>
      <c r="N59">
        <v>0</v>
      </c>
      <c r="O59">
        <v>0</v>
      </c>
      <c r="P59" s="45">
        <v>1482000000</v>
      </c>
      <c r="Q59">
        <v>0</v>
      </c>
    </row>
    <row r="60" spans="1:18">
      <c r="A60" t="s">
        <v>464</v>
      </c>
      <c r="B60" s="45">
        <v>-464000000</v>
      </c>
      <c r="C60" s="45">
        <v>-369000000</v>
      </c>
      <c r="D60">
        <v>0</v>
      </c>
      <c r="E60" s="45">
        <v>-69000000</v>
      </c>
      <c r="F60" s="45">
        <v>-421000000</v>
      </c>
      <c r="G60" s="45">
        <v>-946000000</v>
      </c>
      <c r="H60" s="45">
        <v>-743000000</v>
      </c>
      <c r="I60" s="45">
        <v>-272000000</v>
      </c>
      <c r="J60" s="45">
        <v>-715000000</v>
      </c>
      <c r="K60" s="45">
        <v>-443000000</v>
      </c>
      <c r="L60" s="45">
        <v>-275000000</v>
      </c>
      <c r="M60" s="45">
        <v>-136000000</v>
      </c>
      <c r="N60" s="45">
        <v>-396000000</v>
      </c>
      <c r="O60">
        <v>0</v>
      </c>
      <c r="P60">
        <v>0</v>
      </c>
      <c r="Q60">
        <v>0</v>
      </c>
      <c r="R60" s="45">
        <v>-1101000000</v>
      </c>
    </row>
    <row r="61" spans="1:18">
      <c r="A61" t="s">
        <v>465</v>
      </c>
      <c r="P61">
        <v>0</v>
      </c>
      <c r="Q61">
        <v>0</v>
      </c>
      <c r="R61" s="45">
        <v>500000000</v>
      </c>
    </row>
    <row r="62" spans="1:18">
      <c r="A62" t="s">
        <v>466</v>
      </c>
      <c r="P62">
        <v>0</v>
      </c>
      <c r="Q62">
        <v>0</v>
      </c>
      <c r="R62" s="45">
        <v>500000000</v>
      </c>
    </row>
    <row r="63" spans="1:18">
      <c r="A63" t="s">
        <v>467</v>
      </c>
      <c r="B63" s="45">
        <v>-32000000</v>
      </c>
      <c r="C63">
        <v>0</v>
      </c>
      <c r="D63">
        <v>0</v>
      </c>
      <c r="E63" s="45">
        <v>-20000000</v>
      </c>
      <c r="F63" s="45">
        <v>-80000000</v>
      </c>
      <c r="G63" s="45">
        <v>-68000000</v>
      </c>
      <c r="H63">
        <v>0</v>
      </c>
      <c r="I63">
        <v>0</v>
      </c>
      <c r="P63" s="45">
        <v>-1000000</v>
      </c>
      <c r="Q63" s="45">
        <v>-2000000</v>
      </c>
      <c r="R63" s="45">
        <v>-1000000</v>
      </c>
    </row>
    <row r="64" spans="1:18">
      <c r="A64" t="s">
        <v>468</v>
      </c>
      <c r="C64">
        <v>0</v>
      </c>
      <c r="D64">
        <v>0</v>
      </c>
      <c r="E64" s="45">
        <v>-20000000</v>
      </c>
      <c r="F64" s="45">
        <v>-80000000</v>
      </c>
      <c r="G64" s="45">
        <v>-68000000</v>
      </c>
      <c r="H64">
        <v>0</v>
      </c>
      <c r="I64">
        <v>0</v>
      </c>
    </row>
    <row r="65" spans="1:18">
      <c r="A65" t="s">
        <v>469</v>
      </c>
      <c r="B65" s="45">
        <v>-14000000</v>
      </c>
      <c r="C65" s="45">
        <v>-26000000</v>
      </c>
      <c r="D65" s="45">
        <v>-18000000</v>
      </c>
      <c r="E65" s="45">
        <v>-15000000</v>
      </c>
      <c r="F65" s="45">
        <v>-31000000</v>
      </c>
      <c r="G65" s="45">
        <v>-21000000</v>
      </c>
      <c r="H65" s="45">
        <v>-3000000</v>
      </c>
      <c r="I65" s="45">
        <v>-6000000</v>
      </c>
      <c r="J65" s="45">
        <v>-7000000</v>
      </c>
      <c r="K65" s="45">
        <v>-14000000</v>
      </c>
      <c r="L65" s="45">
        <v>-6000000</v>
      </c>
      <c r="M65" s="45">
        <v>2000000</v>
      </c>
      <c r="N65" s="45">
        <v>-13000000</v>
      </c>
      <c r="P65" s="45">
        <v>-37000000</v>
      </c>
      <c r="Q65" s="45">
        <v>-24000000</v>
      </c>
    </row>
    <row r="66" spans="1:18">
      <c r="A66" t="s">
        <v>470</v>
      </c>
      <c r="M66">
        <v>0</v>
      </c>
      <c r="O66" s="45">
        <v>27000000</v>
      </c>
    </row>
    <row r="67" spans="1:18">
      <c r="A67" t="s">
        <v>471</v>
      </c>
      <c r="B67" s="45">
        <v>731000000</v>
      </c>
      <c r="C67" s="45">
        <v>1067000000</v>
      </c>
      <c r="D67" s="45">
        <v>1065000000</v>
      </c>
      <c r="E67" s="45">
        <v>1237000000</v>
      </c>
      <c r="F67" s="45">
        <v>1063000000</v>
      </c>
      <c r="G67" s="45">
        <v>622000000</v>
      </c>
      <c r="H67" s="45">
        <v>752000000</v>
      </c>
      <c r="I67" s="45">
        <v>573000000</v>
      </c>
      <c r="J67" s="45">
        <v>457000000</v>
      </c>
      <c r="K67" s="45">
        <v>685000000</v>
      </c>
      <c r="L67" s="45">
        <v>454000000</v>
      </c>
      <c r="M67" s="45">
        <v>413000000</v>
      </c>
      <c r="N67" s="45">
        <v>534000000</v>
      </c>
      <c r="O67" s="45">
        <v>1110000000</v>
      </c>
      <c r="P67" s="45">
        <v>1327000000</v>
      </c>
      <c r="Q67" s="45">
        <v>428000000</v>
      </c>
      <c r="R67" s="45">
        <v>416000000</v>
      </c>
    </row>
    <row r="68" spans="1:18">
      <c r="A68" t="s">
        <v>472</v>
      </c>
      <c r="B68" s="45">
        <v>-886000000</v>
      </c>
      <c r="C68" s="45">
        <v>-16000000</v>
      </c>
      <c r="D68" s="45">
        <v>-169000000</v>
      </c>
      <c r="E68" s="45">
        <v>178000000</v>
      </c>
      <c r="F68" s="45">
        <v>440000000</v>
      </c>
      <c r="G68" s="45">
        <v>-135000000</v>
      </c>
      <c r="H68" s="45">
        <v>186000000</v>
      </c>
      <c r="I68" s="45">
        <v>-6000000</v>
      </c>
      <c r="J68" s="45">
        <v>-224000000</v>
      </c>
      <c r="K68" s="45">
        <v>239000000</v>
      </c>
      <c r="L68" s="45">
        <v>45000000</v>
      </c>
      <c r="M68" s="45">
        <v>-114000000</v>
      </c>
      <c r="N68" s="45">
        <v>-566000000</v>
      </c>
      <c r="O68" s="45">
        <v>-225000000</v>
      </c>
      <c r="P68" s="45">
        <v>905000000</v>
      </c>
      <c r="Q68" s="45">
        <v>-13000000</v>
      </c>
      <c r="R68" s="45">
        <v>-377000000</v>
      </c>
    </row>
    <row r="69" spans="1:18">
      <c r="A69" t="s">
        <v>473</v>
      </c>
      <c r="B69" s="45">
        <v>-13000000</v>
      </c>
      <c r="C69" s="45">
        <v>18000000</v>
      </c>
      <c r="D69" s="45">
        <v>-3000000</v>
      </c>
      <c r="E69" s="45">
        <v>-4000000</v>
      </c>
      <c r="F69" s="45">
        <v>1000000</v>
      </c>
      <c r="G69" s="45">
        <v>5000000</v>
      </c>
      <c r="H69" s="45">
        <v>-7000000</v>
      </c>
      <c r="I69" s="45">
        <v>12000000</v>
      </c>
      <c r="J69" s="45">
        <v>-4000000</v>
      </c>
      <c r="K69" s="45">
        <v>-8000000</v>
      </c>
      <c r="L69" s="45">
        <v>-4000000</v>
      </c>
      <c r="M69" s="45">
        <v>-7000000</v>
      </c>
      <c r="N69" s="45">
        <v>-10000000</v>
      </c>
      <c r="O69" s="45">
        <v>8000000</v>
      </c>
      <c r="P69" s="45">
        <v>-6000000</v>
      </c>
      <c r="Q69" s="45">
        <v>25000000</v>
      </c>
      <c r="R69" s="45">
        <v>-14000000</v>
      </c>
    </row>
    <row r="70" spans="1:18">
      <c r="A70" t="s">
        <v>474</v>
      </c>
      <c r="B70" s="45">
        <v>1617000000</v>
      </c>
      <c r="C70" s="45">
        <v>1065000000</v>
      </c>
      <c r="D70" s="45">
        <v>1237000000</v>
      </c>
      <c r="E70" s="45">
        <v>1063000000</v>
      </c>
      <c r="F70" s="45">
        <v>622000000</v>
      </c>
      <c r="G70" s="45">
        <v>752000000</v>
      </c>
      <c r="H70" s="45">
        <v>573000000</v>
      </c>
      <c r="I70" s="45">
        <v>567000000</v>
      </c>
      <c r="J70" s="45">
        <v>685000000</v>
      </c>
      <c r="K70" s="45">
        <v>454000000</v>
      </c>
      <c r="L70" s="45">
        <v>413000000</v>
      </c>
      <c r="M70" s="45">
        <v>534000000</v>
      </c>
      <c r="N70" s="45">
        <v>1110000000</v>
      </c>
      <c r="O70" s="45">
        <v>1327000000</v>
      </c>
      <c r="P70" s="45">
        <v>428000000</v>
      </c>
      <c r="Q70" s="45">
        <v>416000000</v>
      </c>
      <c r="R70" s="45">
        <v>807000000</v>
      </c>
    </row>
    <row r="71" spans="1:18">
      <c r="A71" t="s">
        <v>475</v>
      </c>
      <c r="C71" s="45">
        <v>101000000</v>
      </c>
      <c r="E71" s="45">
        <v>63000000</v>
      </c>
      <c r="F71" s="45">
        <v>175000000</v>
      </c>
      <c r="G71" s="45">
        <v>292000000</v>
      </c>
      <c r="H71" s="45">
        <v>175000000</v>
      </c>
      <c r="I71" s="45">
        <v>95000000</v>
      </c>
      <c r="J71" s="45">
        <v>145000000</v>
      </c>
      <c r="K71" s="45">
        <v>267000000</v>
      </c>
      <c r="L71" s="45">
        <v>119000000</v>
      </c>
      <c r="M71" s="45">
        <v>50000000</v>
      </c>
      <c r="N71" s="45">
        <v>60000000</v>
      </c>
      <c r="O71" s="45">
        <v>63000000</v>
      </c>
      <c r="P71" s="45">
        <v>60000000</v>
      </c>
      <c r="Q71" s="45">
        <v>198000000</v>
      </c>
    </row>
    <row r="72" spans="1:18">
      <c r="A72" t="s">
        <v>476</v>
      </c>
      <c r="C72" s="45">
        <v>138000000</v>
      </c>
      <c r="D72" s="45">
        <v>145000000</v>
      </c>
      <c r="E72" s="45">
        <v>105000000</v>
      </c>
      <c r="F72" s="45">
        <v>79000000</v>
      </c>
      <c r="G72" s="45">
        <v>73000000</v>
      </c>
      <c r="H72" s="45">
        <v>80000000</v>
      </c>
      <c r="I72" s="45">
        <v>75000000</v>
      </c>
      <c r="J72" s="45">
        <v>69000000</v>
      </c>
      <c r="K72" s="45">
        <v>71000000</v>
      </c>
      <c r="L72" s="45">
        <v>66000000</v>
      </c>
      <c r="M72" s="45">
        <v>68000000</v>
      </c>
      <c r="N72" s="45">
        <v>49000000</v>
      </c>
      <c r="O72" s="45">
        <v>57000000</v>
      </c>
      <c r="P72" s="45">
        <v>50000000</v>
      </c>
      <c r="Q72" s="45">
        <v>62000000</v>
      </c>
    </row>
    <row r="73" spans="1:18">
      <c r="A73" t="s">
        <v>477</v>
      </c>
      <c r="B73" s="45">
        <v>-203000000</v>
      </c>
      <c r="C73" s="45">
        <v>-201000000</v>
      </c>
      <c r="D73" s="45">
        <v>-111000000</v>
      </c>
      <c r="E73" s="45">
        <v>-122000000</v>
      </c>
      <c r="F73" s="45">
        <v>-369000000</v>
      </c>
      <c r="G73" s="45">
        <v>-297000000</v>
      </c>
      <c r="H73" s="45">
        <v>-298000000</v>
      </c>
      <c r="I73" s="45">
        <v>-211000000</v>
      </c>
      <c r="J73" s="45">
        <v>-269000000</v>
      </c>
      <c r="K73" s="45">
        <v>-253000000</v>
      </c>
      <c r="L73" s="45">
        <v>-232000000</v>
      </c>
      <c r="M73" s="45">
        <v>-301000000</v>
      </c>
      <c r="N73" s="45">
        <v>-331000000</v>
      </c>
      <c r="O73" s="45">
        <v>-310000000</v>
      </c>
      <c r="P73" s="45">
        <v>-325000000</v>
      </c>
      <c r="Q73" s="45">
        <v>-286000000</v>
      </c>
      <c r="R73" s="45">
        <v>-617000000</v>
      </c>
    </row>
    <row r="74" spans="1:18">
      <c r="A74" t="s">
        <v>478</v>
      </c>
      <c r="C74">
        <v>0</v>
      </c>
      <c r="D74" s="45">
        <v>575000000</v>
      </c>
      <c r="E74">
        <v>0</v>
      </c>
      <c r="F74">
        <v>0</v>
      </c>
      <c r="N74">
        <v>0</v>
      </c>
      <c r="O74">
        <v>0</v>
      </c>
      <c r="P74" s="45">
        <v>1482000000</v>
      </c>
      <c r="Q74">
        <v>0</v>
      </c>
      <c r="R74" s="45">
        <v>500000000</v>
      </c>
    </row>
    <row r="75" spans="1:18">
      <c r="A75" t="s">
        <v>479</v>
      </c>
      <c r="B75" s="45">
        <v>596000000</v>
      </c>
      <c r="C75">
        <v>0</v>
      </c>
      <c r="D75" s="45">
        <v>1949000000</v>
      </c>
      <c r="E75" s="45">
        <v>2035000000</v>
      </c>
      <c r="F75" s="45">
        <v>400000000</v>
      </c>
      <c r="G75" s="45">
        <v>416000000</v>
      </c>
      <c r="H75" s="45">
        <v>670000000</v>
      </c>
      <c r="I75" s="45">
        <v>620000000</v>
      </c>
      <c r="J75" s="45">
        <v>12000000</v>
      </c>
      <c r="K75" s="45">
        <v>249000000</v>
      </c>
      <c r="L75" s="45">
        <v>385000000</v>
      </c>
      <c r="M75" s="45">
        <v>10000000</v>
      </c>
      <c r="N75" s="45">
        <v>519000000</v>
      </c>
      <c r="O75">
        <v>0</v>
      </c>
      <c r="P75" s="45">
        <v>1173000000</v>
      </c>
      <c r="Q75" s="45">
        <v>175000000</v>
      </c>
      <c r="R75" s="45">
        <v>1386000000</v>
      </c>
    </row>
    <row r="76" spans="1:18">
      <c r="A76" t="s">
        <v>480</v>
      </c>
      <c r="B76" s="45">
        <v>-1353000000</v>
      </c>
      <c r="C76" s="45">
        <v>-711000000</v>
      </c>
      <c r="D76" s="45">
        <v>-1218000000</v>
      </c>
      <c r="E76" s="45">
        <v>-406000000</v>
      </c>
      <c r="F76" s="45">
        <v>-409000000</v>
      </c>
      <c r="G76" s="45">
        <v>-231000000</v>
      </c>
      <c r="H76" s="45">
        <v>-782000000</v>
      </c>
      <c r="I76" s="45">
        <v>-438000000</v>
      </c>
      <c r="J76" s="45">
        <v>-5000000</v>
      </c>
      <c r="K76" s="45">
        <v>-399000000</v>
      </c>
      <c r="L76" s="45">
        <v>-368000000</v>
      </c>
      <c r="M76">
        <v>0</v>
      </c>
      <c r="N76" s="45">
        <v>-54000000</v>
      </c>
      <c r="O76" s="45">
        <v>-39000000</v>
      </c>
      <c r="P76" s="45">
        <v>-1562000000</v>
      </c>
      <c r="Q76" s="45">
        <v>-169000000</v>
      </c>
      <c r="R76" s="45">
        <v>-1158000000</v>
      </c>
    </row>
    <row r="77" spans="1:18">
      <c r="A77" t="s">
        <v>481</v>
      </c>
      <c r="B77" s="45">
        <v>-464000000</v>
      </c>
      <c r="C77" s="45">
        <v>-369000000</v>
      </c>
      <c r="D77">
        <v>0</v>
      </c>
      <c r="E77" s="45">
        <v>-69000000</v>
      </c>
      <c r="F77" s="45">
        <v>-421000000</v>
      </c>
      <c r="G77" s="45">
        <v>-946000000</v>
      </c>
      <c r="H77" s="45">
        <v>-743000000</v>
      </c>
      <c r="I77" s="45">
        <v>-272000000</v>
      </c>
      <c r="J77" s="45">
        <v>-715000000</v>
      </c>
      <c r="K77" s="45">
        <v>-443000000</v>
      </c>
      <c r="L77" s="45">
        <v>-275000000</v>
      </c>
      <c r="M77" s="45">
        <v>-136000000</v>
      </c>
      <c r="N77" s="45">
        <v>-396000000</v>
      </c>
      <c r="O77">
        <v>0</v>
      </c>
      <c r="P77">
        <v>0</v>
      </c>
      <c r="Q77">
        <v>0</v>
      </c>
      <c r="R77" s="45">
        <v>-1101000000</v>
      </c>
    </row>
    <row r="78" spans="1:18">
      <c r="A78" t="s">
        <v>482</v>
      </c>
      <c r="B78" s="45">
        <v>494000000</v>
      </c>
      <c r="C78" s="45">
        <v>473000000</v>
      </c>
      <c r="D78" s="45">
        <v>204000000</v>
      </c>
      <c r="E78" s="45">
        <v>-733000000</v>
      </c>
      <c r="F78" s="45">
        <v>27000000</v>
      </c>
      <c r="G78" s="45">
        <v>44000000</v>
      </c>
      <c r="H78" s="45">
        <v>289000000</v>
      </c>
      <c r="I78" s="45">
        <v>251000000</v>
      </c>
      <c r="J78" s="45">
        <v>269000000</v>
      </c>
      <c r="K78" s="45">
        <v>220000000</v>
      </c>
      <c r="L78" s="45">
        <v>224000000</v>
      </c>
      <c r="M78" s="45">
        <v>198000000</v>
      </c>
      <c r="N78" s="45">
        <v>62000000</v>
      </c>
      <c r="O78" s="45">
        <v>140000000</v>
      </c>
      <c r="P78" s="45">
        <v>-49000000</v>
      </c>
      <c r="Q78" s="45">
        <v>5000000</v>
      </c>
      <c r="R78" s="45">
        <v>-231000000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Historical Analysis</vt:lpstr>
      <vt:lpstr>Projections</vt:lpstr>
      <vt:lpstr>Valuation Analysis</vt:lpstr>
      <vt:lpstr>Technical Analysis</vt:lpstr>
      <vt:lpstr>Yahoo Input Val</vt:lpstr>
      <vt:lpstr>S&amp;P ETF Yahoo</vt:lpstr>
      <vt:lpstr>Income Stat Yahoo Input</vt:lpstr>
      <vt:lpstr>Balance Sheet Yahoo Input</vt:lpstr>
      <vt:lpstr>Cash Flow Yahoo Input</vt:lpstr>
      <vt:lpstr>Stock Historical Yahoo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2020-10-05T00:37:32Z</dcterms:created>
  <dcterms:modified xsi:type="dcterms:W3CDTF">2024-02-20T21:53:50Z</dcterms:modified>
</cp:coreProperties>
</file>