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eton Hall/"/>
    </mc:Choice>
  </mc:AlternateContent>
  <bookViews>
    <workbookView xWindow="0" yWindow="0" windowWidth="18525" windowHeight="7515" activeTab="3"/>
  </bookViews>
  <sheets>
    <sheet name="FRA VAL &amp; PRICE" sheetId="1" r:id="rId1"/>
    <sheet name="HEDGING W FRAs" sheetId="2" r:id="rId2"/>
    <sheet name="SWAPTION" sheetId="3" r:id="rId3"/>
    <sheet name="FORWARD SWAPS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H11" i="4"/>
  <c r="G5" i="4"/>
  <c r="G6" i="4"/>
  <c r="G7" i="4"/>
  <c r="G8" i="4"/>
  <c r="G4" i="4"/>
  <c r="F4" i="4"/>
  <c r="D4" i="4"/>
  <c r="B5" i="4"/>
  <c r="B6" i="4" s="1"/>
  <c r="B7" i="4" s="1"/>
  <c r="B8" i="4" s="1"/>
  <c r="D8" i="4" s="1"/>
  <c r="D16" i="3"/>
  <c r="D15" i="3"/>
  <c r="D12" i="3"/>
  <c r="D5" i="3"/>
  <c r="E5" i="3" s="1"/>
  <c r="B6" i="3"/>
  <c r="D6" i="3" s="1"/>
  <c r="D7" i="4" l="1"/>
  <c r="D6" i="4"/>
  <c r="F7" i="4"/>
  <c r="J5" i="4" s="1"/>
  <c r="J10" i="4" s="1"/>
  <c r="D5" i="4"/>
  <c r="F6" i="4"/>
  <c r="I5" i="4" s="1"/>
  <c r="I10" i="4" s="1"/>
  <c r="F8" i="4"/>
  <c r="F5" i="4"/>
  <c r="E6" i="3"/>
  <c r="B7" i="3"/>
  <c r="D7" i="3" s="1"/>
  <c r="E7" i="3" s="1"/>
  <c r="D10" i="3" s="1"/>
  <c r="B17" i="2"/>
  <c r="C17" i="2" s="1"/>
  <c r="D17" i="2" s="1"/>
  <c r="E17" i="2"/>
  <c r="B18" i="2"/>
  <c r="C18" i="2" s="1"/>
  <c r="D18" i="2" s="1"/>
  <c r="C10" i="2"/>
  <c r="C11" i="2"/>
  <c r="C12" i="2"/>
  <c r="C13" i="2"/>
  <c r="D13" i="2" s="1"/>
  <c r="C14" i="2"/>
  <c r="C15" i="2"/>
  <c r="C16" i="2"/>
  <c r="C9" i="2"/>
  <c r="D9" i="2" s="1"/>
  <c r="E16" i="2"/>
  <c r="H16" i="2" s="1"/>
  <c r="D16" i="2"/>
  <c r="E15" i="2"/>
  <c r="D15" i="2"/>
  <c r="E14" i="2"/>
  <c r="H14" i="2" s="1"/>
  <c r="D14" i="2"/>
  <c r="E13" i="2"/>
  <c r="E12" i="2"/>
  <c r="H12" i="2" s="1"/>
  <c r="D12" i="2"/>
  <c r="E11" i="2"/>
  <c r="D11" i="2"/>
  <c r="E10" i="2"/>
  <c r="H10" i="2" s="1"/>
  <c r="D10" i="2"/>
  <c r="E9" i="2"/>
  <c r="B11" i="2"/>
  <c r="B12" i="2" s="1"/>
  <c r="B13" i="2" s="1"/>
  <c r="B14" i="2" s="1"/>
  <c r="B15" i="2" s="1"/>
  <c r="B16" i="2" s="1"/>
  <c r="B10" i="2"/>
  <c r="F23" i="1"/>
  <c r="E28" i="1" s="1"/>
  <c r="E30" i="1" s="1"/>
  <c r="D28" i="1"/>
  <c r="E29" i="1"/>
  <c r="D16" i="1"/>
  <c r="D15" i="1"/>
  <c r="E23" i="1"/>
  <c r="D23" i="1"/>
  <c r="D11" i="1"/>
  <c r="K5" i="4" l="1"/>
  <c r="K10" i="4" s="1"/>
  <c r="F17" i="2"/>
  <c r="G17" i="2" s="1"/>
  <c r="E18" i="2"/>
  <c r="H17" i="2"/>
  <c r="B19" i="2"/>
  <c r="F9" i="2"/>
  <c r="G9" i="2" s="1"/>
  <c r="F11" i="2"/>
  <c r="G11" i="2" s="1"/>
  <c r="F13" i="2"/>
  <c r="G13" i="2" s="1"/>
  <c r="F15" i="2"/>
  <c r="G15" i="2" s="1"/>
  <c r="H9" i="2"/>
  <c r="F10" i="2"/>
  <c r="G10" i="2" s="1"/>
  <c r="H11" i="2"/>
  <c r="F12" i="2"/>
  <c r="G12" i="2" s="1"/>
  <c r="H13" i="2"/>
  <c r="F14" i="2"/>
  <c r="G14" i="2" s="1"/>
  <c r="H15" i="2"/>
  <c r="F16" i="2"/>
  <c r="G16" i="2" s="1"/>
  <c r="G28" i="1"/>
  <c r="B20" i="2" l="1"/>
  <c r="C19" i="2"/>
  <c r="D19" i="2" s="1"/>
  <c r="E19" i="2"/>
  <c r="H19" i="2" s="1"/>
  <c r="F18" i="2"/>
  <c r="G18" i="2" s="1"/>
  <c r="H18" i="2"/>
  <c r="F19" i="2" l="1"/>
  <c r="G19" i="2" s="1"/>
  <c r="B21" i="2"/>
  <c r="E20" i="2"/>
  <c r="H20" i="2" s="1"/>
  <c r="C20" i="2"/>
  <c r="D20" i="2" s="1"/>
  <c r="F20" i="2" s="1"/>
  <c r="G20" i="2" s="1"/>
  <c r="B22" i="2" l="1"/>
  <c r="C21" i="2"/>
  <c r="D21" i="2" s="1"/>
  <c r="F21" i="2" s="1"/>
  <c r="G21" i="2" s="1"/>
  <c r="E21" i="2"/>
  <c r="H21" i="2" s="1"/>
  <c r="B23" i="2" l="1"/>
  <c r="C22" i="2"/>
  <c r="D22" i="2" s="1"/>
  <c r="E22" i="2"/>
  <c r="H22" i="2" s="1"/>
  <c r="F22" i="2" l="1"/>
  <c r="G22" i="2" s="1"/>
  <c r="B24" i="2"/>
  <c r="E23" i="2"/>
  <c r="H23" i="2" s="1"/>
  <c r="C23" i="2"/>
  <c r="D23" i="2" s="1"/>
  <c r="F23" i="2" s="1"/>
  <c r="G23" i="2" s="1"/>
  <c r="C24" i="2" l="1"/>
  <c r="D24" i="2" s="1"/>
  <c r="F24" i="2" s="1"/>
  <c r="G24" i="2" s="1"/>
  <c r="E24" i="2"/>
  <c r="H24" i="2" s="1"/>
  <c r="B25" i="2"/>
  <c r="E25" i="2" l="1"/>
  <c r="H25" i="2" s="1"/>
  <c r="C25" i="2"/>
  <c r="D25" i="2" s="1"/>
  <c r="F25" i="2" l="1"/>
  <c r="G25" i="2" s="1"/>
</calcChain>
</file>

<file path=xl/sharedStrings.xml><?xml version="1.0" encoding="utf-8"?>
<sst xmlns="http://schemas.openxmlformats.org/spreadsheetml/2006/main" count="91" uniqueCount="80">
  <si>
    <t>PRICING AND VALUATION OF FORWARD RATE AGREEMENTS</t>
  </si>
  <si>
    <t>INPUT:</t>
  </si>
  <si>
    <t xml:space="preserve"> Symbol</t>
  </si>
  <si>
    <t>h</t>
  </si>
  <si>
    <t>m</t>
  </si>
  <si>
    <t>days</t>
  </si>
  <si>
    <t>Description</t>
  </si>
  <si>
    <t>L(m+h)</t>
  </si>
  <si>
    <t>m+h</t>
  </si>
  <si>
    <t>OUTPUT</t>
  </si>
  <si>
    <t>Finding Forward Rate</t>
  </si>
  <si>
    <t>F</t>
  </si>
  <si>
    <t>L(h)</t>
  </si>
  <si>
    <t>Basis</t>
  </si>
  <si>
    <t>STEP 2 (valuing FRA durinng its life)</t>
  </si>
  <si>
    <t>STEP 1 (solving for the rate of FRA):</t>
  </si>
  <si>
    <t>Notional Amount</t>
  </si>
  <si>
    <t>Days into its life</t>
  </si>
  <si>
    <t>g</t>
  </si>
  <si>
    <t>Days remaining (h-g)</t>
  </si>
  <si>
    <t>h-g</t>
  </si>
  <si>
    <t>L(h-g)</t>
  </si>
  <si>
    <t>L(h+m-g)</t>
  </si>
  <si>
    <t>Days of Reference + Remaining</t>
  </si>
  <si>
    <t>LIBOR (Referance Days)</t>
  </si>
  <si>
    <t>LIBOR (Days FRA exp)</t>
  </si>
  <si>
    <t>h+m-g</t>
  </si>
  <si>
    <t>VFRA</t>
  </si>
  <si>
    <t>Numer (N)</t>
  </si>
  <si>
    <t>Denom (D)</t>
  </si>
  <si>
    <t>1+(Lb*((m+h)/360)</t>
  </si>
  <si>
    <t xml:space="preserve">LIBOR (Days m+h) </t>
  </si>
  <si>
    <t>LIBOR (spot of h) lets call La</t>
  </si>
  <si>
    <t>LIBOR (spot of h+m) lets call Lb</t>
  </si>
  <si>
    <t>1+(La*(h/360)</t>
  </si>
  <si>
    <t>(N/D-1)*(360/m)</t>
  </si>
  <si>
    <t>Valying FRA</t>
  </si>
  <si>
    <t>1/(1+Lc*((h-g)/360))</t>
  </si>
  <si>
    <t>LIBOR (spot of h-g) lets call Lc</t>
  </si>
  <si>
    <t>LIBOR (spot of h+m-g) lets call Ld</t>
  </si>
  <si>
    <t>Adj for Days Remain (A)</t>
  </si>
  <si>
    <t>FRA Rate Calc</t>
  </si>
  <si>
    <t>Num =(1+(step1*(m/360)</t>
  </si>
  <si>
    <t>Dem = (1+(Ld*(h+m-g)/360)</t>
  </si>
  <si>
    <t>Formula</t>
  </si>
  <si>
    <t>N/D=</t>
  </si>
  <si>
    <t>HEDGING AN ANTICIPATED LOAN WITH A FORWARD RATE AGREEMENT</t>
  </si>
  <si>
    <t>FRA PAYOFF ON DAY 30 ($)</t>
  </si>
  <si>
    <t>LIBOR on Day 30 (%)</t>
  </si>
  <si>
    <t>FRA PAYOFF COMPOUND TO DAY 120 ($)</t>
  </si>
  <si>
    <t>AMOUNT DUE ON LOAN ON DAY 120 ($)</t>
  </si>
  <si>
    <t>TOTAL AMOUNT PAID ON DAY 120 ($)</t>
  </si>
  <si>
    <t>EFFECTIVE RATE WITHOUT FRA (%)</t>
  </si>
  <si>
    <t>Nominal Value=</t>
  </si>
  <si>
    <t>Spread =</t>
  </si>
  <si>
    <t>EFFECTIVE RATE ON LOAN (%) based on 365 days</t>
  </si>
  <si>
    <t>Cur. LIBOR=</t>
  </si>
  <si>
    <t>SWAPTIONS</t>
  </si>
  <si>
    <t>Rate</t>
  </si>
  <si>
    <t>Discount Bond Price</t>
  </si>
  <si>
    <t>Term
Days</t>
  </si>
  <si>
    <t>R</t>
  </si>
  <si>
    <t>Exercise Rate (X) =</t>
  </si>
  <si>
    <t>3 Year Swap R =</t>
  </si>
  <si>
    <t>Swap to pay and receive LIBOR</t>
  </si>
  <si>
    <t>Swap to pay LIBOR and receive</t>
  </si>
  <si>
    <t>The Net Effect =</t>
  </si>
  <si>
    <t>Payments</t>
  </si>
  <si>
    <t>per year</t>
  </si>
  <si>
    <t>PV Payments</t>
  </si>
  <si>
    <t xml:space="preserve"> This what the Swaption is worth at Expiration</t>
  </si>
  <si>
    <t>FORWARD SWAPS</t>
  </si>
  <si>
    <t>Term
(Days)</t>
  </si>
  <si>
    <t>Rate (given)</t>
  </si>
  <si>
    <t>Years</t>
  </si>
  <si>
    <t>Forwared Rate</t>
  </si>
  <si>
    <t>FORWARD SWAP - YEARS</t>
  </si>
  <si>
    <t>PV =</t>
  </si>
  <si>
    <t>Sum</t>
  </si>
  <si>
    <t>The Rate of Forward Swap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</si>
</sst>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0.000%"/>
    <numFmt numFmtId="168" formatCode="0.0000%"/>
    <numFmt numFmtId="170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quotePrefix="1" applyAlignment="1">
      <alignment horizontal="center"/>
    </xf>
    <xf numFmtId="164" fontId="0" fillId="0" borderId="0" xfId="1" applyNumberFormat="1" applyFont="1"/>
    <xf numFmtId="0" fontId="2" fillId="2" borderId="0" xfId="0" quotePrefix="1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0" fontId="2" fillId="3" borderId="0" xfId="0" applyNumberFormat="1" applyFont="1" applyFill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quotePrefix="1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/>
    </xf>
    <xf numFmtId="0" fontId="0" fillId="2" borderId="2" xfId="0" applyFill="1" applyBorder="1"/>
    <xf numFmtId="0" fontId="2" fillId="2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/>
    </xf>
    <xf numFmtId="10" fontId="0" fillId="0" borderId="0" xfId="2" quotePrefix="1" applyNumberFormat="1" applyFont="1"/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0" fillId="4" borderId="3" xfId="2" quotePrefix="1" applyNumberFormat="1" applyFont="1" applyFill="1" applyBorder="1"/>
    <xf numFmtId="44" fontId="2" fillId="4" borderId="3" xfId="0" applyNumberFormat="1" applyFont="1" applyFill="1" applyBorder="1"/>
    <xf numFmtId="0" fontId="0" fillId="0" borderId="0" xfId="0" applyAlignment="1">
      <alignment horizontal="right" vertical="center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0" fontId="0" fillId="0" borderId="5" xfId="2" applyNumberFormat="1" applyFont="1" applyBorder="1"/>
    <xf numFmtId="10" fontId="0" fillId="0" borderId="5" xfId="0" applyNumberFormat="1" applyBorder="1"/>
    <xf numFmtId="164" fontId="0" fillId="0" borderId="5" xfId="1" applyNumberFormat="1" applyFont="1" applyBorder="1"/>
    <xf numFmtId="0" fontId="0" fillId="3" borderId="5" xfId="0" applyFill="1" applyBorder="1"/>
    <xf numFmtId="164" fontId="0" fillId="3" borderId="5" xfId="1" applyNumberFormat="1" applyFont="1" applyFill="1" applyBorder="1"/>
    <xf numFmtId="10" fontId="0" fillId="3" borderId="5" xfId="2" applyNumberFormat="1" applyFont="1" applyFill="1" applyBorder="1"/>
    <xf numFmtId="164" fontId="0" fillId="0" borderId="5" xfId="0" applyNumberFormat="1" applyBorder="1"/>
    <xf numFmtId="10" fontId="0" fillId="3" borderId="5" xfId="0" applyNumberFormat="1" applyFill="1" applyBorder="1"/>
    <xf numFmtId="0" fontId="6" fillId="0" borderId="0" xfId="0" applyFont="1"/>
    <xf numFmtId="0" fontId="0" fillId="0" borderId="0" xfId="0" applyAlignment="1">
      <alignment horizontal="center" wrapText="1"/>
    </xf>
    <xf numFmtId="10" fontId="0" fillId="0" borderId="0" xfId="0" applyNumberFormat="1"/>
    <xf numFmtId="0" fontId="2" fillId="2" borderId="0" xfId="0" applyFont="1" applyFill="1" applyAlignment="1">
      <alignment horizontal="center" wrapText="1"/>
    </xf>
    <xf numFmtId="166" fontId="0" fillId="0" borderId="0" xfId="2" applyNumberFormat="1" applyFont="1"/>
    <xf numFmtId="0" fontId="0" fillId="0" borderId="6" xfId="0" applyBorder="1"/>
    <xf numFmtId="0" fontId="0" fillId="0" borderId="2" xfId="0" applyBorder="1"/>
    <xf numFmtId="166" fontId="0" fillId="0" borderId="7" xfId="0" applyNumberFormat="1" applyBorder="1"/>
    <xf numFmtId="10" fontId="0" fillId="0" borderId="7" xfId="0" applyNumberFormat="1" applyBorder="1"/>
    <xf numFmtId="168" fontId="0" fillId="0" borderId="7" xfId="2" applyNumberFormat="1" applyFont="1" applyBorder="1"/>
    <xf numFmtId="170" fontId="0" fillId="0" borderId="0" xfId="3" applyNumberFormat="1" applyFon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10" fontId="0" fillId="2" borderId="0" xfId="0" applyNumberFormat="1" applyFill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0" fontId="0" fillId="5" borderId="8" xfId="0" applyFill="1" applyBorder="1"/>
    <xf numFmtId="0" fontId="0" fillId="5" borderId="9" xfId="0" applyFill="1" applyBorder="1"/>
    <xf numFmtId="0" fontId="0" fillId="5" borderId="9" xfId="0" applyFill="1" applyBorder="1" applyAlignment="1">
      <alignment horizontal="right"/>
    </xf>
    <xf numFmtId="0" fontId="0" fillId="5" borderId="10" xfId="0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opLeftCell="A26" workbookViewId="0">
      <selection activeCell="B33" sqref="B33"/>
    </sheetView>
  </sheetViews>
  <sheetFormatPr defaultRowHeight="15" x14ac:dyDescent="0.25"/>
  <cols>
    <col min="2" max="2" width="30.28515625" customWidth="1"/>
    <col min="3" max="3" width="9.140625" style="3"/>
    <col min="4" max="4" width="23.85546875" style="4" customWidth="1"/>
    <col min="5" max="5" width="24.28515625" customWidth="1"/>
    <col min="7" max="7" width="10.5703125" bestFit="1" customWidth="1"/>
  </cols>
  <sheetData>
    <row r="2" spans="2:5" ht="23.25" x14ac:dyDescent="0.35">
      <c r="B2" s="15" t="s">
        <v>0</v>
      </c>
    </row>
    <row r="4" spans="2:5" x14ac:dyDescent="0.25">
      <c r="B4" s="2" t="s">
        <v>1</v>
      </c>
    </row>
    <row r="5" spans="2:5" x14ac:dyDescent="0.25">
      <c r="B5" s="5" t="s">
        <v>6</v>
      </c>
      <c r="C5" s="6" t="s">
        <v>2</v>
      </c>
      <c r="D5" s="7"/>
      <c r="E5" s="5"/>
    </row>
    <row r="6" spans="2:5" x14ac:dyDescent="0.25">
      <c r="B6" t="s">
        <v>16</v>
      </c>
      <c r="C6"/>
      <c r="D6" s="9">
        <v>20000000</v>
      </c>
    </row>
    <row r="7" spans="2:5" x14ac:dyDescent="0.25">
      <c r="B7" s="12" t="s">
        <v>32</v>
      </c>
      <c r="C7" s="13" t="s">
        <v>12</v>
      </c>
      <c r="D7" s="14">
        <v>5.5E-2</v>
      </c>
      <c r="E7" s="12"/>
    </row>
    <row r="8" spans="2:5" x14ac:dyDescent="0.25">
      <c r="B8" t="s">
        <v>24</v>
      </c>
      <c r="C8" s="3" t="s">
        <v>4</v>
      </c>
      <c r="D8" s="4">
        <v>90</v>
      </c>
      <c r="E8" t="s">
        <v>5</v>
      </c>
    </row>
    <row r="9" spans="2:5" x14ac:dyDescent="0.25">
      <c r="B9" t="s">
        <v>25</v>
      </c>
      <c r="C9" s="3" t="s">
        <v>3</v>
      </c>
      <c r="D9" s="4">
        <v>30</v>
      </c>
      <c r="E9" t="s">
        <v>5</v>
      </c>
    </row>
    <row r="10" spans="2:5" x14ac:dyDescent="0.25">
      <c r="B10" s="12" t="s">
        <v>33</v>
      </c>
      <c r="C10" s="13" t="s">
        <v>7</v>
      </c>
      <c r="D10" s="14">
        <v>5.1400000000000001E-2</v>
      </c>
      <c r="E10" s="12"/>
    </row>
    <row r="11" spans="2:5" x14ac:dyDescent="0.25">
      <c r="B11" t="s">
        <v>31</v>
      </c>
      <c r="C11" s="8" t="s">
        <v>8</v>
      </c>
      <c r="D11" s="4">
        <f>+D9+D8</f>
        <v>120</v>
      </c>
      <c r="E11" t="s">
        <v>5</v>
      </c>
    </row>
    <row r="12" spans="2:5" x14ac:dyDescent="0.25">
      <c r="B12" t="s">
        <v>13</v>
      </c>
      <c r="D12" s="4">
        <v>360</v>
      </c>
      <c r="E12" t="s">
        <v>5</v>
      </c>
    </row>
    <row r="14" spans="2:5" x14ac:dyDescent="0.25">
      <c r="B14" t="s">
        <v>17</v>
      </c>
      <c r="C14" s="3" t="s">
        <v>18</v>
      </c>
      <c r="D14" s="4">
        <v>20</v>
      </c>
      <c r="E14" t="s">
        <v>5</v>
      </c>
    </row>
    <row r="15" spans="2:5" x14ac:dyDescent="0.25">
      <c r="B15" t="s">
        <v>19</v>
      </c>
      <c r="C15" s="8" t="s">
        <v>20</v>
      </c>
      <c r="D15" s="4">
        <f>+D9-D14</f>
        <v>10</v>
      </c>
      <c r="E15" t="s">
        <v>5</v>
      </c>
    </row>
    <row r="16" spans="2:5" x14ac:dyDescent="0.25">
      <c r="B16" t="s">
        <v>23</v>
      </c>
      <c r="C16" s="8" t="s">
        <v>26</v>
      </c>
      <c r="D16" s="4">
        <f>+D14+D8-D15</f>
        <v>100</v>
      </c>
      <c r="E16" t="s">
        <v>5</v>
      </c>
    </row>
    <row r="17" spans="2:9" x14ac:dyDescent="0.25">
      <c r="B17" s="12" t="s">
        <v>38</v>
      </c>
      <c r="C17" s="13" t="s">
        <v>21</v>
      </c>
      <c r="D17" s="14">
        <v>5.2499999999999998E-2</v>
      </c>
      <c r="E17" s="12"/>
    </row>
    <row r="18" spans="2:9" x14ac:dyDescent="0.25">
      <c r="B18" s="12" t="s">
        <v>39</v>
      </c>
      <c r="C18" s="13" t="s">
        <v>22</v>
      </c>
      <c r="D18" s="14">
        <v>5.0999999999999997E-2</v>
      </c>
      <c r="E18" s="12"/>
    </row>
    <row r="20" spans="2:9" x14ac:dyDescent="0.25">
      <c r="B20" s="1" t="s">
        <v>9</v>
      </c>
    </row>
    <row r="21" spans="2:9" x14ac:dyDescent="0.25">
      <c r="B21" s="16" t="s">
        <v>15</v>
      </c>
      <c r="C21" s="17"/>
      <c r="D21" s="18" t="s">
        <v>28</v>
      </c>
      <c r="E21" s="17" t="s">
        <v>29</v>
      </c>
      <c r="F21" s="17" t="s">
        <v>11</v>
      </c>
      <c r="G21" s="19"/>
    </row>
    <row r="22" spans="2:9" ht="15.75" thickBot="1" x14ac:dyDescent="0.3">
      <c r="B22" s="20" t="s">
        <v>44</v>
      </c>
      <c r="C22" s="21"/>
      <c r="D22" s="22" t="s">
        <v>30</v>
      </c>
      <c r="E22" s="23" t="s">
        <v>34</v>
      </c>
      <c r="F22" s="29" t="s">
        <v>35</v>
      </c>
      <c r="G22" s="24"/>
    </row>
    <row r="23" spans="2:9" ht="15.75" thickBot="1" x14ac:dyDescent="0.3">
      <c r="B23" t="s">
        <v>10</v>
      </c>
      <c r="C23" s="3" t="s">
        <v>11</v>
      </c>
      <c r="D23" s="4">
        <f>1+(D10*(D11/D12))</f>
        <v>1.0171333333333332</v>
      </c>
      <c r="E23">
        <f>1+(D7*(D9/D12))</f>
        <v>1.0045833333333334</v>
      </c>
      <c r="F23" s="30">
        <f>+((D23/E23)-1)*(D12/D8)</f>
        <v>4.997096640398091E-2</v>
      </c>
      <c r="I23" s="27"/>
    </row>
    <row r="25" spans="2:9" x14ac:dyDescent="0.25">
      <c r="B25" s="16" t="s">
        <v>14</v>
      </c>
      <c r="C25" s="17"/>
      <c r="D25" s="18" t="s">
        <v>40</v>
      </c>
      <c r="E25" s="17" t="s">
        <v>41</v>
      </c>
      <c r="F25" s="17"/>
      <c r="G25" s="17" t="s">
        <v>27</v>
      </c>
    </row>
    <row r="26" spans="2:9" x14ac:dyDescent="0.25">
      <c r="B26" s="5" t="s">
        <v>44</v>
      </c>
      <c r="C26" s="6"/>
      <c r="D26" s="10" t="s">
        <v>37</v>
      </c>
      <c r="E26" s="11" t="s">
        <v>42</v>
      </c>
      <c r="F26" s="6"/>
      <c r="G26" s="6"/>
    </row>
    <row r="27" spans="2:9" ht="15.75" thickBot="1" x14ac:dyDescent="0.3">
      <c r="B27" s="16"/>
      <c r="C27" s="17"/>
      <c r="D27" s="25"/>
      <c r="E27" s="26" t="s">
        <v>43</v>
      </c>
      <c r="F27" s="17"/>
      <c r="G27" s="28"/>
    </row>
    <row r="28" spans="2:9" ht="15.75" thickBot="1" x14ac:dyDescent="0.3">
      <c r="B28" t="s">
        <v>36</v>
      </c>
      <c r="C28" s="3" t="s">
        <v>27</v>
      </c>
      <c r="D28" s="4">
        <f>1/(1+(D17*(D15/D12)))</f>
        <v>0.99854379030580398</v>
      </c>
      <c r="E28">
        <f>1+(F23*(D8/D12))</f>
        <v>1.0124927416009952</v>
      </c>
      <c r="G28" s="31">
        <f>+(D28-E30)*D6</f>
        <v>3886.6537546278223</v>
      </c>
    </row>
    <row r="29" spans="2:9" x14ac:dyDescent="0.25">
      <c r="E29">
        <f>1+(D18*(D16/360))</f>
        <v>1.0141666666666667</v>
      </c>
    </row>
    <row r="30" spans="2:9" x14ac:dyDescent="0.25">
      <c r="D30" s="32" t="s">
        <v>45</v>
      </c>
      <c r="E30">
        <f>+E28/E29</f>
        <v>0.99834945761807259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E5" sqref="E5"/>
    </sheetView>
  </sheetViews>
  <sheetFormatPr defaultRowHeight="15" x14ac:dyDescent="0.25"/>
  <cols>
    <col min="2" max="2" width="11.42578125" customWidth="1"/>
    <col min="3" max="3" width="19.5703125" customWidth="1"/>
    <col min="4" max="4" width="15.28515625" customWidth="1"/>
    <col min="5" max="5" width="14.85546875" customWidth="1"/>
    <col min="6" max="6" width="13.28515625" customWidth="1"/>
    <col min="7" max="7" width="12.28515625" customWidth="1"/>
    <col min="8" max="8" width="13" customWidth="1"/>
  </cols>
  <sheetData>
    <row r="2" spans="2:8" ht="18.75" x14ac:dyDescent="0.3">
      <c r="B2" s="33" t="s">
        <v>46</v>
      </c>
    </row>
    <row r="3" spans="2:8" ht="12" customHeight="1" x14ac:dyDescent="0.3">
      <c r="B3" s="33"/>
    </row>
    <row r="4" spans="2:8" x14ac:dyDescent="0.25">
      <c r="B4" s="39" t="s">
        <v>53</v>
      </c>
      <c r="C4" s="40">
        <v>20000000</v>
      </c>
    </row>
    <row r="5" spans="2:8" x14ac:dyDescent="0.25">
      <c r="B5" s="39" t="s">
        <v>54</v>
      </c>
      <c r="C5" s="41">
        <v>0.01</v>
      </c>
    </row>
    <row r="6" spans="2:8" x14ac:dyDescent="0.25">
      <c r="B6" s="39" t="s">
        <v>56</v>
      </c>
      <c r="C6" s="43">
        <v>0.05</v>
      </c>
    </row>
    <row r="8" spans="2:8" s="34" customFormat="1" ht="75" x14ac:dyDescent="0.25">
      <c r="B8" s="35" t="s">
        <v>48</v>
      </c>
      <c r="C8" s="35" t="s">
        <v>47</v>
      </c>
      <c r="D8" s="35" t="s">
        <v>49</v>
      </c>
      <c r="E8" s="35" t="s">
        <v>50</v>
      </c>
      <c r="F8" s="35" t="s">
        <v>51</v>
      </c>
      <c r="G8" s="35" t="s">
        <v>55</v>
      </c>
      <c r="H8" s="35" t="s">
        <v>52</v>
      </c>
    </row>
    <row r="9" spans="2:8" x14ac:dyDescent="0.25">
      <c r="B9" s="36">
        <v>0.01</v>
      </c>
      <c r="C9" s="38">
        <f>+$C$4*(((B9-$C$6)*(90/360)/(1+(B9*(90/360)))))</f>
        <v>-199501.24688279306</v>
      </c>
      <c r="D9" s="38">
        <f t="shared" ref="D9:D16" si="0">+C9*(1+(B9*(90/360)))</f>
        <v>-200000.00000000003</v>
      </c>
      <c r="E9" s="38">
        <f t="shared" ref="E9:E16" si="1">+$C$4*((1+(B9+$C$5)*(90/360)))</f>
        <v>20099999.999999996</v>
      </c>
      <c r="F9" s="42">
        <f t="shared" ref="F9:F16" si="2">+E9-D9</f>
        <v>20299999.999999996</v>
      </c>
      <c r="G9" s="36">
        <f t="shared" ref="G9:G25" si="3">+((F9/$C$4)^(365/90))-1</f>
        <v>6.2241815502312781E-2</v>
      </c>
      <c r="H9" s="36">
        <f t="shared" ref="H9:H16" si="4">+((E9/$C$4)^(365/90))-1</f>
        <v>2.0433208844238715E-2</v>
      </c>
    </row>
    <row r="10" spans="2:8" x14ac:dyDescent="0.25">
      <c r="B10" s="37">
        <f>+B9+0.005</f>
        <v>1.4999999999999999E-2</v>
      </c>
      <c r="C10" s="38">
        <f t="shared" ref="C10:C25" si="5">+$C$4*(((B10-$C$6)*(90/360)/(1+(B10*(90/360)))))</f>
        <v>-174346.20174346206</v>
      </c>
      <c r="D10" s="38">
        <f t="shared" si="0"/>
        <v>-175000.00000000003</v>
      </c>
      <c r="E10" s="38">
        <f t="shared" si="1"/>
        <v>20125000</v>
      </c>
      <c r="F10" s="42">
        <f t="shared" si="2"/>
        <v>20300000</v>
      </c>
      <c r="G10" s="36">
        <f t="shared" si="3"/>
        <v>6.2241815502312781E-2</v>
      </c>
      <c r="H10" s="36">
        <f t="shared" si="4"/>
        <v>2.5590291173903656E-2</v>
      </c>
    </row>
    <row r="11" spans="2:8" x14ac:dyDescent="0.25">
      <c r="B11" s="37">
        <f t="shared" ref="B11:B25" si="6">+B10+0.005</f>
        <v>0.02</v>
      </c>
      <c r="C11" s="38">
        <f t="shared" si="5"/>
        <v>-149253.73134328361</v>
      </c>
      <c r="D11" s="38">
        <f t="shared" si="0"/>
        <v>-150000</v>
      </c>
      <c r="E11" s="38">
        <f t="shared" si="1"/>
        <v>20150000</v>
      </c>
      <c r="F11" s="42">
        <f t="shared" si="2"/>
        <v>20300000</v>
      </c>
      <c r="G11" s="36">
        <f t="shared" si="3"/>
        <v>6.2241815502312781E-2</v>
      </c>
      <c r="H11" s="36">
        <f t="shared" si="4"/>
        <v>3.0766985544941061E-2</v>
      </c>
    </row>
    <row r="12" spans="2:8" x14ac:dyDescent="0.25">
      <c r="B12" s="37">
        <f t="shared" si="6"/>
        <v>2.5000000000000001E-2</v>
      </c>
      <c r="C12" s="38">
        <f t="shared" si="5"/>
        <v>-124223.60248447204</v>
      </c>
      <c r="D12" s="38">
        <f t="shared" si="0"/>
        <v>-125000</v>
      </c>
      <c r="E12" s="38">
        <f t="shared" si="1"/>
        <v>20175000</v>
      </c>
      <c r="F12" s="42">
        <f t="shared" si="2"/>
        <v>20300000</v>
      </c>
      <c r="G12" s="36">
        <f t="shared" si="3"/>
        <v>6.2241815502312781E-2</v>
      </c>
      <c r="H12" s="36">
        <f t="shared" si="4"/>
        <v>3.5963342069229132E-2</v>
      </c>
    </row>
    <row r="13" spans="2:8" x14ac:dyDescent="0.25">
      <c r="B13" s="37">
        <f t="shared" si="6"/>
        <v>3.0000000000000002E-2</v>
      </c>
      <c r="C13" s="38">
        <f t="shared" si="5"/>
        <v>-99255.583126550875</v>
      </c>
      <c r="D13" s="38">
        <f t="shared" si="0"/>
        <v>-100000.00000000001</v>
      </c>
      <c r="E13" s="38">
        <f t="shared" si="1"/>
        <v>20200000</v>
      </c>
      <c r="F13" s="42">
        <f t="shared" si="2"/>
        <v>20300000</v>
      </c>
      <c r="G13" s="36">
        <f t="shared" si="3"/>
        <v>6.2241815502312781E-2</v>
      </c>
      <c r="H13" s="36">
        <f t="shared" si="4"/>
        <v>4.1179410924314874E-2</v>
      </c>
    </row>
    <row r="14" spans="2:8" x14ac:dyDescent="0.25">
      <c r="B14" s="37">
        <f t="shared" si="6"/>
        <v>3.5000000000000003E-2</v>
      </c>
      <c r="C14" s="38">
        <f t="shared" si="5"/>
        <v>-74349.442379182146</v>
      </c>
      <c r="D14" s="38">
        <f t="shared" si="0"/>
        <v>-75000</v>
      </c>
      <c r="E14" s="38">
        <f t="shared" si="1"/>
        <v>20225000</v>
      </c>
      <c r="F14" s="42">
        <f t="shared" si="2"/>
        <v>20300000</v>
      </c>
      <c r="G14" s="36">
        <f t="shared" si="3"/>
        <v>6.2241815502312781E-2</v>
      </c>
      <c r="H14" s="36">
        <f t="shared" si="4"/>
        <v>4.6415242353421426E-2</v>
      </c>
    </row>
    <row r="15" spans="2:8" x14ac:dyDescent="0.25">
      <c r="B15" s="37">
        <f t="shared" si="6"/>
        <v>0.04</v>
      </c>
      <c r="C15" s="38">
        <f t="shared" si="5"/>
        <v>-49504.950495049517</v>
      </c>
      <c r="D15" s="38">
        <f t="shared" si="0"/>
        <v>-50000.000000000015</v>
      </c>
      <c r="E15" s="38">
        <f t="shared" si="1"/>
        <v>20250000</v>
      </c>
      <c r="F15" s="42">
        <f t="shared" si="2"/>
        <v>20300000</v>
      </c>
      <c r="G15" s="36">
        <f t="shared" si="3"/>
        <v>6.2241815502312781E-2</v>
      </c>
      <c r="H15" s="36">
        <f t="shared" si="4"/>
        <v>5.1670886665450722E-2</v>
      </c>
    </row>
    <row r="16" spans="2:8" x14ac:dyDescent="0.25">
      <c r="B16" s="37">
        <f t="shared" si="6"/>
        <v>4.4999999999999998E-2</v>
      </c>
      <c r="C16" s="38">
        <f t="shared" si="5"/>
        <v>-24721.878862793597</v>
      </c>
      <c r="D16" s="38">
        <f t="shared" si="0"/>
        <v>-25000.000000000025</v>
      </c>
      <c r="E16" s="38">
        <f t="shared" si="1"/>
        <v>20275000</v>
      </c>
      <c r="F16" s="42">
        <f t="shared" si="2"/>
        <v>20300000</v>
      </c>
      <c r="G16" s="36">
        <f t="shared" si="3"/>
        <v>6.2241815502312781E-2</v>
      </c>
      <c r="H16" s="36">
        <f t="shared" si="4"/>
        <v>5.6946394234989484E-2</v>
      </c>
    </row>
    <row r="17" spans="2:8" x14ac:dyDescent="0.25">
      <c r="B17" s="37">
        <f t="shared" ref="B17:B18" si="7">+B16+0.005</f>
        <v>4.9999999999999996E-2</v>
      </c>
      <c r="C17" s="38">
        <f t="shared" si="5"/>
        <v>-3.4266142735344337E-11</v>
      </c>
      <c r="D17" s="38">
        <f t="shared" ref="D17:D18" si="8">+C17*(1+(B17*(90/360)))</f>
        <v>-3.4694469519536142E-11</v>
      </c>
      <c r="E17" s="38">
        <f t="shared" ref="E17:E18" si="9">+$C$4*((1+(B17+$C$5)*(90/360)))</f>
        <v>20299999.999999996</v>
      </c>
      <c r="F17" s="42">
        <f t="shared" ref="F17:F18" si="10">+E17-D17</f>
        <v>20299999.999999996</v>
      </c>
      <c r="G17" s="36">
        <f t="shared" si="3"/>
        <v>6.2241815502312781E-2</v>
      </c>
      <c r="H17" s="36">
        <f t="shared" ref="H17:H18" si="11">+((E17/$C$4)^(365/90))-1</f>
        <v>6.2241815502312781E-2</v>
      </c>
    </row>
    <row r="18" spans="2:8" x14ac:dyDescent="0.25">
      <c r="B18" s="37">
        <f t="shared" si="7"/>
        <v>5.4999999999999993E-2</v>
      </c>
      <c r="C18" s="38">
        <f t="shared" si="5"/>
        <v>24660.912453760746</v>
      </c>
      <c r="D18" s="38">
        <f t="shared" si="8"/>
        <v>24999.999999999953</v>
      </c>
      <c r="E18" s="38">
        <f t="shared" si="9"/>
        <v>20325000.000000004</v>
      </c>
      <c r="F18" s="42">
        <f t="shared" si="10"/>
        <v>20300000.000000004</v>
      </c>
      <c r="G18" s="36">
        <f t="shared" si="3"/>
        <v>6.2241815502313669E-2</v>
      </c>
      <c r="H18" s="36">
        <f t="shared" si="11"/>
        <v>6.7557200973390019E-2</v>
      </c>
    </row>
    <row r="19" spans="2:8" x14ac:dyDescent="0.25">
      <c r="B19" s="37">
        <f t="shared" si="6"/>
        <v>5.9999999999999991E-2</v>
      </c>
      <c r="C19" s="38">
        <f t="shared" si="5"/>
        <v>49261.083743842311</v>
      </c>
      <c r="D19" s="38">
        <f t="shared" ref="D19:D25" si="12">+C19*(1+(B19*(90/360)))</f>
        <v>49999.999999999942</v>
      </c>
      <c r="E19" s="38">
        <f t="shared" ref="E19:E25" si="13">+$C$4*((1+(B19+$C$5)*(90/360)))</f>
        <v>20350000</v>
      </c>
      <c r="F19" s="42">
        <f t="shared" ref="F19:F25" si="14">+E19-D19</f>
        <v>20300000</v>
      </c>
      <c r="G19" s="36">
        <f t="shared" si="3"/>
        <v>6.2241815502312781E-2</v>
      </c>
      <c r="H19" s="36">
        <f t="shared" ref="H19:H25" si="15">+((E19/$C$4)^(365/90))-1</f>
        <v>7.2892601219885167E-2</v>
      </c>
    </row>
    <row r="20" spans="2:8" x14ac:dyDescent="0.25">
      <c r="B20" s="37">
        <f t="shared" si="6"/>
        <v>6.4999999999999988E-2</v>
      </c>
      <c r="C20" s="38">
        <f t="shared" si="5"/>
        <v>73800.738007379987</v>
      </c>
      <c r="D20" s="38">
        <f t="shared" si="12"/>
        <v>74999.999999999913</v>
      </c>
      <c r="E20" s="38">
        <f t="shared" si="13"/>
        <v>20375000</v>
      </c>
      <c r="F20" s="42">
        <f t="shared" si="14"/>
        <v>20300000</v>
      </c>
      <c r="G20" s="36">
        <f t="shared" si="3"/>
        <v>6.2241815502312781E-2</v>
      </c>
      <c r="H20" s="36">
        <f t="shared" si="15"/>
        <v>7.8248066879167855E-2</v>
      </c>
    </row>
    <row r="21" spans="2:8" x14ac:dyDescent="0.25">
      <c r="B21" s="37">
        <f t="shared" si="6"/>
        <v>6.9999999999999993E-2</v>
      </c>
      <c r="C21" s="38">
        <f t="shared" si="5"/>
        <v>98280.098280098231</v>
      </c>
      <c r="D21" s="38">
        <f t="shared" si="12"/>
        <v>99999.999999999956</v>
      </c>
      <c r="E21" s="38">
        <f t="shared" si="13"/>
        <v>20400000</v>
      </c>
      <c r="F21" s="42">
        <f t="shared" si="14"/>
        <v>20300000</v>
      </c>
      <c r="G21" s="36">
        <f t="shared" si="3"/>
        <v>6.2241815502312781E-2</v>
      </c>
      <c r="H21" s="36">
        <f t="shared" si="15"/>
        <v>8.362364865431271E-2</v>
      </c>
    </row>
    <row r="22" spans="2:8" x14ac:dyDescent="0.25">
      <c r="B22" s="37">
        <f t="shared" si="6"/>
        <v>7.4999999999999997E-2</v>
      </c>
      <c r="C22" s="38">
        <f t="shared" si="5"/>
        <v>122699.38650306745</v>
      </c>
      <c r="D22" s="38">
        <f t="shared" si="12"/>
        <v>124999.99999999997</v>
      </c>
      <c r="E22" s="38">
        <f t="shared" si="13"/>
        <v>20425000</v>
      </c>
      <c r="F22" s="42">
        <f t="shared" si="14"/>
        <v>20300000</v>
      </c>
      <c r="G22" s="36">
        <f t="shared" si="3"/>
        <v>6.2241815502312781E-2</v>
      </c>
      <c r="H22" s="36">
        <f t="shared" si="15"/>
        <v>8.9019397314106019E-2</v>
      </c>
    </row>
    <row r="23" spans="2:8" x14ac:dyDescent="0.25">
      <c r="B23" s="37">
        <f t="shared" si="6"/>
        <v>0.08</v>
      </c>
      <c r="C23" s="38">
        <f t="shared" si="5"/>
        <v>147058.82352941178</v>
      </c>
      <c r="D23" s="38">
        <f t="shared" si="12"/>
        <v>150000.00000000003</v>
      </c>
      <c r="E23" s="38">
        <f t="shared" si="13"/>
        <v>20450000</v>
      </c>
      <c r="F23" s="42">
        <f t="shared" si="14"/>
        <v>20300000</v>
      </c>
      <c r="G23" s="36">
        <f t="shared" si="3"/>
        <v>6.2241815502312781E-2</v>
      </c>
      <c r="H23" s="36">
        <f t="shared" si="15"/>
        <v>9.4435363693049279E-2</v>
      </c>
    </row>
    <row r="24" spans="2:8" x14ac:dyDescent="0.25">
      <c r="B24" s="37">
        <f t="shared" si="6"/>
        <v>8.5000000000000006E-2</v>
      </c>
      <c r="C24" s="38">
        <f t="shared" si="5"/>
        <v>171358.62913096696</v>
      </c>
      <c r="D24" s="38">
        <f t="shared" si="12"/>
        <v>175000</v>
      </c>
      <c r="E24" s="38">
        <f t="shared" si="13"/>
        <v>20475000</v>
      </c>
      <c r="F24" s="42">
        <f t="shared" si="14"/>
        <v>20300000</v>
      </c>
      <c r="G24" s="36">
        <f t="shared" si="3"/>
        <v>6.2241815502312781E-2</v>
      </c>
      <c r="H24" s="36">
        <f t="shared" si="15"/>
        <v>9.9871598691364527E-2</v>
      </c>
    </row>
    <row r="25" spans="2:8" x14ac:dyDescent="0.25">
      <c r="B25" s="37">
        <f t="shared" si="6"/>
        <v>9.0000000000000011E-2</v>
      </c>
      <c r="C25" s="38">
        <f t="shared" si="5"/>
        <v>195599.02200489002</v>
      </c>
      <c r="D25" s="38">
        <f t="shared" si="12"/>
        <v>200000.00000000003</v>
      </c>
      <c r="E25" s="38">
        <f t="shared" si="13"/>
        <v>20500000</v>
      </c>
      <c r="F25" s="42">
        <f t="shared" si="14"/>
        <v>20300000</v>
      </c>
      <c r="G25" s="36">
        <f t="shared" si="3"/>
        <v>6.2241815502312781E-2</v>
      </c>
      <c r="H25" s="36">
        <f t="shared" si="15"/>
        <v>0.10532815327499789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K11" sqref="K11"/>
    </sheetView>
  </sheetViews>
  <sheetFormatPr defaultRowHeight="15" x14ac:dyDescent="0.25"/>
  <cols>
    <col min="3" max="3" width="11" customWidth="1"/>
    <col min="4" max="4" width="11.28515625" customWidth="1"/>
    <col min="5" max="5" width="12.7109375" customWidth="1"/>
  </cols>
  <sheetData>
    <row r="2" spans="1:5" ht="18.75" x14ac:dyDescent="0.3">
      <c r="A2" s="44"/>
      <c r="B2" s="44" t="s">
        <v>57</v>
      </c>
    </row>
    <row r="4" spans="1:5" s="45" customFormat="1" ht="30" x14ac:dyDescent="0.25">
      <c r="B4" s="47" t="s">
        <v>60</v>
      </c>
      <c r="C4" s="47" t="s">
        <v>58</v>
      </c>
      <c r="D4" s="47" t="s">
        <v>59</v>
      </c>
      <c r="E4" s="47" t="s">
        <v>61</v>
      </c>
    </row>
    <row r="5" spans="1:5" x14ac:dyDescent="0.25">
      <c r="B5">
        <v>360</v>
      </c>
      <c r="C5" s="46">
        <v>0.12</v>
      </c>
      <c r="D5">
        <f>1/(1+(C5*(B5/360)))</f>
        <v>0.89285714285714279</v>
      </c>
      <c r="E5" s="48">
        <f>+((1-D5)/SUM($D$5:D5))*360/360</f>
        <v>0.12000000000000009</v>
      </c>
    </row>
    <row r="6" spans="1:5" x14ac:dyDescent="0.25">
      <c r="B6">
        <f>+B5+360</f>
        <v>720</v>
      </c>
      <c r="C6" s="46">
        <v>0.1328</v>
      </c>
      <c r="D6">
        <f t="shared" ref="D6:D7" si="0">1/(1+(C6*(B6/360)))</f>
        <v>0.79013906447534765</v>
      </c>
      <c r="E6" s="48">
        <f>+((1-D6)/SUM($D$5:D6))*360/360</f>
        <v>0.12469483568075118</v>
      </c>
    </row>
    <row r="7" spans="1:5" x14ac:dyDescent="0.25">
      <c r="B7">
        <f>+B6+360</f>
        <v>1080</v>
      </c>
      <c r="C7" s="46">
        <v>0.14510000000000001</v>
      </c>
      <c r="D7">
        <f t="shared" si="0"/>
        <v>0.6967184560719013</v>
      </c>
      <c r="E7" s="48">
        <f>+((1-D7)/SUM($D$5:D7))*360/360</f>
        <v>0.12744449937297428</v>
      </c>
    </row>
    <row r="9" spans="1:5" x14ac:dyDescent="0.25">
      <c r="B9" s="49" t="s">
        <v>62</v>
      </c>
      <c r="C9" s="50"/>
      <c r="D9" s="52">
        <v>0.115</v>
      </c>
      <c r="E9" t="s">
        <v>64</v>
      </c>
    </row>
    <row r="10" spans="1:5" x14ac:dyDescent="0.25">
      <c r="B10" s="49" t="s">
        <v>63</v>
      </c>
      <c r="C10" s="50"/>
      <c r="D10" s="51">
        <f>+E7</f>
        <v>0.12744449937297428</v>
      </c>
      <c r="E10" t="s">
        <v>65</v>
      </c>
    </row>
    <row r="12" spans="1:5" x14ac:dyDescent="0.25">
      <c r="B12" s="49" t="s">
        <v>66</v>
      </c>
      <c r="C12" s="50"/>
      <c r="D12" s="53">
        <f>+D10-D9</f>
        <v>1.2444499372974274E-2</v>
      </c>
    </row>
    <row r="14" spans="1:5" x14ac:dyDescent="0.25">
      <c r="B14" t="s">
        <v>16</v>
      </c>
      <c r="D14" s="54">
        <v>10000000</v>
      </c>
    </row>
    <row r="15" spans="1:5" x14ac:dyDescent="0.25">
      <c r="B15" t="s">
        <v>67</v>
      </c>
      <c r="D15" s="9">
        <f>+D14*D12</f>
        <v>124444.99372974274</v>
      </c>
      <c r="E15" t="s">
        <v>68</v>
      </c>
    </row>
    <row r="16" spans="1:5" x14ac:dyDescent="0.25">
      <c r="B16" t="s">
        <v>69</v>
      </c>
      <c r="D16" s="9">
        <f>+D15*(D5+D6+D7)</f>
        <v>296143.57636593637</v>
      </c>
      <c r="E16" t="s">
        <v>70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tabSelected="1" workbookViewId="0">
      <selection activeCell="O4" sqref="O4"/>
    </sheetView>
  </sheetViews>
  <sheetFormatPr defaultRowHeight="15" x14ac:dyDescent="0.25"/>
  <cols>
    <col min="5" max="5" width="5.42578125" customWidth="1"/>
    <col min="6" max="6" width="11.140625" customWidth="1"/>
    <col min="7" max="7" width="9.140625" customWidth="1"/>
    <col min="8" max="10" width="7.5703125" customWidth="1"/>
    <col min="11" max="11" width="6.85546875" customWidth="1"/>
    <col min="12" max="12" width="7.5703125" customWidth="1"/>
  </cols>
  <sheetData>
    <row r="1" spans="2:12" ht="18.75" x14ac:dyDescent="0.3">
      <c r="B1" s="44" t="s">
        <v>71</v>
      </c>
      <c r="I1" s="58"/>
    </row>
    <row r="2" spans="2:12" x14ac:dyDescent="0.25">
      <c r="F2" s="1" t="s">
        <v>76</v>
      </c>
      <c r="G2" s="1"/>
      <c r="I2" s="58"/>
      <c r="L2" s="1"/>
    </row>
    <row r="3" spans="2:12" s="45" customFormat="1" ht="45" x14ac:dyDescent="0.25">
      <c r="B3" s="47" t="s">
        <v>72</v>
      </c>
      <c r="C3" s="47" t="s">
        <v>73</v>
      </c>
      <c r="D3" s="47" t="s">
        <v>59</v>
      </c>
      <c r="F3" s="56" t="s">
        <v>74</v>
      </c>
      <c r="G3" s="56" t="s">
        <v>75</v>
      </c>
      <c r="H3" s="56">
        <v>0</v>
      </c>
      <c r="I3" s="56">
        <v>1</v>
      </c>
      <c r="J3" s="59">
        <v>2</v>
      </c>
      <c r="K3" s="56">
        <v>3</v>
      </c>
      <c r="L3"/>
    </row>
    <row r="4" spans="2:12" x14ac:dyDescent="0.25">
      <c r="B4">
        <v>360</v>
      </c>
      <c r="C4" s="46">
        <v>0.09</v>
      </c>
      <c r="D4">
        <f>1/(1+C4*(B4/360))</f>
        <v>0.9174311926605504</v>
      </c>
      <c r="F4" s="55">
        <f>B4</f>
        <v>360</v>
      </c>
      <c r="G4" s="57">
        <f>+C4</f>
        <v>0.09</v>
      </c>
      <c r="J4" s="58"/>
    </row>
    <row r="5" spans="2:12" x14ac:dyDescent="0.25">
      <c r="B5">
        <f>+B4+360</f>
        <v>720</v>
      </c>
      <c r="C5" s="46">
        <v>0.10059999999999999</v>
      </c>
      <c r="D5">
        <f t="shared" ref="D5:D8" si="0">1/(1+C5*(B5/360))</f>
        <v>0.83250083250083251</v>
      </c>
      <c r="F5" s="55">
        <f t="shared" ref="F5:F8" si="1">B5</f>
        <v>720</v>
      </c>
      <c r="G5" s="57">
        <f t="shared" ref="G5:G8" si="2">+C5</f>
        <v>0.10059999999999999</v>
      </c>
      <c r="I5" s="58">
        <f>+((1+(G6*(F6/360)))/(1+($G$5*($F$5/360)))-1)*(360/F4)</f>
        <v>0.10797535797535796</v>
      </c>
      <c r="J5" s="58">
        <f>+((1+(G7*(F7/360)))/(1+($G$5*($F$5/360)))-1)*(360/F5)</f>
        <v>0.11605061605061606</v>
      </c>
      <c r="K5" s="58">
        <f>+((1+(G8*(F8/360)))/(1+($G$5*($F$5/360)))-1)*(360/F6)</f>
        <v>0.12384837384837384</v>
      </c>
    </row>
    <row r="6" spans="2:12" x14ac:dyDescent="0.25">
      <c r="B6">
        <f t="shared" ref="B6:B8" si="3">+B5+360</f>
        <v>1080</v>
      </c>
      <c r="C6" s="46">
        <v>0.1103</v>
      </c>
      <c r="D6">
        <f t="shared" si="0"/>
        <v>0.751371252535878</v>
      </c>
      <c r="F6" s="55">
        <f t="shared" si="1"/>
        <v>1080</v>
      </c>
      <c r="G6" s="57">
        <f t="shared" si="2"/>
        <v>0.1103</v>
      </c>
    </row>
    <row r="7" spans="2:12" x14ac:dyDescent="0.25">
      <c r="B7">
        <f t="shared" si="3"/>
        <v>1440</v>
      </c>
      <c r="C7" s="46">
        <v>0.12</v>
      </c>
      <c r="D7">
        <f t="shared" si="0"/>
        <v>0.67567567567567566</v>
      </c>
      <c r="F7" s="55">
        <f t="shared" si="1"/>
        <v>1440</v>
      </c>
      <c r="G7" s="57">
        <f t="shared" si="2"/>
        <v>0.12</v>
      </c>
    </row>
    <row r="8" spans="2:12" x14ac:dyDescent="0.25">
      <c r="B8">
        <f t="shared" si="3"/>
        <v>1800</v>
      </c>
      <c r="C8" s="46">
        <v>0.1295</v>
      </c>
      <c r="D8">
        <f t="shared" si="0"/>
        <v>0.60698027314112291</v>
      </c>
      <c r="F8" s="55">
        <f t="shared" si="1"/>
        <v>1800</v>
      </c>
      <c r="G8" s="57">
        <f t="shared" si="2"/>
        <v>0.1295</v>
      </c>
      <c r="J8" s="58"/>
    </row>
    <row r="9" spans="2:12" x14ac:dyDescent="0.25">
      <c r="J9" s="58"/>
    </row>
    <row r="10" spans="2:12" x14ac:dyDescent="0.25">
      <c r="G10" t="s">
        <v>77</v>
      </c>
      <c r="I10">
        <f>1/(1+(I5*(F4/360)))</f>
        <v>0.90254714854609663</v>
      </c>
      <c r="J10">
        <f>1/(1+(J5*(F5/360)))</f>
        <v>0.81162162162162166</v>
      </c>
      <c r="K10">
        <f>1/(1+(K5*(F6/360)))</f>
        <v>0.72910470409711681</v>
      </c>
    </row>
    <row r="11" spans="2:12" ht="15.75" thickBot="1" x14ac:dyDescent="0.3">
      <c r="G11" t="s">
        <v>78</v>
      </c>
      <c r="H11">
        <f>SUM(I10:K10)</f>
        <v>2.443273474264835</v>
      </c>
    </row>
    <row r="12" spans="2:12" ht="15.75" thickBot="1" x14ac:dyDescent="0.3">
      <c r="E12" s="60"/>
      <c r="F12" s="61"/>
      <c r="G12" s="62" t="s">
        <v>79</v>
      </c>
      <c r="H12" s="63">
        <f>+(1-K10)/H11</f>
        <v>0.11087391516186858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FRA VAL &amp; PRICE</vt:lpstr>
      <vt:lpstr>HEDGING W FRAs</vt:lpstr>
      <vt:lpstr>SWAPTION</vt:lpstr>
      <vt:lpstr>FORWARD SWAPS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2016-08-07T14:17:32Z</dcterms:created>
  <dcterms:modified xsi:type="dcterms:W3CDTF">2016-08-08T02:44:31Z</dcterms:modified>
</cp:coreProperties>
</file>