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droussch\OneDrive\Documents\School Work\COLUMBIA\Columbia Pre-Collage Program\Class Material\"/>
    </mc:Choice>
  </mc:AlternateContent>
  <xr:revisionPtr revIDLastSave="0" documentId="13_ncr:1_{D3A8757B-8BF0-4FDE-9A59-18E7BA6252D4}" xr6:coauthVersionLast="47" xr6:coauthVersionMax="47" xr10:uidLastSave="{00000000-0000-0000-0000-000000000000}"/>
  <bookViews>
    <workbookView xWindow="-16785" yWindow="-21480" windowWidth="21375" windowHeight="18390" xr2:uid="{363C986F-54BA-4181-B33C-2FF88A704DF4}"/>
  </bookViews>
  <sheets>
    <sheet name="Practice" sheetId="2" r:id="rId1"/>
    <sheet name="Hyatt" sheetId="1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8" i="2" l="1"/>
  <c r="K28" i="2"/>
  <c r="J28" i="2"/>
  <c r="I28" i="2"/>
  <c r="H28" i="2"/>
  <c r="G28" i="2"/>
  <c r="E13" i="2"/>
  <c r="D13" i="2"/>
  <c r="C13" i="2"/>
  <c r="D11" i="1"/>
  <c r="E11" i="1"/>
  <c r="C11" i="1"/>
  <c r="D8" i="1"/>
  <c r="E8" i="1"/>
  <c r="C8" i="1"/>
  <c r="E6" i="1"/>
  <c r="D6" i="1"/>
  <c r="F50" i="1"/>
  <c r="C50" i="1"/>
  <c r="C45" i="1"/>
  <c r="B45" i="1"/>
  <c r="Q44" i="1"/>
  <c r="N38" i="1" s="1"/>
  <c r="G44" i="1"/>
  <c r="C44" i="1"/>
  <c r="B44" i="1"/>
  <c r="C43" i="1"/>
  <c r="B43" i="1"/>
  <c r="C42" i="1"/>
  <c r="B42" i="1"/>
  <c r="O40" i="1"/>
  <c r="P39" i="1"/>
  <c r="P38" i="1"/>
  <c r="F38" i="1"/>
  <c r="F52" i="1" s="1"/>
  <c r="K28" i="1"/>
  <c r="J28" i="1"/>
  <c r="I28" i="1"/>
  <c r="H28" i="1"/>
  <c r="G28" i="1"/>
  <c r="C22" i="1"/>
  <c r="E23" i="1"/>
  <c r="D23" i="1"/>
  <c r="C23" i="1"/>
  <c r="G23" i="1" s="1"/>
  <c r="E22" i="1"/>
  <c r="D22" i="1"/>
  <c r="D21" i="1"/>
  <c r="C21" i="1"/>
  <c r="C13" i="1"/>
  <c r="G5" i="1"/>
  <c r="D13" i="1"/>
  <c r="B1" i="1"/>
  <c r="Q38" i="1" l="1"/>
  <c r="R38" i="1" s="1"/>
  <c r="C52" i="1"/>
  <c r="F51" i="1" s="1"/>
  <c r="F54" i="1" s="1"/>
  <c r="C46" i="1"/>
  <c r="E46" i="1" s="1"/>
  <c r="G10" i="1"/>
  <c r="H5" i="1"/>
  <c r="G18" i="1"/>
  <c r="G33" i="1" s="1"/>
  <c r="H23" i="1"/>
  <c r="G22" i="1"/>
  <c r="G8" i="1"/>
  <c r="E13" i="1"/>
  <c r="E21" i="1"/>
  <c r="G21" i="1" s="1"/>
  <c r="N46" i="1" l="1"/>
  <c r="G37" i="1"/>
  <c r="C54" i="1"/>
  <c r="G7" i="1"/>
  <c r="G13" i="1" s="1"/>
  <c r="H8" i="1"/>
  <c r="G16" i="1"/>
  <c r="G31" i="1" s="1"/>
  <c r="H21" i="1"/>
  <c r="H22" i="1"/>
  <c r="G17" i="1"/>
  <c r="G32" i="1" s="1"/>
  <c r="H18" i="1"/>
  <c r="H33" i="1" s="1"/>
  <c r="I23" i="1"/>
  <c r="I5" i="1"/>
  <c r="H10" i="1"/>
  <c r="G29" i="1" l="1"/>
  <c r="G30" i="1" s="1"/>
  <c r="G34" i="1" s="1"/>
  <c r="G42" i="1" s="1"/>
  <c r="G25" i="1"/>
  <c r="I18" i="1"/>
  <c r="I33" i="1" s="1"/>
  <c r="J23" i="1"/>
  <c r="I22" i="1"/>
  <c r="H17" i="1"/>
  <c r="H32" i="1" s="1"/>
  <c r="J5" i="1"/>
  <c r="I10" i="1"/>
  <c r="I21" i="1"/>
  <c r="H16" i="1"/>
  <c r="H31" i="1" s="1"/>
  <c r="I8" i="1"/>
  <c r="H7" i="1"/>
  <c r="H13" i="1" s="1"/>
  <c r="H29" i="1" l="1"/>
  <c r="H25" i="1"/>
  <c r="J10" i="1"/>
  <c r="K5" i="1"/>
  <c r="H30" i="1"/>
  <c r="H34" i="1" s="1"/>
  <c r="H42" i="1" s="1"/>
  <c r="J8" i="1"/>
  <c r="I7" i="1"/>
  <c r="I13" i="1" s="1"/>
  <c r="J21" i="1"/>
  <c r="I16" i="1"/>
  <c r="I31" i="1" s="1"/>
  <c r="J22" i="1"/>
  <c r="I17" i="1"/>
  <c r="I32" i="1" s="1"/>
  <c r="K23" i="1"/>
  <c r="J18" i="1"/>
  <c r="J33" i="1" s="1"/>
  <c r="I29" i="1" l="1"/>
  <c r="I30" i="1" s="1"/>
  <c r="I34" i="1" s="1"/>
  <c r="I42" i="1" s="1"/>
  <c r="I25" i="1"/>
  <c r="K21" i="1"/>
  <c r="K16" i="1" s="1"/>
  <c r="K31" i="1" s="1"/>
  <c r="J16" i="1"/>
  <c r="J31" i="1" s="1"/>
  <c r="J7" i="1"/>
  <c r="J13" i="1" s="1"/>
  <c r="K8" i="1"/>
  <c r="K7" i="1" s="1"/>
  <c r="K13" i="1" s="1"/>
  <c r="K25" i="1" s="1"/>
  <c r="K22" i="1"/>
  <c r="K17" i="1" s="1"/>
  <c r="K32" i="1" s="1"/>
  <c r="J17" i="1"/>
  <c r="J32" i="1" s="1"/>
  <c r="K10" i="1"/>
  <c r="K18" i="1"/>
  <c r="K33" i="1" s="1"/>
  <c r="J29" i="1" l="1"/>
  <c r="J30" i="1" s="1"/>
  <c r="J34" i="1" s="1"/>
  <c r="J42" i="1" s="1"/>
  <c r="J25" i="1"/>
  <c r="K37" i="1"/>
  <c r="K29" i="1"/>
  <c r="N45" i="1" l="1"/>
  <c r="K30" i="1"/>
  <c r="K34" i="1" s="1"/>
  <c r="K40" i="1" l="1"/>
  <c r="E47" i="1"/>
  <c r="F47" i="1" s="1"/>
  <c r="N39" i="1"/>
  <c r="Q39" i="1" s="1"/>
  <c r="R39" i="1" s="1"/>
  <c r="R40" i="1" s="1"/>
  <c r="K38" i="1" s="1"/>
  <c r="K39" i="1" s="1"/>
  <c r="K41" i="1" s="1"/>
  <c r="K42" i="1" s="1"/>
  <c r="G43" i="1" s="1"/>
  <c r="G45" i="1" s="1"/>
</calcChain>
</file>

<file path=xl/sharedStrings.xml><?xml version="1.0" encoding="utf-8"?>
<sst xmlns="http://schemas.openxmlformats.org/spreadsheetml/2006/main" count="87" uniqueCount="49">
  <si>
    <t>Discound Cash Flow Methodology</t>
  </si>
  <si>
    <t>EXIT</t>
  </si>
  <si>
    <t>Revenues</t>
  </si>
  <si>
    <t>Cost of Revenue</t>
  </si>
  <si>
    <t xml:space="preserve"> Cost of rev % or Rev</t>
  </si>
  <si>
    <t>Operating Expenses</t>
  </si>
  <si>
    <t xml:space="preserve"> Oper. Expens % rev</t>
  </si>
  <si>
    <t>EBIT</t>
  </si>
  <si>
    <t>Cash Flow Items</t>
  </si>
  <si>
    <t>Depreciation</t>
  </si>
  <si>
    <t>Working Capital</t>
  </si>
  <si>
    <t>Capital Expenditures</t>
  </si>
  <si>
    <t>EBITDA</t>
  </si>
  <si>
    <t>Assumptions</t>
  </si>
  <si>
    <t>Debt</t>
  </si>
  <si>
    <t>Discount Cash Flow</t>
  </si>
  <si>
    <t>Less Taxes</t>
  </si>
  <si>
    <t>Add Depreciation</t>
  </si>
  <si>
    <t>Less Working Capital</t>
  </si>
  <si>
    <t>Less Capex</t>
  </si>
  <si>
    <t>Cash Flow</t>
  </si>
  <si>
    <t>Terminal Value</t>
  </si>
  <si>
    <t xml:space="preserve"> EBITDA Multiple Method</t>
  </si>
  <si>
    <t>EBITDA x Multiple</t>
  </si>
  <si>
    <t>WACC</t>
  </si>
  <si>
    <t xml:space="preserve"> Perpetuity Method</t>
  </si>
  <si>
    <t>Cash Flow / WACC - growth</t>
  </si>
  <si>
    <t>Equity</t>
  </si>
  <si>
    <t>Debt Interest</t>
  </si>
  <si>
    <t>Less Debt</t>
  </si>
  <si>
    <t>EBITDA Trading Multiples</t>
  </si>
  <si>
    <t>McD EBITDA</t>
  </si>
  <si>
    <t>CAPM = Rf + Beta (Mr - Rf)</t>
  </si>
  <si>
    <t>Rf =</t>
  </si>
  <si>
    <t>Mr =</t>
  </si>
  <si>
    <t>Debt Int = Inter/Debt</t>
  </si>
  <si>
    <t>Beta=</t>
  </si>
  <si>
    <t>B</t>
  </si>
  <si>
    <t>Interest</t>
  </si>
  <si>
    <t>Method 2</t>
  </si>
  <si>
    <t>(D1+P1)(1+CAPM)</t>
  </si>
  <si>
    <t>Method 3</t>
  </si>
  <si>
    <t>D1 / (CAPM - Growth)</t>
  </si>
  <si>
    <t>Target Price</t>
  </si>
  <si>
    <t>Dividend</t>
  </si>
  <si>
    <t>Divident</t>
  </si>
  <si>
    <t>CAPM</t>
  </si>
  <si>
    <t>Growth</t>
  </si>
  <si>
    <t>Company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</si>
</sst>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00"/>
    <numFmt numFmtId="165" formatCode="_(* #,##0_);_(* \(#,##0\);_(* &quot;-&quot;??_);_(@_)"/>
    <numFmt numFmtId="166" formatCode="0.0%"/>
  </numFmts>
  <fonts count="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name val="Arial"/>
      <family val="2"/>
    </font>
    <font>
      <sz val="11"/>
      <color rgb="FF0066FF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sz val="11"/>
      <name val="Aptos Narrow"/>
      <family val="2"/>
      <scheme val="minor"/>
    </font>
    <font>
      <b/>
      <u/>
      <sz val="1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6">
    <xf numFmtId="0" fontId="0" fillId="0" borderId="0" xfId="0"/>
    <xf numFmtId="164" fontId="3" fillId="0" borderId="0" xfId="0" applyNumberFormat="1" applyFont="1"/>
    <xf numFmtId="0" fontId="2" fillId="2" borderId="0" xfId="0" applyFont="1" applyFill="1" applyAlignment="1">
      <alignment horizontal="center"/>
    </xf>
    <xf numFmtId="0" fontId="2" fillId="3" borderId="0" xfId="0" applyFont="1" applyFill="1"/>
    <xf numFmtId="0" fontId="4" fillId="0" borderId="0" xfId="0" applyFont="1"/>
    <xf numFmtId="165" fontId="4" fillId="0" borderId="0" xfId="1" applyNumberFormat="1" applyFont="1"/>
    <xf numFmtId="165" fontId="0" fillId="0" borderId="0" xfId="1" applyNumberFormat="1" applyFont="1"/>
    <xf numFmtId="165" fontId="0" fillId="2" borderId="0" xfId="1" applyNumberFormat="1" applyFont="1" applyFill="1"/>
    <xf numFmtId="10" fontId="1" fillId="0" borderId="0" xfId="3" applyNumberFormat="1" applyFont="1"/>
    <xf numFmtId="9" fontId="0" fillId="0" borderId="0" xfId="0" applyNumberFormat="1"/>
    <xf numFmtId="9" fontId="0" fillId="2" borderId="0" xfId="0" applyNumberFormat="1" applyFill="1"/>
    <xf numFmtId="166" fontId="1" fillId="0" borderId="0" xfId="3" applyNumberFormat="1" applyFont="1"/>
    <xf numFmtId="166" fontId="0" fillId="0" borderId="0" xfId="0" applyNumberFormat="1"/>
    <xf numFmtId="166" fontId="0" fillId="2" borderId="0" xfId="0" applyNumberFormat="1" applyFill="1"/>
    <xf numFmtId="0" fontId="0" fillId="2" borderId="0" xfId="0" applyFill="1"/>
    <xf numFmtId="165" fontId="0" fillId="0" borderId="1" xfId="0" applyNumberFormat="1" applyBorder="1"/>
    <xf numFmtId="165" fontId="0" fillId="2" borderId="1" xfId="0" applyNumberFormat="1" applyFill="1" applyBorder="1"/>
    <xf numFmtId="0" fontId="4" fillId="0" borderId="2" xfId="0" applyFont="1" applyBorder="1"/>
    <xf numFmtId="0" fontId="0" fillId="0" borderId="2" xfId="0" applyBorder="1"/>
    <xf numFmtId="0" fontId="0" fillId="2" borderId="2" xfId="0" applyFill="1" applyBorder="1"/>
    <xf numFmtId="165" fontId="0" fillId="0" borderId="0" xfId="0" applyNumberFormat="1"/>
    <xf numFmtId="165" fontId="0" fillId="2" borderId="0" xfId="0" applyNumberFormat="1" applyFill="1"/>
    <xf numFmtId="165" fontId="0" fillId="4" borderId="0" xfId="0" applyNumberFormat="1" applyFill="1"/>
    <xf numFmtId="10" fontId="0" fillId="0" borderId="0" xfId="0" applyNumberFormat="1"/>
    <xf numFmtId="10" fontId="0" fillId="2" borderId="0" xfId="0" applyNumberFormat="1" applyFill="1"/>
    <xf numFmtId="0" fontId="2" fillId="0" borderId="3" xfId="0" applyFont="1" applyBorder="1"/>
    <xf numFmtId="0" fontId="0" fillId="0" borderId="3" xfId="0" applyBorder="1"/>
    <xf numFmtId="10" fontId="4" fillId="0" borderId="0" xfId="0" applyNumberFormat="1" applyFont="1"/>
    <xf numFmtId="165" fontId="0" fillId="0" borderId="3" xfId="0" applyNumberFormat="1" applyBorder="1"/>
    <xf numFmtId="165" fontId="0" fillId="4" borderId="3" xfId="0" applyNumberFormat="1" applyFill="1" applyBorder="1"/>
    <xf numFmtId="0" fontId="2" fillId="0" borderId="0" xfId="0" applyFont="1"/>
    <xf numFmtId="0" fontId="5" fillId="0" borderId="0" xfId="0" applyFont="1"/>
    <xf numFmtId="10" fontId="0" fillId="4" borderId="0" xfId="3" applyNumberFormat="1" applyFont="1" applyFill="1"/>
    <xf numFmtId="166" fontId="0" fillId="0" borderId="0" xfId="3" applyNumberFormat="1" applyFont="1"/>
    <xf numFmtId="10" fontId="0" fillId="0" borderId="0" xfId="3" applyNumberFormat="1" applyFont="1"/>
    <xf numFmtId="166" fontId="0" fillId="4" borderId="0" xfId="0" applyNumberFormat="1" applyFill="1"/>
    <xf numFmtId="0" fontId="2" fillId="4" borderId="0" xfId="0" applyFont="1" applyFill="1"/>
    <xf numFmtId="2" fontId="0" fillId="0" borderId="0" xfId="0" applyNumberFormat="1"/>
    <xf numFmtId="6" fontId="0" fillId="0" borderId="0" xfId="0" applyNumberFormat="1"/>
    <xf numFmtId="44" fontId="0" fillId="4" borderId="4" xfId="2" applyFont="1" applyFill="1" applyBorder="1"/>
    <xf numFmtId="43" fontId="2" fillId="4" borderId="0" xfId="0" applyNumberFormat="1" applyFont="1" applyFill="1"/>
    <xf numFmtId="0" fontId="0" fillId="0" borderId="0" xfId="0" quotePrefix="1"/>
    <xf numFmtId="8" fontId="0" fillId="0" borderId="0" xfId="0" applyNumberFormat="1"/>
    <xf numFmtId="44" fontId="2" fillId="4" borderId="0" xfId="2" applyFont="1" applyFill="1"/>
    <xf numFmtId="0" fontId="6" fillId="0" borderId="0" xfId="0" applyFont="1"/>
    <xf numFmtId="0" fontId="7" fillId="0" borderId="0" xfId="0" applyFont="1"/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droussch\Dropbox\File%20requests\INVESTMENTS%20FINANCE%20CREDIT\Chapters\ACTIVE%20LEARNING\PART%20IV%20-%20COMPANY%20SPECIFIC%20ANALYSIS\FINAL%20PROJECT\Hyatt_Analysis_Financial_Analysis_Valuation.xlsx" TargetMode="External"/><Relationship Id="rId1" Type="http://schemas.openxmlformats.org/officeDocument/2006/relationships/externalLinkPath" Target="file:///C:\Users\droussch\Dropbox\File%20requests\INVESTMENTS%20FINANCE%20CREDIT\Chapters\ACTIVE%20LEARNING\PART%20IV%20-%20COMPANY%20SPECIFIC%20ANALYSIS\FINAL%20PROJECT\Hyatt_Analysis_Financial_Analysis_Valuat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istorical Analysis"/>
      <sheetName val="Projections"/>
      <sheetName val="Valuation Analysis"/>
      <sheetName val="DCF"/>
      <sheetName val="Technical Analysis"/>
      <sheetName val="Yahoo Input Val"/>
      <sheetName val="S&amp;P ETF Yahoo"/>
      <sheetName val="Income Stat Yahoo Input"/>
      <sheetName val="Balance Sheet Yahoo Input"/>
      <sheetName val="Cash Flow Yahoo Input"/>
      <sheetName val="Balance Sheet - Quarterly"/>
      <sheetName val="Stock Historical Yahoo"/>
    </sheetNames>
    <sheetDataSet>
      <sheetData sheetId="0">
        <row r="1">
          <cell r="B1" t="str">
            <v>HYATT HOTELS CORPORATION</v>
          </cell>
        </row>
        <row r="12">
          <cell r="C12">
            <v>208000</v>
          </cell>
        </row>
      </sheetData>
      <sheetData sheetId="1">
        <row r="47">
          <cell r="S47">
            <v>3782000</v>
          </cell>
        </row>
      </sheetData>
      <sheetData sheetId="2">
        <row r="31">
          <cell r="D31">
            <v>96062.693547367759</v>
          </cell>
        </row>
        <row r="38">
          <cell r="E38">
            <v>165</v>
          </cell>
        </row>
        <row r="55">
          <cell r="A55" t="str">
            <v>Choice Hotels International</v>
          </cell>
          <cell r="J55">
            <v>18.53241713670068</v>
          </cell>
        </row>
        <row r="56">
          <cell r="A56" t="str">
            <v>Hilton Worldwide Holdings Inc.</v>
          </cell>
          <cell r="J56">
            <v>29.59542463414634</v>
          </cell>
        </row>
        <row r="59">
          <cell r="A59" t="str">
            <v>Marriott International</v>
          </cell>
          <cell r="J59">
            <v>23.070086399026764</v>
          </cell>
        </row>
        <row r="61">
          <cell r="A61" t="str">
            <v>Wyndham Worldwide</v>
          </cell>
          <cell r="J61">
            <v>17.385066995073892</v>
          </cell>
        </row>
      </sheetData>
      <sheetData sheetId="3"/>
      <sheetData sheetId="4">
        <row r="18">
          <cell r="J18">
            <v>1.490472324165208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A45454-4BB1-418E-92DE-6D2D548D195F}">
  <dimension ref="B1:K43"/>
  <sheetViews>
    <sheetView tabSelected="1" workbookViewId="0">
      <selection activeCell="B44" sqref="B44"/>
    </sheetView>
  </sheetViews>
  <sheetFormatPr defaultRowHeight="14.5" x14ac:dyDescent="0.35"/>
  <cols>
    <col min="2" max="2" width="19" customWidth="1"/>
    <col min="3" max="3" width="14.81640625" bestFit="1" customWidth="1"/>
    <col min="4" max="11" width="13.7265625" customWidth="1"/>
    <col min="14" max="14" width="9.81640625" bestFit="1" customWidth="1"/>
    <col min="18" max="18" width="4.81640625" bestFit="1" customWidth="1"/>
  </cols>
  <sheetData>
    <row r="1" spans="2:11" ht="18" x14ac:dyDescent="0.4">
      <c r="B1" s="1" t="s">
        <v>48</v>
      </c>
    </row>
    <row r="2" spans="2:11" x14ac:dyDescent="0.35">
      <c r="B2" t="s">
        <v>0</v>
      </c>
    </row>
    <row r="3" spans="2:11" x14ac:dyDescent="0.35">
      <c r="K3" s="2" t="s">
        <v>1</v>
      </c>
    </row>
    <row r="4" spans="2:11" x14ac:dyDescent="0.35">
      <c r="B4" s="3"/>
      <c r="C4" s="3">
        <v>2022</v>
      </c>
      <c r="D4" s="3">
        <v>2023</v>
      </c>
      <c r="E4" s="3">
        <v>2024</v>
      </c>
      <c r="F4" s="3"/>
      <c r="G4" s="3">
        <v>2025</v>
      </c>
      <c r="H4" s="3">
        <v>2026</v>
      </c>
      <c r="I4" s="3">
        <v>2027</v>
      </c>
      <c r="J4" s="3">
        <v>2028</v>
      </c>
      <c r="K4" s="3">
        <v>2029</v>
      </c>
    </row>
    <row r="5" spans="2:11" x14ac:dyDescent="0.35">
      <c r="B5" s="44" t="s">
        <v>2</v>
      </c>
      <c r="C5" s="5"/>
      <c r="D5" s="5"/>
      <c r="E5" s="5"/>
      <c r="F5" s="6"/>
      <c r="G5" s="6"/>
      <c r="H5" s="6"/>
      <c r="I5" s="6"/>
      <c r="J5" s="6"/>
      <c r="K5" s="7"/>
    </row>
    <row r="6" spans="2:11" x14ac:dyDescent="0.35">
      <c r="B6" s="44"/>
      <c r="C6" s="4"/>
      <c r="D6" s="8"/>
      <c r="E6" s="8"/>
      <c r="G6" s="9"/>
      <c r="H6" s="9"/>
      <c r="I6" s="9"/>
      <c r="J6" s="9"/>
      <c r="K6" s="10"/>
    </row>
    <row r="7" spans="2:11" x14ac:dyDescent="0.35">
      <c r="B7" s="44" t="s">
        <v>3</v>
      </c>
      <c r="C7" s="5"/>
      <c r="D7" s="5"/>
      <c r="E7" s="5"/>
      <c r="F7" s="6"/>
      <c r="G7" s="6"/>
      <c r="H7" s="6"/>
      <c r="I7" s="6"/>
      <c r="J7" s="6"/>
      <c r="K7" s="7"/>
    </row>
    <row r="8" spans="2:11" x14ac:dyDescent="0.35">
      <c r="B8" s="44" t="s">
        <v>4</v>
      </c>
      <c r="C8" s="11"/>
      <c r="D8" s="11"/>
      <c r="E8" s="11"/>
      <c r="G8" s="12"/>
      <c r="H8" s="12"/>
      <c r="I8" s="12"/>
      <c r="J8" s="12"/>
      <c r="K8" s="13"/>
    </row>
    <row r="9" spans="2:11" x14ac:dyDescent="0.35">
      <c r="B9" s="44"/>
      <c r="C9" s="4"/>
      <c r="D9" s="4"/>
      <c r="E9" s="4"/>
      <c r="K9" s="14"/>
    </row>
    <row r="10" spans="2:11" x14ac:dyDescent="0.35">
      <c r="B10" s="44" t="s">
        <v>5</v>
      </c>
      <c r="C10" s="5"/>
      <c r="D10" s="5"/>
      <c r="E10" s="5"/>
      <c r="F10" s="6"/>
      <c r="G10" s="6"/>
      <c r="H10" s="6"/>
      <c r="I10" s="6"/>
      <c r="J10" s="6"/>
      <c r="K10" s="7"/>
    </row>
    <row r="11" spans="2:11" x14ac:dyDescent="0.35">
      <c r="B11" s="44" t="s">
        <v>6</v>
      </c>
      <c r="C11" s="11"/>
      <c r="D11" s="11"/>
      <c r="E11" s="11"/>
      <c r="G11" s="9"/>
      <c r="H11" s="9"/>
      <c r="I11" s="9"/>
      <c r="J11" s="9"/>
      <c r="K11" s="10"/>
    </row>
    <row r="12" spans="2:11" x14ac:dyDescent="0.35">
      <c r="B12" s="44"/>
      <c r="C12" s="4"/>
      <c r="D12" s="4"/>
      <c r="E12" s="4"/>
      <c r="K12" s="14"/>
    </row>
    <row r="13" spans="2:11" x14ac:dyDescent="0.35">
      <c r="B13" s="44" t="s">
        <v>7</v>
      </c>
      <c r="C13" s="15">
        <f>+C5+C7+C10</f>
        <v>0</v>
      </c>
      <c r="D13" s="15">
        <f t="shared" ref="D13:E13" si="0">+D5+D7+D10</f>
        <v>0</v>
      </c>
      <c r="E13" s="15">
        <f t="shared" si="0"/>
        <v>0</v>
      </c>
      <c r="G13" s="15"/>
      <c r="H13" s="15"/>
      <c r="I13" s="15"/>
      <c r="J13" s="15"/>
      <c r="K13" s="16"/>
    </row>
    <row r="14" spans="2:11" ht="15" thickBot="1" x14ac:dyDescent="0.4">
      <c r="B14" s="44"/>
      <c r="C14" s="17"/>
      <c r="D14" s="17"/>
      <c r="E14" s="17"/>
      <c r="G14" s="18"/>
      <c r="H14" s="18"/>
      <c r="I14" s="18"/>
      <c r="J14" s="18"/>
      <c r="K14" s="19"/>
    </row>
    <row r="15" spans="2:11" ht="15" thickTop="1" x14ac:dyDescent="0.35">
      <c r="B15" s="45" t="s">
        <v>8</v>
      </c>
      <c r="C15" s="4"/>
      <c r="D15" s="4"/>
      <c r="E15" s="4"/>
      <c r="K15" s="14"/>
    </row>
    <row r="16" spans="2:11" x14ac:dyDescent="0.35">
      <c r="B16" s="44" t="s">
        <v>9</v>
      </c>
      <c r="C16" s="5"/>
      <c r="D16" s="5"/>
      <c r="E16" s="5"/>
      <c r="G16" s="20"/>
      <c r="H16" s="20"/>
      <c r="I16" s="20"/>
      <c r="J16" s="20"/>
      <c r="K16" s="21"/>
    </row>
    <row r="17" spans="2:11" x14ac:dyDescent="0.35">
      <c r="B17" s="44" t="s">
        <v>10</v>
      </c>
      <c r="C17" s="5"/>
      <c r="D17" s="5"/>
      <c r="E17" s="5"/>
      <c r="G17" s="20"/>
      <c r="H17" s="20"/>
      <c r="I17" s="20"/>
      <c r="J17" s="20"/>
      <c r="K17" s="21"/>
    </row>
    <row r="18" spans="2:11" x14ac:dyDescent="0.35">
      <c r="B18" s="44" t="s">
        <v>11</v>
      </c>
      <c r="C18" s="5"/>
      <c r="D18" s="5"/>
      <c r="E18" s="5"/>
      <c r="G18" s="20"/>
      <c r="H18" s="20"/>
      <c r="I18" s="20"/>
      <c r="J18" s="20"/>
      <c r="K18" s="21"/>
    </row>
    <row r="19" spans="2:11" x14ac:dyDescent="0.35">
      <c r="B19" s="44"/>
      <c r="C19" s="5"/>
      <c r="D19" s="5"/>
      <c r="E19" s="5"/>
      <c r="G19" s="20"/>
      <c r="H19" s="20"/>
      <c r="I19" s="20"/>
      <c r="J19" s="20"/>
      <c r="K19" s="21"/>
    </row>
    <row r="20" spans="2:11" x14ac:dyDescent="0.35">
      <c r="B20" s="44" t="s">
        <v>13</v>
      </c>
      <c r="C20" s="4"/>
      <c r="D20" s="4"/>
      <c r="E20" s="4"/>
      <c r="K20" s="14"/>
    </row>
    <row r="21" spans="2:11" x14ac:dyDescent="0.35">
      <c r="B21" s="44" t="s">
        <v>9</v>
      </c>
      <c r="C21" s="8"/>
      <c r="D21" s="8"/>
      <c r="E21" s="8"/>
      <c r="G21" s="23"/>
      <c r="H21" s="23"/>
      <c r="I21" s="23"/>
      <c r="J21" s="23"/>
      <c r="K21" s="24"/>
    </row>
    <row r="22" spans="2:11" x14ac:dyDescent="0.35">
      <c r="B22" s="44" t="s">
        <v>10</v>
      </c>
      <c r="C22" s="8"/>
      <c r="D22" s="8"/>
      <c r="E22" s="8"/>
      <c r="G22" s="23"/>
      <c r="H22" s="23"/>
      <c r="I22" s="23"/>
      <c r="J22" s="23"/>
      <c r="K22" s="24"/>
    </row>
    <row r="23" spans="2:11" x14ac:dyDescent="0.35">
      <c r="B23" s="44" t="s">
        <v>11</v>
      </c>
      <c r="C23" s="11"/>
      <c r="D23" s="11"/>
      <c r="E23" s="11"/>
      <c r="G23" s="23"/>
      <c r="H23" s="23"/>
      <c r="I23" s="23"/>
      <c r="J23" s="23"/>
      <c r="K23" s="24"/>
    </row>
    <row r="24" spans="2:11" x14ac:dyDescent="0.35">
      <c r="B24" s="44"/>
      <c r="K24" s="14"/>
    </row>
    <row r="25" spans="2:11" x14ac:dyDescent="0.35">
      <c r="B25" s="44" t="s">
        <v>12</v>
      </c>
      <c r="C25" s="4"/>
      <c r="D25" s="4"/>
      <c r="E25" s="4"/>
      <c r="G25" s="20"/>
      <c r="K25" s="22"/>
    </row>
    <row r="26" spans="2:11" x14ac:dyDescent="0.35">
      <c r="B26" s="44" t="s">
        <v>14</v>
      </c>
      <c r="K26" s="14"/>
    </row>
    <row r="27" spans="2:11" x14ac:dyDescent="0.35">
      <c r="K27" s="14"/>
    </row>
    <row r="28" spans="2:11" ht="15" thickBot="1" x14ac:dyDescent="0.4">
      <c r="B28" s="25" t="s">
        <v>15</v>
      </c>
      <c r="C28" s="26"/>
      <c r="D28" s="26"/>
      <c r="E28" s="26"/>
      <c r="F28" s="26"/>
      <c r="G28" s="26">
        <f>+G4</f>
        <v>2025</v>
      </c>
      <c r="H28" s="26">
        <f>+H4</f>
        <v>2026</v>
      </c>
      <c r="I28" s="26">
        <f>+I4</f>
        <v>2027</v>
      </c>
      <c r="J28" s="26">
        <f>+J4</f>
        <v>2028</v>
      </c>
      <c r="K28" s="26">
        <f>+K4</f>
        <v>2029</v>
      </c>
    </row>
    <row r="29" spans="2:11" ht="15" thickTop="1" x14ac:dyDescent="0.35">
      <c r="B29" t="s">
        <v>7</v>
      </c>
      <c r="G29" s="20"/>
      <c r="H29" s="20"/>
      <c r="I29" s="20"/>
      <c r="J29" s="20"/>
      <c r="K29" s="21"/>
    </row>
    <row r="30" spans="2:11" x14ac:dyDescent="0.35">
      <c r="B30" t="s">
        <v>16</v>
      </c>
      <c r="E30" s="27">
        <v>0.22</v>
      </c>
      <c r="G30" s="20"/>
      <c r="H30" s="20"/>
      <c r="I30" s="20"/>
      <c r="J30" s="20"/>
      <c r="K30" s="21"/>
    </row>
    <row r="31" spans="2:11" x14ac:dyDescent="0.35">
      <c r="B31" t="s">
        <v>17</v>
      </c>
      <c r="G31" s="20"/>
      <c r="H31" s="20"/>
      <c r="I31" s="20"/>
      <c r="J31" s="20"/>
      <c r="K31" s="21"/>
    </row>
    <row r="32" spans="2:11" x14ac:dyDescent="0.35">
      <c r="B32" t="s">
        <v>18</v>
      </c>
      <c r="G32" s="20"/>
      <c r="H32" s="20"/>
      <c r="I32" s="20"/>
      <c r="J32" s="20"/>
      <c r="K32" s="21"/>
    </row>
    <row r="33" spans="2:11" x14ac:dyDescent="0.35">
      <c r="B33" t="s">
        <v>19</v>
      </c>
      <c r="G33" s="20"/>
      <c r="H33" s="20"/>
      <c r="I33" s="20"/>
      <c r="J33" s="20"/>
      <c r="K33" s="21"/>
    </row>
    <row r="34" spans="2:11" ht="15" thickBot="1" x14ac:dyDescent="0.4">
      <c r="B34" t="s">
        <v>20</v>
      </c>
      <c r="G34" s="28"/>
      <c r="H34" s="28"/>
      <c r="I34" s="28"/>
      <c r="J34" s="28"/>
      <c r="K34" s="29"/>
    </row>
    <row r="35" spans="2:11" ht="15" thickTop="1" x14ac:dyDescent="0.35">
      <c r="K35" s="14"/>
    </row>
    <row r="36" spans="2:11" x14ac:dyDescent="0.35">
      <c r="B36" s="30" t="s">
        <v>21</v>
      </c>
      <c r="K36" s="14"/>
    </row>
    <row r="37" spans="2:11" x14ac:dyDescent="0.35">
      <c r="B37" t="s">
        <v>22</v>
      </c>
      <c r="D37" t="s">
        <v>23</v>
      </c>
      <c r="K37" s="7"/>
    </row>
    <row r="38" spans="2:11" x14ac:dyDescent="0.35">
      <c r="B38" t="s">
        <v>25</v>
      </c>
      <c r="D38" t="s">
        <v>26</v>
      </c>
      <c r="F38" s="9">
        <f>+S40</f>
        <v>0</v>
      </c>
      <c r="K38" s="21"/>
    </row>
    <row r="39" spans="2:11" x14ac:dyDescent="0.35">
      <c r="K39" s="16"/>
    </row>
    <row r="40" spans="2:11" x14ac:dyDescent="0.35">
      <c r="J40" t="s">
        <v>29</v>
      </c>
      <c r="K40" s="7"/>
    </row>
    <row r="41" spans="2:11" x14ac:dyDescent="0.35">
      <c r="K41" s="7"/>
    </row>
    <row r="42" spans="2:11" ht="15" thickBot="1" x14ac:dyDescent="0.4">
      <c r="G42" s="26"/>
      <c r="H42" s="26"/>
      <c r="I42" s="26"/>
      <c r="J42" s="26"/>
      <c r="K42" s="26"/>
    </row>
    <row r="43" spans="2:11" ht="15" thickTop="1" x14ac:dyDescent="0.35"/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069DA3-9653-4128-9492-CA1C0256455F}">
  <dimension ref="B1:S54"/>
  <sheetViews>
    <sheetView workbookViewId="0">
      <selection sqref="A1:XFD1048576"/>
    </sheetView>
  </sheetViews>
  <sheetFormatPr defaultRowHeight="14.5" x14ac:dyDescent="0.35"/>
  <cols>
    <col min="2" max="2" width="19" customWidth="1"/>
    <col min="3" max="3" width="14.81640625" bestFit="1" customWidth="1"/>
    <col min="4" max="11" width="13.7265625" customWidth="1"/>
    <col min="14" max="14" width="9.81640625" bestFit="1" customWidth="1"/>
    <col min="18" max="18" width="4.81640625" bestFit="1" customWidth="1"/>
  </cols>
  <sheetData>
    <row r="1" spans="2:11" ht="18" x14ac:dyDescent="0.4">
      <c r="B1" s="1" t="str">
        <f>+'[1]Historical Analysis'!B1</f>
        <v>HYATT HOTELS CORPORATION</v>
      </c>
    </row>
    <row r="2" spans="2:11" x14ac:dyDescent="0.35">
      <c r="B2" t="s">
        <v>0</v>
      </c>
    </row>
    <row r="3" spans="2:11" x14ac:dyDescent="0.35">
      <c r="K3" s="2" t="s">
        <v>1</v>
      </c>
    </row>
    <row r="4" spans="2:11" x14ac:dyDescent="0.35">
      <c r="B4" s="3"/>
      <c r="C4" s="3">
        <v>2022</v>
      </c>
      <c r="D4" s="3">
        <v>2023</v>
      </c>
      <c r="E4" s="3">
        <v>2024</v>
      </c>
      <c r="F4" s="3"/>
      <c r="G4" s="3">
        <v>2025</v>
      </c>
      <c r="H4" s="3">
        <v>2026</v>
      </c>
      <c r="I4" s="3">
        <v>2027</v>
      </c>
      <c r="J4" s="3">
        <v>2028</v>
      </c>
      <c r="K4" s="3">
        <v>2029</v>
      </c>
    </row>
    <row r="5" spans="2:11" x14ac:dyDescent="0.35">
      <c r="B5" s="44" t="s">
        <v>2</v>
      </c>
      <c r="C5" s="5">
        <v>3028000</v>
      </c>
      <c r="D5" s="5">
        <v>5891000</v>
      </c>
      <c r="E5" s="5">
        <v>6667000</v>
      </c>
      <c r="F5" s="6"/>
      <c r="G5" s="6">
        <f>+E5*(1+G6)</f>
        <v>7000350</v>
      </c>
      <c r="H5" s="6">
        <f>+G5*(1+H6)</f>
        <v>7350367.5</v>
      </c>
      <c r="I5" s="6">
        <f t="shared" ref="I5:K5" si="0">+H5*(1+I6)</f>
        <v>7717885.875</v>
      </c>
      <c r="J5" s="6">
        <f t="shared" si="0"/>
        <v>8103780.1687500002</v>
      </c>
      <c r="K5" s="7">
        <f t="shared" si="0"/>
        <v>8508969.1771875005</v>
      </c>
    </row>
    <row r="6" spans="2:11" x14ac:dyDescent="0.35">
      <c r="B6" s="44"/>
      <c r="C6" s="4"/>
      <c r="D6" s="8">
        <f>D5/C5-1</f>
        <v>0.94550858652575953</v>
      </c>
      <c r="E6" s="8">
        <f>E5/D5-1</f>
        <v>0.13172636224749623</v>
      </c>
      <c r="G6" s="9">
        <v>0.05</v>
      </c>
      <c r="H6" s="9">
        <v>0.05</v>
      </c>
      <c r="I6" s="9">
        <v>0.05</v>
      </c>
      <c r="J6" s="9">
        <v>0.05</v>
      </c>
      <c r="K6" s="10">
        <v>0.05</v>
      </c>
    </row>
    <row r="7" spans="2:11" x14ac:dyDescent="0.35">
      <c r="B7" s="44" t="s">
        <v>3</v>
      </c>
      <c r="C7" s="5">
        <v>-2603000</v>
      </c>
      <c r="D7" s="5">
        <v>-4603000</v>
      </c>
      <c r="E7" s="5">
        <v>-5350000</v>
      </c>
      <c r="F7" s="6"/>
      <c r="G7" s="6">
        <f>-G8*G5</f>
        <v>-5701702.4817905063</v>
      </c>
      <c r="H7" s="6">
        <f t="shared" ref="H7:K7" si="1">-H8*H5</f>
        <v>-5986787.6058800314</v>
      </c>
      <c r="I7" s="6">
        <f t="shared" si="1"/>
        <v>-6286126.986174033</v>
      </c>
      <c r="J7" s="6">
        <f t="shared" si="1"/>
        <v>-6600433.3354827352</v>
      </c>
      <c r="K7" s="7">
        <f t="shared" si="1"/>
        <v>-6930455.0022568721</v>
      </c>
    </row>
    <row r="8" spans="2:11" x14ac:dyDescent="0.35">
      <c r="B8" s="44" t="s">
        <v>4</v>
      </c>
      <c r="C8" s="11">
        <f>-C7/C5</f>
        <v>0.85964332892998674</v>
      </c>
      <c r="D8" s="11">
        <f t="shared" ref="D8:E8" si="2">-D7/D5</f>
        <v>0.78136139874384658</v>
      </c>
      <c r="E8" s="11">
        <f t="shared" si="2"/>
        <v>0.80245987700614974</v>
      </c>
      <c r="G8" s="12">
        <f>AVERAGE(C8:E8)</f>
        <v>0.81448820155999435</v>
      </c>
      <c r="H8" s="12">
        <f>+G8</f>
        <v>0.81448820155999435</v>
      </c>
      <c r="I8" s="12">
        <f t="shared" ref="I8:K8" si="3">+H8</f>
        <v>0.81448820155999435</v>
      </c>
      <c r="J8" s="12">
        <f t="shared" si="3"/>
        <v>0.81448820155999435</v>
      </c>
      <c r="K8" s="13">
        <f t="shared" si="3"/>
        <v>0.81448820155999435</v>
      </c>
    </row>
    <row r="9" spans="2:11" x14ac:dyDescent="0.35">
      <c r="B9" s="44"/>
      <c r="C9" s="4"/>
      <c r="D9" s="4"/>
      <c r="E9" s="4"/>
      <c r="K9" s="14"/>
    </row>
    <row r="10" spans="2:11" x14ac:dyDescent="0.35">
      <c r="B10" s="44" t="s">
        <v>5</v>
      </c>
      <c r="C10" s="5">
        <v>-698000</v>
      </c>
      <c r="D10" s="5">
        <v>-874000</v>
      </c>
      <c r="E10" s="5">
        <v>-995000</v>
      </c>
      <c r="F10" s="6"/>
      <c r="G10" s="6">
        <f>-G11*G5</f>
        <v>-770038.5</v>
      </c>
      <c r="H10" s="6">
        <f t="shared" ref="H10:K10" si="4">-H11*H5</f>
        <v>-808540.42500000005</v>
      </c>
      <c r="I10" s="6">
        <f t="shared" si="4"/>
        <v>-848967.44625000004</v>
      </c>
      <c r="J10" s="6">
        <f t="shared" si="4"/>
        <v>-891415.81856250006</v>
      </c>
      <c r="K10" s="7">
        <f t="shared" si="4"/>
        <v>-935986.60949062509</v>
      </c>
    </row>
    <row r="11" spans="2:11" x14ac:dyDescent="0.35">
      <c r="B11" s="44" t="s">
        <v>6</v>
      </c>
      <c r="C11" s="11">
        <f>-C10/C5</f>
        <v>0.23051519154557465</v>
      </c>
      <c r="D11" s="11">
        <f t="shared" ref="D11:E11" si="5">-D10/D5</f>
        <v>0.14836190799524698</v>
      </c>
      <c r="E11" s="11">
        <f t="shared" si="5"/>
        <v>0.14924253787310635</v>
      </c>
      <c r="G11" s="9">
        <v>0.11</v>
      </c>
      <c r="H11" s="9">
        <v>0.11</v>
      </c>
      <c r="I11" s="9">
        <v>0.11</v>
      </c>
      <c r="J11" s="9">
        <v>0.11</v>
      </c>
      <c r="K11" s="10">
        <v>0.11</v>
      </c>
    </row>
    <row r="12" spans="2:11" x14ac:dyDescent="0.35">
      <c r="B12" s="44"/>
      <c r="C12" s="4"/>
      <c r="D12" s="4"/>
      <c r="E12" s="4"/>
      <c r="K12" s="14"/>
    </row>
    <row r="13" spans="2:11" x14ac:dyDescent="0.35">
      <c r="B13" s="44" t="s">
        <v>7</v>
      </c>
      <c r="C13" s="15">
        <f>+C5+C7+C10</f>
        <v>-273000</v>
      </c>
      <c r="D13" s="15">
        <f t="shared" ref="D13:K13" si="6">+D5+D7+D10</f>
        <v>414000</v>
      </c>
      <c r="E13" s="15">
        <f t="shared" si="6"/>
        <v>322000</v>
      </c>
      <c r="G13" s="15">
        <f t="shared" si="6"/>
        <v>528609.01820949372</v>
      </c>
      <c r="H13" s="15">
        <f t="shared" si="6"/>
        <v>555039.46911996859</v>
      </c>
      <c r="I13" s="15">
        <f t="shared" si="6"/>
        <v>582791.44257596694</v>
      </c>
      <c r="J13" s="15">
        <f t="shared" si="6"/>
        <v>611931.01470476494</v>
      </c>
      <c r="K13" s="16">
        <f t="shared" si="6"/>
        <v>642527.56544000329</v>
      </c>
    </row>
    <row r="14" spans="2:11" ht="15" thickBot="1" x14ac:dyDescent="0.4">
      <c r="B14" s="44"/>
      <c r="C14" s="17"/>
      <c r="D14" s="17"/>
      <c r="E14" s="17"/>
      <c r="G14" s="18"/>
      <c r="H14" s="18"/>
      <c r="I14" s="18"/>
      <c r="J14" s="18"/>
      <c r="K14" s="19"/>
    </row>
    <row r="15" spans="2:11" ht="15" thickTop="1" x14ac:dyDescent="0.35">
      <c r="B15" s="45" t="s">
        <v>8</v>
      </c>
      <c r="C15" s="4"/>
      <c r="D15" s="4"/>
      <c r="E15" s="4"/>
      <c r="K15" s="14"/>
    </row>
    <row r="16" spans="2:11" x14ac:dyDescent="0.35">
      <c r="B16" s="44" t="s">
        <v>9</v>
      </c>
      <c r="C16" s="5">
        <v>310000</v>
      </c>
      <c r="D16" s="5">
        <v>426000</v>
      </c>
      <c r="E16" s="5">
        <v>397000</v>
      </c>
      <c r="G16" s="20">
        <f>G21*G5</f>
        <v>546583.89466658386</v>
      </c>
      <c r="H16" s="20">
        <f>H21*H5</f>
        <v>573913.08939991309</v>
      </c>
      <c r="I16" s="20">
        <f>I21*I5</f>
        <v>602608.74386990874</v>
      </c>
      <c r="J16" s="20">
        <f>J21*J5</f>
        <v>632739.18106340419</v>
      </c>
      <c r="K16" s="21">
        <f>K21*K5</f>
        <v>664376.14011657448</v>
      </c>
    </row>
    <row r="17" spans="2:11" x14ac:dyDescent="0.35">
      <c r="B17" s="44" t="s">
        <v>10</v>
      </c>
      <c r="C17" s="5">
        <v>388000</v>
      </c>
      <c r="D17" s="5">
        <v>167000</v>
      </c>
      <c r="E17" s="5">
        <v>203000</v>
      </c>
      <c r="G17" s="20">
        <f>G22*G5</f>
        <v>436201.58552990516</v>
      </c>
      <c r="H17" s="20">
        <f>H22*H5</f>
        <v>458011.66480640043</v>
      </c>
      <c r="I17" s="20">
        <f>I22*I5</f>
        <v>480912.24804672046</v>
      </c>
      <c r="J17" s="20">
        <f>J22*J5</f>
        <v>504957.86044905649</v>
      </c>
      <c r="K17" s="21">
        <f>K22*K5</f>
        <v>530205.75347150932</v>
      </c>
    </row>
    <row r="18" spans="2:11" x14ac:dyDescent="0.35">
      <c r="B18" s="44" t="s">
        <v>11</v>
      </c>
      <c r="C18" s="5">
        <v>-111000</v>
      </c>
      <c r="D18" s="5">
        <v>-201000</v>
      </c>
      <c r="E18" s="5">
        <v>-198000</v>
      </c>
      <c r="G18" s="20">
        <f>+G23*G5</f>
        <v>-234456.23293946145</v>
      </c>
      <c r="H18" s="20">
        <f>+H23*H5</f>
        <v>-246179.04458643452</v>
      </c>
      <c r="I18" s="20">
        <f>+I23*I5</f>
        <v>-258487.99681575625</v>
      </c>
      <c r="J18" s="20">
        <f>+J23*J5</f>
        <v>-271412.39665654406</v>
      </c>
      <c r="K18" s="21">
        <f>+K23*K5</f>
        <v>-284983.01648937131</v>
      </c>
    </row>
    <row r="19" spans="2:11" x14ac:dyDescent="0.35">
      <c r="B19" s="44"/>
      <c r="C19" s="5"/>
      <c r="D19" s="5"/>
      <c r="E19" s="5"/>
      <c r="G19" s="20"/>
      <c r="H19" s="20"/>
      <c r="I19" s="20"/>
      <c r="J19" s="20"/>
      <c r="K19" s="21"/>
    </row>
    <row r="20" spans="2:11" x14ac:dyDescent="0.35">
      <c r="B20" s="44" t="s">
        <v>13</v>
      </c>
      <c r="C20" s="4"/>
      <c r="D20" s="4"/>
      <c r="E20" s="4"/>
      <c r="K20" s="14"/>
    </row>
    <row r="21" spans="2:11" x14ac:dyDescent="0.35">
      <c r="B21" s="44" t="s">
        <v>9</v>
      </c>
      <c r="C21" s="8">
        <f>C16/C5</f>
        <v>0.1023778071334214</v>
      </c>
      <c r="D21" s="8">
        <f>D16/D5</f>
        <v>7.2313698862671874E-2</v>
      </c>
      <c r="E21" s="8">
        <f>E16/E5</f>
        <v>5.9547022648867555E-2</v>
      </c>
      <c r="G21" s="23">
        <f>AVERAGE(C21:E21)</f>
        <v>7.8079509548320283E-2</v>
      </c>
      <c r="H21" s="23">
        <f>+G21</f>
        <v>7.8079509548320283E-2</v>
      </c>
      <c r="I21" s="23">
        <f>+H21</f>
        <v>7.8079509548320283E-2</v>
      </c>
      <c r="J21" s="23">
        <f>+I21</f>
        <v>7.8079509548320283E-2</v>
      </c>
      <c r="K21" s="24">
        <f>+J21</f>
        <v>7.8079509548320283E-2</v>
      </c>
    </row>
    <row r="22" spans="2:11" x14ac:dyDescent="0.35">
      <c r="B22" s="44" t="s">
        <v>10</v>
      </c>
      <c r="C22" s="8">
        <f>C17/C5</f>
        <v>0.12813738441215325</v>
      </c>
      <c r="D22" s="8">
        <f>D17/D5</f>
        <v>2.8348327957901886E-2</v>
      </c>
      <c r="E22" s="8">
        <f>E17/E5</f>
        <v>3.0448477576121194E-2</v>
      </c>
      <c r="G22" s="23">
        <f>AVERAGE(C22:E22)</f>
        <v>6.2311396648725446E-2</v>
      </c>
      <c r="H22" s="23">
        <f>+G22</f>
        <v>6.2311396648725446E-2</v>
      </c>
      <c r="I22" s="23">
        <f t="shared" ref="I22:K23" si="7">+H22</f>
        <v>6.2311396648725446E-2</v>
      </c>
      <c r="J22" s="23">
        <f t="shared" si="7"/>
        <v>6.2311396648725446E-2</v>
      </c>
      <c r="K22" s="24">
        <f t="shared" si="7"/>
        <v>6.2311396648725446E-2</v>
      </c>
    </row>
    <row r="23" spans="2:11" x14ac:dyDescent="0.35">
      <c r="B23" s="44" t="s">
        <v>11</v>
      </c>
      <c r="C23" s="11">
        <f>C18/C5</f>
        <v>-3.6657859973579919E-2</v>
      </c>
      <c r="D23" s="11">
        <f>D18/D5</f>
        <v>-3.4119843829570534E-2</v>
      </c>
      <c r="E23" s="11">
        <f>E18/E5</f>
        <v>-2.9698515074246288E-2</v>
      </c>
      <c r="G23" s="23">
        <f>AVERAGE(C23:E23)</f>
        <v>-3.3492072959132251E-2</v>
      </c>
      <c r="H23" s="23">
        <f>+G23</f>
        <v>-3.3492072959132251E-2</v>
      </c>
      <c r="I23" s="23">
        <f t="shared" si="7"/>
        <v>-3.3492072959132251E-2</v>
      </c>
      <c r="J23" s="23">
        <f t="shared" si="7"/>
        <v>-3.3492072959132251E-2</v>
      </c>
      <c r="K23" s="24">
        <f t="shared" si="7"/>
        <v>-3.3492072959132251E-2</v>
      </c>
    </row>
    <row r="24" spans="2:11" x14ac:dyDescent="0.35">
      <c r="B24" s="44"/>
      <c r="K24" s="14"/>
    </row>
    <row r="25" spans="2:11" x14ac:dyDescent="0.35">
      <c r="B25" s="44" t="s">
        <v>12</v>
      </c>
      <c r="C25" s="4"/>
      <c r="D25" s="4"/>
      <c r="E25" s="4"/>
      <c r="G25" s="20">
        <f>+G13+G16</f>
        <v>1075192.9128760775</v>
      </c>
      <c r="H25">
        <f t="shared" ref="H25:K25" si="8">+H13+H16</f>
        <v>1128952.5585198817</v>
      </c>
      <c r="I25">
        <f t="shared" si="8"/>
        <v>1185400.1864458756</v>
      </c>
      <c r="J25">
        <f t="shared" si="8"/>
        <v>1244670.1957681691</v>
      </c>
      <c r="K25" s="22">
        <f t="shared" si="8"/>
        <v>1306903.7055565778</v>
      </c>
    </row>
    <row r="26" spans="2:11" x14ac:dyDescent="0.35">
      <c r="B26" s="44" t="s">
        <v>14</v>
      </c>
      <c r="K26" s="14"/>
    </row>
    <row r="27" spans="2:11" x14ac:dyDescent="0.35">
      <c r="K27" s="14"/>
    </row>
    <row r="28" spans="2:11" ht="15" thickBot="1" x14ac:dyDescent="0.4">
      <c r="B28" s="25" t="s">
        <v>15</v>
      </c>
      <c r="C28" s="26"/>
      <c r="D28" s="26"/>
      <c r="E28" s="26"/>
      <c r="F28" s="26"/>
      <c r="G28" s="26">
        <f>+G4</f>
        <v>2025</v>
      </c>
      <c r="H28" s="26">
        <f>+H4</f>
        <v>2026</v>
      </c>
      <c r="I28" s="26">
        <f>+I4</f>
        <v>2027</v>
      </c>
      <c r="J28" s="26">
        <f>+J4</f>
        <v>2028</v>
      </c>
      <c r="K28" s="26">
        <f>+K4</f>
        <v>2029</v>
      </c>
    </row>
    <row r="29" spans="2:11" ht="15" thickTop="1" x14ac:dyDescent="0.35">
      <c r="B29" t="s">
        <v>7</v>
      </c>
      <c r="G29" s="20">
        <f>+G13</f>
        <v>528609.01820949372</v>
      </c>
      <c r="H29" s="20">
        <f>+H13</f>
        <v>555039.46911996859</v>
      </c>
      <c r="I29" s="20">
        <f>+I13</f>
        <v>582791.44257596694</v>
      </c>
      <c r="J29" s="20">
        <f>+J13</f>
        <v>611931.01470476494</v>
      </c>
      <c r="K29" s="21">
        <f>+K13</f>
        <v>642527.56544000329</v>
      </c>
    </row>
    <row r="30" spans="2:11" x14ac:dyDescent="0.35">
      <c r="B30" t="s">
        <v>16</v>
      </c>
      <c r="E30" s="27">
        <v>0.22</v>
      </c>
      <c r="G30" s="20">
        <f>-$E$30*G29</f>
        <v>-116293.98400608862</v>
      </c>
      <c r="H30" s="20">
        <f t="shared" ref="H30:K30" si="9">-$E$30*H29</f>
        <v>-122108.68320639309</v>
      </c>
      <c r="I30" s="20">
        <f t="shared" si="9"/>
        <v>-128214.11736671273</v>
      </c>
      <c r="J30" s="20">
        <f t="shared" si="9"/>
        <v>-134624.8232350483</v>
      </c>
      <c r="K30" s="21">
        <f t="shared" si="9"/>
        <v>-141356.06439680074</v>
      </c>
    </row>
    <row r="31" spans="2:11" x14ac:dyDescent="0.35">
      <c r="B31" t="s">
        <v>17</v>
      </c>
      <c r="G31" s="20">
        <f>+G16</f>
        <v>546583.89466658386</v>
      </c>
      <c r="H31" s="20">
        <f>+H16</f>
        <v>573913.08939991309</v>
      </c>
      <c r="I31" s="20">
        <f>+I16</f>
        <v>602608.74386990874</v>
      </c>
      <c r="J31" s="20">
        <f>+J16</f>
        <v>632739.18106340419</v>
      </c>
      <c r="K31" s="21">
        <f>+K16</f>
        <v>664376.14011657448</v>
      </c>
    </row>
    <row r="32" spans="2:11" x14ac:dyDescent="0.35">
      <c r="B32" t="s">
        <v>18</v>
      </c>
      <c r="G32" s="20">
        <f>+G17</f>
        <v>436201.58552990516</v>
      </c>
      <c r="H32" s="20">
        <f>+H17</f>
        <v>458011.66480640043</v>
      </c>
      <c r="I32" s="20">
        <f>+I17</f>
        <v>480912.24804672046</v>
      </c>
      <c r="J32" s="20">
        <f>+J17</f>
        <v>504957.86044905649</v>
      </c>
      <c r="K32" s="21">
        <f>+K17</f>
        <v>530205.75347150932</v>
      </c>
    </row>
    <row r="33" spans="2:19" x14ac:dyDescent="0.35">
      <c r="B33" t="s">
        <v>19</v>
      </c>
      <c r="G33" s="20">
        <f>+G18</f>
        <v>-234456.23293946145</v>
      </c>
      <c r="H33" s="20">
        <f>+H18</f>
        <v>-246179.04458643452</v>
      </c>
      <c r="I33" s="20">
        <f>+I18</f>
        <v>-258487.99681575625</v>
      </c>
      <c r="J33" s="20">
        <f>+J18</f>
        <v>-271412.39665654406</v>
      </c>
      <c r="K33" s="21">
        <f>+K18</f>
        <v>-284983.01648937131</v>
      </c>
    </row>
    <row r="34" spans="2:19" ht="15" thickBot="1" x14ac:dyDescent="0.4">
      <c r="B34" t="s">
        <v>20</v>
      </c>
      <c r="G34" s="28">
        <f>SUM(G29:G33)</f>
        <v>1160644.2814604326</v>
      </c>
      <c r="H34" s="28">
        <f t="shared" ref="H34:K34" si="10">SUM(H29:H33)</f>
        <v>1218676.4955334545</v>
      </c>
      <c r="I34" s="28">
        <f t="shared" si="10"/>
        <v>1279610.3203101272</v>
      </c>
      <c r="J34" s="28">
        <f t="shared" si="10"/>
        <v>1343590.8363256333</v>
      </c>
      <c r="K34" s="29">
        <f t="shared" si="10"/>
        <v>1410770.378141915</v>
      </c>
    </row>
    <row r="35" spans="2:19" ht="15" thickTop="1" x14ac:dyDescent="0.35">
      <c r="K35" s="14"/>
    </row>
    <row r="36" spans="2:19" x14ac:dyDescent="0.35">
      <c r="B36" s="30" t="s">
        <v>21</v>
      </c>
      <c r="K36" s="14"/>
    </row>
    <row r="37" spans="2:19" x14ac:dyDescent="0.35">
      <c r="B37" t="s">
        <v>22</v>
      </c>
      <c r="D37" t="s">
        <v>23</v>
      </c>
      <c r="G37">
        <f>+C46</f>
        <v>22.145748791236919</v>
      </c>
      <c r="K37" s="7">
        <f>+K25*G37</f>
        <v>28942361.157592632</v>
      </c>
      <c r="M37" s="31" t="s">
        <v>24</v>
      </c>
    </row>
    <row r="38" spans="2:19" x14ac:dyDescent="0.35">
      <c r="B38" t="s">
        <v>25</v>
      </c>
      <c r="D38" t="s">
        <v>26</v>
      </c>
      <c r="F38" s="9">
        <f>+S40</f>
        <v>0.06</v>
      </c>
      <c r="K38" s="21">
        <f>K34/(R40-S40)</f>
        <v>23616243.564798422</v>
      </c>
      <c r="M38" t="s">
        <v>27</v>
      </c>
      <c r="N38" s="32">
        <f>Q42+Q44*(Q43-Q42)</f>
        <v>0.14099785088724115</v>
      </c>
      <c r="O38">
        <v>183.6</v>
      </c>
      <c r="P38" s="33">
        <f>+O38/O40</f>
        <v>0.7832764505119455</v>
      </c>
      <c r="Q38" s="23">
        <f>+N38</f>
        <v>0.14099785088724115</v>
      </c>
      <c r="R38" s="33">
        <f>Q38*P38</f>
        <v>0.11044029617277082</v>
      </c>
    </row>
    <row r="39" spans="2:19" x14ac:dyDescent="0.35">
      <c r="K39" s="16">
        <f>AVERAGE(K37:K38)</f>
        <v>26279302.361195527</v>
      </c>
      <c r="M39" t="s">
        <v>28</v>
      </c>
      <c r="N39" s="34">
        <f>N46/N45</f>
        <v>5.4997355896351137E-2</v>
      </c>
      <c r="O39">
        <v>50.8</v>
      </c>
      <c r="P39" s="33">
        <f>+O39/$O$40</f>
        <v>0.21672354948805461</v>
      </c>
      <c r="Q39" s="34">
        <f>+N39*(1-E30)</f>
        <v>4.289793759915389E-2</v>
      </c>
      <c r="R39" s="33">
        <f>Q39*P39</f>
        <v>9.2969933022057066E-3</v>
      </c>
    </row>
    <row r="40" spans="2:19" x14ac:dyDescent="0.35">
      <c r="J40" t="s">
        <v>29</v>
      </c>
      <c r="K40" s="7">
        <f>-N45*1000000</f>
        <v>-3782000</v>
      </c>
      <c r="O40">
        <f>+O39+O38</f>
        <v>234.39999999999998</v>
      </c>
      <c r="Q40" t="s">
        <v>24</v>
      </c>
      <c r="R40" s="35">
        <f>+R39+R38</f>
        <v>0.11973728947497653</v>
      </c>
      <c r="S40" s="32">
        <v>0.06</v>
      </c>
    </row>
    <row r="41" spans="2:19" x14ac:dyDescent="0.35">
      <c r="B41" s="36" t="s">
        <v>30</v>
      </c>
      <c r="D41" t="s">
        <v>31</v>
      </c>
      <c r="K41" s="16">
        <f>+K40+K39</f>
        <v>22497302.361195527</v>
      </c>
    </row>
    <row r="42" spans="2:19" x14ac:dyDescent="0.35">
      <c r="B42" t="str">
        <f>+'[1]Valuation Analysis'!A56</f>
        <v>Hilton Worldwide Holdings Inc.</v>
      </c>
      <c r="C42" s="37">
        <f>+'[1]Valuation Analysis'!J56</f>
        <v>29.59542463414634</v>
      </c>
      <c r="G42" s="20">
        <f>G34</f>
        <v>1160644.2814604326</v>
      </c>
      <c r="H42" s="20">
        <f t="shared" ref="H42:J42" si="11">H34</f>
        <v>1218676.4955334545</v>
      </c>
      <c r="I42" s="20">
        <f t="shared" si="11"/>
        <v>1279610.3203101272</v>
      </c>
      <c r="J42" s="20">
        <f t="shared" si="11"/>
        <v>1343590.8363256333</v>
      </c>
      <c r="K42" s="20">
        <f>K34+K41</f>
        <v>23908072.739337441</v>
      </c>
      <c r="M42" t="s">
        <v>32</v>
      </c>
      <c r="P42" t="s">
        <v>33</v>
      </c>
      <c r="Q42" s="27">
        <v>4.6800000000000001E-2</v>
      </c>
    </row>
    <row r="43" spans="2:19" x14ac:dyDescent="0.35">
      <c r="B43" t="str">
        <f>+'[1]Valuation Analysis'!A59</f>
        <v>Marriott International</v>
      </c>
      <c r="C43" s="37">
        <f>+'[1]Valuation Analysis'!J59</f>
        <v>23.070086399026764</v>
      </c>
      <c r="G43" s="38">
        <f>NPV(N38,G42:K42)</f>
        <v>15970384.367831528</v>
      </c>
      <c r="P43" t="s">
        <v>34</v>
      </c>
      <c r="Q43" s="27">
        <v>0.11</v>
      </c>
    </row>
    <row r="44" spans="2:19" ht="15" thickBot="1" x14ac:dyDescent="0.4">
      <c r="B44" t="str">
        <f>+'[1]Valuation Analysis'!A61</f>
        <v>Wyndham Worldwide</v>
      </c>
      <c r="C44" s="37">
        <f>+'[1]Valuation Analysis'!J61</f>
        <v>17.385066995073892</v>
      </c>
      <c r="G44" s="6">
        <f>+'[1]Valuation Analysis'!D31</f>
        <v>96062.693547367759</v>
      </c>
      <c r="M44" t="s">
        <v>35</v>
      </c>
      <c r="P44" t="s">
        <v>36</v>
      </c>
      <c r="Q44">
        <f>+'[1]Technical Analysis'!J18</f>
        <v>1.490472324165208</v>
      </c>
    </row>
    <row r="45" spans="2:19" ht="15" thickBot="1" x14ac:dyDescent="0.4">
      <c r="B45" t="str">
        <f>+'[1]Valuation Analysis'!A55</f>
        <v>Choice Hotels International</v>
      </c>
      <c r="C45" s="37">
        <f>+'[1]Valuation Analysis'!J55</f>
        <v>18.53241713670068</v>
      </c>
      <c r="G45" s="39">
        <f>+G43/G44</f>
        <v>166.24959990276201</v>
      </c>
      <c r="M45" t="s">
        <v>14</v>
      </c>
      <c r="N45">
        <f>+[1]Projections!S47/1000000</f>
        <v>3.782</v>
      </c>
      <c r="O45" t="s">
        <v>37</v>
      </c>
    </row>
    <row r="46" spans="2:19" x14ac:dyDescent="0.35">
      <c r="C46" s="37">
        <f>AVERAGE(C42:C45)</f>
        <v>22.145748791236919</v>
      </c>
      <c r="D46">
        <v>13.81</v>
      </c>
      <c r="E46">
        <f>+D46*C46</f>
        <v>305.83279080698185</v>
      </c>
      <c r="M46" t="s">
        <v>38</v>
      </c>
      <c r="N46">
        <f>+'[1]Historical Analysis'!C12/1000000</f>
        <v>0.20799999999999999</v>
      </c>
    </row>
    <row r="47" spans="2:19" x14ac:dyDescent="0.35">
      <c r="E47">
        <f>+E46-N45</f>
        <v>302.05079080698187</v>
      </c>
      <c r="F47" s="40">
        <f>+E47/(G44/1000000)</f>
        <v>3144.308988775575</v>
      </c>
    </row>
    <row r="49" spans="2:6" x14ac:dyDescent="0.35">
      <c r="B49" s="36" t="s">
        <v>39</v>
      </c>
      <c r="C49" s="41" t="s">
        <v>40</v>
      </c>
      <c r="E49" s="36" t="s">
        <v>41</v>
      </c>
      <c r="F49" s="41" t="s">
        <v>42</v>
      </c>
    </row>
    <row r="50" spans="2:6" x14ac:dyDescent="0.35">
      <c r="B50" t="s">
        <v>43</v>
      </c>
      <c r="C50" s="42">
        <f>+'[1]Valuation Analysis'!E38</f>
        <v>165</v>
      </c>
      <c r="E50" t="s">
        <v>44</v>
      </c>
      <c r="F50">
        <f>+C51</f>
        <v>6.68</v>
      </c>
    </row>
    <row r="51" spans="2:6" x14ac:dyDescent="0.35">
      <c r="B51" t="s">
        <v>45</v>
      </c>
      <c r="C51">
        <v>6.68</v>
      </c>
      <c r="E51" t="s">
        <v>46</v>
      </c>
      <c r="F51" s="23">
        <f>+C52</f>
        <v>0.14099785088724115</v>
      </c>
    </row>
    <row r="52" spans="2:6" x14ac:dyDescent="0.35">
      <c r="B52" t="s">
        <v>46</v>
      </c>
      <c r="C52" s="23">
        <f>+N38</f>
        <v>0.14099785088724115</v>
      </c>
      <c r="E52" t="s">
        <v>47</v>
      </c>
      <c r="F52" s="9">
        <f>+F38</f>
        <v>0.06</v>
      </c>
    </row>
    <row r="54" spans="2:6" x14ac:dyDescent="0.35">
      <c r="C54" s="43">
        <f>(C50+C51)/(1+C52)</f>
        <v>150.46478822593878</v>
      </c>
      <c r="F54" s="43">
        <f>+F50/(F51-F52)</f>
        <v>82.471323952772167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Practice</vt:lpstr>
      <vt:lpstr>Hyatt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Droussiotis</dc:creator>
  <cp:lastModifiedBy>Chris Droussiotis</cp:lastModifiedBy>
  <dcterms:created xsi:type="dcterms:W3CDTF">2025-07-29T11:32:03Z</dcterms:created>
  <dcterms:modified xsi:type="dcterms:W3CDTF">2025-07-29T11:53:38Z</dcterms:modified>
</cp:coreProperties>
</file>