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oussch\OneDrive\Documents\School Work\SHU\Courses\FIN 4261 Private Equity\"/>
    </mc:Choice>
  </mc:AlternateContent>
  <xr:revisionPtr revIDLastSave="0" documentId="13_ncr:1_{1ED7E2E3-FDD6-4198-94A7-BE35126FB688}" xr6:coauthVersionLast="47" xr6:coauthVersionMax="47" xr10:uidLastSave="{00000000-0000-0000-0000-000000000000}"/>
  <bookViews>
    <workbookView xWindow="-110" yWindow="-110" windowWidth="19420" windowHeight="11500" activeTab="1" xr2:uid="{BB7BDB04-130D-4870-A48C-D8763C623DF2}"/>
  </bookViews>
  <sheets>
    <sheet name="Secondary Market" sheetId="1" r:id="rId1"/>
    <sheet name="Primary Mark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2" l="1"/>
  <c r="J43" i="2"/>
  <c r="I43" i="2"/>
  <c r="H43" i="2"/>
  <c r="G43" i="2"/>
  <c r="F43" i="2"/>
  <c r="E43" i="2"/>
  <c r="D43" i="2"/>
  <c r="E23" i="2"/>
  <c r="F23" i="2" s="1"/>
  <c r="G23" i="2" s="1"/>
  <c r="H23" i="2" s="1"/>
  <c r="I23" i="2" s="1"/>
  <c r="J23" i="2" s="1"/>
  <c r="K23" i="2" s="1"/>
  <c r="D49" i="2"/>
  <c r="D48" i="2"/>
  <c r="D40" i="2"/>
  <c r="D39" i="2" s="1"/>
  <c r="E36" i="2"/>
  <c r="F36" i="2" s="1"/>
  <c r="G36" i="2" s="1"/>
  <c r="H36" i="2" s="1"/>
  <c r="I36" i="2" s="1"/>
  <c r="J36" i="2" s="1"/>
  <c r="K36" i="2" s="1"/>
  <c r="K49" i="2" s="1"/>
  <c r="D24" i="2"/>
  <c r="E21" i="2"/>
  <c r="K7" i="2"/>
  <c r="K6" i="2"/>
  <c r="E24" i="2" l="1"/>
  <c r="F49" i="2"/>
  <c r="D45" i="2"/>
  <c r="D50" i="2" s="1"/>
  <c r="E49" i="2"/>
  <c r="K48" i="2"/>
  <c r="I48" i="2"/>
  <c r="F48" i="2"/>
  <c r="I49" i="2"/>
  <c r="J48" i="2"/>
  <c r="K40" i="2"/>
  <c r="K39" i="2" s="1"/>
  <c r="H48" i="2"/>
  <c r="J40" i="2"/>
  <c r="J39" i="2" s="1"/>
  <c r="G48" i="2"/>
  <c r="I40" i="2"/>
  <c r="I39" i="2" s="1"/>
  <c r="H40" i="2"/>
  <c r="J49" i="2"/>
  <c r="E48" i="2"/>
  <c r="G40" i="2"/>
  <c r="F40" i="2"/>
  <c r="H49" i="2"/>
  <c r="E40" i="2"/>
  <c r="G49" i="2"/>
  <c r="F21" i="2"/>
  <c r="K8" i="2"/>
  <c r="K10" i="2" s="1"/>
  <c r="H39" i="2" l="1"/>
  <c r="H45" i="2"/>
  <c r="H50" i="2" s="1"/>
  <c r="H27" i="2" s="1"/>
  <c r="H29" i="2" s="1"/>
  <c r="E39" i="2"/>
  <c r="E45" i="2"/>
  <c r="E50" i="2" s="1"/>
  <c r="F39" i="2"/>
  <c r="F45" i="2"/>
  <c r="F50" i="2" s="1"/>
  <c r="F27" i="2" s="1"/>
  <c r="F29" i="2" s="1"/>
  <c r="I45" i="2"/>
  <c r="I50" i="2" s="1"/>
  <c r="I27" i="2" s="1"/>
  <c r="I29" i="2" s="1"/>
  <c r="G39" i="2"/>
  <c r="G45" i="2"/>
  <c r="G50" i="2" s="1"/>
  <c r="G27" i="2" s="1"/>
  <c r="G29" i="2" s="1"/>
  <c r="K45" i="2"/>
  <c r="K50" i="2" s="1"/>
  <c r="K27" i="2" s="1"/>
  <c r="J45" i="2"/>
  <c r="F24" i="2"/>
  <c r="G21" i="2"/>
  <c r="E27" i="2" l="1"/>
  <c r="E29" i="2" s="1"/>
  <c r="J57" i="2"/>
  <c r="J50" i="2"/>
  <c r="J27" i="2" s="1"/>
  <c r="J56" i="2"/>
  <c r="J58" i="2" s="1"/>
  <c r="G24" i="2"/>
  <c r="H21" i="2"/>
  <c r="H24" i="2" l="1"/>
  <c r="I21" i="2"/>
  <c r="J28" i="2" l="1"/>
  <c r="J29" i="2" s="1"/>
  <c r="J21" i="2"/>
  <c r="I24" i="2"/>
  <c r="K21" i="2" l="1"/>
  <c r="K24" i="2" s="1"/>
  <c r="J24" i="2"/>
  <c r="J7" i="1" l="1"/>
  <c r="J8" i="1"/>
  <c r="J9" i="1"/>
  <c r="J6" i="1"/>
  <c r="N10" i="1"/>
  <c r="J10" i="1"/>
  <c r="I7" i="1"/>
  <c r="I8" i="1"/>
  <c r="I9" i="1"/>
  <c r="I10" i="1"/>
  <c r="I6" i="1"/>
  <c r="D7" i="2" l="1"/>
  <c r="D8" i="2" s="1"/>
  <c r="C8" i="2"/>
  <c r="D15" i="2" l="1"/>
  <c r="D9" i="2"/>
  <c r="D61" i="2" l="1"/>
  <c r="H16" i="2"/>
  <c r="F17" i="2"/>
  <c r="K17" i="2"/>
  <c r="E17" i="2"/>
  <c r="G16" i="2"/>
  <c r="J17" i="2"/>
  <c r="E16" i="2"/>
  <c r="E18" i="2" s="1"/>
  <c r="E52" i="2" s="1"/>
  <c r="E53" i="2" s="1"/>
  <c r="E61" i="2" s="1"/>
  <c r="G17" i="2"/>
  <c r="K16" i="2"/>
  <c r="K18" i="2" s="1"/>
  <c r="K52" i="2" s="1"/>
  <c r="K53" i="2" s="1"/>
  <c r="J16" i="2"/>
  <c r="I17" i="2"/>
  <c r="I16" i="2"/>
  <c r="H17" i="2"/>
  <c r="D18" i="2"/>
  <c r="F16" i="2"/>
  <c r="F18" i="2" s="1"/>
  <c r="F52" i="2" s="1"/>
  <c r="F53" i="2" s="1"/>
  <c r="F61" i="2" s="1"/>
  <c r="D10" i="2"/>
  <c r="E9" i="2" s="1"/>
  <c r="E15" i="2" l="1"/>
  <c r="F15" i="2" s="1"/>
  <c r="G15" i="2" s="1"/>
  <c r="H15" i="2" s="1"/>
  <c r="I15" i="2" s="1"/>
  <c r="J15" i="2" s="1"/>
  <c r="J18" i="2"/>
  <c r="J52" i="2" s="1"/>
  <c r="J53" i="2" s="1"/>
  <c r="G18" i="2"/>
  <c r="G52" i="2" s="1"/>
  <c r="G53" i="2" s="1"/>
  <c r="G61" i="2" s="1"/>
  <c r="E10" i="2"/>
  <c r="E6" i="2"/>
  <c r="E8" i="2"/>
  <c r="E7" i="2"/>
  <c r="I18" i="2"/>
  <c r="I52" i="2" s="1"/>
  <c r="I53" i="2" s="1"/>
  <c r="I61" i="2" s="1"/>
  <c r="H18" i="2"/>
  <c r="H52" i="2" s="1"/>
  <c r="H53" i="2" s="1"/>
  <c r="H61" i="2" s="1"/>
  <c r="J59" i="2" l="1"/>
  <c r="J60" i="2" s="1"/>
  <c r="J61" i="2" s="1"/>
  <c r="D62" i="2" s="1"/>
  <c r="K15" i="2"/>
  <c r="C18" i="2"/>
  <c r="C30" i="2" s="1"/>
  <c r="D30" i="2" s="1"/>
  <c r="D31" i="2" l="1"/>
  <c r="D32" i="2" s="1"/>
</calcChain>
</file>

<file path=xl/sharedStrings.xml><?xml version="1.0" encoding="utf-8"?>
<sst xmlns="http://schemas.openxmlformats.org/spreadsheetml/2006/main" count="104" uniqueCount="89">
  <si>
    <t>DISTRESS DEBT - SECONDARY MARKET</t>
  </si>
  <si>
    <t>Company</t>
  </si>
  <si>
    <t>Rated</t>
  </si>
  <si>
    <t>Spread</t>
  </si>
  <si>
    <t>Bid</t>
  </si>
  <si>
    <t>Ask</t>
  </si>
  <si>
    <t>Yield</t>
  </si>
  <si>
    <t>ABC</t>
  </si>
  <si>
    <t>BCD</t>
  </si>
  <si>
    <t>CDE</t>
  </si>
  <si>
    <t>DEF</t>
  </si>
  <si>
    <t>EFG</t>
  </si>
  <si>
    <t>CC+/C</t>
  </si>
  <si>
    <t>CCC-/Ca3</t>
  </si>
  <si>
    <t>CCC/Ca2</t>
  </si>
  <si>
    <t>D/D</t>
  </si>
  <si>
    <t>SOFR</t>
  </si>
  <si>
    <t>SOFR=</t>
  </si>
  <si>
    <t>Years to Mat</t>
  </si>
  <si>
    <t>Estimated
Recovery</t>
  </si>
  <si>
    <t>Accelaration
Years</t>
  </si>
  <si>
    <t>BANKRUPTCY RECOVERY ANALYSIS</t>
  </si>
  <si>
    <t>YIELD = SOFR + SPREAD + (Recovery % - Bid %) / Years to Maturity)</t>
  </si>
  <si>
    <t>FORMULA</t>
  </si>
  <si>
    <t>SOURCES</t>
  </si>
  <si>
    <t>USES</t>
  </si>
  <si>
    <t>Equity</t>
  </si>
  <si>
    <t>Purchase of Equity</t>
  </si>
  <si>
    <t>Purchase of Debt</t>
  </si>
  <si>
    <t>Fees</t>
  </si>
  <si>
    <t>Working Capital</t>
  </si>
  <si>
    <t>Debt</t>
  </si>
  <si>
    <t>Total Debt</t>
  </si>
  <si>
    <t>Discount</t>
  </si>
  <si>
    <t>Outstanding</t>
  </si>
  <si>
    <t>Total Uses</t>
  </si>
  <si>
    <t>Total Sources</t>
  </si>
  <si>
    <t>Commited</t>
  </si>
  <si>
    <t>Funded</t>
  </si>
  <si>
    <t>% Cap</t>
  </si>
  <si>
    <t>100% BUYOUT OF DEBT</t>
  </si>
  <si>
    <t>Purchase</t>
  </si>
  <si>
    <t>Debt Schedule</t>
  </si>
  <si>
    <t>Year 1</t>
  </si>
  <si>
    <t>Year 2</t>
  </si>
  <si>
    <t>Year 3</t>
  </si>
  <si>
    <t>Year 4</t>
  </si>
  <si>
    <t>Year 5</t>
  </si>
  <si>
    <t>Year 6</t>
  </si>
  <si>
    <t>Year 7</t>
  </si>
  <si>
    <t>Principal Payment</t>
  </si>
  <si>
    <t>Interest Payment</t>
  </si>
  <si>
    <t>Total Payment</t>
  </si>
  <si>
    <t>Interest Calc</t>
  </si>
  <si>
    <t>Sofr Increase</t>
  </si>
  <si>
    <t>SPREAD</t>
  </si>
  <si>
    <t>Total Interest</t>
  </si>
  <si>
    <t>Year 0</t>
  </si>
  <si>
    <t>DCF &amp; EQUITY ANALYSIS</t>
  </si>
  <si>
    <t>Revenue</t>
  </si>
  <si>
    <t xml:space="preserve"> Rev Growth</t>
  </si>
  <si>
    <t>Cost of Goods Sold</t>
  </si>
  <si>
    <t>Gross Profit</t>
  </si>
  <si>
    <t>Gross Margin</t>
  </si>
  <si>
    <t>Operatring Expenses</t>
  </si>
  <si>
    <t>EBITDA</t>
  </si>
  <si>
    <t>Less Working Capital</t>
  </si>
  <si>
    <t>Less Capex</t>
  </si>
  <si>
    <t>Cash Flow (Unlevered)</t>
  </si>
  <si>
    <t>Less Debt Service</t>
  </si>
  <si>
    <t>Equity Cash Flow</t>
  </si>
  <si>
    <t>Terminal Value</t>
  </si>
  <si>
    <t>EBITDA Multiple</t>
  </si>
  <si>
    <t>Perpetuity Mthod</t>
  </si>
  <si>
    <t>Averge Value</t>
  </si>
  <si>
    <t>Less Debt Outs</t>
  </si>
  <si>
    <t>Assumptions</t>
  </si>
  <si>
    <t>EXIT</t>
  </si>
  <si>
    <t>WACC</t>
  </si>
  <si>
    <t>Equity Value Terminal Value</t>
  </si>
  <si>
    <t>IRR=</t>
  </si>
  <si>
    <t>Debt Coverage Analysis (DCR)</t>
  </si>
  <si>
    <t>Unlevered Cash Fow</t>
  </si>
  <si>
    <t>Cash Flow + TV</t>
  </si>
  <si>
    <t>NPV (Debt)</t>
  </si>
  <si>
    <t>Less Cushion</t>
  </si>
  <si>
    <t>Debt Capacity</t>
  </si>
  <si>
    <t xml:space="preserve"> Oper Exp % of Revenue</t>
  </si>
  <si>
    <t>Less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</si>
</sst>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%"/>
    <numFmt numFmtId="166" formatCode="0.0%"/>
    <numFmt numFmtId="168" formatCode="_(* #,##0_);_(* \(#,##0\);_(* &quot;-&quot;??_);_(@_)"/>
    <numFmt numFmtId="170" formatCode="0.0\x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sz val="11"/>
      <color rgb="FF0033CC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right"/>
    </xf>
    <xf numFmtId="10" fontId="3" fillId="2" borderId="3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164" fontId="0" fillId="0" borderId="5" xfId="0" applyNumberFormat="1" applyBorder="1"/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/>
    <xf numFmtId="166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7" xfId="0" applyBorder="1"/>
    <xf numFmtId="2" fontId="0" fillId="0" borderId="7" xfId="0" applyNumberFormat="1" applyBorder="1" applyAlignment="1">
      <alignment horizontal="center"/>
    </xf>
    <xf numFmtId="164" fontId="0" fillId="0" borderId="7" xfId="0" applyNumberFormat="1" applyBorder="1"/>
    <xf numFmtId="0" fontId="4" fillId="2" borderId="2" xfId="0" applyFont="1" applyFill="1" applyBorder="1"/>
    <xf numFmtId="0" fontId="4" fillId="2" borderId="8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168" fontId="0" fillId="0" borderId="0" xfId="1" applyNumberFormat="1" applyFont="1"/>
    <xf numFmtId="168" fontId="3" fillId="0" borderId="0" xfId="1" applyNumberFormat="1" applyFont="1"/>
    <xf numFmtId="9" fontId="0" fillId="0" borderId="0" xfId="2" applyFont="1"/>
    <xf numFmtId="168" fontId="3" fillId="2" borderId="0" xfId="1" applyNumberFormat="1" applyFont="1" applyFill="1"/>
    <xf numFmtId="168" fontId="0" fillId="0" borderId="4" xfId="1" applyNumberFormat="1" applyFont="1" applyBorder="1"/>
    <xf numFmtId="168" fontId="0" fillId="0" borderId="6" xfId="1" applyNumberFormat="1" applyFont="1" applyBorder="1"/>
    <xf numFmtId="166" fontId="0" fillId="0" borderId="0" xfId="2" applyNumberFormat="1" applyFont="1"/>
    <xf numFmtId="166" fontId="0" fillId="0" borderId="4" xfId="2" applyNumberFormat="1" applyFont="1" applyBorder="1"/>
    <xf numFmtId="166" fontId="0" fillId="0" borderId="6" xfId="2" applyNumberFormat="1" applyFont="1" applyBorder="1"/>
    <xf numFmtId="168" fontId="5" fillId="0" borderId="0" xfId="1" quotePrefix="1" applyNumberFormat="1" applyFont="1"/>
    <xf numFmtId="10" fontId="0" fillId="0" borderId="0" xfId="2" applyNumberFormat="1" applyFont="1"/>
    <xf numFmtId="168" fontId="3" fillId="2" borderId="9" xfId="1" applyNumberFormat="1" applyFont="1" applyFill="1" applyBorder="1"/>
    <xf numFmtId="168" fontId="0" fillId="0" borderId="9" xfId="1" applyNumberFormat="1" applyFont="1" applyBorder="1"/>
    <xf numFmtId="168" fontId="0" fillId="0" borderId="10" xfId="1" applyNumberFormat="1" applyFont="1" applyBorder="1"/>
    <xf numFmtId="168" fontId="0" fillId="0" borderId="11" xfId="1" applyNumberFormat="1" applyFont="1" applyBorder="1"/>
    <xf numFmtId="168" fontId="3" fillId="2" borderId="9" xfId="1" applyNumberFormat="1" applyFont="1" applyFill="1" applyBorder="1" applyAlignment="1">
      <alignment horizontal="center"/>
    </xf>
    <xf numFmtId="168" fontId="7" fillId="0" borderId="0" xfId="1" applyNumberFormat="1" applyFont="1"/>
    <xf numFmtId="168" fontId="3" fillId="2" borderId="12" xfId="1" applyNumberFormat="1" applyFont="1" applyFill="1" applyBorder="1" applyAlignment="1">
      <alignment horizontal="right"/>
    </xf>
    <xf numFmtId="166" fontId="3" fillId="2" borderId="13" xfId="2" applyNumberFormat="1" applyFont="1" applyFill="1" applyBorder="1"/>
    <xf numFmtId="9" fontId="8" fillId="0" borderId="0" xfId="2" applyFont="1"/>
    <xf numFmtId="9" fontId="8" fillId="0" borderId="9" xfId="2" applyFont="1" applyBorder="1"/>
    <xf numFmtId="166" fontId="8" fillId="0" borderId="0" xfId="2" applyNumberFormat="1" applyFont="1"/>
    <xf numFmtId="166" fontId="8" fillId="0" borderId="9" xfId="2" applyNumberFormat="1" applyFont="1" applyBorder="1"/>
    <xf numFmtId="168" fontId="8" fillId="0" borderId="0" xfId="1" applyNumberFormat="1" applyFont="1"/>
    <xf numFmtId="10" fontId="8" fillId="0" borderId="0" xfId="2" applyNumberFormat="1" applyFont="1"/>
    <xf numFmtId="10" fontId="0" fillId="0" borderId="1" xfId="2" applyNumberFormat="1" applyFont="1" applyBorder="1"/>
    <xf numFmtId="168" fontId="8" fillId="0" borderId="4" xfId="1" applyNumberFormat="1" applyFont="1" applyBorder="1"/>
    <xf numFmtId="9" fontId="8" fillId="0" borderId="0" xfId="2" applyNumberFormat="1" applyFont="1"/>
    <xf numFmtId="9" fontId="8" fillId="0" borderId="7" xfId="2" applyNumberFormat="1" applyFont="1" applyBorder="1"/>
    <xf numFmtId="170" fontId="8" fillId="0" borderId="0" xfId="1" applyNumberFormat="1" applyFont="1"/>
    <xf numFmtId="168" fontId="0" fillId="2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766F-A99D-430C-805C-B17775877C46}">
  <dimension ref="D2:N14"/>
  <sheetViews>
    <sheetView showGridLines="0" workbookViewId="0">
      <selection activeCell="D19" sqref="D19"/>
    </sheetView>
  </sheetViews>
  <sheetFormatPr defaultRowHeight="14.5" x14ac:dyDescent="0.35"/>
  <cols>
    <col min="3" max="3" width="3.36328125" customWidth="1"/>
    <col min="4" max="4" width="15.08984375" customWidth="1"/>
    <col min="5" max="6" width="11.36328125" customWidth="1"/>
    <col min="10" max="10" width="8.90625" bestFit="1" customWidth="1"/>
    <col min="11" max="11" width="4" customWidth="1"/>
    <col min="12" max="12" width="13.08984375" customWidth="1"/>
    <col min="13" max="13" width="10.08984375" customWidth="1"/>
    <col min="14" max="14" width="10.54296875" bestFit="1" customWidth="1"/>
    <col min="15" max="15" width="3.1796875" customWidth="1"/>
  </cols>
  <sheetData>
    <row r="2" spans="4:14" ht="15" thickBot="1" x14ac:dyDescent="0.4"/>
    <row r="3" spans="4:14" ht="15" thickBot="1" x14ac:dyDescent="0.4">
      <c r="I3" s="6" t="s">
        <v>17</v>
      </c>
      <c r="J3" s="7">
        <v>3.85E-2</v>
      </c>
    </row>
    <row r="4" spans="4:14" x14ac:dyDescent="0.35">
      <c r="D4" s="1" t="s">
        <v>0</v>
      </c>
      <c r="L4" s="1" t="s">
        <v>21</v>
      </c>
    </row>
    <row r="5" spans="4:14" ht="29.5" thickBot="1" x14ac:dyDescent="0.4">
      <c r="D5" s="8" t="s">
        <v>1</v>
      </c>
      <c r="E5" s="8" t="s">
        <v>2</v>
      </c>
      <c r="F5" s="8" t="s">
        <v>18</v>
      </c>
      <c r="G5" s="8" t="s">
        <v>3</v>
      </c>
      <c r="H5" s="8" t="s">
        <v>4</v>
      </c>
      <c r="I5" s="8" t="s">
        <v>5</v>
      </c>
      <c r="J5" s="8" t="s">
        <v>6</v>
      </c>
      <c r="K5" s="5"/>
      <c r="L5" s="9" t="s">
        <v>20</v>
      </c>
      <c r="M5" s="9" t="s">
        <v>19</v>
      </c>
      <c r="N5" s="8" t="s">
        <v>6</v>
      </c>
    </row>
    <row r="6" spans="4:14" ht="15" thickTop="1" x14ac:dyDescent="0.35">
      <c r="D6" s="18" t="s">
        <v>7</v>
      </c>
      <c r="E6" s="18" t="s">
        <v>14</v>
      </c>
      <c r="F6" s="19">
        <v>3.5</v>
      </c>
      <c r="G6" s="20">
        <v>4.4999999999999998E-2</v>
      </c>
      <c r="H6" s="20">
        <v>0.88519999999999999</v>
      </c>
      <c r="I6" s="20">
        <f>+H6+0.01</f>
        <v>0.8952</v>
      </c>
      <c r="J6" s="20">
        <f>$J$3+G6+((M6-H6)/F6)</f>
        <v>0.11629999999999999</v>
      </c>
      <c r="M6" s="2">
        <v>1</v>
      </c>
      <c r="N6" s="3"/>
    </row>
    <row r="7" spans="4:14" x14ac:dyDescent="0.35">
      <c r="D7" s="10" t="s">
        <v>8</v>
      </c>
      <c r="E7" s="10" t="s">
        <v>12</v>
      </c>
      <c r="F7" s="11">
        <v>3.75</v>
      </c>
      <c r="G7" s="12">
        <v>5.2499999999999998E-2</v>
      </c>
      <c r="H7" s="12">
        <v>0.78449999999999998</v>
      </c>
      <c r="I7" s="12">
        <f t="shared" ref="I7:I10" si="0">+H7+0.01</f>
        <v>0.79449999999999998</v>
      </c>
      <c r="J7" s="20">
        <f t="shared" ref="J7:J9" si="1">$J$3+G7+((M7-H7)/F7)</f>
        <v>0.14846666666666666</v>
      </c>
      <c r="M7" s="2">
        <v>1</v>
      </c>
      <c r="N7" s="3"/>
    </row>
    <row r="8" spans="4:14" x14ac:dyDescent="0.35">
      <c r="D8" s="10" t="s">
        <v>9</v>
      </c>
      <c r="E8" s="10" t="s">
        <v>13</v>
      </c>
      <c r="F8" s="11">
        <v>4.25</v>
      </c>
      <c r="G8" s="12">
        <v>4.7500000000000001E-2</v>
      </c>
      <c r="H8" s="12">
        <v>0.8145</v>
      </c>
      <c r="I8" s="12">
        <f t="shared" si="0"/>
        <v>0.82450000000000001</v>
      </c>
      <c r="J8" s="20">
        <f t="shared" si="1"/>
        <v>0.12964705882352939</v>
      </c>
      <c r="M8" s="2">
        <v>1</v>
      </c>
      <c r="N8" s="3"/>
    </row>
    <row r="9" spans="4:14" x14ac:dyDescent="0.35">
      <c r="D9" s="10" t="s">
        <v>10</v>
      </c>
      <c r="E9" s="10" t="s">
        <v>14</v>
      </c>
      <c r="F9" s="11">
        <v>3</v>
      </c>
      <c r="G9" s="12">
        <v>3.7499999999999999E-2</v>
      </c>
      <c r="H9" s="12">
        <v>0.879</v>
      </c>
      <c r="I9" s="12">
        <f t="shared" si="0"/>
        <v>0.88900000000000001</v>
      </c>
      <c r="J9" s="20">
        <f t="shared" si="1"/>
        <v>0.11633333333333333</v>
      </c>
      <c r="M9" s="2">
        <v>1</v>
      </c>
      <c r="N9" s="3"/>
    </row>
    <row r="10" spans="4:14" x14ac:dyDescent="0.35">
      <c r="D10" s="13" t="s">
        <v>11</v>
      </c>
      <c r="E10" s="13" t="s">
        <v>15</v>
      </c>
      <c r="F10" s="14">
        <v>2.5</v>
      </c>
      <c r="G10" s="15">
        <v>4.4999999999999998E-2</v>
      </c>
      <c r="H10" s="15">
        <v>0.624</v>
      </c>
      <c r="I10" s="15">
        <f t="shared" si="0"/>
        <v>0.63400000000000001</v>
      </c>
      <c r="J10" s="15">
        <f t="shared" ref="J7:J10" si="2">$J$3+G10+((1-H10)/F10)</f>
        <v>0.2339</v>
      </c>
      <c r="K10" s="4"/>
      <c r="L10" s="14">
        <v>1</v>
      </c>
      <c r="M10" s="16">
        <v>0.75</v>
      </c>
      <c r="N10" s="17">
        <f>$J$3+((M10-H10)/L10)</f>
        <v>0.16450000000000001</v>
      </c>
    </row>
    <row r="13" spans="4:14" ht="15" thickBot="1" x14ac:dyDescent="0.4">
      <c r="D13" s="1" t="s">
        <v>23</v>
      </c>
    </row>
    <row r="14" spans="4:14" ht="24" thickBot="1" x14ac:dyDescent="0.6">
      <c r="D14" s="21" t="s">
        <v>22</v>
      </c>
      <c r="E14" s="22"/>
      <c r="F14" s="22"/>
      <c r="G14" s="22"/>
      <c r="H14" s="22"/>
      <c r="I14" s="23"/>
      <c r="J14" s="23"/>
      <c r="K14" s="23"/>
      <c r="L14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59D1-9D68-4BAA-81D5-FDFC11E7D9D0}">
  <dimension ref="B2:L62"/>
  <sheetViews>
    <sheetView showGridLines="0" tabSelected="1" workbookViewId="0">
      <selection activeCell="N9" sqref="N9"/>
    </sheetView>
  </sheetViews>
  <sheetFormatPr defaultRowHeight="14.5" x14ac:dyDescent="0.35"/>
  <cols>
    <col min="1" max="1" width="3.7265625" style="25" customWidth="1"/>
    <col min="2" max="2" width="21.90625" style="25" bestFit="1" customWidth="1"/>
    <col min="3" max="3" width="12" style="25" customWidth="1"/>
    <col min="4" max="5" width="8.7265625" style="25"/>
    <col min="6" max="6" width="8.81640625" style="25" customWidth="1"/>
    <col min="7" max="11" width="9.7265625" style="25" customWidth="1"/>
    <col min="12" max="16384" width="8.7265625" style="25"/>
  </cols>
  <sheetData>
    <row r="2" spans="2:11" ht="21" x14ac:dyDescent="0.5">
      <c r="B2" s="34" t="s">
        <v>40</v>
      </c>
    </row>
    <row r="4" spans="2:11" x14ac:dyDescent="0.35">
      <c r="B4" s="26" t="s">
        <v>24</v>
      </c>
      <c r="C4" s="26"/>
      <c r="D4" s="26"/>
      <c r="E4" s="26"/>
      <c r="F4" s="26"/>
      <c r="G4" s="26" t="s">
        <v>25</v>
      </c>
      <c r="H4" s="26"/>
    </row>
    <row r="5" spans="2:11" x14ac:dyDescent="0.35">
      <c r="B5" s="28"/>
      <c r="C5" s="28" t="s">
        <v>37</v>
      </c>
      <c r="D5" s="28" t="s">
        <v>38</v>
      </c>
      <c r="E5" s="28" t="s">
        <v>39</v>
      </c>
      <c r="G5" s="28"/>
      <c r="H5" s="28"/>
      <c r="I5" s="28" t="s">
        <v>34</v>
      </c>
      <c r="J5" s="28" t="s">
        <v>33</v>
      </c>
      <c r="K5" s="28" t="s">
        <v>41</v>
      </c>
    </row>
    <row r="6" spans="2:11" x14ac:dyDescent="0.35">
      <c r="B6" s="25" t="s">
        <v>30</v>
      </c>
      <c r="C6" s="48">
        <v>200</v>
      </c>
      <c r="D6" s="25">
        <v>0</v>
      </c>
      <c r="E6" s="31">
        <f>D6/$D$10</f>
        <v>0</v>
      </c>
      <c r="G6" s="25" t="s">
        <v>27</v>
      </c>
      <c r="I6" s="48">
        <v>800</v>
      </c>
      <c r="J6" s="44">
        <v>1</v>
      </c>
      <c r="K6" s="25">
        <f>I6*(1-J6)</f>
        <v>0</v>
      </c>
    </row>
    <row r="7" spans="2:11" x14ac:dyDescent="0.35">
      <c r="B7" s="25" t="s">
        <v>31</v>
      </c>
      <c r="C7" s="48">
        <v>1500</v>
      </c>
      <c r="D7" s="25">
        <f>+C7</f>
        <v>1500</v>
      </c>
      <c r="E7" s="31">
        <f t="shared" ref="E7:E10" si="0">D7/$D$10</f>
        <v>0.72815533980582525</v>
      </c>
      <c r="G7" s="25" t="s">
        <v>28</v>
      </c>
      <c r="I7" s="48">
        <v>4000</v>
      </c>
      <c r="J7" s="44">
        <v>0.5</v>
      </c>
      <c r="K7" s="25">
        <f>I7*(1-J7)</f>
        <v>2000</v>
      </c>
    </row>
    <row r="8" spans="2:11" x14ac:dyDescent="0.35">
      <c r="B8" s="25" t="s">
        <v>32</v>
      </c>
      <c r="C8" s="30">
        <f>SUM(C6:C7)</f>
        <v>1700</v>
      </c>
      <c r="D8" s="30">
        <f>SUM(D6:D7)</f>
        <v>1500</v>
      </c>
      <c r="E8" s="33">
        <f t="shared" si="0"/>
        <v>0.72815533980582525</v>
      </c>
      <c r="G8" s="25" t="s">
        <v>29</v>
      </c>
      <c r="J8" s="44">
        <v>0.03</v>
      </c>
      <c r="K8" s="25">
        <f>J8*(K6+K7)</f>
        <v>60</v>
      </c>
    </row>
    <row r="9" spans="2:11" x14ac:dyDescent="0.35">
      <c r="B9" s="25" t="s">
        <v>26</v>
      </c>
      <c r="D9" s="25">
        <f>K10-D7-D6</f>
        <v>560</v>
      </c>
      <c r="E9" s="31">
        <f t="shared" si="0"/>
        <v>0.27184466019417475</v>
      </c>
      <c r="J9" s="27"/>
    </row>
    <row r="10" spans="2:11" ht="15" thickBot="1" x14ac:dyDescent="0.4">
      <c r="B10" s="25" t="s">
        <v>36</v>
      </c>
      <c r="D10" s="29">
        <f>SUM(D8:D9)</f>
        <v>2060</v>
      </c>
      <c r="E10" s="32">
        <f t="shared" si="0"/>
        <v>1</v>
      </c>
      <c r="G10" s="25" t="s">
        <v>35</v>
      </c>
      <c r="J10" s="27"/>
      <c r="K10" s="29">
        <f>SUM(K6:K8)</f>
        <v>2060</v>
      </c>
    </row>
    <row r="11" spans="2:11" ht="15" thickTop="1" x14ac:dyDescent="0.35"/>
    <row r="13" spans="2:11" x14ac:dyDescent="0.35">
      <c r="B13" s="26" t="s">
        <v>42</v>
      </c>
    </row>
    <row r="14" spans="2:11" x14ac:dyDescent="0.35">
      <c r="B14" s="28"/>
      <c r="C14" s="28" t="s">
        <v>76</v>
      </c>
      <c r="D14" s="28" t="s">
        <v>57</v>
      </c>
      <c r="E14" s="28" t="s">
        <v>43</v>
      </c>
      <c r="F14" s="28" t="s">
        <v>44</v>
      </c>
      <c r="G14" s="28" t="s">
        <v>45</v>
      </c>
      <c r="H14" s="28" t="s">
        <v>46</v>
      </c>
      <c r="I14" s="28" t="s">
        <v>47</v>
      </c>
      <c r="J14" s="28" t="s">
        <v>48</v>
      </c>
      <c r="K14" s="28" t="s">
        <v>49</v>
      </c>
    </row>
    <row r="15" spans="2:11" x14ac:dyDescent="0.35">
      <c r="B15" s="25" t="s">
        <v>34</v>
      </c>
      <c r="D15" s="25">
        <f>D7</f>
        <v>1500</v>
      </c>
      <c r="E15" s="25">
        <f>+D15-E16</f>
        <v>1485</v>
      </c>
      <c r="F15" s="25">
        <f t="shared" ref="F15:K15" si="1">+E15-F16</f>
        <v>1470</v>
      </c>
      <c r="G15" s="25">
        <f t="shared" si="1"/>
        <v>1455</v>
      </c>
      <c r="H15" s="25">
        <f t="shared" si="1"/>
        <v>1440</v>
      </c>
      <c r="I15" s="25">
        <f t="shared" si="1"/>
        <v>1425</v>
      </c>
      <c r="J15" s="25">
        <f t="shared" si="1"/>
        <v>1410</v>
      </c>
      <c r="K15" s="25">
        <f t="shared" si="1"/>
        <v>0</v>
      </c>
    </row>
    <row r="16" spans="2:11" x14ac:dyDescent="0.35">
      <c r="B16" s="25" t="s">
        <v>50</v>
      </c>
      <c r="E16" s="25">
        <f>0.01*$D$15</f>
        <v>15</v>
      </c>
      <c r="F16" s="25">
        <f t="shared" ref="F16:J16" si="2">0.01*$D$15</f>
        <v>15</v>
      </c>
      <c r="G16" s="25">
        <f t="shared" si="2"/>
        <v>15</v>
      </c>
      <c r="H16" s="25">
        <f t="shared" si="2"/>
        <v>15</v>
      </c>
      <c r="I16" s="25">
        <f t="shared" si="2"/>
        <v>15</v>
      </c>
      <c r="J16" s="25">
        <f t="shared" si="2"/>
        <v>15</v>
      </c>
      <c r="K16" s="25">
        <f>0.94*$D$15</f>
        <v>1410</v>
      </c>
    </row>
    <row r="17" spans="2:11" ht="15" thickBot="1" x14ac:dyDescent="0.4">
      <c r="B17" s="25" t="s">
        <v>51</v>
      </c>
      <c r="E17" s="25">
        <f>E24*$D$15</f>
        <v>135</v>
      </c>
      <c r="F17" s="25">
        <f t="shared" ref="F17:K17" si="3">F24*$D$15</f>
        <v>142.5</v>
      </c>
      <c r="G17" s="25">
        <f t="shared" si="3"/>
        <v>150</v>
      </c>
      <c r="H17" s="25">
        <f t="shared" si="3"/>
        <v>165</v>
      </c>
      <c r="I17" s="25">
        <f t="shared" si="3"/>
        <v>165</v>
      </c>
      <c r="J17" s="25">
        <f t="shared" si="3"/>
        <v>165</v>
      </c>
      <c r="K17" s="25">
        <f t="shared" si="3"/>
        <v>165</v>
      </c>
    </row>
    <row r="18" spans="2:11" ht="15" thickBot="1" x14ac:dyDescent="0.4">
      <c r="B18" s="25" t="s">
        <v>52</v>
      </c>
      <c r="C18" s="50">
        <f>IRR(D18:K18)</f>
        <v>0.10484094443441139</v>
      </c>
      <c r="D18" s="25">
        <f>-D15</f>
        <v>-1500</v>
      </c>
      <c r="E18" s="29">
        <f>SUM(E16:E17)</f>
        <v>150</v>
      </c>
      <c r="F18" s="29">
        <f t="shared" ref="F18:K18" si="4">SUM(F16:F17)</f>
        <v>157.5</v>
      </c>
      <c r="G18" s="29">
        <f t="shared" si="4"/>
        <v>165</v>
      </c>
      <c r="H18" s="29">
        <f t="shared" si="4"/>
        <v>180</v>
      </c>
      <c r="I18" s="29">
        <f t="shared" si="4"/>
        <v>180</v>
      </c>
      <c r="J18" s="29">
        <f t="shared" si="4"/>
        <v>180</v>
      </c>
      <c r="K18" s="29">
        <f t="shared" si="4"/>
        <v>1575</v>
      </c>
    </row>
    <row r="20" spans="2:11" x14ac:dyDescent="0.35">
      <c r="B20" s="25" t="s">
        <v>53</v>
      </c>
      <c r="D20" s="35"/>
      <c r="E20" s="35"/>
      <c r="F20" s="35"/>
      <c r="G20" s="35"/>
      <c r="H20" s="35"/>
      <c r="I20" s="35"/>
      <c r="J20" s="35"/>
      <c r="K20" s="35"/>
    </row>
    <row r="21" spans="2:11" x14ac:dyDescent="0.35">
      <c r="B21" s="25" t="s">
        <v>16</v>
      </c>
      <c r="D21" s="35">
        <v>3.5000000000000003E-2</v>
      </c>
      <c r="E21" s="35">
        <f>+D21+E22</f>
        <v>0.04</v>
      </c>
      <c r="F21" s="35">
        <f t="shared" ref="F21:K21" si="5">+E21+F22</f>
        <v>4.4999999999999998E-2</v>
      </c>
      <c r="G21" s="35">
        <f t="shared" si="5"/>
        <v>4.9999999999999996E-2</v>
      </c>
      <c r="H21" s="35">
        <f t="shared" si="5"/>
        <v>0.06</v>
      </c>
      <c r="I21" s="35">
        <f t="shared" si="5"/>
        <v>0.06</v>
      </c>
      <c r="J21" s="35">
        <f t="shared" si="5"/>
        <v>0.06</v>
      </c>
      <c r="K21" s="35">
        <f t="shared" si="5"/>
        <v>0.06</v>
      </c>
    </row>
    <row r="22" spans="2:11" x14ac:dyDescent="0.35">
      <c r="B22" s="25" t="s">
        <v>54</v>
      </c>
      <c r="D22" s="35"/>
      <c r="E22" s="49">
        <v>5.0000000000000001E-3</v>
      </c>
      <c r="F22" s="49">
        <v>5.0000000000000001E-3</v>
      </c>
      <c r="G22" s="49">
        <v>5.0000000000000001E-3</v>
      </c>
      <c r="H22" s="49">
        <v>0.01</v>
      </c>
      <c r="I22" s="49">
        <v>0</v>
      </c>
      <c r="J22" s="49">
        <v>0</v>
      </c>
      <c r="K22" s="49">
        <v>0</v>
      </c>
    </row>
    <row r="23" spans="2:11" x14ac:dyDescent="0.35">
      <c r="B23" s="25" t="s">
        <v>55</v>
      </c>
      <c r="D23" s="49">
        <v>0.05</v>
      </c>
      <c r="E23" s="35">
        <f>+D23</f>
        <v>0.05</v>
      </c>
      <c r="F23" s="35">
        <f t="shared" ref="F23:K23" si="6">+E23</f>
        <v>0.05</v>
      </c>
      <c r="G23" s="35">
        <f t="shared" si="6"/>
        <v>0.05</v>
      </c>
      <c r="H23" s="35">
        <f t="shared" si="6"/>
        <v>0.05</v>
      </c>
      <c r="I23" s="35">
        <f t="shared" si="6"/>
        <v>0.05</v>
      </c>
      <c r="J23" s="35">
        <f t="shared" si="6"/>
        <v>0.05</v>
      </c>
      <c r="K23" s="35">
        <f t="shared" si="6"/>
        <v>0.05</v>
      </c>
    </row>
    <row r="24" spans="2:11" x14ac:dyDescent="0.35">
      <c r="B24" s="25" t="s">
        <v>56</v>
      </c>
      <c r="D24" s="35">
        <f t="shared" ref="D24" si="7">D23+D21</f>
        <v>8.5000000000000006E-2</v>
      </c>
      <c r="E24" s="35">
        <f>E23+E21</f>
        <v>0.09</v>
      </c>
      <c r="F24" s="35">
        <f t="shared" ref="F24:K24" si="8">F23+F21</f>
        <v>9.5000000000000001E-2</v>
      </c>
      <c r="G24" s="35">
        <f t="shared" si="8"/>
        <v>0.1</v>
      </c>
      <c r="H24" s="35">
        <f t="shared" si="8"/>
        <v>0.11</v>
      </c>
      <c r="I24" s="35">
        <f t="shared" si="8"/>
        <v>0.11</v>
      </c>
      <c r="J24" s="35">
        <f t="shared" si="8"/>
        <v>0.11</v>
      </c>
      <c r="K24" s="35">
        <f t="shared" si="8"/>
        <v>0.11</v>
      </c>
    </row>
    <row r="26" spans="2:11" x14ac:dyDescent="0.35">
      <c r="B26" s="26" t="s">
        <v>81</v>
      </c>
    </row>
    <row r="27" spans="2:11" x14ac:dyDescent="0.35">
      <c r="B27" s="25" t="s">
        <v>82</v>
      </c>
      <c r="E27" s="25">
        <f>E50</f>
        <v>-85.050000000000011</v>
      </c>
      <c r="F27" s="25">
        <f t="shared" ref="F27:K27" si="9">F50</f>
        <v>157.94999999999999</v>
      </c>
      <c r="G27" s="25">
        <f t="shared" si="9"/>
        <v>229.63499999999993</v>
      </c>
      <c r="H27" s="25">
        <f t="shared" si="9"/>
        <v>308.09362500000009</v>
      </c>
      <c r="I27" s="25">
        <f t="shared" si="9"/>
        <v>323.49830624999998</v>
      </c>
      <c r="J27" s="25">
        <f t="shared" si="9"/>
        <v>339.67322156250015</v>
      </c>
      <c r="K27" s="25">
        <f t="shared" si="9"/>
        <v>356.65688264062521</v>
      </c>
    </row>
    <row r="28" spans="2:11" x14ac:dyDescent="0.35">
      <c r="B28" s="25" t="s">
        <v>71</v>
      </c>
      <c r="J28" s="25">
        <f>J58</f>
        <v>3036.7524427734388</v>
      </c>
    </row>
    <row r="29" spans="2:11" x14ac:dyDescent="0.35">
      <c r="B29" s="25" t="s">
        <v>83</v>
      </c>
      <c r="E29" s="25">
        <f>+E28+E27</f>
        <v>-85.050000000000011</v>
      </c>
      <c r="F29" s="25">
        <f t="shared" ref="F29:J29" si="10">+F28+F27</f>
        <v>157.94999999999999</v>
      </c>
      <c r="G29" s="25">
        <f t="shared" si="10"/>
        <v>229.63499999999993</v>
      </c>
      <c r="H29" s="25">
        <f t="shared" si="10"/>
        <v>308.09362500000009</v>
      </c>
      <c r="I29" s="25">
        <f t="shared" si="10"/>
        <v>323.49830624999998</v>
      </c>
      <c r="J29" s="25">
        <f t="shared" si="10"/>
        <v>3376.425664335939</v>
      </c>
    </row>
    <row r="30" spans="2:11" x14ac:dyDescent="0.35">
      <c r="B30" s="25" t="s">
        <v>84</v>
      </c>
      <c r="C30" s="35">
        <f>C18</f>
        <v>0.10484094443441139</v>
      </c>
      <c r="D30" s="25">
        <f>NPV(C30,E29:J29)</f>
        <v>2482.304349977856</v>
      </c>
    </row>
    <row r="31" spans="2:11" ht="15" thickBot="1" x14ac:dyDescent="0.4">
      <c r="B31" s="25" t="s">
        <v>85</v>
      </c>
      <c r="C31" s="49">
        <v>0.3</v>
      </c>
      <c r="D31" s="25">
        <f>-C31*D30</f>
        <v>-744.69130499335677</v>
      </c>
    </row>
    <row r="32" spans="2:11" ht="15" thickBot="1" x14ac:dyDescent="0.4">
      <c r="B32" s="25" t="s">
        <v>86</v>
      </c>
      <c r="D32" s="55">
        <f>+D30+D31</f>
        <v>1737.6130449844991</v>
      </c>
    </row>
    <row r="34" spans="2:12" x14ac:dyDescent="0.35">
      <c r="B34" s="26" t="s">
        <v>58</v>
      </c>
      <c r="J34" s="40" t="s">
        <v>77</v>
      </c>
    </row>
    <row r="35" spans="2:12" x14ac:dyDescent="0.35">
      <c r="B35" s="28"/>
      <c r="C35" s="28" t="s">
        <v>76</v>
      </c>
      <c r="D35" s="28" t="s">
        <v>57</v>
      </c>
      <c r="E35" s="28" t="s">
        <v>43</v>
      </c>
      <c r="F35" s="28" t="s">
        <v>44</v>
      </c>
      <c r="G35" s="28" t="s">
        <v>45</v>
      </c>
      <c r="H35" s="28" t="s">
        <v>46</v>
      </c>
      <c r="I35" s="28" t="s">
        <v>47</v>
      </c>
      <c r="J35" s="36" t="s">
        <v>48</v>
      </c>
      <c r="K35" s="28" t="s">
        <v>49</v>
      </c>
    </row>
    <row r="36" spans="2:12" x14ac:dyDescent="0.35">
      <c r="B36" s="25" t="s">
        <v>59</v>
      </c>
      <c r="C36" s="48"/>
      <c r="D36" s="48">
        <v>1350</v>
      </c>
      <c r="E36" s="25">
        <f>D36*(1+E37)</f>
        <v>1215</v>
      </c>
      <c r="F36" s="25">
        <f t="shared" ref="F36:K36" si="11">E36*(1+F37)</f>
        <v>1215</v>
      </c>
      <c r="G36" s="25">
        <f t="shared" si="11"/>
        <v>1275.75</v>
      </c>
      <c r="H36" s="25">
        <f t="shared" si="11"/>
        <v>1339.5375000000001</v>
      </c>
      <c r="I36" s="25">
        <f t="shared" si="11"/>
        <v>1406.5143750000002</v>
      </c>
      <c r="J36" s="37">
        <f t="shared" si="11"/>
        <v>1476.8400937500003</v>
      </c>
      <c r="K36" s="25">
        <f t="shared" si="11"/>
        <v>1550.6820984375004</v>
      </c>
    </row>
    <row r="37" spans="2:12" x14ac:dyDescent="0.35">
      <c r="B37" s="25" t="s">
        <v>60</v>
      </c>
      <c r="C37" s="48"/>
      <c r="D37" s="27"/>
      <c r="E37" s="46">
        <v>-0.1</v>
      </c>
      <c r="F37" s="46">
        <v>0</v>
      </c>
      <c r="G37" s="46">
        <v>0.05</v>
      </c>
      <c r="H37" s="46">
        <v>0.05</v>
      </c>
      <c r="I37" s="46">
        <v>0.05</v>
      </c>
      <c r="J37" s="47">
        <v>0.05</v>
      </c>
      <c r="K37" s="46">
        <v>0.05</v>
      </c>
    </row>
    <row r="38" spans="2:12" x14ac:dyDescent="0.35">
      <c r="C38" s="48"/>
      <c r="J38" s="37"/>
    </row>
    <row r="39" spans="2:12" x14ac:dyDescent="0.35">
      <c r="B39" s="25" t="s">
        <v>61</v>
      </c>
      <c r="C39" s="48"/>
      <c r="D39" s="25">
        <f>D36-D40</f>
        <v>877.5</v>
      </c>
      <c r="E39" s="25">
        <f t="shared" ref="E39:K39" si="12">E36-E40</f>
        <v>668.25</v>
      </c>
      <c r="F39" s="25">
        <f t="shared" si="12"/>
        <v>546.75</v>
      </c>
      <c r="G39" s="25">
        <f t="shared" si="12"/>
        <v>510.30000000000007</v>
      </c>
      <c r="H39" s="25">
        <f t="shared" si="12"/>
        <v>468.83812499999999</v>
      </c>
      <c r="I39" s="25">
        <f t="shared" si="12"/>
        <v>492.28003125000009</v>
      </c>
      <c r="J39" s="37">
        <f t="shared" si="12"/>
        <v>516.89403281250009</v>
      </c>
      <c r="K39" s="25">
        <f t="shared" si="12"/>
        <v>542.73873445312506</v>
      </c>
    </row>
    <row r="40" spans="2:12" x14ac:dyDescent="0.35">
      <c r="B40" s="25" t="s">
        <v>62</v>
      </c>
      <c r="C40" s="48"/>
      <c r="D40" s="30">
        <f>+D41*D36</f>
        <v>472.49999999999994</v>
      </c>
      <c r="E40" s="30">
        <f t="shared" ref="E40:K40" si="13">+E41*E36</f>
        <v>546.75</v>
      </c>
      <c r="F40" s="30">
        <f t="shared" si="13"/>
        <v>668.25</v>
      </c>
      <c r="G40" s="30">
        <f t="shared" si="13"/>
        <v>765.44999999999993</v>
      </c>
      <c r="H40" s="30">
        <f t="shared" si="13"/>
        <v>870.69937500000015</v>
      </c>
      <c r="I40" s="30">
        <f t="shared" si="13"/>
        <v>914.23434375000011</v>
      </c>
      <c r="J40" s="38">
        <f t="shared" si="13"/>
        <v>959.94606093750019</v>
      </c>
      <c r="K40" s="30">
        <f t="shared" si="13"/>
        <v>1007.9433639843753</v>
      </c>
    </row>
    <row r="41" spans="2:12" x14ac:dyDescent="0.35">
      <c r="B41" s="25" t="s">
        <v>63</v>
      </c>
      <c r="C41" s="48"/>
      <c r="D41" s="44">
        <v>0.35</v>
      </c>
      <c r="E41" s="44">
        <v>0.45</v>
      </c>
      <c r="F41" s="44">
        <v>0.55000000000000004</v>
      </c>
      <c r="G41" s="44">
        <v>0.6</v>
      </c>
      <c r="H41" s="44">
        <v>0.65</v>
      </c>
      <c r="I41" s="44">
        <v>0.65</v>
      </c>
      <c r="J41" s="45">
        <v>0.65</v>
      </c>
      <c r="K41" s="44">
        <v>0.65</v>
      </c>
    </row>
    <row r="42" spans="2:12" x14ac:dyDescent="0.35">
      <c r="C42" s="48"/>
      <c r="J42" s="37"/>
    </row>
    <row r="43" spans="2:12" x14ac:dyDescent="0.35">
      <c r="B43" s="25" t="s">
        <v>64</v>
      </c>
      <c r="C43" s="46"/>
      <c r="D43" s="25">
        <f>+D44*D36</f>
        <v>675</v>
      </c>
      <c r="E43" s="25">
        <f t="shared" ref="E43:K43" si="14">+E44*E36</f>
        <v>486</v>
      </c>
      <c r="F43" s="25">
        <f t="shared" si="14"/>
        <v>364.5</v>
      </c>
      <c r="G43" s="25">
        <f t="shared" si="14"/>
        <v>382.72499999999997</v>
      </c>
      <c r="H43" s="25">
        <f t="shared" si="14"/>
        <v>401.86125000000004</v>
      </c>
      <c r="I43" s="25">
        <f t="shared" si="14"/>
        <v>421.95431250000007</v>
      </c>
      <c r="J43" s="37">
        <f t="shared" si="14"/>
        <v>443.05202812500005</v>
      </c>
      <c r="K43" s="25">
        <f t="shared" si="14"/>
        <v>465.20462953125008</v>
      </c>
    </row>
    <row r="44" spans="2:12" x14ac:dyDescent="0.35">
      <c r="B44" s="25" t="s">
        <v>87</v>
      </c>
      <c r="C44" s="46"/>
      <c r="D44" s="52">
        <v>0.5</v>
      </c>
      <c r="E44" s="52">
        <v>0.4</v>
      </c>
      <c r="F44" s="52">
        <v>0.3</v>
      </c>
      <c r="G44" s="52">
        <v>0.3</v>
      </c>
      <c r="H44" s="52">
        <v>0.3</v>
      </c>
      <c r="I44" s="52">
        <v>0.3</v>
      </c>
      <c r="J44" s="53">
        <v>0.3</v>
      </c>
      <c r="K44" s="52">
        <v>0.3</v>
      </c>
    </row>
    <row r="45" spans="2:12" ht="15" thickBot="1" x14ac:dyDescent="0.4">
      <c r="B45" s="29" t="s">
        <v>65</v>
      </c>
      <c r="C45" s="51"/>
      <c r="D45" s="29">
        <f>D40-D43</f>
        <v>-202.50000000000006</v>
      </c>
      <c r="E45" s="29">
        <f t="shared" ref="E45:K45" si="15">E40-E43</f>
        <v>60.75</v>
      </c>
      <c r="F45" s="29">
        <f t="shared" si="15"/>
        <v>303.75</v>
      </c>
      <c r="G45" s="29">
        <f t="shared" si="15"/>
        <v>382.72499999999997</v>
      </c>
      <c r="H45" s="29">
        <f t="shared" si="15"/>
        <v>468.8381250000001</v>
      </c>
      <c r="I45" s="29">
        <f t="shared" si="15"/>
        <v>492.28003125000004</v>
      </c>
      <c r="J45" s="39">
        <f t="shared" si="15"/>
        <v>516.8940328125002</v>
      </c>
      <c r="K45" s="29">
        <f t="shared" si="15"/>
        <v>542.73873445312529</v>
      </c>
    </row>
    <row r="46" spans="2:12" ht="15" thickTop="1" x14ac:dyDescent="0.35">
      <c r="C46" s="48"/>
      <c r="J46" s="37"/>
    </row>
    <row r="47" spans="2:12" x14ac:dyDescent="0.35">
      <c r="B47" s="25" t="s">
        <v>88</v>
      </c>
      <c r="C47" s="49">
        <v>0.22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37">
        <v>0</v>
      </c>
      <c r="K47" s="25">
        <v>0</v>
      </c>
      <c r="L47" s="25">
        <v>0</v>
      </c>
    </row>
    <row r="48" spans="2:12" x14ac:dyDescent="0.35">
      <c r="B48" s="25" t="s">
        <v>66</v>
      </c>
      <c r="C48" s="49">
        <v>0.05</v>
      </c>
      <c r="D48" s="25">
        <f>-$C$48*D36</f>
        <v>-67.5</v>
      </c>
      <c r="E48" s="25">
        <f t="shared" ref="E48:K48" si="16">-$C$48*E36</f>
        <v>-60.75</v>
      </c>
      <c r="F48" s="25">
        <f t="shared" si="16"/>
        <v>-60.75</v>
      </c>
      <c r="G48" s="25">
        <f t="shared" si="16"/>
        <v>-63.787500000000001</v>
      </c>
      <c r="H48" s="25">
        <f t="shared" si="16"/>
        <v>-66.976875000000007</v>
      </c>
      <c r="I48" s="25">
        <f t="shared" si="16"/>
        <v>-70.325718750000007</v>
      </c>
      <c r="J48" s="37">
        <f t="shared" si="16"/>
        <v>-73.842004687500022</v>
      </c>
      <c r="K48" s="25">
        <f t="shared" si="16"/>
        <v>-77.534104921875027</v>
      </c>
    </row>
    <row r="49" spans="2:11" x14ac:dyDescent="0.35">
      <c r="B49" s="25" t="s">
        <v>67</v>
      </c>
      <c r="C49" s="49">
        <v>7.0000000000000007E-2</v>
      </c>
      <c r="D49" s="25">
        <f>-$C$49*D36</f>
        <v>-94.500000000000014</v>
      </c>
      <c r="E49" s="25">
        <f t="shared" ref="E49:K49" si="17">-$C$49*E36</f>
        <v>-85.050000000000011</v>
      </c>
      <c r="F49" s="25">
        <f t="shared" si="17"/>
        <v>-85.050000000000011</v>
      </c>
      <c r="G49" s="25">
        <f t="shared" si="17"/>
        <v>-89.302500000000009</v>
      </c>
      <c r="H49" s="25">
        <f t="shared" si="17"/>
        <v>-93.767625000000024</v>
      </c>
      <c r="I49" s="25">
        <f t="shared" si="17"/>
        <v>-98.45600625000003</v>
      </c>
      <c r="J49" s="37">
        <f t="shared" si="17"/>
        <v>-103.37880656250003</v>
      </c>
      <c r="K49" s="25">
        <f t="shared" si="17"/>
        <v>-108.54774689062504</v>
      </c>
    </row>
    <row r="50" spans="2:11" ht="15" thickBot="1" x14ac:dyDescent="0.4">
      <c r="B50" s="25" t="s">
        <v>68</v>
      </c>
      <c r="C50" s="48"/>
      <c r="D50" s="29">
        <f>SUM(D45:D49)</f>
        <v>-364.50000000000006</v>
      </c>
      <c r="E50" s="29">
        <f t="shared" ref="E50:K50" si="18">SUM(E45:E49)</f>
        <v>-85.050000000000011</v>
      </c>
      <c r="F50" s="29">
        <f t="shared" si="18"/>
        <v>157.94999999999999</v>
      </c>
      <c r="G50" s="29">
        <f t="shared" si="18"/>
        <v>229.63499999999993</v>
      </c>
      <c r="H50" s="29">
        <f t="shared" si="18"/>
        <v>308.09362500000009</v>
      </c>
      <c r="I50" s="29">
        <f t="shared" si="18"/>
        <v>323.49830624999998</v>
      </c>
      <c r="J50" s="39">
        <f t="shared" si="18"/>
        <v>339.67322156250015</v>
      </c>
      <c r="K50" s="29">
        <f t="shared" si="18"/>
        <v>356.65688264062521</v>
      </c>
    </row>
    <row r="51" spans="2:11" ht="15" thickTop="1" x14ac:dyDescent="0.35">
      <c r="C51" s="48"/>
      <c r="J51" s="37"/>
    </row>
    <row r="52" spans="2:11" x14ac:dyDescent="0.35">
      <c r="B52" s="25" t="s">
        <v>69</v>
      </c>
      <c r="C52" s="48"/>
      <c r="E52" s="25">
        <f>-E18</f>
        <v>-150</v>
      </c>
      <c r="F52" s="25">
        <f t="shared" ref="F52:K52" si="19">-F18</f>
        <v>-157.5</v>
      </c>
      <c r="G52" s="25">
        <f t="shared" si="19"/>
        <v>-165</v>
      </c>
      <c r="H52" s="25">
        <f t="shared" si="19"/>
        <v>-180</v>
      </c>
      <c r="I52" s="25">
        <f t="shared" si="19"/>
        <v>-180</v>
      </c>
      <c r="J52" s="37">
        <f t="shared" si="19"/>
        <v>-180</v>
      </c>
      <c r="K52" s="25">
        <f t="shared" si="19"/>
        <v>-1575</v>
      </c>
    </row>
    <row r="53" spans="2:11" ht="15" thickBot="1" x14ac:dyDescent="0.4">
      <c r="B53" s="25" t="s">
        <v>70</v>
      </c>
      <c r="E53" s="29">
        <f>E50+E52</f>
        <v>-235.05</v>
      </c>
      <c r="F53" s="29">
        <f t="shared" ref="F53:K53" si="20">F50+F52</f>
        <v>0.44999999999998863</v>
      </c>
      <c r="G53" s="29">
        <f t="shared" si="20"/>
        <v>64.634999999999934</v>
      </c>
      <c r="H53" s="29">
        <f t="shared" si="20"/>
        <v>128.09362500000009</v>
      </c>
      <c r="I53" s="29">
        <f t="shared" si="20"/>
        <v>143.49830624999998</v>
      </c>
      <c r="J53" s="39">
        <f t="shared" si="20"/>
        <v>159.67322156250015</v>
      </c>
      <c r="K53" s="29">
        <f t="shared" si="20"/>
        <v>-1218.3431173593749</v>
      </c>
    </row>
    <row r="54" spans="2:11" ht="15" thickTop="1" x14ac:dyDescent="0.35">
      <c r="J54" s="37"/>
    </row>
    <row r="55" spans="2:11" ht="16" x14ac:dyDescent="0.5">
      <c r="B55" s="41" t="s">
        <v>71</v>
      </c>
      <c r="J55" s="37"/>
    </row>
    <row r="56" spans="2:11" x14ac:dyDescent="0.35">
      <c r="B56" s="25" t="s">
        <v>72</v>
      </c>
      <c r="C56" s="54">
        <v>6</v>
      </c>
      <c r="D56" s="25" t="s">
        <v>65</v>
      </c>
      <c r="J56" s="37">
        <f>C56*J45</f>
        <v>3101.3641968750012</v>
      </c>
    </row>
    <row r="57" spans="2:11" x14ac:dyDescent="0.35">
      <c r="B57" s="25" t="s">
        <v>73</v>
      </c>
      <c r="C57" s="46">
        <v>0.12</v>
      </c>
      <c r="D57" s="25" t="s">
        <v>78</v>
      </c>
      <c r="J57" s="37">
        <f>K50/C57</f>
        <v>2972.1406886718769</v>
      </c>
    </row>
    <row r="58" spans="2:11" x14ac:dyDescent="0.35">
      <c r="B58" s="25" t="s">
        <v>74</v>
      </c>
      <c r="J58" s="38">
        <f>AVERAGE(J56:J57)</f>
        <v>3036.7524427734388</v>
      </c>
    </row>
    <row r="59" spans="2:11" x14ac:dyDescent="0.35">
      <c r="B59" s="25" t="s">
        <v>75</v>
      </c>
      <c r="J59" s="37">
        <f>-J15</f>
        <v>-1410</v>
      </c>
    </row>
    <row r="60" spans="2:11" x14ac:dyDescent="0.35">
      <c r="B60" s="25" t="s">
        <v>79</v>
      </c>
      <c r="J60" s="37">
        <f>+J59+J58</f>
        <v>1626.7524427734388</v>
      </c>
    </row>
    <row r="61" spans="2:11" ht="15" thickBot="1" x14ac:dyDescent="0.4">
      <c r="B61" s="25" t="s">
        <v>70</v>
      </c>
      <c r="D61" s="30">
        <f>-D9</f>
        <v>-560</v>
      </c>
      <c r="E61" s="29">
        <f>+E60+E53</f>
        <v>-235.05</v>
      </c>
      <c r="F61" s="29">
        <f t="shared" ref="F61:J61" si="21">+F60+F53</f>
        <v>0.44999999999998863</v>
      </c>
      <c r="G61" s="29">
        <f t="shared" si="21"/>
        <v>64.634999999999934</v>
      </c>
      <c r="H61" s="29">
        <f t="shared" si="21"/>
        <v>128.09362500000009</v>
      </c>
      <c r="I61" s="29">
        <f t="shared" si="21"/>
        <v>143.49830624999998</v>
      </c>
      <c r="J61" s="29">
        <f t="shared" si="21"/>
        <v>1786.425664335939</v>
      </c>
    </row>
    <row r="62" spans="2:11" ht="15" thickTop="1" x14ac:dyDescent="0.35">
      <c r="C62" s="42" t="s">
        <v>80</v>
      </c>
      <c r="D62" s="43">
        <f>IRR(D61:J61)</f>
        <v>0.19986783512935835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Secondary Market</vt:lpstr>
      <vt:lpstr>Primary Market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Droussiotis</dc:creator>
  <cp:lastModifiedBy>Chris Droussiotis</cp:lastModifiedBy>
  <dcterms:created xsi:type="dcterms:W3CDTF">2026-04-21T10:30:57Z</dcterms:created>
  <dcterms:modified xsi:type="dcterms:W3CDTF">2026-04-21T12:32:45Z</dcterms:modified>
</cp:coreProperties>
</file>