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66921b89f68d3868/Documents/School Work/Baruch CAPS/Derivatives/EXAMS/"/>
    </mc:Choice>
  </mc:AlternateContent>
  <xr:revisionPtr revIDLastSave="15" documentId="8_{372ADB23-4A7A-4AEB-A614-072EB41C53F1}" xr6:coauthVersionLast="45" xr6:coauthVersionMax="45" xr10:uidLastSave="{74D62092-9235-42C4-B2DF-285CA8BF96CD}"/>
  <bookViews>
    <workbookView xWindow="-93" yWindow="-93" windowWidth="19346" windowHeight="12186" xr2:uid="{6E33FDC4-D341-46A8-8B40-CDDA9FEEB791}"/>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9" i="1" l="1"/>
  <c r="C139" i="1"/>
  <c r="C136" i="1"/>
  <c r="C135" i="1"/>
  <c r="H140" i="1"/>
  <c r="C140" i="1"/>
  <c r="D130" i="1"/>
  <c r="D129" i="1"/>
  <c r="C138" i="1" s="1"/>
  <c r="D128" i="1"/>
  <c r="H138" i="1" s="1"/>
  <c r="D127" i="1"/>
  <c r="G133" i="1" s="1"/>
  <c r="D126" i="1"/>
  <c r="D125" i="1"/>
  <c r="H133" i="1" s="1"/>
  <c r="C114" i="1"/>
  <c r="D116" i="1" s="1"/>
  <c r="F116" i="1" s="1"/>
  <c r="G118" i="1" s="1"/>
  <c r="I118" i="1" s="1"/>
  <c r="C109" i="1"/>
  <c r="C101" i="1"/>
  <c r="C102" i="1" s="1"/>
  <c r="C97" i="1"/>
  <c r="D95" i="1" s="1"/>
  <c r="J86" i="1"/>
  <c r="J85" i="1"/>
  <c r="C74" i="1"/>
  <c r="D76" i="1" s="1"/>
  <c r="D79" i="1" s="1"/>
  <c r="D80" i="1" s="1"/>
  <c r="D72" i="1"/>
  <c r="E74" i="1" s="1"/>
  <c r="C61" i="1"/>
  <c r="C62" i="1" s="1"/>
  <c r="C56" i="1"/>
  <c r="C57" i="1" s="1"/>
  <c r="G43" i="1"/>
  <c r="H43" i="1" s="1"/>
  <c r="D43" i="1"/>
  <c r="E43" i="1" s="1"/>
  <c r="I37" i="1"/>
  <c r="I36" i="1"/>
  <c r="I35" i="1"/>
  <c r="I34" i="1"/>
  <c r="I33" i="1"/>
  <c r="H28" i="1"/>
  <c r="H27" i="1"/>
  <c r="H26" i="1"/>
  <c r="H25" i="1"/>
  <c r="F25" i="1"/>
  <c r="H24" i="1"/>
  <c r="H23" i="1"/>
  <c r="J23" i="1"/>
  <c r="J22" i="1"/>
  <c r="F22" i="1"/>
  <c r="H22" i="1"/>
  <c r="I22" i="1" s="1"/>
  <c r="L22" i="1" s="1"/>
  <c r="H21" i="1"/>
  <c r="H20" i="1"/>
  <c r="H19" i="1"/>
  <c r="G35" i="1"/>
  <c r="G37" i="1"/>
  <c r="F24" i="1"/>
  <c r="I24" i="1" s="1"/>
  <c r="F27" i="1"/>
  <c r="F21" i="1"/>
  <c r="G38" i="1"/>
  <c r="J38" i="1" s="1"/>
  <c r="F23" i="1"/>
  <c r="I23" i="1" s="1"/>
  <c r="F20" i="1"/>
  <c r="J20" i="1" s="1"/>
  <c r="G34" i="1"/>
  <c r="G36" i="1"/>
  <c r="G33" i="1"/>
  <c r="F26" i="1"/>
  <c r="I26" i="1" s="1"/>
  <c r="F19" i="1"/>
  <c r="J19" i="1" s="1"/>
  <c r="I21" i="1" l="1"/>
  <c r="L21" i="1" s="1"/>
  <c r="J34" i="1"/>
  <c r="J26" i="1"/>
  <c r="I27" i="1"/>
  <c r="I25" i="1"/>
  <c r="J35" i="1"/>
  <c r="J36" i="1"/>
  <c r="I19" i="1"/>
  <c r="L19" i="1" s="1"/>
  <c r="J24" i="1"/>
  <c r="K27" i="1"/>
  <c r="E97" i="1"/>
  <c r="G97" i="1" s="1"/>
  <c r="H99" i="1" s="1"/>
  <c r="E93" i="1"/>
  <c r="G93" i="1" s="1"/>
  <c r="H95" i="1" s="1"/>
  <c r="J97" i="1" s="1"/>
  <c r="I20" i="1"/>
  <c r="L20" i="1" s="1"/>
  <c r="J21" i="1"/>
  <c r="J33" i="1"/>
  <c r="J37" i="1"/>
  <c r="F28" i="1"/>
  <c r="F133" i="1"/>
  <c r="C133" i="1" s="1"/>
  <c r="C134" i="1" s="1"/>
  <c r="F72" i="1"/>
  <c r="D99" i="1"/>
  <c r="E101" i="1" s="1"/>
  <c r="D112" i="1"/>
  <c r="F112" i="1" s="1"/>
  <c r="J25" i="1"/>
  <c r="J27" i="1"/>
  <c r="C110" i="1"/>
  <c r="G114" i="1" l="1"/>
  <c r="I114" i="1" s="1"/>
  <c r="G110" i="1"/>
  <c r="J28" i="1"/>
  <c r="K28" i="1"/>
  <c r="D86" i="1"/>
  <c r="G74" i="1"/>
  <c r="I74" i="1" s="1"/>
  <c r="D81" i="1" s="1"/>
  <c r="I28" i="1"/>
  <c r="L28" i="1" s="1"/>
  <c r="J116" i="1" l="1"/>
  <c r="J112" i="1"/>
  <c r="C119" i="1" s="1"/>
</calcChain>
</file>

<file path=xl/sharedStrings.xml><?xml version="1.0" encoding="utf-8"?>
<sst xmlns="http://schemas.openxmlformats.org/spreadsheetml/2006/main" count="177" uniqueCount="119">
  <si>
    <t>Baruch CAPS - INTRODUCTION TO DERIVATIVES</t>
  </si>
  <si>
    <t xml:space="preserve">Input of 
Name </t>
  </si>
  <si>
    <t>SECTION I - BASIC AND ADVANCE OPTION STRATEGIES (53 POINTS)</t>
  </si>
  <si>
    <t>CALL</t>
  </si>
  <si>
    <t>PUT</t>
  </si>
  <si>
    <t>Exercise Price
(X)</t>
  </si>
  <si>
    <t>JUNE</t>
  </si>
  <si>
    <t>JULY</t>
  </si>
  <si>
    <t>AUGUST</t>
  </si>
  <si>
    <t>Question 1 (35 points)</t>
  </si>
  <si>
    <t>Calculate the Payoff and Profit/Loss given the information below (3 point each)</t>
  </si>
  <si>
    <t>Action</t>
  </si>
  <si>
    <t>Date</t>
  </si>
  <si>
    <t>Option</t>
  </si>
  <si>
    <t>Exercise Price</t>
  </si>
  <si>
    <t>Total Premium
(INPUT)</t>
  </si>
  <si>
    <t>Stock 
Price</t>
  </si>
  <si>
    <r>
      <t xml:space="preserve">Payoff
</t>
    </r>
    <r>
      <rPr>
        <b/>
        <sz val="9"/>
        <rFont val="Arial"/>
        <family val="2"/>
      </rPr>
      <t xml:space="preserve">(1 point) </t>
    </r>
  </si>
  <si>
    <r>
      <t xml:space="preserve">Profit /Loss
</t>
    </r>
    <r>
      <rPr>
        <b/>
        <sz val="9"/>
        <rFont val="Arial"/>
        <family val="2"/>
      </rPr>
      <t>(1 point)</t>
    </r>
  </si>
  <si>
    <r>
      <t xml:space="preserve">BE (Stock)
</t>
    </r>
    <r>
      <rPr>
        <b/>
        <sz val="9"/>
        <rFont val="Arial"/>
        <family val="2"/>
      </rPr>
      <t>(1 point)</t>
    </r>
  </si>
  <si>
    <t>BE (Stock)</t>
  </si>
  <si>
    <r>
      <t xml:space="preserve">HPR %
</t>
    </r>
    <r>
      <rPr>
        <b/>
        <sz val="9"/>
        <rFont val="Arial"/>
        <family val="2"/>
      </rPr>
      <t>(1 point)</t>
    </r>
  </si>
  <si>
    <t>Question 2 (18 points)</t>
  </si>
  <si>
    <t>Calculate the Payoff and Profit/Loss given the information below (3 points each):</t>
  </si>
  <si>
    <t>Exercise Price 1</t>
  </si>
  <si>
    <t>Exercise Price 2</t>
  </si>
  <si>
    <r>
      <t xml:space="preserve">Net Premium
</t>
    </r>
    <r>
      <rPr>
        <b/>
        <sz val="9"/>
        <rFont val="Arial"/>
        <family val="2"/>
      </rPr>
      <t>(1 point)</t>
    </r>
    <r>
      <rPr>
        <b/>
        <sz val="12"/>
        <rFont val="Arial"/>
        <family val="2"/>
      </rPr>
      <t xml:space="preserve">
(INPUT)</t>
    </r>
  </si>
  <si>
    <t>Stock
Price</t>
  </si>
  <si>
    <r>
      <t xml:space="preserve">Total 
Payoff
</t>
    </r>
    <r>
      <rPr>
        <b/>
        <sz val="9"/>
        <rFont val="Arial"/>
        <family val="2"/>
      </rPr>
      <t>(1 point)</t>
    </r>
  </si>
  <si>
    <r>
      <t xml:space="preserve">Total 
Profit
</t>
    </r>
    <r>
      <rPr>
        <b/>
        <sz val="9"/>
        <rFont val="Arial"/>
        <family val="2"/>
      </rPr>
      <t>(1 point)</t>
    </r>
  </si>
  <si>
    <t>SECTION II - ADVISING ON OPTION STRATEGIES (12 POINTS)</t>
  </si>
  <si>
    <t>ABC Inc.</t>
  </si>
  <si>
    <t>CALLS</t>
  </si>
  <si>
    <t>PUTS</t>
  </si>
  <si>
    <t>Exercise
Price</t>
  </si>
  <si>
    <t>Current Price: $135 (June 2020)</t>
  </si>
  <si>
    <t>Question 3 (12 points)</t>
  </si>
  <si>
    <t xml:space="preserve">On June 1, 2020 John bought 100 shares of ABC Inc. at $135 expecting to go up soon. Assuming he is right, he wants to protect his investment so that by August 2020 his investment won’t go below $13,500 (excluding premium costs).  Using the Options Market to protect this floor ($13,500), what will you recommend John do to protect his investment for the next 3 months (August 2020).  He does not mind paying for premium if he is fully protecting his investment. </t>
  </si>
  <si>
    <t>What Strategy to you recommend?</t>
  </si>
  <si>
    <t>Protective Put</t>
  </si>
  <si>
    <t>If the stock goes up to $165 and decides to sell, please calculate John's profit and holding period rate of return (HPR) since his purchase including the cost of the option contract he entered.</t>
  </si>
  <si>
    <t>Profit $ =</t>
  </si>
  <si>
    <t xml:space="preserve"> ( ( 165 - 135 ) * 100 ) - ( 12.45 x 100 )</t>
  </si>
  <si>
    <t>HPR % =</t>
  </si>
  <si>
    <t xml:space="preserve">  1,755 / ( (135 + 12.45 ) * 100 )</t>
  </si>
  <si>
    <t>If the stock goes  down to $125 and decides to sell it at that level, please calculate John's profit and holding period rate of return (HPR) since his purchase including the cost of the option contract he entered.</t>
  </si>
  <si>
    <t xml:space="preserve">  - 12.45 *100</t>
  </si>
  <si>
    <t xml:space="preserve">  -1,245 / ( (135 + 12.45 ) * 100 )</t>
  </si>
  <si>
    <t>SECTION III - OPTION VALUATION (45 POINTS)</t>
  </si>
  <si>
    <t>Question 4 (15 points)</t>
  </si>
  <si>
    <r>
      <t xml:space="preserve">Consider the following binomial option pricing problem involving a Call.  This Call has one periods to go before expiring.  Its stock price is $45 and its exercise price is $49.50.  The risk-free rate is 0.05, the value of u is 1.25 and the value of the d is .95. </t>
    </r>
    <r>
      <rPr>
        <sz val="12"/>
        <color theme="1"/>
        <rFont val="Arial"/>
        <family val="2"/>
      </rPr>
      <t>Construct the 1-period Binomial Tree model and find the value of the call premium using the leverage (6-step, Method 1) and probability method (Method 2)</t>
    </r>
  </si>
  <si>
    <t>Create the Tree Sequence calculations (6-step Method 1)</t>
  </si>
  <si>
    <t>STEP 1</t>
  </si>
  <si>
    <t>STEP 2</t>
  </si>
  <si>
    <t>STEP 3</t>
  </si>
  <si>
    <t>STOCK 1</t>
  </si>
  <si>
    <t>STOCK 0</t>
  </si>
  <si>
    <t>h =</t>
  </si>
  <si>
    <t>STEP 4</t>
  </si>
  <si>
    <t>STEP 5</t>
  </si>
  <si>
    <t>STEP 6</t>
  </si>
  <si>
    <t>Using the tree above calculate the Call Price using the Probability Method (Method 2) - Show Calculations</t>
  </si>
  <si>
    <t>p=</t>
  </si>
  <si>
    <t xml:space="preserve">Call Premium  = </t>
  </si>
  <si>
    <t>Question 5 (10 points)</t>
  </si>
  <si>
    <r>
      <t xml:space="preserve">Consider the following binomial option pricing problem involving a Call.  This Call has two periods to go before expiring.  Its stock price is $65 and its exercise price is $60.  The risk-free rate is 0.05, the value of u is 1.20 and the value of the d is .95. </t>
    </r>
    <r>
      <rPr>
        <sz val="12"/>
        <color theme="1"/>
        <rFont val="Arial"/>
        <family val="2"/>
      </rPr>
      <t>Construct the 2-period Binomial Tree model and find the value of the call premium</t>
    </r>
    <r>
      <rPr>
        <sz val="12"/>
        <rFont val="Arial"/>
        <family val="2"/>
      </rPr>
      <t xml:space="preserve"> (European Style Option)</t>
    </r>
  </si>
  <si>
    <t>Create the Tree Sequence calculations</t>
  </si>
  <si>
    <t>STOCK 2</t>
  </si>
  <si>
    <t>PAYOFF</t>
  </si>
  <si>
    <t>Cu^2 =</t>
  </si>
  <si>
    <t>ANSWER</t>
  </si>
  <si>
    <t>C =</t>
  </si>
  <si>
    <t>Cd^2 =</t>
  </si>
  <si>
    <t>P=</t>
  </si>
  <si>
    <t>1-P=</t>
  </si>
  <si>
    <t>Question 6 (10 points)</t>
  </si>
  <si>
    <r>
      <t xml:space="preserve">Consider the following binomial option pricing problem involving a Put.  This Put has two periods to go before expiring.  Its stock price is $100 and its exercise price is $110.  company expects to pay dividends after the first period. The Dividend yield is 7%, the risk-free rate is 0.05, the value of u is 1.15 and the value of the d is .90. </t>
    </r>
    <r>
      <rPr>
        <sz val="12"/>
        <color theme="1"/>
        <rFont val="Arial"/>
        <family val="2"/>
      </rPr>
      <t>Construct the 2-period Binomial Tree model and find the value of the put premium (European style option)</t>
    </r>
  </si>
  <si>
    <t>Pu^2 =</t>
  </si>
  <si>
    <t>Pd^2 =</t>
  </si>
  <si>
    <t>P =</t>
  </si>
  <si>
    <t>Question 7 (10 points)</t>
  </si>
  <si>
    <t>Calculate the Value of the Call and Put Option using the Black Scholes Model</t>
  </si>
  <si>
    <t>INPUT</t>
  </si>
  <si>
    <t>Standard Deviation  (σ) =</t>
  </si>
  <si>
    <t>Expiration (in years)  (T) =</t>
  </si>
  <si>
    <t>Risk-Free Rate (Annual) (i) =</t>
  </si>
  <si>
    <t>Exercise Price (X) =</t>
  </si>
  <si>
    <t>Stock Price (S ) =</t>
  </si>
  <si>
    <t>Dividend Yield (annual) (δ) =</t>
  </si>
  <si>
    <t>OUTPUT</t>
  </si>
  <si>
    <t xml:space="preserve"> Ln ( S / X )</t>
  </si>
  <si>
    <t xml:space="preserve">  ( i-δ+σ^2 /2 )*t</t>
  </si>
  <si>
    <t>σ√t</t>
  </si>
  <si>
    <t>d1 =</t>
  </si>
  <si>
    <t>d2 =</t>
  </si>
  <si>
    <t>N(d1) =</t>
  </si>
  <si>
    <t>N(d2) =</t>
  </si>
  <si>
    <t>Call Premium =</t>
  </si>
  <si>
    <t>Put Premium =</t>
  </si>
  <si>
    <t>Break Even Stock =</t>
  </si>
  <si>
    <t>Distance for S to reach BE (%) =</t>
  </si>
  <si>
    <t>Buy</t>
  </si>
  <si>
    <t>Call</t>
  </si>
  <si>
    <t>Put</t>
  </si>
  <si>
    <t xml:space="preserve">Buy </t>
  </si>
  <si>
    <t>Sell</t>
  </si>
  <si>
    <t>Straddle</t>
  </si>
  <si>
    <t>Bull Call Spread</t>
  </si>
  <si>
    <t>Bull Put Spread</t>
  </si>
  <si>
    <t>Bear Put Spread</t>
  </si>
  <si>
    <t>Bear Call Spread</t>
  </si>
  <si>
    <t>Butterfly Call 
Spread</t>
  </si>
  <si>
    <t>ANSWERS</t>
  </si>
  <si>
    <t xml:space="preserve">    42.75 / 1.05</t>
  </si>
  <si>
    <t xml:space="preserve">    45 - 40.71</t>
  </si>
  <si>
    <t xml:space="preserve">    4.29 X 1/2</t>
  </si>
  <si>
    <t xml:space="preserve">  [ (0.3333 X 6.75) + (0.66666 X 0 ) ] / 1.05</t>
  </si>
  <si>
    <t xml:space="preserve">   6.75 / 13.50</t>
  </si>
  <si>
    <t>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</si>
</sst>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name val="Arial"/>
      <family val="2"/>
    </font>
    <font>
      <sz val="10"/>
      <name val="Arial"/>
      <family val="2"/>
    </font>
    <font>
      <b/>
      <sz val="11"/>
      <name val="Arial"/>
      <family val="2"/>
    </font>
    <font>
      <b/>
      <sz val="14"/>
      <name val="Arial"/>
      <family val="2"/>
    </font>
    <font>
      <sz val="14"/>
      <name val="Arial"/>
      <family val="2"/>
    </font>
    <font>
      <b/>
      <sz val="16"/>
      <color indexed="9"/>
      <name val="Arial"/>
      <family val="2"/>
    </font>
    <font>
      <b/>
      <u/>
      <sz val="12"/>
      <color indexed="12"/>
      <name val="Arial"/>
      <family val="2"/>
    </font>
    <font>
      <sz val="12"/>
      <name val="Arial"/>
      <family val="2"/>
    </font>
    <font>
      <b/>
      <sz val="12"/>
      <name val="Arial"/>
      <family val="2"/>
    </font>
    <font>
      <b/>
      <sz val="9"/>
      <name val="Arial"/>
      <family val="2"/>
    </font>
    <font>
      <sz val="12"/>
      <color rgb="FFC00000"/>
      <name val="Arial"/>
      <family val="2"/>
    </font>
    <font>
      <sz val="12"/>
      <color rgb="FFFF0000"/>
      <name val="Arial"/>
      <family val="2"/>
    </font>
    <font>
      <b/>
      <sz val="12"/>
      <color theme="0"/>
      <name val="Arial"/>
      <family val="2"/>
    </font>
    <font>
      <sz val="12"/>
      <color theme="1"/>
      <name val="Calibri"/>
      <family val="2"/>
      <scheme val="minor"/>
    </font>
    <font>
      <sz val="12"/>
      <color theme="1"/>
      <name val="Arial"/>
      <family val="2"/>
    </font>
    <font>
      <b/>
      <sz val="10"/>
      <color theme="1"/>
      <name val="Calibri"/>
      <family val="2"/>
      <scheme val="minor"/>
    </font>
    <font>
      <sz val="11"/>
      <color rgb="FFC00000"/>
      <name val="Calibri"/>
      <family val="2"/>
      <scheme val="minor"/>
    </font>
    <font>
      <b/>
      <sz val="10"/>
      <name val="Arial"/>
      <family val="2"/>
    </font>
    <font>
      <sz val="10"/>
      <color indexed="12"/>
      <name val="Arial"/>
      <family val="2"/>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18"/>
        <bgColor indexed="64"/>
      </patternFill>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indexed="13"/>
        <bgColor indexed="64"/>
      </patternFill>
    </fill>
    <fill>
      <patternFill patternType="solid">
        <fgColor indexed="41"/>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0" fillId="2" borderId="0" xfId="0" applyFill="1"/>
    <xf numFmtId="0" fontId="4" fillId="0" borderId="0" xfId="0" applyFont="1" applyAlignment="1">
      <alignment vertical="top"/>
    </xf>
    <xf numFmtId="0" fontId="0" fillId="0" borderId="0" xfId="0" applyAlignment="1">
      <alignment horizontal="center"/>
    </xf>
    <xf numFmtId="0" fontId="5" fillId="0" borderId="0" xfId="0" applyFont="1"/>
    <xf numFmtId="0" fontId="6" fillId="0" borderId="0" xfId="0" applyFont="1" applyAlignment="1">
      <alignment wrapText="1"/>
    </xf>
    <xf numFmtId="0" fontId="7"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9" fillId="4" borderId="0" xfId="0" applyFont="1" applyFill="1" applyAlignment="1">
      <alignment horizontal="center" vertical="center"/>
    </xf>
    <xf numFmtId="0" fontId="0" fillId="0" borderId="0" xfId="0" applyAlignment="1">
      <alignment horizontal="center" vertical="center"/>
    </xf>
    <xf numFmtId="0" fontId="0" fillId="0" borderId="0" xfId="0"/>
    <xf numFmtId="0" fontId="0" fillId="0" borderId="0" xfId="0"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3" fillId="6" borderId="8" xfId="0" applyFont="1" applyFill="1" applyBorder="1" applyAlignment="1">
      <alignment horizont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0" fillId="0" borderId="8" xfId="0" applyBorder="1" applyAlignment="1">
      <alignment horizontal="center"/>
    </xf>
    <xf numFmtId="2" fontId="0" fillId="7" borderId="9" xfId="1" applyNumberFormat="1" applyFont="1" applyFill="1" applyBorder="1" applyAlignment="1">
      <alignment horizontal="center"/>
    </xf>
    <xf numFmtId="2" fontId="0" fillId="7" borderId="10" xfId="1" applyNumberFormat="1" applyFont="1" applyFill="1" applyBorder="1" applyAlignment="1">
      <alignment horizontal="center"/>
    </xf>
    <xf numFmtId="2" fontId="0" fillId="7" borderId="11" xfId="1" applyNumberFormat="1" applyFont="1" applyFill="1" applyBorder="1" applyAlignment="1">
      <alignment horizontal="center"/>
    </xf>
    <xf numFmtId="2" fontId="0" fillId="8" borderId="9" xfId="1" applyNumberFormat="1" applyFont="1" applyFill="1" applyBorder="1" applyAlignment="1">
      <alignment horizontal="center"/>
    </xf>
    <xf numFmtId="2" fontId="0" fillId="8" borderId="10" xfId="1" applyNumberFormat="1" applyFont="1" applyFill="1" applyBorder="1" applyAlignment="1">
      <alignment horizontal="center"/>
    </xf>
    <xf numFmtId="2" fontId="0" fillId="8" borderId="11" xfId="1" applyNumberFormat="1" applyFont="1" applyFill="1" applyBorder="1" applyAlignment="1">
      <alignment horizontal="center"/>
    </xf>
    <xf numFmtId="2" fontId="0" fillId="7" borderId="12" xfId="1" applyNumberFormat="1" applyFont="1" applyFill="1" applyBorder="1" applyAlignment="1">
      <alignment horizontal="center"/>
    </xf>
    <xf numFmtId="2" fontId="0" fillId="7" borderId="13" xfId="1" applyNumberFormat="1" applyFont="1" applyFill="1" applyBorder="1" applyAlignment="1">
      <alignment horizontal="center"/>
    </xf>
    <xf numFmtId="2" fontId="0" fillId="7" borderId="14" xfId="1" applyNumberFormat="1" applyFont="1" applyFill="1" applyBorder="1" applyAlignment="1">
      <alignment horizontal="center"/>
    </xf>
    <xf numFmtId="2" fontId="0" fillId="8" borderId="12" xfId="1" applyNumberFormat="1" applyFont="1" applyFill="1" applyBorder="1" applyAlignment="1">
      <alignment horizontal="center"/>
    </xf>
    <xf numFmtId="2" fontId="0" fillId="8" borderId="13" xfId="1" applyNumberFormat="1" applyFont="1" applyFill="1" applyBorder="1" applyAlignment="1">
      <alignment horizontal="center"/>
    </xf>
    <xf numFmtId="2" fontId="0" fillId="8" borderId="14" xfId="1" applyNumberFormat="1" applyFont="1" applyFill="1" applyBorder="1" applyAlignment="1">
      <alignment horizontal="center"/>
    </xf>
    <xf numFmtId="0" fontId="5" fillId="2" borderId="0" xfId="0" applyFont="1" applyFill="1"/>
    <xf numFmtId="0" fontId="10" fillId="0" borderId="0" xfId="0" applyFont="1"/>
    <xf numFmtId="0" fontId="11" fillId="0" borderId="0" xfId="0" applyFont="1"/>
    <xf numFmtId="0" fontId="11" fillId="0" borderId="0" xfId="0" applyFont="1" applyAlignment="1">
      <alignment horizontal="center"/>
    </xf>
    <xf numFmtId="0" fontId="12" fillId="6"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1" fillId="8" borderId="10" xfId="0" applyFont="1" applyFill="1" applyBorder="1" applyAlignment="1">
      <alignment horizontal="center" vertical="center"/>
    </xf>
    <xf numFmtId="2" fontId="11" fillId="8" borderId="10" xfId="0" applyNumberFormat="1" applyFont="1" applyFill="1" applyBorder="1" applyAlignment="1">
      <alignment horizontal="center" vertical="center"/>
    </xf>
    <xf numFmtId="2" fontId="14" fillId="0" borderId="10" xfId="0" applyNumberFormat="1" applyFont="1" applyBorder="1" applyAlignment="1">
      <alignment horizontal="center" vertical="center"/>
    </xf>
    <xf numFmtId="2" fontId="14" fillId="2" borderId="10" xfId="0" applyNumberFormat="1" applyFont="1" applyFill="1" applyBorder="1" applyAlignment="1">
      <alignment horizontal="center" vertical="center"/>
    </xf>
    <xf numFmtId="2" fontId="15" fillId="5" borderId="10" xfId="0" applyNumberFormat="1" applyFont="1" applyFill="1" applyBorder="1" applyAlignment="1">
      <alignment horizontal="center" vertical="center"/>
    </xf>
    <xf numFmtId="9" fontId="14" fillId="2" borderId="10" xfId="3" applyFont="1" applyFill="1" applyBorder="1" applyAlignment="1">
      <alignment horizontal="center" vertical="center"/>
    </xf>
    <xf numFmtId="2" fontId="15" fillId="2" borderId="10" xfId="0" applyNumberFormat="1" applyFont="1" applyFill="1" applyBorder="1" applyAlignment="1">
      <alignment horizontal="center"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0" fontId="12" fillId="0" borderId="0" xfId="0" applyFont="1"/>
    <xf numFmtId="0" fontId="5" fillId="8" borderId="10" xfId="0" applyFont="1" applyFill="1" applyBorder="1" applyAlignment="1">
      <alignment horizontal="left" vertical="center"/>
    </xf>
    <xf numFmtId="0" fontId="11" fillId="8" borderId="10" xfId="0" quotePrefix="1" applyFont="1" applyFill="1" applyBorder="1" applyAlignment="1">
      <alignment horizontal="center" vertical="center"/>
    </xf>
    <xf numFmtId="2" fontId="15" fillId="0" borderId="10" xfId="0" applyNumberFormat="1" applyFont="1" applyBorder="1" applyAlignment="1">
      <alignment horizontal="center" vertical="center"/>
    </xf>
    <xf numFmtId="0" fontId="5" fillId="8" borderId="10" xfId="0" applyFont="1" applyFill="1" applyBorder="1" applyAlignment="1">
      <alignment horizontal="left" vertical="center" wrapText="1"/>
    </xf>
    <xf numFmtId="43" fontId="5" fillId="0" borderId="0" xfId="1" applyFont="1"/>
    <xf numFmtId="43" fontId="5" fillId="0" borderId="0" xfId="1" applyFont="1" applyAlignment="1">
      <alignment horizontal="center"/>
    </xf>
    <xf numFmtId="0" fontId="5" fillId="0" borderId="0" xfId="0" applyFont="1" applyAlignment="1">
      <alignment horizontal="center"/>
    </xf>
    <xf numFmtId="0" fontId="12" fillId="0" borderId="0" xfId="0" applyFont="1" applyAlignment="1">
      <alignment horizontal="center" wrapText="1"/>
    </xf>
    <xf numFmtId="0" fontId="16" fillId="5" borderId="15" xfId="0" applyFont="1" applyFill="1" applyBorder="1" applyAlignment="1">
      <alignment horizontal="centerContinuous" vertical="center"/>
    </xf>
    <xf numFmtId="0" fontId="16" fillId="5" borderId="16" xfId="0" applyFont="1" applyFill="1" applyBorder="1" applyAlignment="1">
      <alignment horizontal="centerContinuous" vertical="center"/>
    </xf>
    <xf numFmtId="0" fontId="16" fillId="5" borderId="17" xfId="0" applyFont="1" applyFill="1" applyBorder="1" applyAlignment="1">
      <alignment horizontal="centerContinuous" vertical="center"/>
    </xf>
    <xf numFmtId="0" fontId="12" fillId="6" borderId="8" xfId="0" applyFont="1" applyFill="1" applyBorder="1" applyAlignment="1">
      <alignment horizontal="center" wrapText="1"/>
    </xf>
    <xf numFmtId="17" fontId="12" fillId="6" borderId="9" xfId="0" applyNumberFormat="1" applyFont="1" applyFill="1" applyBorder="1" applyAlignment="1">
      <alignment horizontal="center"/>
    </xf>
    <xf numFmtId="17" fontId="12" fillId="6" borderId="10" xfId="0" applyNumberFormat="1" applyFont="1" applyFill="1" applyBorder="1" applyAlignment="1">
      <alignment horizontal="center"/>
    </xf>
    <xf numFmtId="17" fontId="12" fillId="6" borderId="11" xfId="0" applyNumberFormat="1" applyFont="1" applyFill="1" applyBorder="1" applyAlignment="1">
      <alignment horizontal="center"/>
    </xf>
    <xf numFmtId="2" fontId="11" fillId="8" borderId="9" xfId="0" applyNumberFormat="1" applyFont="1" applyFill="1" applyBorder="1" applyAlignment="1">
      <alignment horizontal="center"/>
    </xf>
    <xf numFmtId="2" fontId="11" fillId="8" borderId="10" xfId="0" applyNumberFormat="1" applyFont="1" applyFill="1" applyBorder="1" applyAlignment="1">
      <alignment horizontal="center"/>
    </xf>
    <xf numFmtId="2" fontId="11" fillId="8" borderId="11" xfId="0" applyNumberFormat="1" applyFont="1" applyFill="1" applyBorder="1" applyAlignment="1">
      <alignment horizontal="center"/>
    </xf>
    <xf numFmtId="2" fontId="11" fillId="8" borderId="12" xfId="0" applyNumberFormat="1" applyFont="1" applyFill="1" applyBorder="1" applyAlignment="1">
      <alignment horizontal="center"/>
    </xf>
    <xf numFmtId="2" fontId="11" fillId="8" borderId="13" xfId="0" applyNumberFormat="1" applyFont="1" applyFill="1" applyBorder="1" applyAlignment="1">
      <alignment horizontal="center"/>
    </xf>
    <xf numFmtId="2" fontId="11" fillId="8" borderId="14" xfId="0" applyNumberFormat="1" applyFont="1" applyFill="1" applyBorder="1" applyAlignment="1">
      <alignment horizontal="center"/>
    </xf>
    <xf numFmtId="0" fontId="11" fillId="0" borderId="0" xfId="0" applyFont="1" applyAlignment="1">
      <alignment horizontal="left"/>
    </xf>
    <xf numFmtId="0" fontId="11" fillId="0" borderId="0" xfId="0" applyFont="1" applyAlignment="1">
      <alignment vertical="top" wrapText="1"/>
    </xf>
    <xf numFmtId="0" fontId="0" fillId="0" borderId="0" xfId="0" applyAlignment="1">
      <alignment vertical="top" wrapText="1"/>
    </xf>
    <xf numFmtId="0" fontId="17" fillId="0" borderId="0" xfId="0" applyFont="1" applyAlignment="1">
      <alignment wrapText="1"/>
    </xf>
    <xf numFmtId="0" fontId="12" fillId="0" borderId="0" xfId="0" applyFont="1" applyAlignment="1">
      <alignment horizontal="right" vertical="center"/>
    </xf>
    <xf numFmtId="44" fontId="11" fillId="0" borderId="0" xfId="2" applyFont="1"/>
    <xf numFmtId="0" fontId="11" fillId="0" borderId="0" xfId="0" quotePrefix="1" applyFont="1" applyAlignment="1">
      <alignment horizontal="center"/>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8" borderId="5" xfId="0" applyFont="1" applyFill="1" applyBorder="1" applyAlignment="1">
      <alignment horizontal="right" vertical="center"/>
    </xf>
    <xf numFmtId="44" fontId="14" fillId="0" borderId="7" xfId="2" quotePrefix="1" applyFont="1" applyBorder="1" applyAlignment="1">
      <alignment horizontal="center" vertical="center"/>
    </xf>
    <xf numFmtId="0" fontId="12" fillId="0" borderId="0" xfId="0" quotePrefix="1" applyFont="1"/>
    <xf numFmtId="0" fontId="11" fillId="8" borderId="12" xfId="0" applyFont="1" applyFill="1" applyBorder="1" applyAlignment="1">
      <alignment horizontal="right" vertical="center"/>
    </xf>
    <xf numFmtId="10" fontId="14" fillId="0" borderId="14" xfId="3" quotePrefix="1" applyNumberFormat="1" applyFont="1" applyBorder="1" applyAlignment="1">
      <alignment horizontal="center" vertical="center"/>
    </xf>
    <xf numFmtId="44" fontId="14" fillId="0" borderId="7" xfId="2" applyFont="1" applyBorder="1" applyAlignment="1">
      <alignment horizontal="center" vertical="center"/>
    </xf>
    <xf numFmtId="10" fontId="14" fillId="0" borderId="14" xfId="3" applyNumberFormat="1" applyFont="1" applyBorder="1" applyAlignment="1">
      <alignment horizontal="center" vertical="center"/>
    </xf>
    <xf numFmtId="0" fontId="17" fillId="0" borderId="0" xfId="0" applyFont="1"/>
    <xf numFmtId="0" fontId="17" fillId="0" borderId="0" xfId="0" applyFont="1" applyAlignment="1">
      <alignment horizontal="center"/>
    </xf>
    <xf numFmtId="0" fontId="17" fillId="0" borderId="0" xfId="0" applyFont="1" applyAlignment="1">
      <alignment vertical="top" wrapText="1"/>
    </xf>
    <xf numFmtId="0" fontId="11" fillId="0" borderId="0" xfId="0" applyFont="1" applyAlignment="1">
      <alignment wrapText="1"/>
    </xf>
    <xf numFmtId="0" fontId="0" fillId="0" borderId="0" xfId="0" applyAlignment="1">
      <alignment wrapText="1"/>
    </xf>
    <xf numFmtId="0" fontId="0" fillId="0" borderId="0" xfId="0" applyAlignment="1">
      <alignment horizontal="right"/>
    </xf>
    <xf numFmtId="0" fontId="18" fillId="0" borderId="0" xfId="0" applyFont="1"/>
    <xf numFmtId="0" fontId="18" fillId="0" borderId="0" xfId="0" applyFont="1" applyAlignment="1">
      <alignment horizontal="center"/>
    </xf>
    <xf numFmtId="0" fontId="0" fillId="0" borderId="0" xfId="0" applyAlignment="1">
      <alignment horizontal="right" vertical="center"/>
    </xf>
    <xf numFmtId="0" fontId="19" fillId="0" borderId="0" xfId="0" applyFont="1" applyAlignment="1">
      <alignment horizontal="center" vertical="center"/>
    </xf>
    <xf numFmtId="44" fontId="20" fillId="10" borderId="4" xfId="2" applyFont="1" applyFill="1" applyBorder="1" applyAlignment="1">
      <alignment horizontal="right" vertical="center"/>
    </xf>
    <xf numFmtId="44" fontId="0" fillId="11" borderId="4" xfId="0" applyNumberFormat="1" applyFill="1" applyBorder="1" applyAlignment="1">
      <alignment horizontal="right" vertical="center"/>
    </xf>
    <xf numFmtId="0" fontId="3" fillId="0" borderId="0" xfId="0" applyFont="1" applyAlignment="1">
      <alignment horizontal="right" vertical="center"/>
    </xf>
    <xf numFmtId="12" fontId="0" fillId="11" borderId="4" xfId="0" applyNumberFormat="1" applyFill="1" applyBorder="1" applyAlignment="1">
      <alignment horizontal="center" vertical="center"/>
    </xf>
    <xf numFmtId="0" fontId="18" fillId="0" borderId="0" xfId="0" applyFont="1" applyAlignment="1">
      <alignment horizontal="right"/>
    </xf>
    <xf numFmtId="0" fontId="19" fillId="0" borderId="0" xfId="0" applyFont="1" applyAlignment="1">
      <alignment horizontal="right" vertical="center"/>
    </xf>
    <xf numFmtId="0" fontId="19" fillId="0" borderId="0" xfId="0" applyFont="1" applyAlignment="1">
      <alignment horizontal="center"/>
    </xf>
    <xf numFmtId="44" fontId="20" fillId="12" borderId="4" xfId="2" applyFont="1" applyFill="1" applyBorder="1" applyAlignment="1">
      <alignment horizontal="right" vertical="center"/>
    </xf>
    <xf numFmtId="44" fontId="0" fillId="11" borderId="4" xfId="2" applyFont="1" applyFill="1" applyBorder="1" applyAlignment="1">
      <alignment horizontal="right" vertical="center"/>
    </xf>
    <xf numFmtId="10" fontId="0" fillId="0" borderId="0" xfId="3" applyNumberFormat="1" applyFont="1" applyAlignment="1">
      <alignment horizontal="right" vertical="center"/>
    </xf>
    <xf numFmtId="0" fontId="0" fillId="0" borderId="0" xfId="0" quotePrefix="1" applyAlignment="1">
      <alignment horizontal="right"/>
    </xf>
    <xf numFmtId="10" fontId="0" fillId="0" borderId="0" xfId="0" applyNumberFormat="1" applyAlignment="1">
      <alignment horizontal="right"/>
    </xf>
    <xf numFmtId="10" fontId="0" fillId="0" borderId="0" xfId="0" applyNumberFormat="1" applyAlignment="1">
      <alignment horizontal="right" vertical="center"/>
    </xf>
    <xf numFmtId="0" fontId="0" fillId="0" borderId="0" xfId="0" applyAlignment="1">
      <alignment vertical="center"/>
    </xf>
    <xf numFmtId="0" fontId="7" fillId="0" borderId="0" xfId="0" applyFont="1"/>
    <xf numFmtId="0" fontId="7" fillId="0" borderId="0" xfId="0" applyFont="1" applyAlignment="1">
      <alignment wrapText="1"/>
    </xf>
    <xf numFmtId="0" fontId="21" fillId="13" borderId="18" xfId="0" applyFont="1" applyFill="1" applyBorder="1"/>
    <xf numFmtId="0" fontId="21" fillId="13" borderId="19" xfId="0" applyFont="1" applyFill="1" applyBorder="1"/>
    <xf numFmtId="0" fontId="0" fillId="2" borderId="0" xfId="0" applyFill="1" applyAlignment="1">
      <alignment vertical="center"/>
    </xf>
    <xf numFmtId="0" fontId="0" fillId="14" borderId="8" xfId="0" applyFill="1" applyBorder="1" applyAlignment="1">
      <alignment vertical="center"/>
    </xf>
    <xf numFmtId="0" fontId="0" fillId="14" borderId="20" xfId="0" applyFill="1" applyBorder="1" applyAlignment="1">
      <alignment vertical="center"/>
    </xf>
    <xf numFmtId="0" fontId="0" fillId="14" borderId="10" xfId="0" applyFill="1" applyBorder="1" applyAlignment="1">
      <alignment horizontal="center" vertical="center"/>
    </xf>
    <xf numFmtId="10" fontId="0" fillId="14" borderId="10" xfId="0" applyNumberFormat="1" applyFill="1" applyBorder="1" applyAlignment="1">
      <alignment horizontal="center" vertical="center"/>
    </xf>
    <xf numFmtId="0" fontId="22" fillId="0" borderId="0" xfId="0" applyFont="1"/>
    <xf numFmtId="0" fontId="21" fillId="13" borderId="0" xfId="0" applyFont="1" applyFill="1"/>
    <xf numFmtId="0" fontId="21" fillId="13" borderId="18" xfId="0" applyFont="1" applyFill="1" applyBorder="1" applyAlignment="1">
      <alignment horizontal="center"/>
    </xf>
    <xf numFmtId="0" fontId="21" fillId="0" borderId="10" xfId="0" applyFont="1" applyBorder="1" applyAlignment="1">
      <alignment horizontal="right"/>
    </xf>
    <xf numFmtId="164" fontId="12" fillId="3" borderId="10" xfId="0" quotePrefix="1" applyNumberFormat="1" applyFont="1" applyFill="1" applyBorder="1" applyAlignment="1">
      <alignment horizontal="center"/>
    </xf>
    <xf numFmtId="0" fontId="21" fillId="0" borderId="0" xfId="0" applyFont="1"/>
    <xf numFmtId="0" fontId="21" fillId="0" borderId="8" xfId="0" applyFont="1" applyBorder="1" applyAlignment="1">
      <alignment horizontal="right"/>
    </xf>
    <xf numFmtId="2" fontId="12" fillId="3" borderId="4" xfId="0" quotePrefix="1" applyNumberFormat="1" applyFont="1" applyFill="1" applyBorder="1" applyAlignment="1">
      <alignment horizontal="center"/>
    </xf>
    <xf numFmtId="0" fontId="21" fillId="0" borderId="0" xfId="0" applyFont="1" applyAlignment="1">
      <alignment horizontal="right"/>
    </xf>
    <xf numFmtId="10" fontId="12" fillId="3" borderId="4" xfId="3" quotePrefix="1" applyNumberFormat="1" applyFont="1" applyFill="1" applyBorder="1" applyAlignment="1">
      <alignment horizontal="center"/>
    </xf>
    <xf numFmtId="0" fontId="11" fillId="2" borderId="8" xfId="0" applyFont="1" applyFill="1" applyBorder="1" applyAlignment="1">
      <alignment horizontal="center"/>
    </xf>
    <xf numFmtId="2" fontId="15" fillId="6" borderId="11" xfId="0" applyNumberFormat="1" applyFont="1" applyFill="1" applyBorder="1" applyAlignment="1">
      <alignment horizontal="center"/>
    </xf>
    <xf numFmtId="0" fontId="15" fillId="6" borderId="8" xfId="0" applyFont="1" applyFill="1" applyBorder="1" applyAlignment="1">
      <alignment horizontal="center"/>
    </xf>
    <xf numFmtId="0" fontId="18" fillId="0" borderId="0" xfId="0" quotePrefix="1"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1058333</xdr:colOff>
      <xdr:row>94</xdr:row>
      <xdr:rowOff>325967</xdr:rowOff>
    </xdr:from>
    <xdr:to>
      <xdr:col>3</xdr:col>
      <xdr:colOff>469900</xdr:colOff>
      <xdr:row>96</xdr:row>
      <xdr:rowOff>131234</xdr:rowOff>
    </xdr:to>
    <xdr:cxnSp macro="">
      <xdr:nvCxnSpPr>
        <xdr:cNvPr id="2" name="Straight Arrow Connector 1">
          <a:extLst>
            <a:ext uri="{FF2B5EF4-FFF2-40B4-BE49-F238E27FC236}">
              <a16:creationId xmlns:a16="http://schemas.microsoft.com/office/drawing/2014/main" id="{1504DD96-30AD-4A9C-91EA-4F9079A1CD87}"/>
            </a:ext>
          </a:extLst>
        </xdr:cNvPr>
        <xdr:cNvCxnSpPr/>
      </xdr:nvCxnSpPr>
      <xdr:spPr>
        <a:xfrm flipV="1">
          <a:off x="2142066" y="339809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3" name="Straight Arrow Connector 2">
          <a:extLst>
            <a:ext uri="{FF2B5EF4-FFF2-40B4-BE49-F238E27FC236}">
              <a16:creationId xmlns:a16="http://schemas.microsoft.com/office/drawing/2014/main" id="{DD52DD34-7758-4058-8E71-93D849F54D2C}"/>
            </a:ext>
          </a:extLst>
        </xdr:cNvPr>
        <xdr:cNvCxnSpPr/>
      </xdr:nvCxnSpPr>
      <xdr:spPr>
        <a:xfrm flipV="1">
          <a:off x="3187700" y="333248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4" name="Straight Arrow Connector 3">
          <a:extLst>
            <a:ext uri="{FF2B5EF4-FFF2-40B4-BE49-F238E27FC236}">
              <a16:creationId xmlns:a16="http://schemas.microsoft.com/office/drawing/2014/main" id="{63971CE7-DF8E-448D-9DC1-97DA514C8D6A}"/>
            </a:ext>
          </a:extLst>
        </xdr:cNvPr>
        <xdr:cNvCxnSpPr/>
      </xdr:nvCxnSpPr>
      <xdr:spPr>
        <a:xfrm>
          <a:off x="4093633" y="331935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5" name="Straight Arrow Connector 4">
          <a:extLst>
            <a:ext uri="{FF2B5EF4-FFF2-40B4-BE49-F238E27FC236}">
              <a16:creationId xmlns:a16="http://schemas.microsoft.com/office/drawing/2014/main" id="{58CC22E0-7377-40E4-A76E-F056D6939C79}"/>
            </a:ext>
          </a:extLst>
        </xdr:cNvPr>
        <xdr:cNvCxnSpPr/>
      </xdr:nvCxnSpPr>
      <xdr:spPr>
        <a:xfrm>
          <a:off x="3191933" y="351536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6" name="Straight Arrow Connector 5">
          <a:extLst>
            <a:ext uri="{FF2B5EF4-FFF2-40B4-BE49-F238E27FC236}">
              <a16:creationId xmlns:a16="http://schemas.microsoft.com/office/drawing/2014/main" id="{6A697B0C-F1BE-4069-89A3-E2B5372533B0}"/>
            </a:ext>
          </a:extLst>
        </xdr:cNvPr>
        <xdr:cNvCxnSpPr/>
      </xdr:nvCxnSpPr>
      <xdr:spPr>
        <a:xfrm>
          <a:off x="2146300" y="344593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7" name="Straight Arrow Connector 6">
          <a:extLst>
            <a:ext uri="{FF2B5EF4-FFF2-40B4-BE49-F238E27FC236}">
              <a16:creationId xmlns:a16="http://schemas.microsoft.com/office/drawing/2014/main" id="{462E7098-85B3-49FD-96A9-BFA4BE299812}"/>
            </a:ext>
          </a:extLst>
        </xdr:cNvPr>
        <xdr:cNvCxnSpPr/>
      </xdr:nvCxnSpPr>
      <xdr:spPr>
        <a:xfrm flipV="1">
          <a:off x="4093634" y="358055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8" name="Straight Arrow Connector 7">
          <a:extLst>
            <a:ext uri="{FF2B5EF4-FFF2-40B4-BE49-F238E27FC236}">
              <a16:creationId xmlns:a16="http://schemas.microsoft.com/office/drawing/2014/main" id="{584C504F-477A-4EA2-8C01-0A18DC029D47}"/>
            </a:ext>
          </a:extLst>
        </xdr:cNvPr>
        <xdr:cNvCxnSpPr/>
      </xdr:nvCxnSpPr>
      <xdr:spPr>
        <a:xfrm>
          <a:off x="3187700" y="338285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9" name="Straight Arrow Connector 8">
          <a:extLst>
            <a:ext uri="{FF2B5EF4-FFF2-40B4-BE49-F238E27FC236}">
              <a16:creationId xmlns:a16="http://schemas.microsoft.com/office/drawing/2014/main" id="{F9B587F9-8EF9-42F6-9ACB-D83AC9FBB852}"/>
            </a:ext>
          </a:extLst>
        </xdr:cNvPr>
        <xdr:cNvCxnSpPr/>
      </xdr:nvCxnSpPr>
      <xdr:spPr>
        <a:xfrm flipV="1">
          <a:off x="3196167" y="346456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10" name="Straight Arrow Connector 9">
          <a:extLst>
            <a:ext uri="{FF2B5EF4-FFF2-40B4-BE49-F238E27FC236}">
              <a16:creationId xmlns:a16="http://schemas.microsoft.com/office/drawing/2014/main" id="{920C338F-5B58-4B77-AEBA-DE79D62142AF}"/>
            </a:ext>
          </a:extLst>
        </xdr:cNvPr>
        <xdr:cNvCxnSpPr/>
      </xdr:nvCxnSpPr>
      <xdr:spPr>
        <a:xfrm>
          <a:off x="4106333" y="345059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11" name="Straight Arrow Connector 10">
          <a:extLst>
            <a:ext uri="{FF2B5EF4-FFF2-40B4-BE49-F238E27FC236}">
              <a16:creationId xmlns:a16="http://schemas.microsoft.com/office/drawing/2014/main" id="{11AC0F6C-EB35-4405-988E-DFEE057FC5C7}"/>
            </a:ext>
          </a:extLst>
        </xdr:cNvPr>
        <xdr:cNvCxnSpPr/>
      </xdr:nvCxnSpPr>
      <xdr:spPr>
        <a:xfrm flipV="1">
          <a:off x="3196167" y="39365767"/>
          <a:ext cx="889000"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12" name="Straight Arrow Connector 11">
          <a:extLst>
            <a:ext uri="{FF2B5EF4-FFF2-40B4-BE49-F238E27FC236}">
              <a16:creationId xmlns:a16="http://schemas.microsoft.com/office/drawing/2014/main" id="{56E2C826-79BD-4B5C-9D0B-F8DD0287F716}"/>
            </a:ext>
          </a:extLst>
        </xdr:cNvPr>
        <xdr:cNvCxnSpPr/>
      </xdr:nvCxnSpPr>
      <xdr:spPr>
        <a:xfrm flipV="1">
          <a:off x="4982633" y="388493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13" name="Straight Arrow Connector 12">
          <a:extLst>
            <a:ext uri="{FF2B5EF4-FFF2-40B4-BE49-F238E27FC236}">
              <a16:creationId xmlns:a16="http://schemas.microsoft.com/office/drawing/2014/main" id="{BAD53A5F-E7C2-4B56-AB93-59D694D0C975}"/>
            </a:ext>
          </a:extLst>
        </xdr:cNvPr>
        <xdr:cNvCxnSpPr/>
      </xdr:nvCxnSpPr>
      <xdr:spPr>
        <a:xfrm>
          <a:off x="5888566" y="387180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14" name="Straight Arrow Connector 13">
          <a:extLst>
            <a:ext uri="{FF2B5EF4-FFF2-40B4-BE49-F238E27FC236}">
              <a16:creationId xmlns:a16="http://schemas.microsoft.com/office/drawing/2014/main" id="{B1326B7E-D6BB-4BF8-B8EC-A40256BD9A90}"/>
            </a:ext>
          </a:extLst>
        </xdr:cNvPr>
        <xdr:cNvCxnSpPr/>
      </xdr:nvCxnSpPr>
      <xdr:spPr>
        <a:xfrm>
          <a:off x="4986866" y="406781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15" name="Straight Arrow Connector 14">
          <a:extLst>
            <a:ext uri="{FF2B5EF4-FFF2-40B4-BE49-F238E27FC236}">
              <a16:creationId xmlns:a16="http://schemas.microsoft.com/office/drawing/2014/main" id="{57E8267A-CDBD-4077-B790-86380FB2A653}"/>
            </a:ext>
          </a:extLst>
        </xdr:cNvPr>
        <xdr:cNvCxnSpPr/>
      </xdr:nvCxnSpPr>
      <xdr:spPr>
        <a:xfrm>
          <a:off x="3200400" y="40652701"/>
          <a:ext cx="905934"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16" name="Straight Arrow Connector 15">
          <a:extLst>
            <a:ext uri="{FF2B5EF4-FFF2-40B4-BE49-F238E27FC236}">
              <a16:creationId xmlns:a16="http://schemas.microsoft.com/office/drawing/2014/main" id="{A9EA8E80-FD28-40D2-8FDA-7E1CB4089491}"/>
            </a:ext>
          </a:extLst>
        </xdr:cNvPr>
        <xdr:cNvCxnSpPr/>
      </xdr:nvCxnSpPr>
      <xdr:spPr>
        <a:xfrm flipV="1">
          <a:off x="5888567" y="413300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17" name="Straight Arrow Connector 16">
          <a:extLst>
            <a:ext uri="{FF2B5EF4-FFF2-40B4-BE49-F238E27FC236}">
              <a16:creationId xmlns:a16="http://schemas.microsoft.com/office/drawing/2014/main" id="{0DCDD792-435B-4668-8698-FC047F9AD802}"/>
            </a:ext>
          </a:extLst>
        </xdr:cNvPr>
        <xdr:cNvCxnSpPr/>
      </xdr:nvCxnSpPr>
      <xdr:spPr>
        <a:xfrm>
          <a:off x="4982633" y="393530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18" name="Straight Arrow Connector 17">
          <a:extLst>
            <a:ext uri="{FF2B5EF4-FFF2-40B4-BE49-F238E27FC236}">
              <a16:creationId xmlns:a16="http://schemas.microsoft.com/office/drawing/2014/main" id="{CAC36017-636F-411A-9009-94D84A25CF09}"/>
            </a:ext>
          </a:extLst>
        </xdr:cNvPr>
        <xdr:cNvCxnSpPr/>
      </xdr:nvCxnSpPr>
      <xdr:spPr>
        <a:xfrm flipV="1">
          <a:off x="4991100" y="401701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19" name="Straight Arrow Connector 18">
          <a:extLst>
            <a:ext uri="{FF2B5EF4-FFF2-40B4-BE49-F238E27FC236}">
              <a16:creationId xmlns:a16="http://schemas.microsoft.com/office/drawing/2014/main" id="{C114B83C-AFC7-48A4-8DB1-72C321A33249}"/>
            </a:ext>
          </a:extLst>
        </xdr:cNvPr>
        <xdr:cNvCxnSpPr/>
      </xdr:nvCxnSpPr>
      <xdr:spPr>
        <a:xfrm>
          <a:off x="5901266" y="400304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20" name="Straight Arrow Connector 19">
          <a:extLst>
            <a:ext uri="{FF2B5EF4-FFF2-40B4-BE49-F238E27FC236}">
              <a16:creationId xmlns:a16="http://schemas.microsoft.com/office/drawing/2014/main" id="{0A9C3F8D-0EE3-465C-A62F-29CA22710DB1}"/>
            </a:ext>
          </a:extLst>
        </xdr:cNvPr>
        <xdr:cNvCxnSpPr/>
      </xdr:nvCxnSpPr>
      <xdr:spPr>
        <a:xfrm flipV="1">
          <a:off x="2142066" y="395054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21" name="Straight Arrow Connector 20">
          <a:extLst>
            <a:ext uri="{FF2B5EF4-FFF2-40B4-BE49-F238E27FC236}">
              <a16:creationId xmlns:a16="http://schemas.microsoft.com/office/drawing/2014/main" id="{C18FA515-7710-4A7B-A12D-E8DA29EA049C}"/>
            </a:ext>
          </a:extLst>
        </xdr:cNvPr>
        <xdr:cNvCxnSpPr/>
      </xdr:nvCxnSpPr>
      <xdr:spPr>
        <a:xfrm>
          <a:off x="2146300" y="399838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22" name="Straight Arrow Connector 21">
          <a:extLst>
            <a:ext uri="{FF2B5EF4-FFF2-40B4-BE49-F238E27FC236}">
              <a16:creationId xmlns:a16="http://schemas.microsoft.com/office/drawing/2014/main" id="{8C413D88-9AD4-49A4-A5FE-E3401DA4EF5A}"/>
            </a:ext>
          </a:extLst>
        </xdr:cNvPr>
        <xdr:cNvCxnSpPr/>
      </xdr:nvCxnSpPr>
      <xdr:spPr>
        <a:xfrm flipV="1">
          <a:off x="2142066" y="27491266"/>
          <a:ext cx="474134" cy="3894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23" name="Straight Arrow Connector 22">
          <a:extLst>
            <a:ext uri="{FF2B5EF4-FFF2-40B4-BE49-F238E27FC236}">
              <a16:creationId xmlns:a16="http://schemas.microsoft.com/office/drawing/2014/main" id="{93F8EB32-9A5A-4B5F-9C3F-36D73482463F}"/>
            </a:ext>
          </a:extLst>
        </xdr:cNvPr>
        <xdr:cNvCxnSpPr/>
      </xdr:nvCxnSpPr>
      <xdr:spPr>
        <a:xfrm>
          <a:off x="2146300" y="27893434"/>
          <a:ext cx="474134" cy="372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24" name="Right Brace 23">
          <a:extLst>
            <a:ext uri="{FF2B5EF4-FFF2-40B4-BE49-F238E27FC236}">
              <a16:creationId xmlns:a16="http://schemas.microsoft.com/office/drawing/2014/main" id="{B0F103B2-4FC5-4567-B7EC-8D1D5CCB9806}"/>
            </a:ext>
          </a:extLst>
        </xdr:cNvPr>
        <xdr:cNvSpPr/>
      </xdr:nvSpPr>
      <xdr:spPr>
        <a:xfrm>
          <a:off x="2933700" y="27499734"/>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25" name="Right Brace 24">
          <a:extLst>
            <a:ext uri="{FF2B5EF4-FFF2-40B4-BE49-F238E27FC236}">
              <a16:creationId xmlns:a16="http://schemas.microsoft.com/office/drawing/2014/main" id="{6883D243-447B-4BFE-96F2-E35C42DF631A}"/>
            </a:ext>
          </a:extLst>
        </xdr:cNvPr>
        <xdr:cNvSpPr/>
      </xdr:nvSpPr>
      <xdr:spPr>
        <a:xfrm>
          <a:off x="4762500" y="27503968"/>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R_CAPS_Midterm_Exam_summer_2020_Answ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SWERS"/>
      <sheetName val="INPUT"/>
      <sheetName val="GRADES"/>
    </sheetNames>
    <sheetDataSet>
      <sheetData sheetId="0"/>
      <sheetData sheetId="1">
        <row r="74">
          <cell r="C74">
            <v>45</v>
          </cell>
        </row>
        <row r="97">
          <cell r="C97">
            <v>65</v>
          </cell>
        </row>
        <row r="114">
          <cell r="C114">
            <v>100</v>
          </cell>
        </row>
        <row r="125">
          <cell r="D125">
            <v>0.3</v>
          </cell>
        </row>
        <row r="126">
          <cell r="D126">
            <v>1</v>
          </cell>
        </row>
        <row r="127">
          <cell r="D127">
            <v>0.01</v>
          </cell>
        </row>
        <row r="128">
          <cell r="D128">
            <v>115</v>
          </cell>
        </row>
        <row r="129">
          <cell r="D129">
            <v>95</v>
          </cell>
        </row>
        <row r="130">
          <cell r="D130">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0FFED-C4CE-4577-9193-56D99F359407}">
  <dimension ref="A1:AZ140"/>
  <sheetViews>
    <sheetView tabSelected="1" workbookViewId="0">
      <selection activeCell="M9" sqref="M9"/>
    </sheetView>
  </sheetViews>
  <sheetFormatPr defaultRowHeight="14.35" x14ac:dyDescent="0.5"/>
  <cols>
    <col min="1" max="1" width="4.234375" style="1" customWidth="1"/>
    <col min="2" max="2" width="10.8203125" customWidth="1"/>
    <col min="3" max="3" width="14.76171875" customWidth="1"/>
    <col min="4" max="4" width="14.46875" customWidth="1"/>
    <col min="5" max="6" width="12.46875" customWidth="1"/>
    <col min="7" max="8" width="12.46875" style="3" customWidth="1"/>
    <col min="9" max="10" width="12.46875" customWidth="1"/>
    <col min="11" max="11" width="10.64453125" style="4" customWidth="1"/>
    <col min="12" max="12" width="9.234375" style="4" customWidth="1"/>
    <col min="13" max="16" width="13.5859375" style="4" customWidth="1"/>
    <col min="17" max="18" width="24.1171875" style="4" customWidth="1"/>
    <col min="19" max="26" width="13.234375" style="4" customWidth="1"/>
    <col min="27" max="27" width="8.9375" style="4"/>
    <col min="28" max="28" width="8.41015625" style="4" customWidth="1"/>
    <col min="29" max="52" width="8.9375" style="4"/>
    <col min="258" max="258" width="9.41015625" customWidth="1"/>
    <col min="259" max="259" width="11" customWidth="1"/>
    <col min="260" max="271" width="9.234375" customWidth="1"/>
    <col min="284" max="284" width="10.5859375" customWidth="1"/>
    <col min="514" max="514" width="9.41015625" customWidth="1"/>
    <col min="515" max="515" width="11" customWidth="1"/>
    <col min="516" max="527" width="9.234375" customWidth="1"/>
    <col min="540" max="540" width="10.5859375" customWidth="1"/>
    <col min="770" max="770" width="9.41015625" customWidth="1"/>
    <col min="771" max="771" width="11" customWidth="1"/>
    <col min="772" max="783" width="9.234375" customWidth="1"/>
    <col min="796" max="796" width="10.5859375" customWidth="1"/>
    <col min="1026" max="1026" width="9.41015625" customWidth="1"/>
    <col min="1027" max="1027" width="11" customWidth="1"/>
    <col min="1028" max="1039" width="9.234375" customWidth="1"/>
    <col min="1052" max="1052" width="10.5859375" customWidth="1"/>
    <col min="1282" max="1282" width="9.41015625" customWidth="1"/>
    <col min="1283" max="1283" width="11" customWidth="1"/>
    <col min="1284" max="1295" width="9.234375" customWidth="1"/>
    <col min="1308" max="1308" width="10.5859375" customWidth="1"/>
    <col min="1538" max="1538" width="9.41015625" customWidth="1"/>
    <col min="1539" max="1539" width="11" customWidth="1"/>
    <col min="1540" max="1551" width="9.234375" customWidth="1"/>
    <col min="1564" max="1564" width="10.5859375" customWidth="1"/>
    <col min="1794" max="1794" width="9.41015625" customWidth="1"/>
    <col min="1795" max="1795" width="11" customWidth="1"/>
    <col min="1796" max="1807" width="9.234375" customWidth="1"/>
    <col min="1820" max="1820" width="10.5859375" customWidth="1"/>
    <col min="2050" max="2050" width="9.41015625" customWidth="1"/>
    <col min="2051" max="2051" width="11" customWidth="1"/>
    <col min="2052" max="2063" width="9.234375" customWidth="1"/>
    <col min="2076" max="2076" width="10.5859375" customWidth="1"/>
    <col min="2306" max="2306" width="9.41015625" customWidth="1"/>
    <col min="2307" max="2307" width="11" customWidth="1"/>
    <col min="2308" max="2319" width="9.234375" customWidth="1"/>
    <col min="2332" max="2332" width="10.5859375" customWidth="1"/>
    <col min="2562" max="2562" width="9.41015625" customWidth="1"/>
    <col min="2563" max="2563" width="11" customWidth="1"/>
    <col min="2564" max="2575" width="9.234375" customWidth="1"/>
    <col min="2588" max="2588" width="10.5859375" customWidth="1"/>
    <col min="2818" max="2818" width="9.41015625" customWidth="1"/>
    <col min="2819" max="2819" width="11" customWidth="1"/>
    <col min="2820" max="2831" width="9.234375" customWidth="1"/>
    <col min="2844" max="2844" width="10.5859375" customWidth="1"/>
    <col min="3074" max="3074" width="9.41015625" customWidth="1"/>
    <col min="3075" max="3075" width="11" customWidth="1"/>
    <col min="3076" max="3087" width="9.234375" customWidth="1"/>
    <col min="3100" max="3100" width="10.5859375" customWidth="1"/>
    <col min="3330" max="3330" width="9.41015625" customWidth="1"/>
    <col min="3331" max="3331" width="11" customWidth="1"/>
    <col min="3332" max="3343" width="9.234375" customWidth="1"/>
    <col min="3356" max="3356" width="10.5859375" customWidth="1"/>
    <col min="3586" max="3586" width="9.41015625" customWidth="1"/>
    <col min="3587" max="3587" width="11" customWidth="1"/>
    <col min="3588" max="3599" width="9.234375" customWidth="1"/>
    <col min="3612" max="3612" width="10.5859375" customWidth="1"/>
    <col min="3842" max="3842" width="9.41015625" customWidth="1"/>
    <col min="3843" max="3843" width="11" customWidth="1"/>
    <col min="3844" max="3855" width="9.234375" customWidth="1"/>
    <col min="3868" max="3868" width="10.5859375" customWidth="1"/>
    <col min="4098" max="4098" width="9.41015625" customWidth="1"/>
    <col min="4099" max="4099" width="11" customWidth="1"/>
    <col min="4100" max="4111" width="9.234375" customWidth="1"/>
    <col min="4124" max="4124" width="10.5859375" customWidth="1"/>
    <col min="4354" max="4354" width="9.41015625" customWidth="1"/>
    <col min="4355" max="4355" width="11" customWidth="1"/>
    <col min="4356" max="4367" width="9.234375" customWidth="1"/>
    <col min="4380" max="4380" width="10.5859375" customWidth="1"/>
    <col min="4610" max="4610" width="9.41015625" customWidth="1"/>
    <col min="4611" max="4611" width="11" customWidth="1"/>
    <col min="4612" max="4623" width="9.234375" customWidth="1"/>
    <col min="4636" max="4636" width="10.5859375" customWidth="1"/>
    <col min="4866" max="4866" width="9.41015625" customWidth="1"/>
    <col min="4867" max="4867" width="11" customWidth="1"/>
    <col min="4868" max="4879" width="9.234375" customWidth="1"/>
    <col min="4892" max="4892" width="10.5859375" customWidth="1"/>
    <col min="5122" max="5122" width="9.41015625" customWidth="1"/>
    <col min="5123" max="5123" width="11" customWidth="1"/>
    <col min="5124" max="5135" width="9.234375" customWidth="1"/>
    <col min="5148" max="5148" width="10.5859375" customWidth="1"/>
    <col min="5378" max="5378" width="9.41015625" customWidth="1"/>
    <col min="5379" max="5379" width="11" customWidth="1"/>
    <col min="5380" max="5391" width="9.234375" customWidth="1"/>
    <col min="5404" max="5404" width="10.5859375" customWidth="1"/>
    <col min="5634" max="5634" width="9.41015625" customWidth="1"/>
    <col min="5635" max="5635" width="11" customWidth="1"/>
    <col min="5636" max="5647" width="9.234375" customWidth="1"/>
    <col min="5660" max="5660" width="10.5859375" customWidth="1"/>
    <col min="5890" max="5890" width="9.41015625" customWidth="1"/>
    <col min="5891" max="5891" width="11" customWidth="1"/>
    <col min="5892" max="5903" width="9.234375" customWidth="1"/>
    <col min="5916" max="5916" width="10.5859375" customWidth="1"/>
    <col min="6146" max="6146" width="9.41015625" customWidth="1"/>
    <col min="6147" max="6147" width="11" customWidth="1"/>
    <col min="6148" max="6159" width="9.234375" customWidth="1"/>
    <col min="6172" max="6172" width="10.5859375" customWidth="1"/>
    <col min="6402" max="6402" width="9.41015625" customWidth="1"/>
    <col min="6403" max="6403" width="11" customWidth="1"/>
    <col min="6404" max="6415" width="9.234375" customWidth="1"/>
    <col min="6428" max="6428" width="10.5859375" customWidth="1"/>
    <col min="6658" max="6658" width="9.41015625" customWidth="1"/>
    <col min="6659" max="6659" width="11" customWidth="1"/>
    <col min="6660" max="6671" width="9.234375" customWidth="1"/>
    <col min="6684" max="6684" width="10.5859375" customWidth="1"/>
    <col min="6914" max="6914" width="9.41015625" customWidth="1"/>
    <col min="6915" max="6915" width="11" customWidth="1"/>
    <col min="6916" max="6927" width="9.234375" customWidth="1"/>
    <col min="6940" max="6940" width="10.5859375" customWidth="1"/>
    <col min="7170" max="7170" width="9.41015625" customWidth="1"/>
    <col min="7171" max="7171" width="11" customWidth="1"/>
    <col min="7172" max="7183" width="9.234375" customWidth="1"/>
    <col min="7196" max="7196" width="10.5859375" customWidth="1"/>
    <col min="7426" max="7426" width="9.41015625" customWidth="1"/>
    <col min="7427" max="7427" width="11" customWidth="1"/>
    <col min="7428" max="7439" width="9.234375" customWidth="1"/>
    <col min="7452" max="7452" width="10.5859375" customWidth="1"/>
    <col min="7682" max="7682" width="9.41015625" customWidth="1"/>
    <col min="7683" max="7683" width="11" customWidth="1"/>
    <col min="7684" max="7695" width="9.234375" customWidth="1"/>
    <col min="7708" max="7708" width="10.5859375" customWidth="1"/>
    <col min="7938" max="7938" width="9.41015625" customWidth="1"/>
    <col min="7939" max="7939" width="11" customWidth="1"/>
    <col min="7940" max="7951" width="9.234375" customWidth="1"/>
    <col min="7964" max="7964" width="10.5859375" customWidth="1"/>
    <col min="8194" max="8194" width="9.41015625" customWidth="1"/>
    <col min="8195" max="8195" width="11" customWidth="1"/>
    <col min="8196" max="8207" width="9.234375" customWidth="1"/>
    <col min="8220" max="8220" width="10.5859375" customWidth="1"/>
    <col min="8450" max="8450" width="9.41015625" customWidth="1"/>
    <col min="8451" max="8451" width="11" customWidth="1"/>
    <col min="8452" max="8463" width="9.234375" customWidth="1"/>
    <col min="8476" max="8476" width="10.5859375" customWidth="1"/>
    <col min="8706" max="8706" width="9.41015625" customWidth="1"/>
    <col min="8707" max="8707" width="11" customWidth="1"/>
    <col min="8708" max="8719" width="9.234375" customWidth="1"/>
    <col min="8732" max="8732" width="10.5859375" customWidth="1"/>
    <col min="8962" max="8962" width="9.41015625" customWidth="1"/>
    <col min="8963" max="8963" width="11" customWidth="1"/>
    <col min="8964" max="8975" width="9.234375" customWidth="1"/>
    <col min="8988" max="8988" width="10.5859375" customWidth="1"/>
    <col min="9218" max="9218" width="9.41015625" customWidth="1"/>
    <col min="9219" max="9219" width="11" customWidth="1"/>
    <col min="9220" max="9231" width="9.234375" customWidth="1"/>
    <col min="9244" max="9244" width="10.5859375" customWidth="1"/>
    <col min="9474" max="9474" width="9.41015625" customWidth="1"/>
    <col min="9475" max="9475" width="11" customWidth="1"/>
    <col min="9476" max="9487" width="9.234375" customWidth="1"/>
    <col min="9500" max="9500" width="10.5859375" customWidth="1"/>
    <col min="9730" max="9730" width="9.41015625" customWidth="1"/>
    <col min="9731" max="9731" width="11" customWidth="1"/>
    <col min="9732" max="9743" width="9.234375" customWidth="1"/>
    <col min="9756" max="9756" width="10.5859375" customWidth="1"/>
    <col min="9986" max="9986" width="9.41015625" customWidth="1"/>
    <col min="9987" max="9987" width="11" customWidth="1"/>
    <col min="9988" max="9999" width="9.234375" customWidth="1"/>
    <col min="10012" max="10012" width="10.5859375" customWidth="1"/>
    <col min="10242" max="10242" width="9.41015625" customWidth="1"/>
    <col min="10243" max="10243" width="11" customWidth="1"/>
    <col min="10244" max="10255" width="9.234375" customWidth="1"/>
    <col min="10268" max="10268" width="10.5859375" customWidth="1"/>
    <col min="10498" max="10498" width="9.41015625" customWidth="1"/>
    <col min="10499" max="10499" width="11" customWidth="1"/>
    <col min="10500" max="10511" width="9.234375" customWidth="1"/>
    <col min="10524" max="10524" width="10.5859375" customWidth="1"/>
    <col min="10754" max="10754" width="9.41015625" customWidth="1"/>
    <col min="10755" max="10755" width="11" customWidth="1"/>
    <col min="10756" max="10767" width="9.234375" customWidth="1"/>
    <col min="10780" max="10780" width="10.5859375" customWidth="1"/>
    <col min="11010" max="11010" width="9.41015625" customWidth="1"/>
    <col min="11011" max="11011" width="11" customWidth="1"/>
    <col min="11012" max="11023" width="9.234375" customWidth="1"/>
    <col min="11036" max="11036" width="10.5859375" customWidth="1"/>
    <col min="11266" max="11266" width="9.41015625" customWidth="1"/>
    <col min="11267" max="11267" width="11" customWidth="1"/>
    <col min="11268" max="11279" width="9.234375" customWidth="1"/>
    <col min="11292" max="11292" width="10.5859375" customWidth="1"/>
    <col min="11522" max="11522" width="9.41015625" customWidth="1"/>
    <col min="11523" max="11523" width="11" customWidth="1"/>
    <col min="11524" max="11535" width="9.234375" customWidth="1"/>
    <col min="11548" max="11548" width="10.5859375" customWidth="1"/>
    <col min="11778" max="11778" width="9.41015625" customWidth="1"/>
    <col min="11779" max="11779" width="11" customWidth="1"/>
    <col min="11780" max="11791" width="9.234375" customWidth="1"/>
    <col min="11804" max="11804" width="10.5859375" customWidth="1"/>
    <col min="12034" max="12034" width="9.41015625" customWidth="1"/>
    <col min="12035" max="12035" width="11" customWidth="1"/>
    <col min="12036" max="12047" width="9.234375" customWidth="1"/>
    <col min="12060" max="12060" width="10.5859375" customWidth="1"/>
    <col min="12290" max="12290" width="9.41015625" customWidth="1"/>
    <col min="12291" max="12291" width="11" customWidth="1"/>
    <col min="12292" max="12303" width="9.234375" customWidth="1"/>
    <col min="12316" max="12316" width="10.5859375" customWidth="1"/>
    <col min="12546" max="12546" width="9.41015625" customWidth="1"/>
    <col min="12547" max="12547" width="11" customWidth="1"/>
    <col min="12548" max="12559" width="9.234375" customWidth="1"/>
    <col min="12572" max="12572" width="10.5859375" customWidth="1"/>
    <col min="12802" max="12802" width="9.41015625" customWidth="1"/>
    <col min="12803" max="12803" width="11" customWidth="1"/>
    <col min="12804" max="12815" width="9.234375" customWidth="1"/>
    <col min="12828" max="12828" width="10.5859375" customWidth="1"/>
    <col min="13058" max="13058" width="9.41015625" customWidth="1"/>
    <col min="13059" max="13059" width="11" customWidth="1"/>
    <col min="13060" max="13071" width="9.234375" customWidth="1"/>
    <col min="13084" max="13084" width="10.5859375" customWidth="1"/>
    <col min="13314" max="13314" width="9.41015625" customWidth="1"/>
    <col min="13315" max="13315" width="11" customWidth="1"/>
    <col min="13316" max="13327" width="9.234375" customWidth="1"/>
    <col min="13340" max="13340" width="10.5859375" customWidth="1"/>
    <col min="13570" max="13570" width="9.41015625" customWidth="1"/>
    <col min="13571" max="13571" width="11" customWidth="1"/>
    <col min="13572" max="13583" width="9.234375" customWidth="1"/>
    <col min="13596" max="13596" width="10.5859375" customWidth="1"/>
    <col min="13826" max="13826" width="9.41015625" customWidth="1"/>
    <col min="13827" max="13827" width="11" customWidth="1"/>
    <col min="13828" max="13839" width="9.234375" customWidth="1"/>
    <col min="13852" max="13852" width="10.5859375" customWidth="1"/>
    <col min="14082" max="14082" width="9.41015625" customWidth="1"/>
    <col min="14083" max="14083" width="11" customWidth="1"/>
    <col min="14084" max="14095" width="9.234375" customWidth="1"/>
    <col min="14108" max="14108" width="10.5859375" customWidth="1"/>
    <col min="14338" max="14338" width="9.41015625" customWidth="1"/>
    <col min="14339" max="14339" width="11" customWidth="1"/>
    <col min="14340" max="14351" width="9.234375" customWidth="1"/>
    <col min="14364" max="14364" width="10.5859375" customWidth="1"/>
    <col min="14594" max="14594" width="9.41015625" customWidth="1"/>
    <col min="14595" max="14595" width="11" customWidth="1"/>
    <col min="14596" max="14607" width="9.234375" customWidth="1"/>
    <col min="14620" max="14620" width="10.5859375" customWidth="1"/>
    <col min="14850" max="14850" width="9.41015625" customWidth="1"/>
    <col min="14851" max="14851" width="11" customWidth="1"/>
    <col min="14852" max="14863" width="9.234375" customWidth="1"/>
    <col min="14876" max="14876" width="10.5859375" customWidth="1"/>
    <col min="15106" max="15106" width="9.41015625" customWidth="1"/>
    <col min="15107" max="15107" width="11" customWidth="1"/>
    <col min="15108" max="15119" width="9.234375" customWidth="1"/>
    <col min="15132" max="15132" width="10.5859375" customWidth="1"/>
    <col min="15362" max="15362" width="9.41015625" customWidth="1"/>
    <col min="15363" max="15363" width="11" customWidth="1"/>
    <col min="15364" max="15375" width="9.234375" customWidth="1"/>
    <col min="15388" max="15388" width="10.5859375" customWidth="1"/>
    <col min="15618" max="15618" width="9.41015625" customWidth="1"/>
    <col min="15619" max="15619" width="11" customWidth="1"/>
    <col min="15620" max="15631" width="9.234375" customWidth="1"/>
    <col min="15644" max="15644" width="10.5859375" customWidth="1"/>
    <col min="15874" max="15874" width="9.41015625" customWidth="1"/>
    <col min="15875" max="15875" width="11" customWidth="1"/>
    <col min="15876" max="15887" width="9.234375" customWidth="1"/>
    <col min="15900" max="15900" width="10.5859375" customWidth="1"/>
    <col min="16130" max="16130" width="9.41015625" customWidth="1"/>
    <col min="16131" max="16131" width="11" customWidth="1"/>
    <col min="16132" max="16143" width="9.234375" customWidth="1"/>
    <col min="16156" max="16156" width="10.5859375" customWidth="1"/>
  </cols>
  <sheetData>
    <row r="1" spans="1:21" ht="33.75" customHeight="1" thickBot="1" x14ac:dyDescent="0.55000000000000004">
      <c r="B1" s="2" t="s">
        <v>0</v>
      </c>
    </row>
    <row r="2" spans="1:21" ht="33.75" customHeight="1" thickBot="1" x14ac:dyDescent="0.6">
      <c r="B2" s="5" t="s">
        <v>1</v>
      </c>
      <c r="C2" s="6" t="s">
        <v>112</v>
      </c>
      <c r="D2" s="7"/>
      <c r="E2" s="7"/>
      <c r="F2" s="7"/>
      <c r="G2" s="7"/>
      <c r="H2" s="7"/>
      <c r="I2" s="8"/>
    </row>
    <row r="3" spans="1:21" ht="18.75" customHeight="1" x14ac:dyDescent="0.5"/>
    <row r="4" spans="1:21" ht="33.75" customHeight="1" x14ac:dyDescent="0.5">
      <c r="B4" s="9" t="s">
        <v>2</v>
      </c>
      <c r="C4" s="10"/>
      <c r="D4" s="10"/>
      <c r="E4" s="10"/>
      <c r="F4" s="10"/>
      <c r="G4" s="10"/>
      <c r="H4" s="10"/>
      <c r="I4" s="10"/>
      <c r="J4" s="10"/>
      <c r="K4" s="11"/>
      <c r="L4" s="11"/>
      <c r="M4" s="12"/>
      <c r="N4" s="12"/>
      <c r="O4" s="12"/>
      <c r="P4" s="12"/>
      <c r="Q4" s="12"/>
      <c r="R4" s="12"/>
      <c r="S4" s="12"/>
      <c r="T4" s="12"/>
      <c r="U4" s="12"/>
    </row>
    <row r="5" spans="1:21" ht="14" customHeight="1" thickBot="1" x14ac:dyDescent="0.55000000000000004">
      <c r="B5" s="1"/>
      <c r="C5" s="1"/>
      <c r="D5" s="1"/>
      <c r="E5" s="1"/>
      <c r="F5" s="1"/>
      <c r="G5" s="1"/>
      <c r="H5" s="1"/>
      <c r="I5" s="1"/>
      <c r="J5" s="1"/>
      <c r="K5" s="1"/>
      <c r="L5" s="1"/>
      <c r="M5" s="1"/>
      <c r="N5" s="12"/>
      <c r="O5" s="12"/>
      <c r="P5" s="12"/>
      <c r="Q5" s="12"/>
      <c r="R5" s="12"/>
      <c r="S5" s="12"/>
      <c r="T5" s="12"/>
      <c r="U5" s="12"/>
    </row>
    <row r="6" spans="1:21" ht="22.7" customHeight="1" x14ac:dyDescent="0.5">
      <c r="C6" s="13" t="s">
        <v>3</v>
      </c>
      <c r="D6" s="14"/>
      <c r="E6" s="15"/>
      <c r="F6" s="13" t="s">
        <v>4</v>
      </c>
      <c r="G6" s="14"/>
      <c r="H6" s="15"/>
    </row>
    <row r="7" spans="1:21" ht="49.7" customHeight="1" x14ac:dyDescent="0.5">
      <c r="B7" s="16" t="s">
        <v>5</v>
      </c>
      <c r="C7" s="17" t="s">
        <v>6</v>
      </c>
      <c r="D7" s="18" t="s">
        <v>7</v>
      </c>
      <c r="E7" s="19" t="s">
        <v>8</v>
      </c>
      <c r="F7" s="17" t="s">
        <v>6</v>
      </c>
      <c r="G7" s="18" t="s">
        <v>7</v>
      </c>
      <c r="H7" s="19" t="s">
        <v>8</v>
      </c>
    </row>
    <row r="8" spans="1:21" ht="28" customHeight="1" x14ac:dyDescent="0.5">
      <c r="B8" s="20">
        <v>150</v>
      </c>
      <c r="C8" s="21">
        <v>20</v>
      </c>
      <c r="D8" s="22">
        <v>21.5</v>
      </c>
      <c r="E8" s="23">
        <v>23</v>
      </c>
      <c r="F8" s="24">
        <v>3</v>
      </c>
      <c r="G8" s="25">
        <v>3.5</v>
      </c>
      <c r="H8" s="26">
        <v>4.45</v>
      </c>
    </row>
    <row r="9" spans="1:21" ht="28" customHeight="1" x14ac:dyDescent="0.5">
      <c r="B9" s="20">
        <v>155</v>
      </c>
      <c r="C9" s="21">
        <v>15.5</v>
      </c>
      <c r="D9" s="22">
        <v>16.25</v>
      </c>
      <c r="E9" s="23">
        <v>17.75</v>
      </c>
      <c r="F9" s="24">
        <v>4.0999999999999996</v>
      </c>
      <c r="G9" s="25">
        <v>4.9000000000000004</v>
      </c>
      <c r="H9" s="26">
        <v>5.9</v>
      </c>
    </row>
    <row r="10" spans="1:21" ht="28" customHeight="1" x14ac:dyDescent="0.5">
      <c r="B10" s="20">
        <v>160</v>
      </c>
      <c r="C10" s="21">
        <v>12.5</v>
      </c>
      <c r="D10" s="22">
        <v>12.85</v>
      </c>
      <c r="E10" s="23">
        <v>13.5</v>
      </c>
      <c r="F10" s="24">
        <v>5.3</v>
      </c>
      <c r="G10" s="25">
        <v>6</v>
      </c>
      <c r="H10" s="26">
        <v>6.8</v>
      </c>
    </row>
    <row r="11" spans="1:21" ht="28" customHeight="1" x14ac:dyDescent="0.5">
      <c r="B11" s="20">
        <v>165</v>
      </c>
      <c r="C11" s="21">
        <v>8.1</v>
      </c>
      <c r="D11" s="22">
        <v>9</v>
      </c>
      <c r="E11" s="23">
        <v>10.65</v>
      </c>
      <c r="F11" s="24">
        <v>7</v>
      </c>
      <c r="G11" s="25">
        <v>8</v>
      </c>
      <c r="H11" s="26">
        <v>9.1999999999999993</v>
      </c>
    </row>
    <row r="12" spans="1:21" ht="28" customHeight="1" x14ac:dyDescent="0.5">
      <c r="B12" s="20">
        <v>170</v>
      </c>
      <c r="C12" s="21">
        <v>5.2</v>
      </c>
      <c r="D12" s="22">
        <v>6.3</v>
      </c>
      <c r="E12" s="23">
        <v>8.5</v>
      </c>
      <c r="F12" s="24">
        <v>9.4</v>
      </c>
      <c r="G12" s="25">
        <v>10.75</v>
      </c>
      <c r="H12" s="26">
        <v>12.45</v>
      </c>
    </row>
    <row r="13" spans="1:21" ht="28" customHeight="1" x14ac:dyDescent="0.5">
      <c r="B13" s="20">
        <v>175</v>
      </c>
      <c r="C13" s="21">
        <v>3.25</v>
      </c>
      <c r="D13" s="22">
        <v>4.25</v>
      </c>
      <c r="E13" s="23">
        <v>5.75</v>
      </c>
      <c r="F13" s="24">
        <v>13</v>
      </c>
      <c r="G13" s="25">
        <v>14.3</v>
      </c>
      <c r="H13" s="26">
        <v>14.2</v>
      </c>
    </row>
    <row r="14" spans="1:21" ht="28" customHeight="1" thickBot="1" x14ac:dyDescent="0.55000000000000004">
      <c r="B14" s="20">
        <v>180</v>
      </c>
      <c r="C14" s="27">
        <v>2.5</v>
      </c>
      <c r="D14" s="28">
        <v>3.4</v>
      </c>
      <c r="E14" s="29">
        <v>4.45</v>
      </c>
      <c r="F14" s="30">
        <v>15</v>
      </c>
      <c r="G14" s="31">
        <v>16.100000000000001</v>
      </c>
      <c r="H14" s="32">
        <v>17.75</v>
      </c>
    </row>
    <row r="15" spans="1:21" ht="9" customHeight="1" x14ac:dyDescent="0.5"/>
    <row r="16" spans="1:21" s="4" customFormat="1" ht="22.7" customHeight="1" x14ac:dyDescent="0.5">
      <c r="A16" s="33"/>
      <c r="B16" s="34" t="s">
        <v>9</v>
      </c>
      <c r="C16" s="35"/>
      <c r="D16" s="35"/>
      <c r="E16" s="35"/>
      <c r="F16" s="35"/>
      <c r="G16" s="36"/>
      <c r="H16" s="36"/>
      <c r="I16" s="35"/>
      <c r="P16" s="12"/>
      <c r="Q16" s="12"/>
      <c r="R16" s="12"/>
      <c r="S16" s="12"/>
      <c r="T16" s="12"/>
      <c r="U16" s="12"/>
    </row>
    <row r="17" spans="1:21" s="4" customFormat="1" ht="33.75" customHeight="1" x14ac:dyDescent="0.45">
      <c r="A17" s="33"/>
      <c r="B17" s="35" t="s">
        <v>10</v>
      </c>
      <c r="C17" s="35"/>
      <c r="D17" s="35"/>
      <c r="E17" s="35"/>
      <c r="F17" s="35"/>
      <c r="G17" s="36"/>
      <c r="H17" s="36"/>
      <c r="I17" s="35"/>
    </row>
    <row r="18" spans="1:21" s="4" customFormat="1" ht="51" customHeight="1" x14ac:dyDescent="0.4">
      <c r="A18" s="33"/>
      <c r="B18" s="37" t="s">
        <v>11</v>
      </c>
      <c r="C18" s="37" t="s">
        <v>12</v>
      </c>
      <c r="D18" s="37" t="s">
        <v>13</v>
      </c>
      <c r="E18" s="37" t="s">
        <v>14</v>
      </c>
      <c r="F18" s="37" t="s">
        <v>15</v>
      </c>
      <c r="G18" s="37" t="s">
        <v>16</v>
      </c>
      <c r="H18" s="38" t="s">
        <v>17</v>
      </c>
      <c r="I18" s="38" t="s">
        <v>18</v>
      </c>
      <c r="J18" s="38" t="s">
        <v>19</v>
      </c>
      <c r="K18" s="38" t="s">
        <v>20</v>
      </c>
      <c r="L18" s="38" t="s">
        <v>21</v>
      </c>
      <c r="P18" s="12"/>
      <c r="Q18" s="12"/>
      <c r="R18" s="12"/>
      <c r="S18" s="12"/>
      <c r="T18" s="12"/>
      <c r="U18" s="12"/>
    </row>
    <row r="19" spans="1:21" s="4" customFormat="1" ht="33.75" customHeight="1" x14ac:dyDescent="0.4">
      <c r="A19" s="33"/>
      <c r="B19" s="39" t="s">
        <v>101</v>
      </c>
      <c r="C19" s="39" t="s">
        <v>6</v>
      </c>
      <c r="D19" s="39" t="s">
        <v>102</v>
      </c>
      <c r="E19" s="40">
        <v>150</v>
      </c>
      <c r="F19" s="41">
        <f>+C8</f>
        <v>20</v>
      </c>
      <c r="G19" s="40">
        <v>175</v>
      </c>
      <c r="H19" s="42">
        <f>MAX(0,G19-E19)</f>
        <v>25</v>
      </c>
      <c r="I19" s="42">
        <f>+H19-F19</f>
        <v>5</v>
      </c>
      <c r="J19" s="42">
        <f>+E19+F19</f>
        <v>170</v>
      </c>
      <c r="K19" s="43"/>
      <c r="L19" s="44">
        <f>+I19/F19</f>
        <v>0.25</v>
      </c>
    </row>
    <row r="20" spans="1:21" s="4" customFormat="1" ht="33.75" customHeight="1" x14ac:dyDescent="0.4">
      <c r="A20" s="33"/>
      <c r="B20" s="39" t="s">
        <v>101</v>
      </c>
      <c r="C20" s="39" t="s">
        <v>7</v>
      </c>
      <c r="D20" s="39" t="s">
        <v>102</v>
      </c>
      <c r="E20" s="40">
        <v>165</v>
      </c>
      <c r="F20" s="41">
        <f>+D11</f>
        <v>9</v>
      </c>
      <c r="G20" s="40">
        <v>165</v>
      </c>
      <c r="H20" s="42">
        <f>MAX(0,G20-E20)</f>
        <v>0</v>
      </c>
      <c r="I20" s="42">
        <f>+H20-F20</f>
        <v>-9</v>
      </c>
      <c r="J20" s="42">
        <f>+E20+F20</f>
        <v>174</v>
      </c>
      <c r="K20" s="43"/>
      <c r="L20" s="44">
        <f t="shared" ref="L20:L22" si="0">+I20/F20</f>
        <v>-1</v>
      </c>
      <c r="P20" s="12"/>
      <c r="Q20" s="12"/>
      <c r="R20" s="12"/>
      <c r="S20" s="12"/>
      <c r="T20" s="12"/>
      <c r="U20" s="12"/>
    </row>
    <row r="21" spans="1:21" s="4" customFormat="1" ht="33.75" customHeight="1" x14ac:dyDescent="0.4">
      <c r="A21" s="33"/>
      <c r="B21" s="39" t="s">
        <v>101</v>
      </c>
      <c r="C21" s="39" t="s">
        <v>8</v>
      </c>
      <c r="D21" s="39" t="s">
        <v>103</v>
      </c>
      <c r="E21" s="40">
        <v>170</v>
      </c>
      <c r="F21" s="41">
        <f>+H12</f>
        <v>12.45</v>
      </c>
      <c r="G21" s="40">
        <v>160</v>
      </c>
      <c r="H21" s="42">
        <f>MAX(0,E21-G21)</f>
        <v>10</v>
      </c>
      <c r="I21" s="42">
        <f>+H21-F21</f>
        <v>-2.4499999999999993</v>
      </c>
      <c r="J21" s="42">
        <f>+E21-F21</f>
        <v>157.55000000000001</v>
      </c>
      <c r="K21" s="43"/>
      <c r="L21" s="44">
        <f t="shared" si="0"/>
        <v>-0.19678714859437746</v>
      </c>
    </row>
    <row r="22" spans="1:21" s="4" customFormat="1" ht="33.75" customHeight="1" x14ac:dyDescent="0.4">
      <c r="A22" s="33"/>
      <c r="B22" s="39" t="s">
        <v>104</v>
      </c>
      <c r="C22" s="39" t="s">
        <v>6</v>
      </c>
      <c r="D22" s="39" t="s">
        <v>103</v>
      </c>
      <c r="E22" s="40">
        <v>180</v>
      </c>
      <c r="F22" s="41">
        <f>+F14</f>
        <v>15</v>
      </c>
      <c r="G22" s="40">
        <v>162</v>
      </c>
      <c r="H22" s="42">
        <f>MAX(0,E22-G22)</f>
        <v>18</v>
      </c>
      <c r="I22" s="42">
        <f>+H22-F22</f>
        <v>3</v>
      </c>
      <c r="J22" s="42">
        <f>+E22-F22</f>
        <v>165</v>
      </c>
      <c r="K22" s="43"/>
      <c r="L22" s="44">
        <f t="shared" si="0"/>
        <v>0.2</v>
      </c>
      <c r="P22" s="12"/>
      <c r="Q22" s="12"/>
      <c r="R22" s="12"/>
      <c r="S22" s="12"/>
      <c r="T22" s="12"/>
      <c r="U22" s="12"/>
    </row>
    <row r="23" spans="1:21" s="4" customFormat="1" ht="33.75" customHeight="1" x14ac:dyDescent="0.4">
      <c r="A23" s="33"/>
      <c r="B23" s="39" t="s">
        <v>105</v>
      </c>
      <c r="C23" s="39" t="s">
        <v>8</v>
      </c>
      <c r="D23" s="39" t="s">
        <v>103</v>
      </c>
      <c r="E23" s="40">
        <v>165</v>
      </c>
      <c r="F23" s="41">
        <f>+H11</f>
        <v>9.1999999999999993</v>
      </c>
      <c r="G23" s="40">
        <v>125</v>
      </c>
      <c r="H23" s="42">
        <f>-MAX(0,E23-G23)</f>
        <v>-40</v>
      </c>
      <c r="I23" s="42">
        <f>+F23+H23</f>
        <v>-30.8</v>
      </c>
      <c r="J23" s="42">
        <f t="shared" ref="J23:J28" si="1">+E23-F23</f>
        <v>155.80000000000001</v>
      </c>
      <c r="K23" s="43"/>
      <c r="L23" s="43"/>
    </row>
    <row r="24" spans="1:21" s="4" customFormat="1" ht="33.75" customHeight="1" x14ac:dyDescent="0.4">
      <c r="A24" s="33"/>
      <c r="B24" s="39" t="s">
        <v>105</v>
      </c>
      <c r="C24" s="39" t="s">
        <v>7</v>
      </c>
      <c r="D24" s="39" t="s">
        <v>103</v>
      </c>
      <c r="E24" s="40">
        <v>175</v>
      </c>
      <c r="F24" s="41">
        <f>+G13</f>
        <v>14.3</v>
      </c>
      <c r="G24" s="40">
        <v>165</v>
      </c>
      <c r="H24" s="42">
        <f>-MAX(0,E24-G24)</f>
        <v>-10</v>
      </c>
      <c r="I24" s="42">
        <f>+F24+H24</f>
        <v>4.3000000000000007</v>
      </c>
      <c r="J24" s="42">
        <f t="shared" si="1"/>
        <v>160.69999999999999</v>
      </c>
      <c r="K24" s="43"/>
      <c r="L24" s="43"/>
      <c r="P24" s="12"/>
      <c r="Q24" s="12"/>
      <c r="R24" s="12"/>
      <c r="S24" s="12"/>
      <c r="T24" s="12"/>
      <c r="U24" s="12"/>
    </row>
    <row r="25" spans="1:21" s="4" customFormat="1" ht="33.75" customHeight="1" x14ac:dyDescent="0.4">
      <c r="A25" s="33"/>
      <c r="B25" s="39" t="s">
        <v>105</v>
      </c>
      <c r="C25" s="39" t="s">
        <v>8</v>
      </c>
      <c r="D25" s="39" t="s">
        <v>102</v>
      </c>
      <c r="E25" s="40">
        <v>155</v>
      </c>
      <c r="F25" s="41">
        <f>+E9</f>
        <v>17.75</v>
      </c>
      <c r="G25" s="40">
        <v>180</v>
      </c>
      <c r="H25" s="42">
        <f>-MAX(0,G25-E25)</f>
        <v>-25</v>
      </c>
      <c r="I25" s="42">
        <f>+F25+H25</f>
        <v>-7.25</v>
      </c>
      <c r="J25" s="42">
        <f>+E25+F25</f>
        <v>172.75</v>
      </c>
      <c r="K25" s="43"/>
      <c r="L25" s="43"/>
    </row>
    <row r="26" spans="1:21" s="4" customFormat="1" ht="33.75" customHeight="1" x14ac:dyDescent="0.4">
      <c r="A26" s="33"/>
      <c r="B26" s="39" t="s">
        <v>105</v>
      </c>
      <c r="C26" s="39" t="s">
        <v>7</v>
      </c>
      <c r="D26" s="39" t="s">
        <v>102</v>
      </c>
      <c r="E26" s="40">
        <v>150</v>
      </c>
      <c r="F26" s="41">
        <f>+D8</f>
        <v>21.5</v>
      </c>
      <c r="G26" s="40">
        <v>165</v>
      </c>
      <c r="H26" s="42">
        <f>-MAX(0,G26-E26)</f>
        <v>-15</v>
      </c>
      <c r="I26" s="42">
        <f>+F26+H26</f>
        <v>6.5</v>
      </c>
      <c r="J26" s="42">
        <f>+E26+F26</f>
        <v>171.5</v>
      </c>
      <c r="K26" s="43"/>
      <c r="L26" s="43"/>
      <c r="P26" s="12"/>
      <c r="Q26" s="12"/>
      <c r="R26" s="12"/>
      <c r="S26" s="12"/>
      <c r="T26" s="12"/>
      <c r="U26" s="12"/>
    </row>
    <row r="27" spans="1:21" s="4" customFormat="1" ht="33.75" customHeight="1" x14ac:dyDescent="0.4">
      <c r="A27" s="33"/>
      <c r="B27" s="39" t="s">
        <v>105</v>
      </c>
      <c r="C27" s="39" t="s">
        <v>8</v>
      </c>
      <c r="D27" s="39" t="s">
        <v>106</v>
      </c>
      <c r="E27" s="40">
        <v>175</v>
      </c>
      <c r="F27" s="41">
        <f>+E13+H13</f>
        <v>19.95</v>
      </c>
      <c r="G27" s="40">
        <v>200</v>
      </c>
      <c r="H27" s="42">
        <f>+E27-G27</f>
        <v>-25</v>
      </c>
      <c r="I27" s="42">
        <f>+F27+H27</f>
        <v>-5.0500000000000007</v>
      </c>
      <c r="J27" s="42">
        <f t="shared" si="1"/>
        <v>155.05000000000001</v>
      </c>
      <c r="K27" s="45">
        <f>+E27+F27</f>
        <v>194.95</v>
      </c>
      <c r="L27" s="43"/>
    </row>
    <row r="28" spans="1:21" s="4" customFormat="1" ht="33.75" customHeight="1" x14ac:dyDescent="0.4">
      <c r="A28" s="33"/>
      <c r="B28" s="39" t="s">
        <v>101</v>
      </c>
      <c r="C28" s="39" t="s">
        <v>6</v>
      </c>
      <c r="D28" s="39" t="s">
        <v>106</v>
      </c>
      <c r="E28" s="40">
        <v>180</v>
      </c>
      <c r="F28" s="41">
        <f>+C14+F14</f>
        <v>17.5</v>
      </c>
      <c r="G28" s="40">
        <v>185</v>
      </c>
      <c r="H28" s="42">
        <f>+G28-E28</f>
        <v>5</v>
      </c>
      <c r="I28" s="42">
        <f>+H28-F28</f>
        <v>-12.5</v>
      </c>
      <c r="J28" s="42">
        <f t="shared" si="1"/>
        <v>162.5</v>
      </c>
      <c r="K28" s="45">
        <f>+F28+E28</f>
        <v>197.5</v>
      </c>
      <c r="L28" s="44">
        <f t="shared" ref="L28" si="2">+I28/F28</f>
        <v>-0.7142857142857143</v>
      </c>
      <c r="P28" s="12"/>
      <c r="Q28" s="12"/>
      <c r="R28" s="12"/>
      <c r="S28" s="12"/>
      <c r="T28" s="12"/>
      <c r="U28" s="12"/>
    </row>
    <row r="29" spans="1:21" s="4" customFormat="1" ht="24" customHeight="1" x14ac:dyDescent="0.45">
      <c r="A29" s="33"/>
      <c r="B29" s="46"/>
      <c r="C29" s="46"/>
      <c r="D29" s="47"/>
      <c r="E29" s="47"/>
      <c r="F29" s="47"/>
      <c r="G29" s="47"/>
      <c r="H29" s="47"/>
      <c r="I29" s="35"/>
    </row>
    <row r="30" spans="1:21" s="4" customFormat="1" ht="21" customHeight="1" x14ac:dyDescent="0.5">
      <c r="A30" s="33"/>
      <c r="B30" s="34" t="s">
        <v>22</v>
      </c>
      <c r="C30" s="35"/>
      <c r="D30" s="35"/>
      <c r="E30" s="35"/>
      <c r="F30" s="35"/>
      <c r="G30" s="36"/>
      <c r="H30" s="36"/>
      <c r="I30" s="35"/>
      <c r="J30" s="35"/>
      <c r="K30" s="35"/>
      <c r="P30" s="12"/>
      <c r="Q30" s="12"/>
      <c r="R30" s="12"/>
      <c r="S30" s="12"/>
      <c r="T30" s="12"/>
      <c r="U30" s="12"/>
    </row>
    <row r="31" spans="1:21" s="4" customFormat="1" ht="33.75" customHeight="1" x14ac:dyDescent="0.5">
      <c r="A31" s="33"/>
      <c r="B31" s="48" t="s">
        <v>23</v>
      </c>
      <c r="C31" s="35"/>
      <c r="D31" s="35"/>
      <c r="E31" s="35"/>
      <c r="F31" s="35"/>
      <c r="G31" s="36"/>
      <c r="H31" s="36"/>
      <c r="I31" s="35"/>
      <c r="J31" s="35"/>
      <c r="K31" s="35"/>
      <c r="L31" s="35"/>
      <c r="M31" s="35"/>
      <c r="N31" s="35"/>
      <c r="O31" s="35"/>
    </row>
    <row r="32" spans="1:21" s="4" customFormat="1" ht="73" customHeight="1" x14ac:dyDescent="0.45">
      <c r="A32" s="33"/>
      <c r="B32" s="37" t="s">
        <v>11</v>
      </c>
      <c r="C32" s="37" t="s">
        <v>12</v>
      </c>
      <c r="D32" s="37" t="s">
        <v>13</v>
      </c>
      <c r="E32" s="37" t="s">
        <v>24</v>
      </c>
      <c r="F32" s="37" t="s">
        <v>25</v>
      </c>
      <c r="G32" s="37" t="s">
        <v>26</v>
      </c>
      <c r="H32" s="37" t="s">
        <v>27</v>
      </c>
      <c r="I32" s="38" t="s">
        <v>28</v>
      </c>
      <c r="J32" s="38" t="s">
        <v>29</v>
      </c>
      <c r="K32" s="35"/>
      <c r="L32" s="35"/>
      <c r="M32" s="35"/>
      <c r="N32" s="35"/>
      <c r="O32" s="35"/>
      <c r="P32" s="12"/>
      <c r="Q32" s="12"/>
      <c r="R32" s="12"/>
      <c r="S32" s="12"/>
      <c r="T32" s="12"/>
      <c r="U32" s="12"/>
    </row>
    <row r="33" spans="1:23" s="4" customFormat="1" ht="33.75" customHeight="1" x14ac:dyDescent="0.45">
      <c r="A33" s="33"/>
      <c r="B33" s="39" t="s">
        <v>101</v>
      </c>
      <c r="C33" s="39" t="s">
        <v>6</v>
      </c>
      <c r="D33" s="49" t="s">
        <v>107</v>
      </c>
      <c r="E33" s="50">
        <v>150</v>
      </c>
      <c r="F33" s="50">
        <v>160</v>
      </c>
      <c r="G33" s="41">
        <f>-C8+C10</f>
        <v>-7.5</v>
      </c>
      <c r="H33" s="39">
        <v>170</v>
      </c>
      <c r="I33" s="51">
        <f>+(H33-E33)-(H33-F33)</f>
        <v>10</v>
      </c>
      <c r="J33" s="51">
        <f t="shared" ref="J33:J38" si="3">+I33+G33</f>
        <v>2.5</v>
      </c>
      <c r="K33" s="35"/>
      <c r="L33" s="35"/>
      <c r="M33" s="35"/>
      <c r="N33" s="35"/>
      <c r="O33" s="35"/>
      <c r="P33" s="35"/>
      <c r="Q33" s="35"/>
      <c r="R33" s="35"/>
      <c r="S33" s="35"/>
      <c r="T33" s="35"/>
      <c r="U33" s="35"/>
      <c r="V33" s="35"/>
      <c r="W33" s="35"/>
    </row>
    <row r="34" spans="1:23" s="4" customFormat="1" ht="33.75" customHeight="1" x14ac:dyDescent="0.45">
      <c r="A34" s="33"/>
      <c r="B34" s="39" t="s">
        <v>101</v>
      </c>
      <c r="C34" s="39" t="s">
        <v>7</v>
      </c>
      <c r="D34" s="49" t="s">
        <v>108</v>
      </c>
      <c r="E34" s="50">
        <v>160</v>
      </c>
      <c r="F34" s="50">
        <v>165</v>
      </c>
      <c r="G34" s="41">
        <f>-G10+G11</f>
        <v>2</v>
      </c>
      <c r="H34" s="39">
        <v>162</v>
      </c>
      <c r="I34" s="51">
        <f>+H34-F34</f>
        <v>-3</v>
      </c>
      <c r="J34" s="51">
        <f t="shared" si="3"/>
        <v>-1</v>
      </c>
      <c r="K34" s="35"/>
      <c r="L34" s="35"/>
      <c r="M34" s="35"/>
      <c r="N34" s="35"/>
      <c r="O34" s="35"/>
      <c r="P34" s="35"/>
      <c r="Q34" s="35"/>
      <c r="R34" s="35"/>
      <c r="S34" s="35"/>
      <c r="T34" s="35"/>
      <c r="U34" s="35"/>
      <c r="V34" s="35"/>
      <c r="W34" s="35"/>
    </row>
    <row r="35" spans="1:23" s="4" customFormat="1" ht="33.75" customHeight="1" x14ac:dyDescent="0.45">
      <c r="A35" s="33"/>
      <c r="B35" s="39" t="s">
        <v>101</v>
      </c>
      <c r="C35" s="39" t="s">
        <v>8</v>
      </c>
      <c r="D35" s="49" t="s">
        <v>109</v>
      </c>
      <c r="E35" s="50">
        <v>170</v>
      </c>
      <c r="F35" s="50">
        <v>180</v>
      </c>
      <c r="G35" s="41">
        <f>-H14+H12</f>
        <v>-5.3000000000000007</v>
      </c>
      <c r="H35" s="39">
        <v>150</v>
      </c>
      <c r="I35" s="51">
        <f>+(H35-E35)-(H35-F35)</f>
        <v>10</v>
      </c>
      <c r="J35" s="51">
        <f t="shared" si="3"/>
        <v>4.6999999999999993</v>
      </c>
      <c r="K35" s="35"/>
      <c r="L35" s="35"/>
      <c r="M35" s="35"/>
      <c r="N35" s="35"/>
      <c r="O35" s="35"/>
      <c r="P35" s="35"/>
      <c r="Q35" s="35"/>
      <c r="R35" s="35"/>
      <c r="S35" s="35"/>
      <c r="T35" s="35"/>
      <c r="U35" s="35"/>
      <c r="V35" s="35"/>
      <c r="W35" s="35"/>
    </row>
    <row r="36" spans="1:23" s="4" customFormat="1" ht="33.75" customHeight="1" x14ac:dyDescent="0.45">
      <c r="A36" s="33"/>
      <c r="B36" s="39" t="s">
        <v>101</v>
      </c>
      <c r="C36" s="39" t="s">
        <v>7</v>
      </c>
      <c r="D36" s="49" t="s">
        <v>110</v>
      </c>
      <c r="E36" s="50">
        <v>160</v>
      </c>
      <c r="F36" s="50">
        <v>180</v>
      </c>
      <c r="G36" s="41">
        <f>+D10-D14</f>
        <v>9.4499999999999993</v>
      </c>
      <c r="H36" s="39">
        <v>170</v>
      </c>
      <c r="I36" s="51">
        <f>+H36-F36</f>
        <v>-10</v>
      </c>
      <c r="J36" s="51">
        <f t="shared" si="3"/>
        <v>-0.55000000000000071</v>
      </c>
      <c r="K36" s="35"/>
      <c r="L36" s="35"/>
      <c r="M36" s="35"/>
      <c r="N36" s="35"/>
      <c r="O36" s="35"/>
      <c r="P36" s="35"/>
      <c r="Q36" s="35"/>
      <c r="R36" s="35"/>
      <c r="S36" s="35"/>
      <c r="T36" s="35"/>
      <c r="U36" s="35"/>
      <c r="V36" s="35"/>
      <c r="W36" s="35"/>
    </row>
    <row r="37" spans="1:23" s="4" customFormat="1" ht="33.75" customHeight="1" x14ac:dyDescent="0.45">
      <c r="A37" s="33"/>
      <c r="B37" s="39" t="s">
        <v>101</v>
      </c>
      <c r="C37" s="39" t="s">
        <v>6</v>
      </c>
      <c r="D37" s="52" t="s">
        <v>111</v>
      </c>
      <c r="E37" s="50">
        <v>150</v>
      </c>
      <c r="F37" s="50">
        <v>180</v>
      </c>
      <c r="G37" s="41">
        <f>-C8-C14+C11+C11</f>
        <v>-6.3000000000000007</v>
      </c>
      <c r="H37" s="39">
        <v>165</v>
      </c>
      <c r="I37" s="51">
        <f>+H37-E37</f>
        <v>15</v>
      </c>
      <c r="J37" s="51">
        <f t="shared" si="3"/>
        <v>8.6999999999999993</v>
      </c>
      <c r="K37" s="35"/>
      <c r="L37" s="35"/>
      <c r="M37" s="35"/>
      <c r="N37" s="35"/>
      <c r="O37" s="35"/>
      <c r="P37" s="35"/>
      <c r="Q37" s="35"/>
      <c r="R37" s="35"/>
      <c r="S37" s="35"/>
      <c r="T37" s="35"/>
      <c r="U37" s="35"/>
      <c r="V37" s="35"/>
      <c r="W37" s="35"/>
    </row>
    <row r="38" spans="1:23" s="4" customFormat="1" ht="33.6" customHeight="1" x14ac:dyDescent="0.45">
      <c r="A38" s="33"/>
      <c r="B38" s="39" t="s">
        <v>105</v>
      </c>
      <c r="C38" s="39" t="s">
        <v>8</v>
      </c>
      <c r="D38" s="52" t="s">
        <v>111</v>
      </c>
      <c r="E38" s="50">
        <v>170</v>
      </c>
      <c r="F38" s="50">
        <v>180</v>
      </c>
      <c r="G38" s="41">
        <f>+E12+E14-E13-E13</f>
        <v>1.4499999999999993</v>
      </c>
      <c r="H38" s="39">
        <v>200</v>
      </c>
      <c r="I38" s="51">
        <v>0</v>
      </c>
      <c r="J38" s="51">
        <f t="shared" si="3"/>
        <v>1.4499999999999993</v>
      </c>
      <c r="K38" s="35"/>
      <c r="L38" s="35"/>
      <c r="M38" s="35"/>
      <c r="N38" s="35"/>
      <c r="O38" s="35"/>
      <c r="P38" s="35"/>
      <c r="Q38" s="35"/>
      <c r="R38" s="35"/>
      <c r="S38" s="35"/>
      <c r="T38" s="35"/>
      <c r="U38" s="35"/>
      <c r="V38" s="35"/>
      <c r="W38" s="35"/>
    </row>
    <row r="39" spans="1:23" s="4" customFormat="1" ht="15.6" customHeight="1" x14ac:dyDescent="0.45">
      <c r="A39" s="33"/>
      <c r="D39" s="53"/>
      <c r="E39" s="53"/>
      <c r="F39" s="53"/>
      <c r="G39" s="54"/>
      <c r="H39" s="54"/>
      <c r="J39" s="35"/>
      <c r="K39" s="35"/>
      <c r="L39" s="35"/>
      <c r="M39" s="35"/>
      <c r="N39" s="35"/>
      <c r="O39" s="35"/>
      <c r="P39" s="35"/>
      <c r="Q39" s="35"/>
      <c r="R39" s="35"/>
      <c r="S39" s="35"/>
      <c r="T39" s="35"/>
      <c r="U39" s="35"/>
      <c r="V39" s="35"/>
      <c r="W39" s="35"/>
    </row>
    <row r="40" spans="1:23" ht="33.75" customHeight="1" x14ac:dyDescent="0.5">
      <c r="B40" s="9" t="s">
        <v>30</v>
      </c>
      <c r="C40" s="10"/>
      <c r="D40" s="10"/>
      <c r="E40" s="10"/>
      <c r="F40" s="10"/>
      <c r="G40" s="10"/>
      <c r="H40" s="10"/>
      <c r="I40" s="10"/>
      <c r="J40" s="10"/>
      <c r="K40" s="11"/>
      <c r="L40" s="11"/>
      <c r="M40" s="12"/>
      <c r="N40" s="12"/>
      <c r="O40" s="12"/>
      <c r="P40" s="12"/>
      <c r="Q40" s="12"/>
      <c r="R40" s="12"/>
      <c r="S40" s="12"/>
      <c r="T40" s="12"/>
      <c r="U40" s="12"/>
    </row>
    <row r="41" spans="1:23" s="4" customFormat="1" ht="17.7" customHeight="1" thickBot="1" x14ac:dyDescent="0.45">
      <c r="A41" s="33"/>
      <c r="G41" s="55"/>
      <c r="H41" s="55"/>
    </row>
    <row r="42" spans="1:23" s="4" customFormat="1" ht="33.75" customHeight="1" x14ac:dyDescent="0.5">
      <c r="A42" s="33"/>
      <c r="B42" s="56" t="s">
        <v>31</v>
      </c>
      <c r="C42" s="57" t="s">
        <v>32</v>
      </c>
      <c r="D42" s="58"/>
      <c r="E42" s="59"/>
      <c r="F42" s="57" t="s">
        <v>33</v>
      </c>
      <c r="G42" s="58"/>
      <c r="H42" s="59"/>
    </row>
    <row r="43" spans="1:23" s="4" customFormat="1" ht="33.75" customHeight="1" x14ac:dyDescent="0.5">
      <c r="A43" s="33"/>
      <c r="B43" s="60" t="s">
        <v>34</v>
      </c>
      <c r="C43" s="61">
        <v>43983</v>
      </c>
      <c r="D43" s="62">
        <f>+C43+30</f>
        <v>44013</v>
      </c>
      <c r="E43" s="63">
        <f>+D43+31</f>
        <v>44044</v>
      </c>
      <c r="F43" s="61">
        <v>43983</v>
      </c>
      <c r="G43" s="62">
        <f>+F43+30</f>
        <v>44013</v>
      </c>
      <c r="H43" s="63">
        <f>+G43+31</f>
        <v>44044</v>
      </c>
    </row>
    <row r="44" spans="1:23" s="4" customFormat="1" ht="33.75" customHeight="1" x14ac:dyDescent="0.45">
      <c r="A44" s="33"/>
      <c r="B44" s="130">
        <v>125</v>
      </c>
      <c r="C44" s="64">
        <v>12.65</v>
      </c>
      <c r="D44" s="65">
        <v>12.8</v>
      </c>
      <c r="E44" s="66">
        <v>13.4</v>
      </c>
      <c r="F44" s="64">
        <v>5.3</v>
      </c>
      <c r="G44" s="65">
        <v>6</v>
      </c>
      <c r="H44" s="66">
        <v>6.8</v>
      </c>
    </row>
    <row r="45" spans="1:23" s="4" customFormat="1" ht="33.75" customHeight="1" x14ac:dyDescent="0.45">
      <c r="A45" s="33"/>
      <c r="B45" s="130">
        <v>130</v>
      </c>
      <c r="C45" s="64">
        <v>8.1</v>
      </c>
      <c r="D45" s="65">
        <v>9</v>
      </c>
      <c r="E45" s="66">
        <v>10.65</v>
      </c>
      <c r="F45" s="64">
        <v>7</v>
      </c>
      <c r="G45" s="65">
        <v>8</v>
      </c>
      <c r="H45" s="66">
        <v>9</v>
      </c>
    </row>
    <row r="46" spans="1:23" s="4" customFormat="1" ht="33.75" customHeight="1" x14ac:dyDescent="0.45">
      <c r="A46" s="33"/>
      <c r="B46" s="132">
        <v>135</v>
      </c>
      <c r="C46" s="64">
        <v>5.2</v>
      </c>
      <c r="D46" s="65">
        <v>6.3</v>
      </c>
      <c r="E46" s="66">
        <v>8.5</v>
      </c>
      <c r="F46" s="64">
        <v>9.4</v>
      </c>
      <c r="G46" s="65">
        <v>10.75</v>
      </c>
      <c r="H46" s="131">
        <v>12.45</v>
      </c>
    </row>
    <row r="47" spans="1:23" s="4" customFormat="1" ht="33.75" customHeight="1" thickBot="1" x14ac:dyDescent="0.5">
      <c r="A47" s="33"/>
      <c r="B47" s="130">
        <v>140</v>
      </c>
      <c r="C47" s="67">
        <v>3.25</v>
      </c>
      <c r="D47" s="68">
        <v>4.25</v>
      </c>
      <c r="E47" s="69">
        <v>5.75</v>
      </c>
      <c r="F47" s="67">
        <v>13</v>
      </c>
      <c r="G47" s="68">
        <v>14.3</v>
      </c>
      <c r="H47" s="69">
        <v>16.2</v>
      </c>
    </row>
    <row r="48" spans="1:23" s="4" customFormat="1" ht="33.75" customHeight="1" x14ac:dyDescent="0.45">
      <c r="A48" s="33"/>
      <c r="B48" s="70" t="s">
        <v>35</v>
      </c>
      <c r="C48" s="35"/>
      <c r="D48" s="35"/>
      <c r="E48" s="35"/>
      <c r="F48" s="35"/>
      <c r="G48" s="36"/>
      <c r="H48" s="36"/>
      <c r="I48" s="35"/>
      <c r="J48" s="35"/>
      <c r="K48" s="35"/>
      <c r="L48" s="35"/>
      <c r="M48" s="35"/>
    </row>
    <row r="49" spans="1:21" s="4" customFormat="1" ht="33.75" customHeight="1" x14ac:dyDescent="0.5">
      <c r="A49" s="33"/>
      <c r="B49" s="34" t="s">
        <v>36</v>
      </c>
      <c r="C49" s="35"/>
      <c r="D49" s="35"/>
      <c r="E49" s="35"/>
      <c r="F49" s="35"/>
      <c r="G49" s="36"/>
      <c r="H49" s="35"/>
      <c r="I49" s="35"/>
      <c r="J49" s="35"/>
      <c r="K49" s="35"/>
      <c r="L49" s="35"/>
      <c r="M49" s="35"/>
      <c r="N49" s="35"/>
      <c r="O49" s="35"/>
      <c r="P49" s="35"/>
      <c r="Q49" s="35"/>
      <c r="R49" s="35"/>
      <c r="S49" s="35"/>
    </row>
    <row r="50" spans="1:21" s="4" customFormat="1" ht="75.75" customHeight="1" x14ac:dyDescent="0.55000000000000004">
      <c r="A50" s="33"/>
      <c r="B50" s="71" t="s">
        <v>37</v>
      </c>
      <c r="C50" s="72"/>
      <c r="D50" s="72"/>
      <c r="E50" s="72"/>
      <c r="F50" s="72"/>
      <c r="G50" s="72"/>
      <c r="H50" s="72"/>
      <c r="I50" s="72"/>
      <c r="J50" s="72"/>
      <c r="K50" s="72"/>
      <c r="L50" s="73"/>
      <c r="M50" s="73"/>
      <c r="N50" s="73"/>
      <c r="O50" s="73"/>
      <c r="P50" s="73"/>
      <c r="Q50" s="73"/>
      <c r="R50" s="73"/>
      <c r="S50" s="73"/>
    </row>
    <row r="51" spans="1:21" s="4" customFormat="1" ht="19.7" customHeight="1" thickBot="1" x14ac:dyDescent="0.55000000000000004">
      <c r="A51" s="33"/>
      <c r="B51" s="35" t="s">
        <v>38</v>
      </c>
      <c r="C51" s="35"/>
      <c r="D51" s="35"/>
      <c r="E51" s="35"/>
      <c r="F51" s="35"/>
      <c r="G51" s="36"/>
      <c r="H51" s="34"/>
      <c r="I51" s="74"/>
      <c r="J51" s="75"/>
      <c r="K51" s="75"/>
      <c r="L51" s="76"/>
      <c r="M51" s="35"/>
      <c r="N51" s="35"/>
      <c r="O51" s="35"/>
      <c r="P51" s="35"/>
      <c r="Q51" s="35"/>
      <c r="R51" s="35"/>
      <c r="S51" s="35"/>
      <c r="T51" s="35"/>
      <c r="U51" s="35"/>
    </row>
    <row r="52" spans="1:21" s="4" customFormat="1" ht="25" customHeight="1" thickBot="1" x14ac:dyDescent="0.55000000000000004">
      <c r="A52" s="33"/>
      <c r="B52" s="77" t="s">
        <v>39</v>
      </c>
      <c r="C52" s="78"/>
      <c r="D52" s="79"/>
      <c r="E52" s="35"/>
      <c r="F52" s="35"/>
      <c r="G52" s="36"/>
      <c r="H52" s="34"/>
      <c r="I52" s="74"/>
      <c r="J52" s="75"/>
      <c r="K52" s="75"/>
      <c r="L52" s="76"/>
      <c r="M52" s="35"/>
      <c r="N52" s="35"/>
      <c r="O52" s="35"/>
      <c r="P52" s="35"/>
      <c r="Q52" s="35"/>
      <c r="R52" s="35"/>
      <c r="S52" s="35"/>
      <c r="T52" s="35"/>
      <c r="U52" s="35"/>
    </row>
    <row r="53" spans="1:21" s="4" customFormat="1" ht="7.7" customHeight="1" x14ac:dyDescent="0.5">
      <c r="A53" s="33"/>
      <c r="B53" s="35"/>
      <c r="C53" s="35"/>
      <c r="D53" s="35"/>
      <c r="E53" s="35"/>
      <c r="F53" s="35"/>
      <c r="G53" s="36"/>
      <c r="H53" s="34"/>
      <c r="I53" s="74"/>
      <c r="J53" s="75"/>
      <c r="K53" s="75"/>
      <c r="L53" s="76"/>
      <c r="M53" s="35"/>
      <c r="N53" s="35"/>
      <c r="O53" s="35"/>
      <c r="P53" s="35"/>
      <c r="Q53" s="35"/>
      <c r="R53" s="35"/>
      <c r="S53" s="35"/>
      <c r="T53" s="35"/>
      <c r="U53" s="35"/>
    </row>
    <row r="54" spans="1:21" s="4" customFormat="1" ht="41" customHeight="1" x14ac:dyDescent="0.55000000000000004">
      <c r="A54" s="33"/>
      <c r="B54" s="71" t="s">
        <v>40</v>
      </c>
      <c r="C54" s="72"/>
      <c r="D54" s="72"/>
      <c r="E54" s="72"/>
      <c r="F54" s="72"/>
      <c r="G54" s="72"/>
      <c r="H54" s="72"/>
      <c r="I54" s="72"/>
      <c r="J54" s="72"/>
      <c r="K54" s="72"/>
      <c r="L54" s="73"/>
      <c r="M54" s="73"/>
      <c r="N54" s="35"/>
      <c r="O54" s="35"/>
      <c r="P54" s="35"/>
      <c r="Q54" s="35"/>
      <c r="R54" s="35"/>
      <c r="S54" s="35"/>
      <c r="T54" s="35"/>
      <c r="U54" s="35"/>
    </row>
    <row r="55" spans="1:21" s="4" customFormat="1" ht="19.7" customHeight="1" thickBot="1" x14ac:dyDescent="0.55000000000000004">
      <c r="A55" s="33"/>
      <c r="B55" s="35"/>
      <c r="C55" s="35"/>
      <c r="D55" s="35"/>
      <c r="E55" s="35"/>
      <c r="F55" s="35"/>
      <c r="G55" s="36"/>
      <c r="H55" s="34"/>
      <c r="I55" s="74"/>
      <c r="J55" s="75"/>
      <c r="K55" s="75"/>
      <c r="L55" s="76"/>
      <c r="M55" s="35"/>
      <c r="N55" s="35"/>
      <c r="O55" s="35"/>
      <c r="P55" s="35"/>
      <c r="Q55" s="35"/>
      <c r="R55" s="35"/>
      <c r="S55" s="35"/>
      <c r="T55" s="35"/>
      <c r="U55" s="35"/>
    </row>
    <row r="56" spans="1:21" s="4" customFormat="1" ht="19.7" customHeight="1" x14ac:dyDescent="0.5">
      <c r="A56" s="33"/>
      <c r="B56" s="80" t="s">
        <v>41</v>
      </c>
      <c r="C56" s="81">
        <f>+((165-135)*100)-(H46*100)</f>
        <v>1755</v>
      </c>
      <c r="D56" s="35"/>
      <c r="E56" s="82" t="s">
        <v>42</v>
      </c>
      <c r="F56" s="35"/>
      <c r="G56" s="36"/>
      <c r="H56" s="34"/>
      <c r="I56" s="74"/>
      <c r="J56" s="75"/>
      <c r="K56" s="75"/>
      <c r="L56" s="76"/>
      <c r="M56" s="35"/>
      <c r="N56" s="35"/>
      <c r="O56" s="35"/>
      <c r="P56" s="35"/>
      <c r="Q56" s="35"/>
      <c r="R56" s="35"/>
      <c r="S56" s="35"/>
      <c r="T56" s="35"/>
      <c r="U56" s="35"/>
    </row>
    <row r="57" spans="1:21" s="4" customFormat="1" ht="19.7" customHeight="1" thickBot="1" x14ac:dyDescent="0.55000000000000004">
      <c r="A57" s="33"/>
      <c r="B57" s="83" t="s">
        <v>43</v>
      </c>
      <c r="C57" s="84">
        <f>+C56/((135+H46)*100)</f>
        <v>0.11902339776195323</v>
      </c>
      <c r="D57" s="35"/>
      <c r="E57" s="48" t="s">
        <v>44</v>
      </c>
      <c r="F57" s="35"/>
      <c r="G57" s="35"/>
      <c r="H57" s="35"/>
      <c r="I57" s="35"/>
      <c r="J57" s="35"/>
      <c r="K57" s="35"/>
      <c r="L57" s="76"/>
      <c r="M57" s="35"/>
      <c r="N57" s="35"/>
      <c r="O57" s="35"/>
      <c r="P57" s="35"/>
      <c r="Q57" s="35"/>
      <c r="R57" s="35"/>
      <c r="S57" s="35"/>
      <c r="T57" s="35"/>
      <c r="U57" s="35"/>
    </row>
    <row r="58" spans="1:21" s="4" customFormat="1" ht="19.7" customHeight="1" x14ac:dyDescent="0.45">
      <c r="A58" s="33"/>
      <c r="B58" s="35"/>
      <c r="C58" s="35"/>
      <c r="D58" s="35"/>
      <c r="E58" s="35"/>
      <c r="F58" s="35"/>
      <c r="G58" s="35"/>
      <c r="H58" s="35"/>
      <c r="I58" s="35"/>
      <c r="J58" s="35"/>
      <c r="K58" s="35"/>
      <c r="L58" s="76"/>
      <c r="M58" s="35"/>
      <c r="N58" s="35"/>
      <c r="O58" s="35"/>
      <c r="P58" s="35"/>
      <c r="Q58" s="35"/>
      <c r="R58" s="35"/>
      <c r="S58" s="35"/>
      <c r="T58" s="35"/>
      <c r="U58" s="35"/>
    </row>
    <row r="59" spans="1:21" s="4" customFormat="1" ht="37.450000000000003" customHeight="1" x14ac:dyDescent="0.55000000000000004">
      <c r="A59" s="33"/>
      <c r="B59" s="71" t="s">
        <v>45</v>
      </c>
      <c r="C59" s="72"/>
      <c r="D59" s="72"/>
      <c r="E59" s="72"/>
      <c r="F59" s="72"/>
      <c r="G59" s="72"/>
      <c r="H59" s="72"/>
      <c r="I59" s="72"/>
      <c r="J59" s="72"/>
      <c r="K59" s="72"/>
      <c r="L59" s="73"/>
      <c r="M59" s="73"/>
      <c r="N59" s="35"/>
      <c r="O59" s="35"/>
      <c r="P59" s="35"/>
      <c r="Q59" s="35"/>
      <c r="R59" s="35"/>
      <c r="S59" s="35"/>
      <c r="T59" s="35"/>
      <c r="U59" s="35"/>
    </row>
    <row r="60" spans="1:21" s="4" customFormat="1" ht="19.7" customHeight="1" thickBot="1" x14ac:dyDescent="0.5">
      <c r="A60" s="33"/>
      <c r="D60" s="35"/>
      <c r="E60" s="35"/>
      <c r="F60" s="35"/>
      <c r="G60" s="35"/>
      <c r="H60" s="35"/>
      <c r="I60" s="35"/>
      <c r="J60" s="35"/>
      <c r="K60" s="35"/>
      <c r="L60" s="76"/>
      <c r="M60" s="35"/>
      <c r="N60" s="35"/>
      <c r="O60" s="35"/>
      <c r="P60" s="35"/>
      <c r="Q60" s="35"/>
      <c r="R60" s="35"/>
      <c r="S60" s="35"/>
      <c r="T60" s="35"/>
      <c r="U60" s="35"/>
    </row>
    <row r="61" spans="1:21" s="4" customFormat="1" ht="19.7" customHeight="1" x14ac:dyDescent="0.5">
      <c r="A61" s="33"/>
      <c r="B61" s="80" t="s">
        <v>41</v>
      </c>
      <c r="C61" s="85">
        <f>-(H46*100)</f>
        <v>-1245</v>
      </c>
      <c r="D61" s="35"/>
      <c r="E61" s="48" t="s">
        <v>46</v>
      </c>
      <c r="F61" s="35"/>
      <c r="G61" s="35"/>
      <c r="H61" s="35"/>
      <c r="I61" s="35"/>
      <c r="J61" s="35"/>
      <c r="K61" s="35"/>
      <c r="L61" s="76"/>
      <c r="M61" s="35"/>
      <c r="N61" s="35"/>
      <c r="O61" s="35"/>
      <c r="P61" s="35"/>
      <c r="Q61" s="35"/>
      <c r="R61" s="35"/>
      <c r="S61" s="35"/>
      <c r="T61" s="35"/>
      <c r="U61" s="35"/>
    </row>
    <row r="62" spans="1:21" s="4" customFormat="1" ht="19.7" customHeight="1" thickBot="1" x14ac:dyDescent="0.55000000000000004">
      <c r="A62" s="33"/>
      <c r="B62" s="83" t="s">
        <v>43</v>
      </c>
      <c r="C62" s="86">
        <f>+C61/((135+12.45)*100)</f>
        <v>-8.44354018311292E-2</v>
      </c>
      <c r="D62" s="35"/>
      <c r="E62" s="48" t="s">
        <v>47</v>
      </c>
      <c r="F62" s="35"/>
      <c r="G62" s="35"/>
      <c r="H62" s="35"/>
      <c r="I62" s="35"/>
      <c r="J62" s="35"/>
      <c r="K62" s="35"/>
      <c r="L62" s="76"/>
      <c r="M62" s="35"/>
      <c r="N62" s="35"/>
      <c r="O62" s="35"/>
      <c r="P62" s="35"/>
      <c r="Q62" s="35"/>
      <c r="R62" s="35"/>
      <c r="S62" s="35"/>
      <c r="T62" s="35"/>
      <c r="U62" s="35"/>
    </row>
    <row r="63" spans="1:21" s="4" customFormat="1" ht="26.45" customHeight="1" x14ac:dyDescent="0.45">
      <c r="A63" s="33"/>
      <c r="B63" s="35"/>
      <c r="C63" s="35"/>
      <c r="D63" s="35"/>
      <c r="E63" s="35"/>
      <c r="F63" s="35"/>
      <c r="G63" s="35"/>
      <c r="H63" s="35"/>
      <c r="I63" s="35"/>
      <c r="J63" s="35"/>
      <c r="K63" s="35"/>
      <c r="L63" s="76"/>
      <c r="M63" s="35"/>
      <c r="N63" s="35"/>
      <c r="O63" s="35"/>
      <c r="P63" s="35"/>
      <c r="Q63" s="35"/>
      <c r="R63" s="35"/>
      <c r="S63" s="35"/>
      <c r="T63" s="35"/>
      <c r="U63" s="35"/>
    </row>
    <row r="64" spans="1:21" ht="33.75" customHeight="1" x14ac:dyDescent="0.5">
      <c r="B64" s="9" t="s">
        <v>48</v>
      </c>
      <c r="C64" s="10"/>
      <c r="D64" s="10"/>
      <c r="E64" s="10"/>
      <c r="F64" s="10"/>
      <c r="G64" s="10"/>
      <c r="H64" s="10"/>
      <c r="I64" s="10"/>
      <c r="J64" s="10"/>
      <c r="K64" s="11"/>
      <c r="L64" s="11"/>
      <c r="M64" s="12"/>
      <c r="N64" s="12"/>
      <c r="O64" s="12"/>
      <c r="P64" s="12"/>
      <c r="Q64" s="12"/>
      <c r="R64" s="12"/>
      <c r="S64" s="12"/>
      <c r="T64" s="12"/>
      <c r="U64" s="12"/>
    </row>
    <row r="65" spans="2:21" ht="22.5" customHeight="1" x14ac:dyDescent="0.55000000000000004">
      <c r="B65" s="34" t="s">
        <v>49</v>
      </c>
      <c r="C65" s="87"/>
      <c r="D65" s="87"/>
      <c r="E65" s="87"/>
      <c r="F65" s="87"/>
      <c r="G65" s="88"/>
      <c r="H65" s="88"/>
      <c r="I65" s="87"/>
      <c r="J65" s="87"/>
      <c r="K65" s="35"/>
      <c r="L65" s="35"/>
      <c r="M65" s="35"/>
      <c r="N65" s="35"/>
      <c r="O65" s="35"/>
      <c r="P65" s="35"/>
      <c r="Q65" s="35"/>
      <c r="R65" s="35"/>
      <c r="S65" s="35"/>
      <c r="T65" s="35"/>
      <c r="U65" s="35"/>
    </row>
    <row r="66" spans="2:21" ht="66" customHeight="1" x14ac:dyDescent="0.55000000000000004">
      <c r="B66" s="71" t="s">
        <v>50</v>
      </c>
      <c r="C66" s="89"/>
      <c r="D66" s="89"/>
      <c r="E66" s="89"/>
      <c r="F66" s="89"/>
      <c r="G66" s="89"/>
      <c r="H66" s="89"/>
      <c r="I66" s="89"/>
      <c r="J66" s="89"/>
      <c r="K66" s="72"/>
      <c r="L66" s="73"/>
      <c r="M66" s="73"/>
      <c r="N66" s="35"/>
      <c r="O66" s="35"/>
      <c r="P66" s="35"/>
      <c r="Q66" s="35"/>
      <c r="R66" s="35"/>
      <c r="S66" s="73"/>
      <c r="T66" s="73"/>
      <c r="U66" s="73"/>
    </row>
    <row r="67" spans="2:21" ht="22.5" customHeight="1" x14ac:dyDescent="0.55000000000000004">
      <c r="B67" s="34"/>
      <c r="C67" s="87"/>
      <c r="D67" s="87"/>
      <c r="E67" s="87"/>
      <c r="F67" s="87"/>
      <c r="G67" s="88"/>
      <c r="H67" s="88"/>
      <c r="I67" s="87"/>
      <c r="J67" s="87"/>
      <c r="K67" s="35"/>
      <c r="L67" s="35"/>
      <c r="M67" s="35"/>
      <c r="N67" s="35"/>
      <c r="O67" s="35"/>
      <c r="P67" s="35"/>
      <c r="Q67" s="35"/>
      <c r="R67" s="35"/>
      <c r="S67" s="35"/>
      <c r="T67" s="35"/>
      <c r="U67" s="35"/>
    </row>
    <row r="68" spans="2:21" ht="22.5" customHeight="1" x14ac:dyDescent="0.5">
      <c r="B68" s="90" t="s">
        <v>51</v>
      </c>
      <c r="C68" s="91"/>
      <c r="D68" s="91"/>
      <c r="E68" s="91"/>
      <c r="F68" s="91"/>
      <c r="G68" s="91"/>
      <c r="H68" s="91"/>
      <c r="I68" s="91"/>
      <c r="J68" s="91"/>
      <c r="K68" s="35"/>
      <c r="L68" s="35"/>
      <c r="M68" s="35"/>
      <c r="N68" s="35"/>
      <c r="O68" s="35"/>
      <c r="P68" s="35"/>
      <c r="Q68" s="35"/>
      <c r="R68" s="35"/>
      <c r="S68" s="35"/>
      <c r="T68" s="35"/>
      <c r="U68" s="35"/>
    </row>
    <row r="69" spans="2:21" ht="22.5" customHeight="1" x14ac:dyDescent="0.5">
      <c r="B69" s="92"/>
      <c r="C69" s="92"/>
      <c r="D69" s="92"/>
      <c r="E69" s="93"/>
      <c r="F69" s="93"/>
      <c r="G69" s="94"/>
      <c r="H69" s="94"/>
      <c r="I69" s="93"/>
      <c r="J69" s="93"/>
      <c r="K69" s="35"/>
      <c r="L69" s="35"/>
      <c r="M69" s="35"/>
      <c r="N69" s="35"/>
      <c r="O69" s="35"/>
      <c r="P69" s="35"/>
      <c r="Q69" s="35"/>
      <c r="R69" s="35"/>
      <c r="S69" s="35"/>
      <c r="T69" s="35"/>
      <c r="U69" s="35"/>
    </row>
    <row r="70" spans="2:21" ht="20.45" customHeight="1" x14ac:dyDescent="0.5">
      <c r="B70" s="92"/>
      <c r="C70" s="95"/>
      <c r="D70" s="95"/>
      <c r="E70" s="96" t="s">
        <v>52</v>
      </c>
      <c r="F70" s="93"/>
      <c r="G70" s="96" t="s">
        <v>53</v>
      </c>
      <c r="H70" s="96"/>
      <c r="I70" s="96" t="s">
        <v>54</v>
      </c>
      <c r="J70" s="93"/>
      <c r="K70" s="35"/>
      <c r="L70" s="35"/>
      <c r="M70" s="35"/>
      <c r="N70" s="35"/>
      <c r="O70" s="35"/>
      <c r="P70" s="35"/>
      <c r="Q70" s="35"/>
      <c r="R70" s="35"/>
      <c r="S70" s="35"/>
      <c r="T70" s="35"/>
      <c r="U70" s="35"/>
    </row>
    <row r="71" spans="2:21" ht="20.45" customHeight="1" thickBot="1" x14ac:dyDescent="0.55000000000000004">
      <c r="B71" s="92"/>
      <c r="C71" s="95"/>
      <c r="D71" s="96" t="s">
        <v>55</v>
      </c>
      <c r="E71" s="93"/>
      <c r="F71" s="93"/>
      <c r="G71" s="94"/>
      <c r="H71" s="94"/>
      <c r="I71" s="93"/>
      <c r="J71" s="93"/>
      <c r="K71" s="35"/>
      <c r="L71" s="35"/>
      <c r="M71" s="35"/>
      <c r="N71" s="35"/>
      <c r="O71" s="35"/>
      <c r="P71" s="35"/>
      <c r="Q71" s="35"/>
      <c r="R71" s="35"/>
      <c r="S71" s="35"/>
      <c r="T71" s="35"/>
      <c r="U71" s="35"/>
    </row>
    <row r="72" spans="2:21" ht="20.45" customHeight="1" thickBot="1" x14ac:dyDescent="0.55000000000000004">
      <c r="B72" s="92"/>
      <c r="C72" s="95"/>
      <c r="D72" s="97">
        <f>+C74*1.25</f>
        <v>56.25</v>
      </c>
      <c r="E72" s="93"/>
      <c r="F72" s="97">
        <f>+D72-49.5</f>
        <v>6.75</v>
      </c>
      <c r="G72" s="94"/>
      <c r="H72" s="94"/>
      <c r="I72" s="93"/>
      <c r="J72" s="93"/>
      <c r="K72" s="35"/>
      <c r="L72" s="35"/>
      <c r="M72" s="35"/>
      <c r="N72" s="35"/>
      <c r="O72" s="35"/>
      <c r="P72" s="35"/>
      <c r="Q72" s="35"/>
      <c r="R72" s="35"/>
      <c r="S72" s="35"/>
      <c r="T72" s="35"/>
      <c r="U72" s="35"/>
    </row>
    <row r="73" spans="2:21" ht="20.45" customHeight="1" thickBot="1" x14ac:dyDescent="0.55000000000000004">
      <c r="B73" s="92"/>
      <c r="C73" s="96" t="s">
        <v>56</v>
      </c>
      <c r="D73" s="95"/>
      <c r="E73" s="93"/>
      <c r="F73" s="93"/>
      <c r="G73" s="94"/>
      <c r="H73" s="94"/>
      <c r="I73" s="93"/>
      <c r="J73" s="93"/>
      <c r="K73" s="35"/>
      <c r="L73" s="35"/>
      <c r="M73" s="35"/>
      <c r="N73" s="35"/>
      <c r="O73" s="35"/>
      <c r="P73" s="35"/>
      <c r="Q73" s="35"/>
      <c r="R73" s="35"/>
      <c r="S73" s="35"/>
      <c r="T73" s="35"/>
      <c r="U73" s="35"/>
    </row>
    <row r="74" spans="2:21" ht="20.45" customHeight="1" thickBot="1" x14ac:dyDescent="0.55000000000000004">
      <c r="B74" s="92"/>
      <c r="C74" s="97">
        <f>+[1]INPUT!C74</f>
        <v>45</v>
      </c>
      <c r="D74" s="95"/>
      <c r="E74" s="98">
        <f>+D72-D76</f>
        <v>13.5</v>
      </c>
      <c r="F74" s="93"/>
      <c r="G74" s="98">
        <f>+F72-F76</f>
        <v>6.75</v>
      </c>
      <c r="H74" s="99" t="s">
        <v>57</v>
      </c>
      <c r="I74" s="100">
        <f>+G74/E74</f>
        <v>0.5</v>
      </c>
      <c r="J74" s="93" t="s">
        <v>117</v>
      </c>
      <c r="K74" s="35"/>
      <c r="L74" s="35"/>
      <c r="M74" s="35"/>
      <c r="N74" s="35"/>
      <c r="O74" s="35"/>
      <c r="P74" s="35"/>
      <c r="Q74" s="35"/>
      <c r="R74" s="35"/>
      <c r="S74" s="35"/>
      <c r="T74" s="35"/>
      <c r="U74" s="35"/>
    </row>
    <row r="75" spans="2:21" ht="20.45" customHeight="1" thickBot="1" x14ac:dyDescent="0.55000000000000004">
      <c r="B75" s="92"/>
      <c r="C75" s="95"/>
      <c r="D75" s="95"/>
      <c r="E75" s="93"/>
      <c r="F75" s="93"/>
      <c r="G75" s="94"/>
      <c r="H75" s="94"/>
      <c r="I75" s="93"/>
      <c r="J75" s="93"/>
      <c r="K75" s="35"/>
      <c r="L75" s="35"/>
      <c r="M75" s="35"/>
      <c r="N75" s="35"/>
      <c r="O75" s="35"/>
      <c r="P75" s="35"/>
      <c r="Q75" s="35"/>
      <c r="R75" s="35"/>
      <c r="S75" s="35"/>
      <c r="T75" s="35"/>
      <c r="U75" s="35"/>
    </row>
    <row r="76" spans="2:21" ht="20.45" customHeight="1" thickBot="1" x14ac:dyDescent="0.55000000000000004">
      <c r="B76" s="92"/>
      <c r="C76" s="95"/>
      <c r="D76" s="97">
        <f>+C74*0.95</f>
        <v>42.75</v>
      </c>
      <c r="E76" s="93"/>
      <c r="F76" s="97">
        <v>0</v>
      </c>
      <c r="G76" s="94"/>
      <c r="H76" s="94"/>
      <c r="I76" s="93"/>
      <c r="J76" s="93"/>
      <c r="K76" s="35"/>
      <c r="L76" s="35"/>
      <c r="M76" s="35"/>
      <c r="N76" s="35"/>
      <c r="O76" s="35"/>
      <c r="P76" s="35"/>
      <c r="Q76" s="35"/>
      <c r="R76" s="35"/>
      <c r="S76" s="35"/>
      <c r="T76" s="35"/>
      <c r="U76" s="35"/>
    </row>
    <row r="77" spans="2:21" ht="20.45" customHeight="1" x14ac:dyDescent="0.5">
      <c r="B77" s="92"/>
      <c r="C77" s="95"/>
      <c r="D77" s="95"/>
      <c r="E77" s="93"/>
      <c r="F77" s="93"/>
      <c r="G77" s="94"/>
      <c r="H77" s="94"/>
      <c r="I77" s="93"/>
      <c r="J77" s="93"/>
      <c r="K77" s="35"/>
      <c r="L77" s="35"/>
      <c r="M77" s="35"/>
      <c r="N77" s="35"/>
      <c r="O77" s="35"/>
      <c r="P77" s="35"/>
      <c r="Q77" s="35"/>
      <c r="R77" s="35"/>
      <c r="S77" s="35"/>
      <c r="T77" s="35"/>
      <c r="U77" s="35"/>
    </row>
    <row r="78" spans="2:21" ht="20.45" customHeight="1" thickBot="1" x14ac:dyDescent="0.55000000000000004">
      <c r="B78" s="34"/>
      <c r="C78" s="93"/>
      <c r="D78" s="93"/>
      <c r="E78" s="93"/>
      <c r="F78" s="93"/>
      <c r="G78" s="94"/>
      <c r="H78" s="94"/>
      <c r="I78" s="93"/>
      <c r="J78" s="93"/>
      <c r="K78" s="35"/>
      <c r="L78" s="35"/>
      <c r="M78" s="35"/>
      <c r="N78" s="35"/>
      <c r="O78" s="35"/>
      <c r="P78" s="35"/>
      <c r="Q78" s="35"/>
      <c r="R78" s="35"/>
      <c r="S78" s="35"/>
      <c r="T78" s="35"/>
      <c r="U78" s="35"/>
    </row>
    <row r="79" spans="2:21" ht="20.45" customHeight="1" thickBot="1" x14ac:dyDescent="0.55000000000000004">
      <c r="B79" s="34"/>
      <c r="C79" s="96" t="s">
        <v>58</v>
      </c>
      <c r="D79" s="98">
        <f>+(D76/1.05)</f>
        <v>40.714285714285715</v>
      </c>
      <c r="E79" s="133" t="s">
        <v>113</v>
      </c>
      <c r="F79" s="93"/>
      <c r="G79" s="94"/>
      <c r="H79" s="94"/>
      <c r="I79" s="93"/>
      <c r="J79" s="93"/>
      <c r="K79" s="35"/>
      <c r="L79" s="35"/>
      <c r="M79" s="35"/>
      <c r="N79" s="35"/>
      <c r="O79" s="35"/>
      <c r="P79" s="35"/>
      <c r="Q79" s="35"/>
      <c r="R79" s="35"/>
      <c r="S79" s="35"/>
      <c r="T79" s="35"/>
      <c r="U79" s="35"/>
    </row>
    <row r="80" spans="2:21" ht="20.45" customHeight="1" thickBot="1" x14ac:dyDescent="0.55000000000000004">
      <c r="B80" s="34"/>
      <c r="C80" s="96" t="s">
        <v>59</v>
      </c>
      <c r="D80" s="98">
        <f>+C74-D79</f>
        <v>4.2857142857142847</v>
      </c>
      <c r="E80" s="93" t="s">
        <v>114</v>
      </c>
      <c r="F80" s="93"/>
      <c r="G80" s="94"/>
      <c r="H80" s="94"/>
      <c r="I80" s="93"/>
      <c r="J80" s="93"/>
      <c r="K80" s="35"/>
      <c r="L80" s="35"/>
      <c r="M80" s="35"/>
      <c r="N80" s="35"/>
      <c r="O80" s="35"/>
      <c r="P80" s="35"/>
      <c r="Q80" s="35"/>
      <c r="R80" s="35"/>
      <c r="S80" s="35"/>
      <c r="T80" s="35"/>
      <c r="U80" s="35"/>
    </row>
    <row r="81" spans="2:52" ht="20.45" customHeight="1" thickBot="1" x14ac:dyDescent="0.55000000000000004">
      <c r="B81" s="34"/>
      <c r="C81" s="96" t="s">
        <v>60</v>
      </c>
      <c r="D81" s="98">
        <f>+D80*I74</f>
        <v>2.1428571428571423</v>
      </c>
      <c r="E81" s="93" t="s">
        <v>115</v>
      </c>
      <c r="F81" s="93"/>
      <c r="G81" s="94"/>
      <c r="H81" s="94"/>
      <c r="I81" s="93"/>
      <c r="J81" s="93"/>
      <c r="K81" s="35"/>
      <c r="L81" s="35"/>
      <c r="M81" s="35"/>
      <c r="N81" s="35"/>
      <c r="O81" s="35"/>
      <c r="P81" s="35"/>
      <c r="Q81" s="35"/>
      <c r="R81" s="35"/>
      <c r="S81" s="35"/>
      <c r="T81" s="35"/>
      <c r="U81" s="35"/>
    </row>
    <row r="82" spans="2:52" ht="20.45" customHeight="1" x14ac:dyDescent="0.5">
      <c r="B82" s="34"/>
      <c r="C82" s="93"/>
      <c r="D82" s="93"/>
      <c r="E82" s="93"/>
      <c r="F82" s="93"/>
      <c r="G82" s="94"/>
      <c r="H82" s="94"/>
      <c r="I82" s="93"/>
      <c r="J82" s="93"/>
      <c r="K82" s="35"/>
      <c r="L82" s="35"/>
      <c r="M82" s="35"/>
      <c r="N82" s="35"/>
      <c r="O82" s="35"/>
      <c r="P82" s="35"/>
      <c r="Q82" s="35"/>
      <c r="R82" s="35"/>
      <c r="S82" s="35"/>
      <c r="T82" s="35"/>
      <c r="U82" s="35"/>
    </row>
    <row r="83" spans="2:52" ht="20.45" customHeight="1" x14ac:dyDescent="0.5">
      <c r="B83" s="71" t="s">
        <v>61</v>
      </c>
      <c r="C83" s="72"/>
      <c r="D83" s="72"/>
      <c r="E83" s="72"/>
      <c r="F83" s="72"/>
      <c r="G83" s="72"/>
      <c r="H83" s="72"/>
      <c r="I83" s="72"/>
      <c r="J83" s="72"/>
      <c r="K83" s="91"/>
      <c r="L83" s="35"/>
      <c r="M83" s="35"/>
      <c r="N83" s="35"/>
      <c r="O83" s="35"/>
      <c r="P83" s="35"/>
      <c r="Q83" s="35"/>
      <c r="R83" s="35"/>
      <c r="S83" s="35"/>
      <c r="T83" s="35"/>
      <c r="U83" s="35"/>
    </row>
    <row r="84" spans="2:52" ht="12" customHeight="1" x14ac:dyDescent="0.5">
      <c r="B84" s="34"/>
      <c r="C84" s="93"/>
      <c r="D84" s="93"/>
      <c r="E84" s="93"/>
      <c r="F84" s="93"/>
      <c r="G84" s="94"/>
      <c r="H84" s="94"/>
      <c r="I84" s="93"/>
      <c r="J84" s="93"/>
      <c r="K84" s="35"/>
      <c r="L84" s="35"/>
      <c r="M84" s="35"/>
      <c r="N84" s="35"/>
      <c r="O84" s="35"/>
      <c r="P84" s="35"/>
      <c r="Q84" s="35"/>
      <c r="R84" s="35"/>
      <c r="S84" s="35"/>
      <c r="T84" s="35"/>
      <c r="U84" s="35"/>
    </row>
    <row r="85" spans="2:52" ht="20.45" customHeight="1" thickBot="1" x14ac:dyDescent="0.55000000000000004">
      <c r="B85" s="34"/>
      <c r="C85" s="93"/>
      <c r="D85" s="93"/>
      <c r="E85" s="93"/>
      <c r="H85" s="94"/>
      <c r="I85" s="101" t="s">
        <v>62</v>
      </c>
      <c r="J85" s="94">
        <f>+((1.05-0.95)/(1.25-0.95))</f>
        <v>0.33333333333333359</v>
      </c>
      <c r="K85" s="35"/>
      <c r="L85" s="35"/>
      <c r="M85" s="35"/>
      <c r="N85" s="35"/>
      <c r="O85" s="35"/>
      <c r="P85" s="35"/>
      <c r="Q85" s="35"/>
      <c r="R85" s="35"/>
      <c r="S85" s="35"/>
      <c r="T85" s="35"/>
      <c r="U85" s="35"/>
    </row>
    <row r="86" spans="2:52" ht="20.45" customHeight="1" thickBot="1" x14ac:dyDescent="0.55000000000000004">
      <c r="B86" s="34"/>
      <c r="C86" s="102" t="s">
        <v>63</v>
      </c>
      <c r="D86" s="98">
        <f>+((F72*J85)+(F76*J86))/1.05</f>
        <v>2.1428571428571446</v>
      </c>
      <c r="E86" s="93" t="s">
        <v>116</v>
      </c>
      <c r="H86" s="94"/>
      <c r="I86" s="101" t="s">
        <v>118</v>
      </c>
      <c r="J86" s="94">
        <f>1-J85</f>
        <v>0.66666666666666641</v>
      </c>
      <c r="K86" s="35"/>
      <c r="L86" s="35"/>
      <c r="M86" s="35"/>
      <c r="N86" s="35"/>
      <c r="O86" s="35"/>
      <c r="P86" s="35"/>
      <c r="Q86" s="35"/>
      <c r="R86" s="35"/>
      <c r="S86" s="35"/>
      <c r="T86" s="35"/>
      <c r="U86" s="35"/>
    </row>
    <row r="87" spans="2:52" ht="22.5" customHeight="1" x14ac:dyDescent="0.5">
      <c r="B87" s="34"/>
      <c r="C87" s="93"/>
      <c r="D87" s="93"/>
      <c r="E87" s="93"/>
      <c r="F87" s="93"/>
      <c r="G87" s="94"/>
      <c r="H87" s="94"/>
      <c r="I87" s="93"/>
      <c r="J87" s="93"/>
      <c r="K87" s="35"/>
      <c r="L87" s="35"/>
      <c r="M87" s="35"/>
      <c r="N87" s="35"/>
      <c r="O87" s="35"/>
      <c r="P87" s="35"/>
      <c r="Q87" s="35"/>
      <c r="R87" s="35"/>
      <c r="S87" s="35"/>
      <c r="T87" s="35"/>
      <c r="U87" s="35"/>
    </row>
    <row r="88" spans="2:52" ht="22.5" customHeight="1" x14ac:dyDescent="0.5">
      <c r="B88" s="34" t="s">
        <v>64</v>
      </c>
      <c r="C88" s="93"/>
      <c r="D88" s="93"/>
      <c r="E88" s="93"/>
      <c r="F88" s="93"/>
      <c r="G88" s="94"/>
      <c r="H88" s="94"/>
      <c r="I88" s="93"/>
      <c r="J88" s="93"/>
      <c r="K88" s="35"/>
      <c r="L88" s="35"/>
      <c r="M88" s="35"/>
      <c r="N88" s="35"/>
      <c r="O88" s="35"/>
      <c r="P88" s="35"/>
      <c r="Q88" s="35"/>
      <c r="R88" s="35"/>
      <c r="S88" s="35"/>
      <c r="T88" s="35"/>
      <c r="U88" s="35"/>
    </row>
    <row r="89" spans="2:52" ht="56.25" customHeight="1" x14ac:dyDescent="0.55000000000000004">
      <c r="B89" s="71" t="s">
        <v>65</v>
      </c>
      <c r="C89" s="89"/>
      <c r="D89" s="89"/>
      <c r="E89" s="89"/>
      <c r="F89" s="89"/>
      <c r="G89" s="89"/>
      <c r="H89" s="89"/>
      <c r="I89" s="89"/>
      <c r="J89" s="89"/>
      <c r="K89" s="72"/>
      <c r="L89" s="73"/>
      <c r="M89" s="73"/>
      <c r="N89" s="35"/>
      <c r="O89" s="35"/>
      <c r="P89" s="35"/>
      <c r="Q89" s="35"/>
      <c r="R89" s="35"/>
      <c r="S89" s="73"/>
      <c r="T89" s="73"/>
      <c r="U89" s="73"/>
    </row>
    <row r="90" spans="2:52" ht="15.75" customHeight="1" x14ac:dyDescent="0.5">
      <c r="N90" s="35"/>
      <c r="O90" s="35"/>
      <c r="P90" s="35"/>
      <c r="Q90" s="35"/>
      <c r="R90" s="35"/>
    </row>
    <row r="91" spans="2:52" ht="21" customHeight="1" x14ac:dyDescent="0.5">
      <c r="B91" s="90" t="s">
        <v>66</v>
      </c>
      <c r="C91" s="91"/>
      <c r="D91" s="91"/>
      <c r="E91" s="91"/>
      <c r="F91" s="91"/>
      <c r="G91" s="91"/>
      <c r="H91" s="91"/>
      <c r="I91" s="91"/>
      <c r="J91" s="91"/>
      <c r="N91" s="35"/>
      <c r="O91" s="35"/>
      <c r="P91" s="35"/>
      <c r="Q91" s="35"/>
      <c r="R91" s="35"/>
    </row>
    <row r="92" spans="2:52" ht="19.850000000000001" customHeight="1" thickBot="1" x14ac:dyDescent="0.55000000000000004">
      <c r="B92" s="92"/>
      <c r="C92" s="92"/>
      <c r="D92" s="92"/>
      <c r="E92" s="96" t="s">
        <v>67</v>
      </c>
      <c r="F92" s="92"/>
      <c r="G92" s="103" t="s">
        <v>68</v>
      </c>
      <c r="H92" s="92"/>
      <c r="I92" s="92"/>
      <c r="J92" s="92"/>
      <c r="K92" s="92"/>
      <c r="L92" s="92"/>
      <c r="M92" s="92"/>
      <c r="N92" s="35"/>
      <c r="O92" s="35"/>
      <c r="P92" s="35"/>
      <c r="Q92" s="35"/>
      <c r="R92" s="35"/>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2:52" ht="26" customHeight="1" thickBot="1" x14ac:dyDescent="0.55000000000000004">
      <c r="B93" s="92"/>
      <c r="C93" s="95"/>
      <c r="D93" s="95"/>
      <c r="E93" s="97">
        <f>+D95*1.2</f>
        <v>93.6</v>
      </c>
      <c r="F93" s="95"/>
      <c r="G93" s="104">
        <f>+E93-60</f>
        <v>33.599999999999994</v>
      </c>
      <c r="H93" s="92"/>
      <c r="I93" s="92"/>
      <c r="J93" s="92"/>
      <c r="K93" s="92"/>
      <c r="L93" s="92"/>
      <c r="M93" s="92"/>
      <c r="N93" s="35"/>
      <c r="O93" s="35"/>
      <c r="P93" s="35"/>
      <c r="Q93" s="35"/>
      <c r="R93" s="35"/>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2:52" ht="26" customHeight="1" thickBot="1" x14ac:dyDescent="0.55000000000000004">
      <c r="B94" s="92"/>
      <c r="C94" s="95"/>
      <c r="D94" s="96" t="s">
        <v>55</v>
      </c>
      <c r="E94" s="95"/>
      <c r="F94" s="95"/>
      <c r="G94" s="95"/>
      <c r="H94" s="92"/>
      <c r="I94" s="92"/>
      <c r="J94" s="92"/>
      <c r="K94" s="92"/>
      <c r="L94" s="92"/>
      <c r="M94" s="92"/>
      <c r="N94" s="35"/>
      <c r="O94" s="35"/>
      <c r="P94" s="35"/>
      <c r="Q94" s="35"/>
      <c r="R94" s="35"/>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2:52" ht="26" customHeight="1" thickBot="1" x14ac:dyDescent="0.55000000000000004">
      <c r="B95" s="92"/>
      <c r="C95" s="95"/>
      <c r="D95" s="97">
        <f>+C97*1.2</f>
        <v>78</v>
      </c>
      <c r="E95" s="95"/>
      <c r="F95" s="95"/>
      <c r="G95" s="95" t="s">
        <v>69</v>
      </c>
      <c r="H95" s="98">
        <f>+(G93*C101+G97*C102)/1.05</f>
        <v>20.857142857142858</v>
      </c>
      <c r="I95" s="92"/>
      <c r="J95" s="92"/>
      <c r="K95" s="92"/>
      <c r="L95" s="92"/>
      <c r="M95" s="92"/>
      <c r="N95" s="35"/>
      <c r="O95" s="35"/>
      <c r="P95" s="35"/>
      <c r="Q95" s="35"/>
      <c r="R95" s="3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2:52" ht="26" customHeight="1" thickBot="1" x14ac:dyDescent="0.55000000000000004">
      <c r="B96" s="92"/>
      <c r="C96" s="96" t="s">
        <v>56</v>
      </c>
      <c r="D96" s="95"/>
      <c r="E96" s="95"/>
      <c r="F96" s="95"/>
      <c r="G96" s="95"/>
      <c r="H96" s="95"/>
      <c r="I96" s="92"/>
      <c r="J96" s="103" t="s">
        <v>70</v>
      </c>
      <c r="K96" s="92"/>
      <c r="L96" s="92"/>
      <c r="M96" s="92"/>
      <c r="N96" s="35"/>
      <c r="O96" s="35"/>
      <c r="P96" s="35"/>
      <c r="Q96" s="35"/>
      <c r="R96" s="35"/>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2:52" ht="26" customHeight="1" thickBot="1" x14ac:dyDescent="0.55000000000000004">
      <c r="B97" s="92"/>
      <c r="C97" s="97">
        <f>+[1]INPUT!C97</f>
        <v>65</v>
      </c>
      <c r="D97" s="95"/>
      <c r="E97" s="97">
        <f>+D95*0.95</f>
        <v>74.099999999999994</v>
      </c>
      <c r="F97" s="95"/>
      <c r="G97" s="104">
        <f>+E97-60</f>
        <v>14.099999999999994</v>
      </c>
      <c r="H97" s="95"/>
      <c r="I97" s="95" t="s">
        <v>71</v>
      </c>
      <c r="J97" s="105">
        <f>+(H95*C101+H99*C102)/1.05</f>
        <v>11.014965986394564</v>
      </c>
      <c r="K97" s="92"/>
      <c r="L97" s="92"/>
      <c r="M97" s="92"/>
      <c r="N97" s="35"/>
      <c r="O97" s="35"/>
      <c r="P97" s="35"/>
      <c r="Q97" s="35"/>
      <c r="R97" s="35"/>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2:52" ht="26" customHeight="1" thickBot="1" x14ac:dyDescent="0.55000000000000004">
      <c r="B98" s="92"/>
      <c r="C98" s="95"/>
      <c r="D98" s="95"/>
      <c r="E98" s="95"/>
      <c r="F98" s="95"/>
      <c r="G98" s="95"/>
      <c r="H98" s="95"/>
      <c r="I98" s="92"/>
      <c r="J98" s="92"/>
      <c r="K98" s="92"/>
      <c r="L98" s="92"/>
      <c r="M98" s="92"/>
      <c r="N98" s="35"/>
      <c r="O98" s="35"/>
      <c r="P98" s="35"/>
      <c r="Q98" s="35"/>
      <c r="R98" s="35"/>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2:52" ht="26" customHeight="1" thickBot="1" x14ac:dyDescent="0.55000000000000004">
      <c r="B99" s="92"/>
      <c r="C99" s="95"/>
      <c r="D99" s="97">
        <f>+C97*0.95</f>
        <v>61.75</v>
      </c>
      <c r="E99" s="95"/>
      <c r="F99" s="95"/>
      <c r="G99" s="95" t="s">
        <v>72</v>
      </c>
      <c r="H99" s="105">
        <f>+((G97*C101)+(C102*G101))/1.05</f>
        <v>5.3714285714285737</v>
      </c>
      <c r="I99" s="92"/>
      <c r="J99" s="92"/>
      <c r="K99" s="92"/>
      <c r="L99" s="92"/>
      <c r="M99" s="92"/>
      <c r="N99" s="35"/>
      <c r="O99" s="35"/>
      <c r="P99" s="35"/>
      <c r="Q99" s="35"/>
      <c r="R99" s="35"/>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2:52" ht="26" customHeight="1" thickBot="1" x14ac:dyDescent="0.55000000000000004">
      <c r="B100" s="92"/>
      <c r="C100" s="95"/>
      <c r="D100" s="95"/>
      <c r="E100" s="95"/>
      <c r="F100" s="95"/>
      <c r="G100" s="95"/>
      <c r="H100" s="92"/>
      <c r="I100" s="92"/>
      <c r="J100" s="92"/>
      <c r="K100" s="92"/>
      <c r="L100" s="92"/>
      <c r="M100" s="92"/>
      <c r="N100" s="35"/>
      <c r="O100" s="35"/>
      <c r="P100" s="35"/>
      <c r="Q100" s="35"/>
      <c r="R100" s="35"/>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2:52" ht="26" customHeight="1" thickBot="1" x14ac:dyDescent="0.55000000000000004">
      <c r="B101" s="92" t="s">
        <v>73</v>
      </c>
      <c r="C101" s="106">
        <f>+((1+0.05)-0.95)/(1.2-0.95)</f>
        <v>0.40000000000000036</v>
      </c>
      <c r="D101" s="95"/>
      <c r="E101" s="97">
        <f>+D99*0.95</f>
        <v>58.662499999999994</v>
      </c>
      <c r="F101" s="95"/>
      <c r="G101" s="104">
        <v>0</v>
      </c>
      <c r="H101" s="92"/>
      <c r="I101" s="92"/>
      <c r="J101" s="92"/>
      <c r="K101" s="92"/>
      <c r="L101" s="92"/>
      <c r="M101" s="92"/>
      <c r="N101" s="35"/>
      <c r="O101" s="35"/>
      <c r="P101" s="35"/>
      <c r="Q101" s="35"/>
      <c r="R101" s="35"/>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2:52" ht="19.850000000000001" customHeight="1" x14ac:dyDescent="0.5">
      <c r="B102" s="107" t="s">
        <v>74</v>
      </c>
      <c r="C102" s="108">
        <f>1-C101</f>
        <v>0.59999999999999964</v>
      </c>
      <c r="D102" s="92"/>
      <c r="E102" s="92"/>
      <c r="F102" s="92"/>
      <c r="G102" s="92"/>
      <c r="H102" s="92"/>
      <c r="I102" s="92"/>
      <c r="J102" s="92"/>
      <c r="K102" s="92"/>
      <c r="L102" s="92"/>
      <c r="M102" s="92"/>
      <c r="N102" s="35"/>
      <c r="O102" s="35"/>
      <c r="P102" s="35"/>
      <c r="Q102" s="35"/>
      <c r="R102" s="35"/>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2:52" ht="19.850000000000001" customHeight="1" x14ac:dyDescent="0.5">
      <c r="B103" s="92"/>
      <c r="C103" s="92"/>
      <c r="D103" s="92"/>
      <c r="E103" s="92"/>
      <c r="F103" s="92"/>
      <c r="G103" s="92"/>
      <c r="H103" s="92"/>
      <c r="I103" s="92"/>
      <c r="J103" s="92"/>
      <c r="K103" s="92"/>
      <c r="L103" s="92"/>
      <c r="M103" s="92"/>
      <c r="N103" s="35"/>
      <c r="O103" s="35"/>
      <c r="P103" s="35"/>
      <c r="Q103" s="35"/>
      <c r="R103" s="35"/>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2:52" ht="22.5" customHeight="1" x14ac:dyDescent="0.55000000000000004">
      <c r="B104" s="34" t="s">
        <v>75</v>
      </c>
      <c r="C104" s="87"/>
      <c r="D104" s="87"/>
      <c r="E104" s="87"/>
      <c r="F104" s="87"/>
      <c r="G104" s="88"/>
      <c r="H104" s="88"/>
      <c r="I104" s="87"/>
      <c r="J104" s="87"/>
      <c r="K104" s="35"/>
      <c r="L104" s="35"/>
      <c r="M104" s="35"/>
      <c r="N104" s="35"/>
      <c r="O104" s="35"/>
      <c r="P104" s="35"/>
      <c r="Q104" s="35"/>
      <c r="R104" s="35"/>
      <c r="S104" s="35"/>
      <c r="T104" s="35"/>
      <c r="U104" s="35"/>
    </row>
    <row r="105" spans="2:52" ht="63.35" customHeight="1" x14ac:dyDescent="0.55000000000000004">
      <c r="B105" s="71" t="s">
        <v>76</v>
      </c>
      <c r="C105" s="89"/>
      <c r="D105" s="89"/>
      <c r="E105" s="89"/>
      <c r="F105" s="89"/>
      <c r="G105" s="89"/>
      <c r="H105" s="89"/>
      <c r="I105" s="89"/>
      <c r="J105" s="89"/>
      <c r="K105" s="72"/>
      <c r="L105" s="73"/>
      <c r="M105" s="73"/>
      <c r="N105" s="35"/>
      <c r="O105" s="35"/>
      <c r="P105" s="35"/>
      <c r="Q105" s="35"/>
      <c r="R105" s="35"/>
      <c r="S105" s="73"/>
      <c r="T105" s="73"/>
      <c r="U105" s="73"/>
    </row>
    <row r="106" spans="2:52" ht="15.75" customHeight="1" x14ac:dyDescent="0.5">
      <c r="N106" s="35"/>
      <c r="O106" s="35"/>
      <c r="P106" s="35"/>
      <c r="Q106" s="35"/>
      <c r="R106" s="35"/>
    </row>
    <row r="107" spans="2:52" ht="21" customHeight="1" x14ac:dyDescent="0.5">
      <c r="B107" s="90" t="s">
        <v>66</v>
      </c>
      <c r="C107" s="91"/>
      <c r="D107" s="91"/>
      <c r="E107" s="91"/>
      <c r="F107" s="91"/>
      <c r="G107" s="91"/>
      <c r="H107" s="91"/>
      <c r="I107" s="91"/>
      <c r="J107" s="91"/>
      <c r="N107" s="35"/>
      <c r="O107" s="35"/>
      <c r="P107" s="35"/>
      <c r="Q107" s="35"/>
      <c r="R107" s="35"/>
    </row>
    <row r="108" spans="2:52" ht="19.850000000000001" customHeight="1" x14ac:dyDescent="0.5">
      <c r="B108" s="92"/>
      <c r="C108" s="92"/>
      <c r="D108" s="92"/>
      <c r="E108" s="92"/>
      <c r="G108"/>
      <c r="H108" s="92"/>
      <c r="I108" s="92"/>
      <c r="J108" s="92"/>
      <c r="K108" s="92"/>
      <c r="L108" s="92"/>
      <c r="M108" s="92"/>
      <c r="N108" s="35"/>
      <c r="O108" s="35"/>
      <c r="P108" s="35"/>
      <c r="Q108" s="35"/>
      <c r="R108" s="35"/>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2:52" ht="19.850000000000001" customHeight="1" thickBot="1" x14ac:dyDescent="0.55000000000000004">
      <c r="B109" s="92" t="s">
        <v>73</v>
      </c>
      <c r="C109" s="106">
        <f>+((1+0.05)-0.9)/(1.15-0.9)</f>
        <v>0.60000000000000031</v>
      </c>
      <c r="D109" s="95"/>
      <c r="G109" s="96" t="s">
        <v>67</v>
      </c>
      <c r="H109" s="95"/>
      <c r="I109" s="96" t="s">
        <v>68</v>
      </c>
      <c r="J109" s="95"/>
      <c r="K109" s="95"/>
      <c r="L109" s="95"/>
      <c r="M109" s="92"/>
      <c r="N109" s="35"/>
      <c r="O109" s="35"/>
      <c r="P109" s="35"/>
      <c r="Q109" s="35"/>
      <c r="R109" s="35"/>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2:52" ht="26" customHeight="1" thickBot="1" x14ac:dyDescent="0.55000000000000004">
      <c r="B110" s="107" t="s">
        <v>74</v>
      </c>
      <c r="C110" s="109">
        <f>1-C109</f>
        <v>0.39999999999999969</v>
      </c>
      <c r="D110" s="95"/>
      <c r="G110" s="97">
        <f>+F112*1.15</f>
        <v>122.99249999999996</v>
      </c>
      <c r="H110" s="95"/>
      <c r="I110" s="97">
        <v>0</v>
      </c>
      <c r="J110" s="95"/>
      <c r="K110" s="95"/>
      <c r="L110" s="95"/>
      <c r="M110" s="92"/>
      <c r="N110" s="35"/>
      <c r="O110" s="35"/>
      <c r="P110" s="35"/>
      <c r="Q110" s="35"/>
      <c r="R110" s="35"/>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2:52" ht="26" customHeight="1" thickBot="1" x14ac:dyDescent="0.55000000000000004">
      <c r="B111" s="92"/>
      <c r="C111" s="95"/>
      <c r="D111" s="96" t="s">
        <v>55</v>
      </c>
      <c r="F111" s="96" t="s">
        <v>55</v>
      </c>
      <c r="G111" s="95"/>
      <c r="H111" s="95"/>
      <c r="I111" s="95"/>
      <c r="J111" s="95"/>
      <c r="K111" s="95"/>
      <c r="L111" s="95"/>
      <c r="M111" s="92"/>
      <c r="N111" s="35"/>
      <c r="O111" s="35"/>
      <c r="P111" s="35"/>
      <c r="Q111" s="35"/>
      <c r="R111" s="35"/>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2:52" ht="26" customHeight="1" thickBot="1" x14ac:dyDescent="0.55000000000000004">
      <c r="B112" s="92"/>
      <c r="C112" s="95"/>
      <c r="D112" s="97">
        <f>+C114*1.15</f>
        <v>114.99999999999999</v>
      </c>
      <c r="F112" s="97">
        <f>+D112*(1-0.07)</f>
        <v>106.94999999999997</v>
      </c>
      <c r="G112" s="95"/>
      <c r="H112" s="95"/>
      <c r="I112" s="95" t="s">
        <v>77</v>
      </c>
      <c r="J112" s="98">
        <f>+(I110*C109+I114*C110)/1.05</f>
        <v>5.2361904761904787</v>
      </c>
      <c r="K112" s="95"/>
      <c r="L112" s="95"/>
      <c r="M112" s="92"/>
      <c r="N112" s="35"/>
      <c r="O112" s="35"/>
      <c r="P112" s="35"/>
      <c r="Q112" s="35"/>
      <c r="R112" s="35"/>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ht="26" customHeight="1" thickBot="1" x14ac:dyDescent="0.55000000000000004">
      <c r="B113" s="92"/>
      <c r="C113" s="96" t="s">
        <v>56</v>
      </c>
      <c r="D113" s="95"/>
      <c r="F113" s="95"/>
      <c r="G113" s="95"/>
      <c r="H113" s="95"/>
      <c r="I113" s="95"/>
      <c r="J113" s="95"/>
      <c r="M113" s="92"/>
      <c r="N113" s="35"/>
      <c r="O113" s="35"/>
      <c r="P113" s="35"/>
      <c r="Q113" s="35"/>
      <c r="R113" s="35"/>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ht="26" customHeight="1" thickBot="1" x14ac:dyDescent="0.55000000000000004">
      <c r="B114" s="92"/>
      <c r="C114" s="97">
        <f>+[1]INPUT!C114</f>
        <v>100</v>
      </c>
      <c r="D114" s="95"/>
      <c r="F114" s="95"/>
      <c r="G114" s="97">
        <f>+F112*0.9</f>
        <v>96.254999999999981</v>
      </c>
      <c r="H114" s="95"/>
      <c r="I114" s="97">
        <f>110-G114</f>
        <v>13.745000000000019</v>
      </c>
      <c r="J114" s="95"/>
      <c r="N114" s="35"/>
      <c r="O114" s="35"/>
      <c r="P114" s="35"/>
      <c r="Q114" s="35"/>
      <c r="R114" s="35"/>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ht="26" customHeight="1" thickBot="1" x14ac:dyDescent="0.55000000000000004">
      <c r="B115" s="92"/>
      <c r="C115" s="95"/>
      <c r="D115" s="95"/>
      <c r="F115" s="95"/>
      <c r="G115" s="95"/>
      <c r="H115" s="95"/>
      <c r="I115" s="95"/>
      <c r="J115" s="95"/>
      <c r="K115" s="95"/>
      <c r="N115" s="35"/>
      <c r="O115" s="35"/>
      <c r="P115" s="35"/>
      <c r="Q115" s="35"/>
      <c r="R115" s="3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26" customHeight="1" thickBot="1" x14ac:dyDescent="0.55000000000000004">
      <c r="B116" s="92"/>
      <c r="C116" s="95"/>
      <c r="D116" s="97">
        <f>+C114*0.9</f>
        <v>90</v>
      </c>
      <c r="F116" s="97">
        <f>+D116*(1-0.07)</f>
        <v>83.699999999999989</v>
      </c>
      <c r="G116" s="95"/>
      <c r="H116" s="95"/>
      <c r="I116" s="95" t="s">
        <v>78</v>
      </c>
      <c r="J116" s="105">
        <f>+((I114*C109)+(C110*I118))/1.05</f>
        <v>21.061904761904767</v>
      </c>
      <c r="K116" s="95"/>
      <c r="L116" s="95"/>
      <c r="M116" s="92"/>
      <c r="N116" s="35"/>
      <c r="O116" s="35"/>
      <c r="P116" s="35"/>
      <c r="Q116" s="35"/>
      <c r="R116" s="35"/>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26" customHeight="1" thickBot="1" x14ac:dyDescent="0.55000000000000004">
      <c r="B117" s="92"/>
      <c r="C117" s="95"/>
      <c r="D117" s="95"/>
      <c r="G117" s="95"/>
      <c r="H117" s="95"/>
      <c r="I117" s="95"/>
      <c r="J117" s="95"/>
      <c r="K117" s="95"/>
      <c r="L117" s="95"/>
      <c r="M117" s="92"/>
      <c r="N117" s="35"/>
      <c r="O117" s="35"/>
      <c r="P117" s="35"/>
      <c r="Q117" s="35"/>
      <c r="R117" s="35"/>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26" customHeight="1" thickBot="1" x14ac:dyDescent="0.55000000000000004">
      <c r="B118" s="95"/>
      <c r="C118" s="96" t="s">
        <v>70</v>
      </c>
      <c r="D118" s="95"/>
      <c r="G118" s="97">
        <f>+F116*0.9</f>
        <v>75.33</v>
      </c>
      <c r="H118" s="95"/>
      <c r="I118" s="97">
        <f>110-G118</f>
        <v>34.67</v>
      </c>
      <c r="J118" s="95"/>
      <c r="K118" s="95"/>
      <c r="L118" s="95"/>
      <c r="M118" s="92"/>
      <c r="N118" s="35"/>
      <c r="O118" s="35"/>
      <c r="P118" s="35"/>
      <c r="Q118" s="35"/>
      <c r="R118" s="35"/>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29.7" customHeight="1" thickBot="1" x14ac:dyDescent="0.55000000000000004">
      <c r="B119" s="95" t="s">
        <v>79</v>
      </c>
      <c r="C119" s="105">
        <f>+(J112*C109+J116*C110)/1.05</f>
        <v>11.015691609977324</v>
      </c>
      <c r="D119" s="95"/>
      <c r="E119" s="95"/>
      <c r="G119" s="110"/>
      <c r="H119" s="95"/>
      <c r="I119" s="95"/>
      <c r="J119" s="95"/>
      <c r="K119" s="95"/>
      <c r="L119" s="95"/>
      <c r="M119" s="92"/>
      <c r="N119" s="35"/>
      <c r="O119" s="35"/>
      <c r="P119" s="35"/>
      <c r="Q119" s="35"/>
      <c r="R119" s="35"/>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19.850000000000001" customHeight="1" x14ac:dyDescent="0.5">
      <c r="B120" s="92"/>
      <c r="C120" s="92"/>
      <c r="D120" s="92"/>
      <c r="E120" s="92"/>
      <c r="F120" s="92"/>
      <c r="G120" s="92"/>
      <c r="H120" s="92"/>
      <c r="I120" s="92"/>
      <c r="J120" s="92"/>
      <c r="K120" s="92"/>
      <c r="L120" s="92"/>
      <c r="M120" s="92"/>
      <c r="N120" s="35"/>
      <c r="O120" s="35"/>
      <c r="P120" s="35"/>
      <c r="Q120" s="35"/>
      <c r="R120" s="35"/>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34.700000000000003" customHeight="1" x14ac:dyDescent="0.5">
      <c r="B121" s="34" t="s">
        <v>80</v>
      </c>
      <c r="G121"/>
      <c r="H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32.5" customHeight="1" x14ac:dyDescent="0.55000000000000004">
      <c r="B122" s="35" t="s">
        <v>81</v>
      </c>
      <c r="C122" s="111"/>
      <c r="D122" s="111"/>
      <c r="E122" s="111"/>
      <c r="F122" s="111"/>
      <c r="G122" s="112"/>
      <c r="H122" s="112"/>
      <c r="I122" s="11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12" customHeight="1" x14ac:dyDescent="0.5">
      <c r="G123"/>
      <c r="H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19.7" customHeight="1" x14ac:dyDescent="0.5">
      <c r="B124" s="113" t="s">
        <v>82</v>
      </c>
      <c r="C124" s="113"/>
      <c r="D124" s="114"/>
      <c r="G124"/>
      <c r="H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s="110" customFormat="1" ht="24.7" customHeight="1" x14ac:dyDescent="0.5">
      <c r="A125" s="115"/>
      <c r="B125" s="116" t="s">
        <v>83</v>
      </c>
      <c r="C125" s="117"/>
      <c r="D125" s="118">
        <f>+[1]INPUT!D125</f>
        <v>0.3</v>
      </c>
    </row>
    <row r="126" spans="1:52" s="110" customFormat="1" ht="24.7" customHeight="1" x14ac:dyDescent="0.5">
      <c r="A126" s="115"/>
      <c r="B126" s="116" t="s">
        <v>84</v>
      </c>
      <c r="C126" s="117"/>
      <c r="D126" s="118">
        <f>+[1]INPUT!D126</f>
        <v>1</v>
      </c>
    </row>
    <row r="127" spans="1:52" s="110" customFormat="1" ht="24.7" customHeight="1" x14ac:dyDescent="0.5">
      <c r="A127" s="115"/>
      <c r="B127" s="116" t="s">
        <v>85</v>
      </c>
      <c r="C127" s="117"/>
      <c r="D127" s="119">
        <f>+[1]INPUT!D127</f>
        <v>0.01</v>
      </c>
    </row>
    <row r="128" spans="1:52" s="110" customFormat="1" ht="24.7" customHeight="1" x14ac:dyDescent="0.5">
      <c r="A128" s="115"/>
      <c r="B128" s="116" t="s">
        <v>86</v>
      </c>
      <c r="C128" s="117"/>
      <c r="D128" s="118">
        <f>+[1]INPUT!D128</f>
        <v>115</v>
      </c>
    </row>
    <row r="129" spans="1:52" s="110" customFormat="1" ht="24.7" customHeight="1" x14ac:dyDescent="0.5">
      <c r="A129" s="115"/>
      <c r="B129" s="116" t="s">
        <v>87</v>
      </c>
      <c r="C129" s="117"/>
      <c r="D129" s="118">
        <f>+[1]INPUT!D129</f>
        <v>95</v>
      </c>
    </row>
    <row r="130" spans="1:52" s="110" customFormat="1" ht="24.7" customHeight="1" x14ac:dyDescent="0.5">
      <c r="A130" s="115"/>
      <c r="B130" s="116" t="s">
        <v>88</v>
      </c>
      <c r="C130" s="117"/>
      <c r="D130" s="118">
        <f>+[1]INPUT!D130</f>
        <v>0</v>
      </c>
    </row>
    <row r="131" spans="1:52" ht="32.5" customHeight="1" x14ac:dyDescent="0.5">
      <c r="G131"/>
      <c r="H131"/>
      <c r="K131"/>
      <c r="L131" s="120"/>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19.7" customHeight="1" x14ac:dyDescent="0.5">
      <c r="B132" s="121" t="s">
        <v>89</v>
      </c>
      <c r="C132" s="121"/>
      <c r="F132" s="122" t="s">
        <v>90</v>
      </c>
      <c r="G132" s="113" t="s">
        <v>91</v>
      </c>
      <c r="H132" s="122" t="s">
        <v>92</v>
      </c>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32.5" customHeight="1" x14ac:dyDescent="0.5">
      <c r="B133" s="123" t="s">
        <v>93</v>
      </c>
      <c r="C133" s="124">
        <f>(F133+G133)/H133</f>
        <v>-0.45351745587569742</v>
      </c>
      <c r="F133">
        <f>LN(D129/D128)</f>
        <v>-0.19105523676270922</v>
      </c>
      <c r="G133">
        <f>(D127-D130+(D125^2)/2*D126)</f>
        <v>5.5E-2</v>
      </c>
      <c r="H133">
        <f>(D125*SQRT(D126))</f>
        <v>0.3</v>
      </c>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32.5" customHeight="1" x14ac:dyDescent="0.5">
      <c r="B134" s="123" t="s">
        <v>94</v>
      </c>
      <c r="C134" s="124">
        <f>+C133-(D125*SQRT(D126))</f>
        <v>-0.75351745587569741</v>
      </c>
      <c r="G134"/>
      <c r="H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32.5" customHeight="1" x14ac:dyDescent="0.5">
      <c r="B135" s="123" t="s">
        <v>95</v>
      </c>
      <c r="C135" s="124">
        <f>NORMSDIST(C133)</f>
        <v>0.32508808832715741</v>
      </c>
      <c r="G135"/>
      <c r="H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32.5" customHeight="1" x14ac:dyDescent="0.5">
      <c r="B136" s="123" t="s">
        <v>96</v>
      </c>
      <c r="C136" s="124">
        <f>NORMSDIST(C134)</f>
        <v>0.22556951288194427</v>
      </c>
      <c r="G136"/>
      <c r="H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32.5" customHeight="1" thickBot="1" x14ac:dyDescent="0.55000000000000004">
      <c r="B137" s="125"/>
      <c r="C137" s="125"/>
      <c r="D137" s="125"/>
      <c r="G137"/>
      <c r="H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32.5" customHeight="1" thickBot="1" x14ac:dyDescent="0.55000000000000004">
      <c r="B138" s="126" t="s">
        <v>97</v>
      </c>
      <c r="C138" s="127">
        <f>(D129*EXP(-D130*D126))*C135-(D128*EXP(-D127*D126))*C136</f>
        <v>5.2009866374002343</v>
      </c>
      <c r="G138" s="128" t="s">
        <v>98</v>
      </c>
      <c r="H138" s="127">
        <f>D128*EXP(-D127*D126)*(1-C136)-D129*EXP(-D130*D126)*(1-C135)</f>
        <v>24.056717518554564</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32.5" customHeight="1" thickBot="1" x14ac:dyDescent="0.55000000000000004">
      <c r="B139" s="128" t="s">
        <v>99</v>
      </c>
      <c r="C139" s="127">
        <f>+C138+D128</f>
        <v>120.20098663740023</v>
      </c>
      <c r="G139" s="128" t="s">
        <v>99</v>
      </c>
      <c r="H139" s="127">
        <f>+D128-H138</f>
        <v>90.943282481445436</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32.5" customHeight="1" thickBot="1" x14ac:dyDescent="0.55000000000000004">
      <c r="B140" s="128" t="s">
        <v>100</v>
      </c>
      <c r="C140" s="129">
        <f>+C139/D129-1</f>
        <v>0.26527354355158139</v>
      </c>
      <c r="G140" s="128" t="s">
        <v>100</v>
      </c>
      <c r="H140" s="129">
        <f>+H139/D129-1</f>
        <v>-4.2702289668995363E-2</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sheetData>
  <mergeCells count="17">
    <mergeCell ref="B83:K83"/>
    <mergeCell ref="B89:K89"/>
    <mergeCell ref="B91:J91"/>
    <mergeCell ref="B105:K105"/>
    <mergeCell ref="B107:J107"/>
    <mergeCell ref="B52:D52"/>
    <mergeCell ref="B54:K54"/>
    <mergeCell ref="B59:K59"/>
    <mergeCell ref="B64:L64"/>
    <mergeCell ref="B66:K66"/>
    <mergeCell ref="B68:J68"/>
    <mergeCell ref="C2:I2"/>
    <mergeCell ref="B4:L4"/>
    <mergeCell ref="C6:E6"/>
    <mergeCell ref="F6:H6"/>
    <mergeCell ref="B40:L40"/>
    <mergeCell ref="B50:K5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dcterms:created xsi:type="dcterms:W3CDTF">2020-07-01T12:46:47Z</dcterms:created>
  <dcterms:modified xsi:type="dcterms:W3CDTF">2020-07-01T13:08:15Z</dcterms:modified>
</cp:coreProperties>
</file>