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oussch\Dropbox\File requests\INVESTMENTS FINANCE CREDIT\Chapters\ACTIVE LEARNING\PART IV - COMPANY SPECIFIC ANALYSIS\FINAL PROJECT\"/>
    </mc:Choice>
  </mc:AlternateContent>
  <xr:revisionPtr revIDLastSave="0" documentId="13_ncr:1_{BB99DC0A-31AB-4E94-9979-2225AC1CBB63}" xr6:coauthVersionLast="47" xr6:coauthVersionMax="47" xr10:uidLastSave="{00000000-0000-0000-0000-000000000000}"/>
  <bookViews>
    <workbookView xWindow="-110" yWindow="-110" windowWidth="19420" windowHeight="11500" xr2:uid="{10EB54EF-2778-4421-8C2A-DB2B6341B13D}"/>
  </bookViews>
  <sheets>
    <sheet name="DCF Method" sheetId="1" r:id="rId1"/>
    <sheet name="Trading EBITDA Comparables" sheetId="3" r:id="rId2"/>
    <sheet name="Intrinsic Metho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14" i="3"/>
  <c r="C12" i="3"/>
  <c r="E25" i="1"/>
  <c r="D25" i="1"/>
  <c r="C25" i="1"/>
  <c r="C9" i="3"/>
  <c r="E55" i="1"/>
  <c r="D23" i="1"/>
  <c r="E23" i="1"/>
  <c r="C23" i="1"/>
  <c r="D22" i="1"/>
  <c r="E22" i="1"/>
  <c r="C22" i="1"/>
  <c r="G26" i="1"/>
  <c r="H26" i="1" s="1"/>
  <c r="I26" i="1" s="1"/>
  <c r="J26" i="1" s="1"/>
  <c r="K26" i="1" s="1"/>
  <c r="D8" i="1"/>
  <c r="E8" i="1"/>
  <c r="C8" i="1"/>
  <c r="H18" i="1"/>
  <c r="I18" i="1" s="1"/>
  <c r="J18" i="1" s="1"/>
  <c r="K18" i="1" s="1"/>
  <c r="L18" i="1" s="1"/>
  <c r="G35" i="1" s="1"/>
  <c r="C50" i="1"/>
  <c r="G55" i="1" s="1"/>
  <c r="E56" i="1"/>
  <c r="L30" i="1"/>
  <c r="E21" i="1"/>
  <c r="D21" i="1"/>
  <c r="D20" i="1"/>
  <c r="D19" i="1"/>
  <c r="E19" i="1"/>
  <c r="C20" i="1"/>
  <c r="G50" i="1"/>
  <c r="G56" i="1" s="1"/>
  <c r="K30" i="1"/>
  <c r="J30" i="1"/>
  <c r="I30" i="1"/>
  <c r="H30" i="1"/>
  <c r="G30" i="1"/>
  <c r="C21" i="1"/>
  <c r="E20" i="1"/>
  <c r="E18" i="1"/>
  <c r="D18" i="1"/>
  <c r="G6" i="1"/>
  <c r="C13" i="3" l="1"/>
  <c r="C16" i="3" s="1"/>
  <c r="C18" i="3" s="1"/>
  <c r="C7" i="2"/>
  <c r="C9" i="2" s="1"/>
  <c r="G20" i="1"/>
  <c r="H20" i="1" s="1"/>
  <c r="I20" i="1" s="1"/>
  <c r="J20" i="1" s="1"/>
  <c r="K20" i="1" s="1"/>
  <c r="L20" i="1" s="1"/>
  <c r="E57" i="1"/>
  <c r="F56" i="1" s="1"/>
  <c r="L26" i="1"/>
  <c r="K37" i="1"/>
  <c r="G34" i="1"/>
  <c r="G22" i="1"/>
  <c r="G13" i="1" s="1"/>
  <c r="G21" i="1"/>
  <c r="H21" i="1" s="1"/>
  <c r="D10" i="1"/>
  <c r="E10" i="1"/>
  <c r="C19" i="1"/>
  <c r="G19" i="1" s="1"/>
  <c r="G7" i="1" s="1"/>
  <c r="G8" i="1" s="1"/>
  <c r="G23" i="1"/>
  <c r="G14" i="1" s="1"/>
  <c r="C10" i="1"/>
  <c r="H55" i="1"/>
  <c r="H6" i="1"/>
  <c r="G9" i="1" l="1"/>
  <c r="G10" i="1" s="1"/>
  <c r="F55" i="1"/>
  <c r="F57" i="1" s="1"/>
  <c r="H56" i="1"/>
  <c r="I56" i="1" s="1"/>
  <c r="H22" i="1"/>
  <c r="H13" i="1" s="1"/>
  <c r="G12" i="1"/>
  <c r="H23" i="1"/>
  <c r="I23" i="1" s="1"/>
  <c r="H19" i="1"/>
  <c r="I19" i="1" s="1"/>
  <c r="H9" i="1"/>
  <c r="I6" i="1"/>
  <c r="I21" i="1"/>
  <c r="H12" i="1"/>
  <c r="H14" i="1" l="1"/>
  <c r="I14" i="1"/>
  <c r="G25" i="1"/>
  <c r="I55" i="1"/>
  <c r="I57" i="1"/>
  <c r="G11" i="1"/>
  <c r="I22" i="1"/>
  <c r="I13" i="1" s="1"/>
  <c r="H7" i="1"/>
  <c r="I9" i="1"/>
  <c r="J6" i="1"/>
  <c r="I7" i="1"/>
  <c r="I8" i="1" s="1"/>
  <c r="J19" i="1"/>
  <c r="J23" i="1"/>
  <c r="J21" i="1"/>
  <c r="I12" i="1"/>
  <c r="J14" i="1" l="1"/>
  <c r="G15" i="1"/>
  <c r="G31" i="1" s="1"/>
  <c r="G39" i="1" s="1"/>
  <c r="H10" i="1"/>
  <c r="H8" i="1"/>
  <c r="I10" i="1"/>
  <c r="J22" i="1"/>
  <c r="J13" i="1" s="1"/>
  <c r="K23" i="1"/>
  <c r="L23" i="1" s="1"/>
  <c r="J7" i="1"/>
  <c r="J8" i="1" s="1"/>
  <c r="K19" i="1"/>
  <c r="L19" i="1" s="1"/>
  <c r="K6" i="1"/>
  <c r="J9" i="1"/>
  <c r="J12" i="1"/>
  <c r="K21" i="1"/>
  <c r="L21" i="1" s="1"/>
  <c r="K14" i="1" l="1"/>
  <c r="I25" i="1"/>
  <c r="H25" i="1"/>
  <c r="H11" i="1"/>
  <c r="H15" i="1" s="1"/>
  <c r="I11" i="1"/>
  <c r="L6" i="1"/>
  <c r="K22" i="1"/>
  <c r="K13" i="1" s="1"/>
  <c r="J10" i="1"/>
  <c r="K12" i="1"/>
  <c r="K9" i="1"/>
  <c r="K7" i="1"/>
  <c r="K8" i="1" s="1"/>
  <c r="L14" i="1" l="1"/>
  <c r="I15" i="1"/>
  <c r="I31" i="1" s="1"/>
  <c r="I39" i="1" s="1"/>
  <c r="J25" i="1"/>
  <c r="H31" i="1"/>
  <c r="H39" i="1" s="1"/>
  <c r="J11" i="1"/>
  <c r="J15" i="1" s="1"/>
  <c r="L9" i="1"/>
  <c r="L7" i="1"/>
  <c r="L12" i="1"/>
  <c r="L22" i="1"/>
  <c r="L13" i="1" s="1"/>
  <c r="K10" i="1"/>
  <c r="J31" i="1" l="1"/>
  <c r="J39" i="1" s="1"/>
  <c r="K25" i="1"/>
  <c r="K34" i="1" s="1"/>
  <c r="K11" i="1"/>
  <c r="K15" i="1" s="1"/>
  <c r="L10" i="1"/>
  <c r="L8" i="1"/>
  <c r="L25" i="1" l="1"/>
  <c r="K31" i="1"/>
  <c r="L11" i="1"/>
  <c r="L15" i="1" s="1"/>
  <c r="L31" i="1" l="1"/>
  <c r="K35" i="1"/>
  <c r="K36" i="1" s="1"/>
  <c r="K38" i="1" s="1"/>
  <c r="K39" i="1" s="1"/>
  <c r="G41" i="1" s="1"/>
  <c r="G43" i="1" s="1"/>
</calcChain>
</file>

<file path=xl/sharedStrings.xml><?xml version="1.0" encoding="utf-8"?>
<sst xmlns="http://schemas.openxmlformats.org/spreadsheetml/2006/main" count="97" uniqueCount="89">
  <si>
    <t>Discound Cash Flow Methodology</t>
  </si>
  <si>
    <t>EXIT</t>
  </si>
  <si>
    <t>Revenues</t>
  </si>
  <si>
    <t>Cost of Revenue</t>
  </si>
  <si>
    <t>Operating Expenses</t>
  </si>
  <si>
    <t>EBIT</t>
  </si>
  <si>
    <t>EBITDA</t>
  </si>
  <si>
    <t>Debt</t>
  </si>
  <si>
    <t>Discount Cash Flow</t>
  </si>
  <si>
    <t>Less Working Capital</t>
  </si>
  <si>
    <t>Terminal Value</t>
  </si>
  <si>
    <t xml:space="preserve"> EBITDA Multiple Method</t>
  </si>
  <si>
    <t>EBITDA x Multiple</t>
  </si>
  <si>
    <t xml:space="preserve"> Perpetuity Method</t>
  </si>
  <si>
    <t>Less Debt</t>
  </si>
  <si>
    <t>Debt Int = Inter/Debt</t>
  </si>
  <si>
    <t>Beta=</t>
  </si>
  <si>
    <t>Interest</t>
  </si>
  <si>
    <t>(D1+P1)(1+CAPM)</t>
  </si>
  <si>
    <t>Target Price</t>
  </si>
  <si>
    <t>Dividend</t>
  </si>
  <si>
    <t>CAPM</t>
  </si>
  <si>
    <t>HYATT HOTELS CORPORATION</t>
  </si>
  <si>
    <t xml:space="preserve">  Average</t>
  </si>
  <si>
    <t>Equity Value</t>
  </si>
  <si>
    <t>Shares Outs</t>
  </si>
  <si>
    <t>WACC =</t>
  </si>
  <si>
    <t xml:space="preserve"> (10 Yr Treasury)</t>
  </si>
  <si>
    <t>Risk Free Rate (10-Treasury) =</t>
  </si>
  <si>
    <t>Market Premium =</t>
  </si>
  <si>
    <t>Weighted Average Cost of Capital (WACC)</t>
  </si>
  <si>
    <t>Capital</t>
  </si>
  <si>
    <t>Rate</t>
  </si>
  <si>
    <t>Cost of Equity - Capital Asset Pricing Model (CAPM)</t>
  </si>
  <si>
    <t>Cost of Debt</t>
  </si>
  <si>
    <t>Hilton Worldwide Holdings Inc.</t>
  </si>
  <si>
    <t>Marriott International</t>
  </si>
  <si>
    <t>Wyndham Worldwide</t>
  </si>
  <si>
    <t>Choice Hotels International</t>
  </si>
  <si>
    <t>million</t>
  </si>
  <si>
    <t>Amount</t>
  </si>
  <si>
    <t>EBITDA x</t>
  </si>
  <si>
    <t>HISTORICAL</t>
  </si>
  <si>
    <t>PROJECTED</t>
  </si>
  <si>
    <t>Total</t>
  </si>
  <si>
    <t>Total Debt</t>
  </si>
  <si>
    <t>($ millions)</t>
  </si>
  <si>
    <t>CAPM = Rf + Beta x Premium</t>
  </si>
  <si>
    <t>Equity Cash Flows + TV</t>
  </si>
  <si>
    <t>Next Yr's Cash Flow / WACC - growth rate =</t>
  </si>
  <si>
    <t>Average</t>
  </si>
  <si>
    <t>Equity TV</t>
  </si>
  <si>
    <t xml:space="preserve"> (5 year Avg)</t>
  </si>
  <si>
    <t>Comparable Companies</t>
  </si>
  <si>
    <t>Plus Depreciation</t>
  </si>
  <si>
    <t>Less Capital Expenditures</t>
  </si>
  <si>
    <t>Revenue Growth</t>
  </si>
  <si>
    <t>Gross Profit</t>
  </si>
  <si>
    <t>MV Equity</t>
  </si>
  <si>
    <t>Less Tax</t>
  </si>
  <si>
    <t>Free Cash Flow</t>
  </si>
  <si>
    <t>Operating , Cash Flow and Balance Sheet Assumptions</t>
  </si>
  <si>
    <t>NPV @ CAPM</t>
  </si>
  <si>
    <t>Tax Rate</t>
  </si>
  <si>
    <t>Oper. Expens as % Revenue</t>
  </si>
  <si>
    <t>Depreciation as % of Revenue</t>
  </si>
  <si>
    <t>Working Capital as % of Revenue</t>
  </si>
  <si>
    <t>Cost of Revenue as  % or Revenue</t>
  </si>
  <si>
    <t>Capital Expenditures as % of Revenue</t>
  </si>
  <si>
    <t>EBITDA (EBIT + Depreciation)</t>
  </si>
  <si>
    <t>Total Debt (reducing every year by %)</t>
  </si>
  <si>
    <t>WACC Calculations</t>
  </si>
  <si>
    <t>Current
 Stock</t>
  </si>
  <si>
    <t>Shares 
Outs</t>
  </si>
  <si>
    <t xml:space="preserve">  %  
Capital</t>
  </si>
  <si>
    <t>Rate
After Tax</t>
  </si>
  <si>
    <t>WACC
 Calc</t>
  </si>
  <si>
    <t>Intrinsic Valuation Methodology</t>
  </si>
  <si>
    <t>(Average Target Price of Anaysts)</t>
  </si>
  <si>
    <t>Stock Price</t>
  </si>
  <si>
    <t xml:space="preserve">Value per Share  </t>
  </si>
  <si>
    <t xml:space="preserve">Comparable Trading EBITDA Multiple </t>
  </si>
  <si>
    <t>Enteprise Value based on Comparables</t>
  </si>
  <si>
    <t>millions</t>
  </si>
  <si>
    <t>Plus Cash</t>
  </si>
  <si>
    <t xml:space="preserve">  Equity Value</t>
  </si>
  <si>
    <t xml:space="preserve"> Shares Outstading</t>
  </si>
  <si>
    <t>Value of Stock</t>
  </si>
  <si>
    <t>Value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</si>
</sst>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00"/>
    <numFmt numFmtId="165" formatCode="_(* #,##0_);_(* \(#,##0\);_(* &quot;-&quot;??_);_(@_)"/>
    <numFmt numFmtId="166" formatCode="0.0%"/>
    <numFmt numFmtId="167" formatCode="0.0\x"/>
    <numFmt numFmtId="169" formatCode="_(* #,##0.0_);_(* \(#,##0.0\);_(* &quot;-&quot;??_);_(@_)"/>
    <numFmt numFmtId="171" formatCode="0.00\x"/>
    <numFmt numFmtId="172" formatCode="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sz val="11"/>
      <color rgb="FF0066FF"/>
      <name val="Aptos Narrow"/>
      <family val="2"/>
      <scheme val="minor"/>
    </font>
    <font>
      <sz val="7"/>
      <color rgb="FF232A31"/>
      <name val="Arial"/>
      <family val="2"/>
    </font>
    <font>
      <b/>
      <u/>
      <sz val="11"/>
      <color theme="1"/>
      <name val="Aptos Narrow"/>
      <family val="2"/>
      <scheme val="minor"/>
    </font>
    <font>
      <sz val="11"/>
      <color rgb="FF3366FF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3366FF"/>
      <name val="Aptos Narrow"/>
      <family val="2"/>
      <scheme val="minor"/>
    </font>
    <font>
      <b/>
      <sz val="11"/>
      <color rgb="FF0066FF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164" fontId="5" fillId="0" borderId="0" xfId="0" applyNumberFormat="1" applyFont="1"/>
    <xf numFmtId="165" fontId="6" fillId="0" borderId="0" xfId="1" applyNumberFormat="1" applyFont="1"/>
    <xf numFmtId="165" fontId="0" fillId="0" borderId="0" xfId="1" applyNumberFormat="1" applyFont="1"/>
    <xf numFmtId="166" fontId="1" fillId="0" borderId="0" xfId="3" applyNumberFormat="1" applyFont="1"/>
    <xf numFmtId="3" fontId="7" fillId="0" borderId="0" xfId="0" applyNumberFormat="1" applyFont="1" applyAlignment="1">
      <alignment vertical="center"/>
    </xf>
    <xf numFmtId="165" fontId="0" fillId="0" borderId="0" xfId="0" applyNumberFormat="1"/>
    <xf numFmtId="10" fontId="0" fillId="0" borderId="0" xfId="0" applyNumberFormat="1"/>
    <xf numFmtId="0" fontId="3" fillId="0" borderId="2" xfId="0" applyFont="1" applyBorder="1"/>
    <xf numFmtId="0" fontId="3" fillId="0" borderId="0" xfId="0" applyFont="1"/>
    <xf numFmtId="0" fontId="8" fillId="0" borderId="0" xfId="0" applyFont="1"/>
    <xf numFmtId="0" fontId="0" fillId="0" borderId="0" xfId="0" quotePrefix="1"/>
    <xf numFmtId="43" fontId="0" fillId="0" borderId="0" xfId="1" applyFont="1"/>
    <xf numFmtId="44" fontId="3" fillId="3" borderId="3" xfId="2" applyFont="1" applyFill="1" applyBorder="1"/>
    <xf numFmtId="0" fontId="0" fillId="0" borderId="7" xfId="0" applyBorder="1"/>
    <xf numFmtId="0" fontId="0" fillId="0" borderId="0" xfId="0" applyBorder="1"/>
    <xf numFmtId="10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2" borderId="2" xfId="0" applyFont="1" applyFill="1" applyBorder="1"/>
    <xf numFmtId="0" fontId="0" fillId="0" borderId="0" xfId="0" applyAlignment="1">
      <alignment horizontal="right"/>
    </xf>
    <xf numFmtId="165" fontId="0" fillId="0" borderId="0" xfId="1" applyNumberFormat="1" applyFont="1" applyBorder="1"/>
    <xf numFmtId="0" fontId="3" fillId="0" borderId="0" xfId="0" applyFont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2" borderId="2" xfId="0" applyFill="1" applyBorder="1"/>
    <xf numFmtId="0" fontId="3" fillId="2" borderId="2" xfId="0" applyFont="1" applyFill="1" applyBorder="1" applyAlignment="1">
      <alignment horizontal="center"/>
    </xf>
    <xf numFmtId="166" fontId="0" fillId="0" borderId="0" xfId="3" applyNumberFormat="1" applyFont="1" applyBorder="1" applyAlignment="1">
      <alignment horizontal="center"/>
    </xf>
    <xf numFmtId="0" fontId="8" fillId="2" borderId="19" xfId="0" applyFont="1" applyFill="1" applyBorder="1"/>
    <xf numFmtId="0" fontId="0" fillId="0" borderId="7" xfId="0" applyFill="1" applyBorder="1"/>
    <xf numFmtId="0" fontId="8" fillId="0" borderId="7" xfId="0" applyFont="1" applyBorder="1"/>
    <xf numFmtId="0" fontId="3" fillId="2" borderId="19" xfId="0" applyFont="1" applyFill="1" applyBorder="1"/>
    <xf numFmtId="0" fontId="0" fillId="4" borderId="5" xfId="0" applyFont="1" applyFill="1" applyBorder="1"/>
    <xf numFmtId="0" fontId="0" fillId="4" borderId="6" xfId="0" applyFont="1" applyFill="1" applyBorder="1"/>
    <xf numFmtId="0" fontId="0" fillId="4" borderId="0" xfId="0" applyFill="1"/>
    <xf numFmtId="0" fontId="4" fillId="4" borderId="0" xfId="0" applyFont="1" applyFill="1"/>
    <xf numFmtId="0" fontId="2" fillId="4" borderId="0" xfId="0" applyFont="1" applyFill="1" applyAlignment="1">
      <alignment horizontal="centerContinuous"/>
    </xf>
    <xf numFmtId="0" fontId="2" fillId="4" borderId="17" xfId="0" applyFont="1" applyFill="1" applyBorder="1" applyAlignment="1">
      <alignment horizontal="center"/>
    </xf>
    <xf numFmtId="165" fontId="3" fillId="0" borderId="2" xfId="0" applyNumberFormat="1" applyFont="1" applyBorder="1"/>
    <xf numFmtId="10" fontId="3" fillId="5" borderId="18" xfId="3" applyNumberFormat="1" applyFont="1" applyFill="1" applyBorder="1"/>
    <xf numFmtId="165" fontId="0" fillId="0" borderId="0" xfId="0" applyNumberFormat="1" applyBorder="1"/>
    <xf numFmtId="167" fontId="3" fillId="0" borderId="0" xfId="0" applyNumberFormat="1" applyFont="1"/>
    <xf numFmtId="166" fontId="3" fillId="0" borderId="0" xfId="3" applyNumberFormat="1" applyFont="1"/>
    <xf numFmtId="171" fontId="11" fillId="0" borderId="0" xfId="0" applyNumberFormat="1" applyFont="1" applyBorder="1"/>
    <xf numFmtId="10" fontId="12" fillId="0" borderId="0" xfId="0" applyNumberFormat="1" applyFont="1" applyBorder="1"/>
    <xf numFmtId="0" fontId="0" fillId="0" borderId="1" xfId="0" applyFill="1" applyBorder="1"/>
    <xf numFmtId="0" fontId="8" fillId="2" borderId="13" xfId="0" applyFont="1" applyFill="1" applyBorder="1"/>
    <xf numFmtId="0" fontId="0" fillId="0" borderId="12" xfId="0" applyBorder="1"/>
    <xf numFmtId="0" fontId="0" fillId="0" borderId="12" xfId="0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23" xfId="0" applyFont="1" applyBorder="1"/>
    <xf numFmtId="0" fontId="0" fillId="2" borderId="24" xfId="0" applyFill="1" applyBorder="1"/>
    <xf numFmtId="0" fontId="0" fillId="0" borderId="25" xfId="0" applyBorder="1"/>
    <xf numFmtId="167" fontId="0" fillId="0" borderId="15" xfId="0" applyNumberFormat="1" applyBorder="1" applyAlignment="1">
      <alignment horizontal="center"/>
    </xf>
    <xf numFmtId="167" fontId="3" fillId="5" borderId="16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13" fillId="0" borderId="0" xfId="0" applyFont="1"/>
    <xf numFmtId="0" fontId="10" fillId="0" borderId="0" xfId="0" applyFont="1"/>
    <xf numFmtId="165" fontId="13" fillId="0" borderId="1" xfId="0" applyNumberFormat="1" applyFont="1" applyBorder="1"/>
    <xf numFmtId="10" fontId="0" fillId="0" borderId="0" xfId="0" applyNumberFormat="1" applyFill="1" applyBorder="1"/>
    <xf numFmtId="165" fontId="0" fillId="5" borderId="29" xfId="0" applyNumberFormat="1" applyFont="1" applyFill="1" applyBorder="1"/>
    <xf numFmtId="0" fontId="0" fillId="5" borderId="29" xfId="0" applyFont="1" applyFill="1" applyBorder="1"/>
    <xf numFmtId="165" fontId="1" fillId="5" borderId="29" xfId="1" applyNumberFormat="1" applyFont="1" applyFill="1" applyBorder="1"/>
    <xf numFmtId="165" fontId="0" fillId="5" borderId="30" xfId="0" applyNumberFormat="1" applyFont="1" applyFill="1" applyBorder="1"/>
    <xf numFmtId="165" fontId="3" fillId="5" borderId="31" xfId="0" applyNumberFormat="1" applyFont="1" applyFill="1" applyBorder="1"/>
    <xf numFmtId="6" fontId="3" fillId="0" borderId="0" xfId="0" applyNumberFormat="1" applyFont="1"/>
    <xf numFmtId="165" fontId="12" fillId="0" borderId="0" xfId="1" applyNumberFormat="1" applyFont="1"/>
    <xf numFmtId="44" fontId="11" fillId="0" borderId="0" xfId="2" applyFont="1"/>
    <xf numFmtId="10" fontId="0" fillId="0" borderId="0" xfId="3" applyNumberFormat="1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5" fillId="4" borderId="4" xfId="0" applyFont="1" applyFill="1" applyBorder="1"/>
    <xf numFmtId="166" fontId="11" fillId="0" borderId="17" xfId="0" applyNumberFormat="1" applyFont="1" applyBorder="1"/>
    <xf numFmtId="0" fontId="0" fillId="0" borderId="26" xfId="0" applyBorder="1" applyAlignment="1">
      <alignment horizontal="right"/>
    </xf>
    <xf numFmtId="0" fontId="10" fillId="6" borderId="0" xfId="0" applyFont="1" applyFill="1"/>
    <xf numFmtId="0" fontId="3" fillId="6" borderId="0" xfId="0" applyFont="1" applyFill="1"/>
    <xf numFmtId="165" fontId="3" fillId="6" borderId="0" xfId="0" applyNumberFormat="1" applyFont="1" applyFill="1" applyBorder="1"/>
    <xf numFmtId="165" fontId="11" fillId="6" borderId="0" xfId="1" applyNumberFormat="1" applyFont="1" applyFill="1" applyBorder="1"/>
    <xf numFmtId="10" fontId="11" fillId="6" borderId="0" xfId="0" applyNumberFormat="1" applyFont="1" applyFill="1"/>
    <xf numFmtId="165" fontId="3" fillId="6" borderId="0" xfId="1" applyNumberFormat="1" applyFont="1" applyFill="1"/>
    <xf numFmtId="0" fontId="13" fillId="6" borderId="0" xfId="0" applyFont="1" applyFill="1"/>
    <xf numFmtId="0" fontId="6" fillId="6" borderId="0" xfId="0" applyFont="1" applyFill="1"/>
    <xf numFmtId="0" fontId="0" fillId="6" borderId="0" xfId="0" applyFill="1"/>
    <xf numFmtId="0" fontId="0" fillId="6" borderId="0" xfId="0" applyFill="1" applyBorder="1"/>
    <xf numFmtId="10" fontId="1" fillId="6" borderId="0" xfId="3" applyNumberFormat="1" applyFont="1" applyFill="1"/>
    <xf numFmtId="166" fontId="9" fillId="6" borderId="0" xfId="0" applyNumberFormat="1" applyFont="1" applyFill="1"/>
    <xf numFmtId="166" fontId="13" fillId="6" borderId="0" xfId="0" applyNumberFormat="1" applyFont="1" applyFill="1"/>
    <xf numFmtId="166" fontId="13" fillId="6" borderId="0" xfId="0" applyNumberFormat="1" applyFont="1" applyFill="1" applyBorder="1"/>
    <xf numFmtId="166" fontId="1" fillId="6" borderId="0" xfId="3" applyNumberFormat="1" applyFont="1" applyFill="1"/>
    <xf numFmtId="10" fontId="0" fillId="6" borderId="0" xfId="0" applyNumberFormat="1" applyFill="1"/>
    <xf numFmtId="10" fontId="0" fillId="6" borderId="0" xfId="0" applyNumberFormat="1" applyFill="1" applyBorder="1"/>
    <xf numFmtId="0" fontId="2" fillId="4" borderId="27" xfId="0" applyFont="1" applyFill="1" applyBorder="1" applyAlignment="1">
      <alignment horizontal="center"/>
    </xf>
    <xf numFmtId="0" fontId="14" fillId="6" borderId="0" xfId="0" applyFont="1" applyFill="1" applyBorder="1"/>
    <xf numFmtId="0" fontId="6" fillId="6" borderId="0" xfId="0" applyFont="1" applyFill="1" applyBorder="1"/>
    <xf numFmtId="165" fontId="3" fillId="5" borderId="28" xfId="0" applyNumberFormat="1" applyFont="1" applyFill="1" applyBorder="1"/>
    <xf numFmtId="0" fontId="3" fillId="5" borderId="28" xfId="0" applyFont="1" applyFill="1" applyBorder="1" applyAlignment="1">
      <alignment horizontal="right"/>
    </xf>
    <xf numFmtId="169" fontId="3" fillId="0" borderId="0" xfId="1" applyNumberFormat="1" applyFont="1"/>
    <xf numFmtId="44" fontId="11" fillId="0" borderId="0" xfId="2" applyFont="1" applyBorder="1"/>
    <xf numFmtId="172" fontId="11" fillId="0" borderId="0" xfId="1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3" fillId="5" borderId="3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8" fontId="11" fillId="0" borderId="0" xfId="0" applyNumberFormat="1" applyFont="1"/>
    <xf numFmtId="0" fontId="0" fillId="0" borderId="0" xfId="0" applyAlignment="1">
      <alignment horizontal="left"/>
    </xf>
    <xf numFmtId="165" fontId="11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C139-A651-487F-91A8-283C8A012437}">
  <dimension ref="B1:M59"/>
  <sheetViews>
    <sheetView showGridLines="0" tabSelected="1" workbookViewId="0">
      <selection activeCell="G22" sqref="G22"/>
    </sheetView>
  </sheetViews>
  <sheetFormatPr defaultRowHeight="14.5" x14ac:dyDescent="0.35"/>
  <cols>
    <col min="1" max="1" width="3.453125" customWidth="1"/>
    <col min="2" max="2" width="30.90625" customWidth="1"/>
    <col min="3" max="5" width="12.7265625" customWidth="1"/>
    <col min="6" max="7" width="9.1796875" customWidth="1"/>
    <col min="8" max="8" width="11" customWidth="1"/>
    <col min="9" max="10" width="9.54296875" bestFit="1" customWidth="1"/>
    <col min="11" max="11" width="10.81640625" bestFit="1" customWidth="1"/>
    <col min="12" max="12" width="9.54296875" bestFit="1" customWidth="1"/>
    <col min="14" max="14" width="9.81640625" bestFit="1" customWidth="1"/>
    <col min="18" max="18" width="4.81640625" bestFit="1" customWidth="1"/>
  </cols>
  <sheetData>
    <row r="1" spans="2:13" ht="18" x14ac:dyDescent="0.4">
      <c r="B1" s="1" t="s">
        <v>22</v>
      </c>
    </row>
    <row r="2" spans="2:13" x14ac:dyDescent="0.35">
      <c r="B2" s="9" t="s">
        <v>0</v>
      </c>
    </row>
    <row r="4" spans="2:13" x14ac:dyDescent="0.35">
      <c r="B4" s="36"/>
      <c r="C4" s="37" t="s">
        <v>42</v>
      </c>
      <c r="D4" s="37"/>
      <c r="E4" s="37"/>
      <c r="F4" s="36"/>
      <c r="G4" s="37" t="s">
        <v>43</v>
      </c>
      <c r="H4" s="37"/>
      <c r="I4" s="37"/>
      <c r="J4" s="37"/>
      <c r="K4" s="38"/>
      <c r="L4" s="38"/>
    </row>
    <row r="5" spans="2:13" ht="15" thickBot="1" x14ac:dyDescent="0.4">
      <c r="B5" s="21" t="s">
        <v>46</v>
      </c>
      <c r="C5" s="25">
        <v>2022</v>
      </c>
      <c r="D5" s="25">
        <v>2023</v>
      </c>
      <c r="E5" s="25">
        <v>2024</v>
      </c>
      <c r="F5" s="27"/>
      <c r="G5" s="25">
        <v>2025</v>
      </c>
      <c r="H5" s="25">
        <v>2026</v>
      </c>
      <c r="I5" s="25">
        <v>2027</v>
      </c>
      <c r="J5" s="25">
        <v>2028</v>
      </c>
      <c r="K5" s="25">
        <v>2029</v>
      </c>
      <c r="L5" s="25">
        <v>2028</v>
      </c>
    </row>
    <row r="6" spans="2:13" ht="15" thickTop="1" x14ac:dyDescent="0.35">
      <c r="B6" s="59" t="s">
        <v>2</v>
      </c>
      <c r="C6" s="2">
        <v>6757</v>
      </c>
      <c r="D6" s="2">
        <v>6948</v>
      </c>
      <c r="E6" s="2">
        <v>7120</v>
      </c>
      <c r="F6" s="3"/>
      <c r="G6" s="3">
        <f>+E6*(1+G18)</f>
        <v>7547.2000000000007</v>
      </c>
      <c r="H6" s="3">
        <f>+G6*(1+H18)</f>
        <v>8000.0320000000011</v>
      </c>
      <c r="I6" s="3">
        <f>+H6*(1+I18)</f>
        <v>8480.0339200000017</v>
      </c>
      <c r="J6" s="3">
        <f>+I6*(1+J18)</f>
        <v>8988.835955200002</v>
      </c>
      <c r="K6" s="3">
        <f>+J6*(1+K18)</f>
        <v>9528.1661125120027</v>
      </c>
      <c r="L6" s="3">
        <f>K6*(1+L18)</f>
        <v>10099.856079262723</v>
      </c>
    </row>
    <row r="7" spans="2:13" x14ac:dyDescent="0.35">
      <c r="B7" s="59" t="s">
        <v>3</v>
      </c>
      <c r="C7" s="2">
        <v>-5361</v>
      </c>
      <c r="D7" s="2">
        <v>-5351</v>
      </c>
      <c r="E7" s="2">
        <v>-5424</v>
      </c>
      <c r="F7" s="3"/>
      <c r="G7" s="3">
        <f>-G19*G6</f>
        <v>-5849.9526419593667</v>
      </c>
      <c r="H7" s="3">
        <f>-H19*H6</f>
        <v>-6200.9498004769284</v>
      </c>
      <c r="I7" s="3">
        <f>-I19*I6</f>
        <v>-6573.006788505545</v>
      </c>
      <c r="J7" s="3">
        <f>-J19*J6</f>
        <v>-6967.3871958158779</v>
      </c>
      <c r="K7" s="3">
        <f>-K19*K6</f>
        <v>-7385.430427564831</v>
      </c>
      <c r="L7" s="3">
        <f>-L19*L6</f>
        <v>-7828.5562532187205</v>
      </c>
    </row>
    <row r="8" spans="2:13" x14ac:dyDescent="0.35">
      <c r="B8" s="59" t="s">
        <v>57</v>
      </c>
      <c r="C8" s="61">
        <f>+C6+C7</f>
        <v>1396</v>
      </c>
      <c r="D8" s="61">
        <f t="shared" ref="D8:L8" si="0">+D6+D7</f>
        <v>1597</v>
      </c>
      <c r="E8" s="61">
        <f t="shared" si="0"/>
        <v>1696</v>
      </c>
      <c r="F8" s="3"/>
      <c r="G8" s="61">
        <f t="shared" si="0"/>
        <v>1697.247358040634</v>
      </c>
      <c r="H8" s="61">
        <f t="shared" si="0"/>
        <v>1799.0821995230726</v>
      </c>
      <c r="I8" s="61">
        <f t="shared" si="0"/>
        <v>1907.0271314944566</v>
      </c>
      <c r="J8" s="61">
        <f t="shared" si="0"/>
        <v>2021.4487593841241</v>
      </c>
      <c r="K8" s="61">
        <f t="shared" si="0"/>
        <v>2142.7356849471716</v>
      </c>
      <c r="L8" s="61">
        <f t="shared" si="0"/>
        <v>2271.2998260440027</v>
      </c>
    </row>
    <row r="9" spans="2:13" x14ac:dyDescent="0.35">
      <c r="B9" s="59" t="s">
        <v>4</v>
      </c>
      <c r="C9" s="2">
        <v>-539</v>
      </c>
      <c r="D9" s="2">
        <v>-881</v>
      </c>
      <c r="E9" s="2">
        <v>-896</v>
      </c>
      <c r="F9" s="3"/>
      <c r="G9" s="3">
        <f>-G20*G6</f>
        <v>-836.25719108384226</v>
      </c>
      <c r="H9" s="3">
        <f>-H20*H6</f>
        <v>-886.43262254887281</v>
      </c>
      <c r="I9" s="3">
        <f>-I20*I6</f>
        <v>-939.61857990180522</v>
      </c>
      <c r="J9" s="3">
        <f>-J20*J6</f>
        <v>-995.99569469591358</v>
      </c>
      <c r="K9" s="3">
        <f>-K20*K6</f>
        <v>-1055.7554363776685</v>
      </c>
      <c r="L9" s="3">
        <f>-L20*L6</f>
        <v>-1119.1007625603286</v>
      </c>
      <c r="M9" s="5"/>
    </row>
    <row r="10" spans="2:13" ht="15" thickBot="1" x14ac:dyDescent="0.4">
      <c r="B10" s="60" t="s">
        <v>5</v>
      </c>
      <c r="C10" s="39">
        <f>+C6+C7+C9</f>
        <v>857</v>
      </c>
      <c r="D10" s="39">
        <f>+D6+D7+D9</f>
        <v>716</v>
      </c>
      <c r="E10" s="39">
        <f>+E6+E7+E9</f>
        <v>800</v>
      </c>
      <c r="F10" s="3"/>
      <c r="G10" s="39">
        <f>+G6+G7+G9</f>
        <v>860.99016695679177</v>
      </c>
      <c r="H10" s="39">
        <f>+H6+H7+H9</f>
        <v>912.64957697419982</v>
      </c>
      <c r="I10" s="39">
        <f>+I6+I7+I9</f>
        <v>967.40855159265141</v>
      </c>
      <c r="J10" s="39">
        <f>+J6+J7+J9</f>
        <v>1025.4530646882104</v>
      </c>
      <c r="K10" s="39">
        <f>+K6+K7+K9</f>
        <v>1086.9802485695031</v>
      </c>
      <c r="L10" s="39">
        <f>+L6+L7+L9</f>
        <v>1152.1990634836741</v>
      </c>
    </row>
    <row r="11" spans="2:13" ht="15" thickTop="1" x14ac:dyDescent="0.35">
      <c r="B11" s="59" t="s">
        <v>59</v>
      </c>
      <c r="C11" s="41"/>
      <c r="D11" s="41"/>
      <c r="E11" s="41"/>
      <c r="F11" s="77">
        <v>0.22</v>
      </c>
      <c r="G11" s="41">
        <f>-$F$11*G10</f>
        <v>-189.4178367304942</v>
      </c>
      <c r="H11" s="41">
        <f t="shared" ref="H11:L11" si="1">-$F$11*H10</f>
        <v>-200.78290693432396</v>
      </c>
      <c r="I11" s="41">
        <f t="shared" si="1"/>
        <v>-212.82988135038332</v>
      </c>
      <c r="J11" s="41">
        <f t="shared" si="1"/>
        <v>-225.59967423140628</v>
      </c>
      <c r="K11" s="41">
        <f t="shared" si="1"/>
        <v>-239.13565468529069</v>
      </c>
      <c r="L11" s="41">
        <f t="shared" si="1"/>
        <v>-253.48379396640829</v>
      </c>
    </row>
    <row r="12" spans="2:13" x14ac:dyDescent="0.35">
      <c r="B12" s="59" t="s">
        <v>54</v>
      </c>
      <c r="C12" s="2">
        <v>331</v>
      </c>
      <c r="D12" s="2">
        <v>416</v>
      </c>
      <c r="E12" s="2">
        <v>437</v>
      </c>
      <c r="F12" s="78" t="s">
        <v>63</v>
      </c>
      <c r="G12" s="6">
        <f>G21*G6</f>
        <v>428.26834410377279</v>
      </c>
      <c r="H12" s="6">
        <f>H21*H6</f>
        <v>453.96444474999919</v>
      </c>
      <c r="I12" s="6">
        <f>I21*I6</f>
        <v>481.20231143499916</v>
      </c>
      <c r="J12" s="6">
        <f>J21*J6</f>
        <v>510.07445012109912</v>
      </c>
      <c r="K12" s="6">
        <f>K21*K6</f>
        <v>540.67891712836513</v>
      </c>
      <c r="L12" s="6">
        <f>L21*L6</f>
        <v>573.11965215606699</v>
      </c>
      <c r="M12" s="5"/>
    </row>
    <row r="13" spans="2:13" x14ac:dyDescent="0.35">
      <c r="B13" s="59" t="s">
        <v>9</v>
      </c>
      <c r="C13" s="2">
        <v>-203</v>
      </c>
      <c r="D13" s="2">
        <v>-188</v>
      </c>
      <c r="E13" s="2">
        <v>-119</v>
      </c>
      <c r="G13" s="6">
        <f>-G22*G6</f>
        <v>-185.69771846119508</v>
      </c>
      <c r="H13" s="6">
        <f>-H22*H6</f>
        <v>-196.83958156886681</v>
      </c>
      <c r="I13" s="6">
        <f>-I22*I6</f>
        <v>-208.6499564629988</v>
      </c>
      <c r="J13" s="6">
        <f>-J22*J6</f>
        <v>-221.16895385077873</v>
      </c>
      <c r="K13" s="6">
        <f>-K22*K6</f>
        <v>-234.4390910818255</v>
      </c>
      <c r="L13" s="6">
        <f>-L22*L6</f>
        <v>-248.50543654673501</v>
      </c>
    </row>
    <row r="14" spans="2:13" x14ac:dyDescent="0.35">
      <c r="B14" s="59" t="s">
        <v>55</v>
      </c>
      <c r="C14" s="2">
        <v>-198</v>
      </c>
      <c r="D14" s="2">
        <v>-170</v>
      </c>
      <c r="E14" s="2">
        <v>-168</v>
      </c>
      <c r="G14" s="6">
        <f>-G23*G6</f>
        <v>-194.63203227584597</v>
      </c>
      <c r="H14" s="6">
        <f>-H23*H6</f>
        <v>-206.30995421239672</v>
      </c>
      <c r="I14" s="6">
        <f>-I23*I6</f>
        <v>-218.68855146514056</v>
      </c>
      <c r="J14" s="6">
        <f>-J23*J6</f>
        <v>-231.80986455304898</v>
      </c>
      <c r="K14" s="6">
        <f>-K23*K6</f>
        <v>-245.71845642623194</v>
      </c>
      <c r="L14" s="6">
        <f>-L23*L6</f>
        <v>-260.46156381180589</v>
      </c>
      <c r="M14" s="5"/>
    </row>
    <row r="15" spans="2:13" ht="15" thickBot="1" x14ac:dyDescent="0.4">
      <c r="B15" s="60" t="s">
        <v>60</v>
      </c>
      <c r="C15" s="69"/>
      <c r="D15" s="69"/>
      <c r="E15" s="69"/>
      <c r="F15" s="9"/>
      <c r="G15" s="39">
        <f>SUM(G10:G14)</f>
        <v>719.51092359302936</v>
      </c>
      <c r="H15" s="39">
        <f t="shared" ref="H15:L15" si="2">SUM(H10:H14)</f>
        <v>762.68157900861149</v>
      </c>
      <c r="I15" s="39">
        <f t="shared" si="2"/>
        <v>808.44247374912811</v>
      </c>
      <c r="J15" s="39">
        <f t="shared" si="2"/>
        <v>856.94902217407548</v>
      </c>
      <c r="K15" s="39">
        <f t="shared" si="2"/>
        <v>908.36596350452021</v>
      </c>
      <c r="L15" s="39">
        <f t="shared" si="2"/>
        <v>962.86792131479183</v>
      </c>
      <c r="M15" s="5"/>
    </row>
    <row r="16" spans="2:13" ht="15" thickTop="1" x14ac:dyDescent="0.35">
      <c r="B16" s="59"/>
      <c r="C16" s="2"/>
      <c r="D16" s="2"/>
      <c r="E16" s="2"/>
      <c r="G16" s="6"/>
      <c r="H16" s="6"/>
      <c r="I16" s="6"/>
      <c r="J16" s="6"/>
      <c r="K16" s="6"/>
      <c r="L16" s="6"/>
      <c r="M16" s="5"/>
    </row>
    <row r="17" spans="2:13" x14ac:dyDescent="0.35">
      <c r="B17" s="97" t="s">
        <v>61</v>
      </c>
      <c r="C17" s="98"/>
      <c r="D17" s="98"/>
      <c r="E17" s="98"/>
      <c r="F17" s="88"/>
      <c r="G17" s="88"/>
      <c r="H17" s="88"/>
      <c r="I17" s="88"/>
      <c r="J17" s="88"/>
      <c r="K17" s="88"/>
      <c r="L17" s="88"/>
      <c r="M17" s="5"/>
    </row>
    <row r="18" spans="2:13" x14ac:dyDescent="0.35">
      <c r="B18" s="85" t="s">
        <v>56</v>
      </c>
      <c r="C18" s="86"/>
      <c r="D18" s="89">
        <f>+D6/C6-1</f>
        <v>2.8266982388633899E-2</v>
      </c>
      <c r="E18" s="89">
        <f>+E6/D6-1</f>
        <v>2.4755325273460027E-2</v>
      </c>
      <c r="F18" s="87"/>
      <c r="G18" s="90">
        <v>0.06</v>
      </c>
      <c r="H18" s="91">
        <f>G18</f>
        <v>0.06</v>
      </c>
      <c r="I18" s="91">
        <f>+H18</f>
        <v>0.06</v>
      </c>
      <c r="J18" s="92">
        <f t="shared" ref="J18:L18" si="3">+I18</f>
        <v>0.06</v>
      </c>
      <c r="K18" s="92">
        <f t="shared" si="3"/>
        <v>0.06</v>
      </c>
      <c r="L18" s="92">
        <f t="shared" si="3"/>
        <v>0.06</v>
      </c>
    </row>
    <row r="19" spans="2:13" x14ac:dyDescent="0.35">
      <c r="B19" s="85" t="s">
        <v>67</v>
      </c>
      <c r="C19" s="93">
        <f>-C7/C6</f>
        <v>0.79339943762024567</v>
      </c>
      <c r="D19" s="93">
        <f>-D7/D6</f>
        <v>0.77014968336211864</v>
      </c>
      <c r="E19" s="93">
        <f>-E7/E6</f>
        <v>0.76179775280898876</v>
      </c>
      <c r="F19" s="87"/>
      <c r="G19" s="90">
        <f>AVERAGE(C19:E19)</f>
        <v>0.77511562459711758</v>
      </c>
      <c r="H19" s="91">
        <f>+G19</f>
        <v>0.77511562459711758</v>
      </c>
      <c r="I19" s="91">
        <f t="shared" ref="I19:L20" si="4">+H19</f>
        <v>0.77511562459711758</v>
      </c>
      <c r="J19" s="92">
        <f t="shared" si="4"/>
        <v>0.77511562459711758</v>
      </c>
      <c r="K19" s="92">
        <f t="shared" si="4"/>
        <v>0.77511562459711758</v>
      </c>
      <c r="L19" s="92">
        <f t="shared" si="4"/>
        <v>0.77511562459711758</v>
      </c>
    </row>
    <row r="20" spans="2:13" x14ac:dyDescent="0.35">
      <c r="B20" s="85" t="s">
        <v>64</v>
      </c>
      <c r="C20" s="93">
        <f>-C9/C6</f>
        <v>7.9769128311380791E-2</v>
      </c>
      <c r="D20" s="93">
        <f>-D9/D6</f>
        <v>0.12679907887161773</v>
      </c>
      <c r="E20" s="93">
        <f>-E9/E6</f>
        <v>0.12584269662921349</v>
      </c>
      <c r="F20" s="87"/>
      <c r="G20" s="90">
        <f>AVERAGE(C20:E20)</f>
        <v>0.11080363460407067</v>
      </c>
      <c r="H20" s="91">
        <f>+G20</f>
        <v>0.11080363460407067</v>
      </c>
      <c r="I20" s="91">
        <f t="shared" si="4"/>
        <v>0.11080363460407067</v>
      </c>
      <c r="J20" s="91">
        <f t="shared" si="4"/>
        <v>0.11080363460407067</v>
      </c>
      <c r="K20" s="91">
        <f t="shared" si="4"/>
        <v>0.11080363460407067</v>
      </c>
      <c r="L20" s="91">
        <f t="shared" si="4"/>
        <v>0.11080363460407067</v>
      </c>
      <c r="M20" s="5"/>
    </row>
    <row r="21" spans="2:13" x14ac:dyDescent="0.35">
      <c r="B21" s="85" t="s">
        <v>65</v>
      </c>
      <c r="C21" s="89">
        <f>C12/C6</f>
        <v>4.8986236495486161E-2</v>
      </c>
      <c r="D21" s="89">
        <f>D12/D6</f>
        <v>5.9873344847438115E-2</v>
      </c>
      <c r="E21" s="89">
        <f>E12/E6</f>
        <v>6.1376404494382024E-2</v>
      </c>
      <c r="F21" s="87"/>
      <c r="G21" s="94">
        <f>AVERAGE(C21:E21)</f>
        <v>5.674532861243544E-2</v>
      </c>
      <c r="H21" s="94">
        <f>+G21</f>
        <v>5.674532861243544E-2</v>
      </c>
      <c r="I21" s="94">
        <f>+H21</f>
        <v>5.674532861243544E-2</v>
      </c>
      <c r="J21" s="95">
        <f>+I21</f>
        <v>5.674532861243544E-2</v>
      </c>
      <c r="K21" s="95">
        <f>+J21</f>
        <v>5.674532861243544E-2</v>
      </c>
      <c r="L21" s="95">
        <f>+K21</f>
        <v>5.674532861243544E-2</v>
      </c>
    </row>
    <row r="22" spans="2:13" x14ac:dyDescent="0.35">
      <c r="B22" s="85" t="s">
        <v>66</v>
      </c>
      <c r="C22" s="89">
        <f>-C13/C6</f>
        <v>3.0042918454935622E-2</v>
      </c>
      <c r="D22" s="89">
        <f>-D13/D6</f>
        <v>2.7058146229130685E-2</v>
      </c>
      <c r="E22" s="89">
        <f>-E13/E6</f>
        <v>1.6713483146067416E-2</v>
      </c>
      <c r="F22" s="87"/>
      <c r="G22" s="94">
        <f>AVERAGE(C22:E22)</f>
        <v>2.4604849276711239E-2</v>
      </c>
      <c r="H22" s="94">
        <f>+G22</f>
        <v>2.4604849276711239E-2</v>
      </c>
      <c r="I22" s="94">
        <f t="shared" ref="I22:L23" si="5">+H22</f>
        <v>2.4604849276711239E-2</v>
      </c>
      <c r="J22" s="95">
        <f t="shared" si="5"/>
        <v>2.4604849276711239E-2</v>
      </c>
      <c r="K22" s="95">
        <f t="shared" si="5"/>
        <v>2.4604849276711239E-2</v>
      </c>
      <c r="L22" s="95">
        <f t="shared" si="5"/>
        <v>2.4604849276711239E-2</v>
      </c>
      <c r="M22" s="5"/>
    </row>
    <row r="23" spans="2:13" x14ac:dyDescent="0.35">
      <c r="B23" s="85" t="s">
        <v>68</v>
      </c>
      <c r="C23" s="89">
        <f>-C14/C6</f>
        <v>2.9302945093976619E-2</v>
      </c>
      <c r="D23" s="89">
        <f>-D14/D6</f>
        <v>2.4467472654001152E-2</v>
      </c>
      <c r="E23" s="89">
        <f>-E14/E6</f>
        <v>2.359550561797753E-2</v>
      </c>
      <c r="F23" s="87"/>
      <c r="G23" s="94">
        <f>AVERAGE(C23:E23)</f>
        <v>2.57886411219851E-2</v>
      </c>
      <c r="H23" s="94">
        <f>+G23</f>
        <v>2.57886411219851E-2</v>
      </c>
      <c r="I23" s="94">
        <f t="shared" si="5"/>
        <v>2.57886411219851E-2</v>
      </c>
      <c r="J23" s="95">
        <f t="shared" si="5"/>
        <v>2.57886411219851E-2</v>
      </c>
      <c r="K23" s="95">
        <f t="shared" si="5"/>
        <v>2.57886411219851E-2</v>
      </c>
      <c r="L23" s="95">
        <f t="shared" si="5"/>
        <v>2.57886411219851E-2</v>
      </c>
      <c r="M23" s="5"/>
    </row>
    <row r="24" spans="2:13" x14ac:dyDescent="0.35">
      <c r="B24" s="85"/>
      <c r="C24" s="89"/>
      <c r="D24" s="89"/>
      <c r="E24" s="89"/>
      <c r="F24" s="87"/>
      <c r="G24" s="94"/>
      <c r="H24" s="94"/>
      <c r="I24" s="94"/>
      <c r="J24" s="95"/>
      <c r="K24" s="95"/>
      <c r="L24" s="95"/>
      <c r="M24" s="5"/>
    </row>
    <row r="25" spans="2:13" x14ac:dyDescent="0.35">
      <c r="B25" s="79" t="s">
        <v>69</v>
      </c>
      <c r="C25" s="81">
        <f t="shared" ref="C25:E25" si="6">+C10+C12</f>
        <v>1188</v>
      </c>
      <c r="D25" s="81">
        <f t="shared" si="6"/>
        <v>1132</v>
      </c>
      <c r="E25" s="81">
        <f t="shared" si="6"/>
        <v>1237</v>
      </c>
      <c r="F25" s="87"/>
      <c r="G25" s="81">
        <f>+G10+G12</f>
        <v>1289.2585110605646</v>
      </c>
      <c r="H25" s="81">
        <f>+H10+H12</f>
        <v>1366.6140217241991</v>
      </c>
      <c r="I25" s="81">
        <f>+I10+I12</f>
        <v>1448.6108630276506</v>
      </c>
      <c r="J25" s="81">
        <f>+J10+J12</f>
        <v>1535.5275148093094</v>
      </c>
      <c r="K25" s="81">
        <f>+K10+K12</f>
        <v>1627.6591656978683</v>
      </c>
      <c r="L25" s="81">
        <f>+L10+L12</f>
        <v>1725.3187156397412</v>
      </c>
      <c r="M25" s="5"/>
    </row>
    <row r="26" spans="2:13" x14ac:dyDescent="0.35">
      <c r="B26" s="80" t="s">
        <v>70</v>
      </c>
      <c r="C26" s="83">
        <v>0.05</v>
      </c>
      <c r="D26" s="80"/>
      <c r="E26" s="82">
        <v>3782</v>
      </c>
      <c r="F26" s="87"/>
      <c r="G26" s="84">
        <f>E26-$C$26*$E$26</f>
        <v>3592.9</v>
      </c>
      <c r="H26" s="84">
        <f>G26-$C$26*$E$26</f>
        <v>3403.8</v>
      </c>
      <c r="I26" s="84">
        <f>H26-$C$26*$E$26</f>
        <v>3214.7000000000003</v>
      </c>
      <c r="J26" s="84">
        <f>I26-$C$26*$E$26</f>
        <v>3025.6000000000004</v>
      </c>
      <c r="K26" s="84">
        <f>J26-$C$26*$E$26</f>
        <v>2836.5000000000005</v>
      </c>
      <c r="L26" s="84">
        <f>K26-$C$26*$E$26</f>
        <v>2647.4000000000005</v>
      </c>
    </row>
    <row r="27" spans="2:13" x14ac:dyDescent="0.35">
      <c r="B27" s="85"/>
      <c r="C27" s="86"/>
      <c r="D27" s="86"/>
      <c r="E27" s="86"/>
      <c r="F27" s="87"/>
      <c r="G27" s="87"/>
      <c r="H27" s="87"/>
      <c r="I27" s="87"/>
      <c r="J27" s="88"/>
      <c r="K27" s="81"/>
      <c r="L27" s="88"/>
      <c r="M27" s="5"/>
    </row>
    <row r="28" spans="2:13" ht="15" thickBot="1" x14ac:dyDescent="0.4">
      <c r="B28" s="59"/>
      <c r="C28" s="4"/>
      <c r="D28" s="4"/>
      <c r="E28" s="4"/>
      <c r="G28" s="7"/>
      <c r="H28" s="7"/>
      <c r="I28" s="7"/>
      <c r="J28" s="16"/>
      <c r="K28" s="62"/>
      <c r="L28" s="16"/>
      <c r="M28" s="5"/>
    </row>
    <row r="29" spans="2:13" x14ac:dyDescent="0.35">
      <c r="B29" s="35"/>
      <c r="C29" s="35"/>
      <c r="D29" s="35"/>
      <c r="E29" s="35"/>
      <c r="F29" s="35"/>
      <c r="G29" s="35"/>
      <c r="H29" s="35"/>
      <c r="I29" s="35"/>
      <c r="J29" s="35"/>
      <c r="K29" s="96" t="s">
        <v>1</v>
      </c>
      <c r="L29" s="35"/>
    </row>
    <row r="30" spans="2:13" ht="15" thickBot="1" x14ac:dyDescent="0.4">
      <c r="B30" s="21" t="s">
        <v>8</v>
      </c>
      <c r="C30" s="21"/>
      <c r="D30" s="21"/>
      <c r="E30" s="21"/>
      <c r="F30" s="21"/>
      <c r="G30" s="25">
        <f>+G5</f>
        <v>2025</v>
      </c>
      <c r="H30" s="25">
        <f>+H5</f>
        <v>2026</v>
      </c>
      <c r="I30" s="25">
        <f>+I5</f>
        <v>2027</v>
      </c>
      <c r="J30" s="25">
        <f>+J5</f>
        <v>2028</v>
      </c>
      <c r="K30" s="100">
        <f>+K5</f>
        <v>2029</v>
      </c>
      <c r="L30" s="25">
        <f>+L5</f>
        <v>2028</v>
      </c>
    </row>
    <row r="31" spans="2:13" ht="15.5" thickTop="1" thickBot="1" x14ac:dyDescent="0.4">
      <c r="B31" t="s">
        <v>60</v>
      </c>
      <c r="G31" s="39">
        <f>G15</f>
        <v>719.51092359302936</v>
      </c>
      <c r="H31" s="39">
        <f t="shared" ref="H31:L31" si="7">H15</f>
        <v>762.68157900861149</v>
      </c>
      <c r="I31" s="39">
        <f t="shared" si="7"/>
        <v>808.44247374912811</v>
      </c>
      <c r="J31" s="39">
        <f t="shared" si="7"/>
        <v>856.94902217407548</v>
      </c>
      <c r="K31" s="99">
        <f t="shared" si="7"/>
        <v>908.36596350452021</v>
      </c>
      <c r="L31" s="39">
        <f t="shared" si="7"/>
        <v>962.86792131479183</v>
      </c>
    </row>
    <row r="32" spans="2:13" ht="15" thickTop="1" x14ac:dyDescent="0.35">
      <c r="G32" s="41"/>
      <c r="H32" s="41"/>
      <c r="I32" s="41"/>
      <c r="J32" s="41"/>
      <c r="K32" s="63"/>
      <c r="L32" s="41"/>
    </row>
    <row r="33" spans="2:11" x14ac:dyDescent="0.35">
      <c r="B33" s="10" t="s">
        <v>10</v>
      </c>
      <c r="K33" s="64"/>
    </row>
    <row r="34" spans="2:11" x14ac:dyDescent="0.35">
      <c r="B34" t="s">
        <v>11</v>
      </c>
      <c r="D34" t="s">
        <v>12</v>
      </c>
      <c r="G34" s="42">
        <f>+'Trading EBITDA Comparables'!C9</f>
        <v>19.076925050039598</v>
      </c>
      <c r="H34" s="9"/>
      <c r="I34" s="9"/>
      <c r="J34" s="9"/>
      <c r="K34" s="65">
        <f>+K25*G34</f>
        <v>31050.731911028215</v>
      </c>
    </row>
    <row r="35" spans="2:11" x14ac:dyDescent="0.35">
      <c r="B35" t="s">
        <v>13</v>
      </c>
      <c r="D35" t="s">
        <v>49</v>
      </c>
      <c r="G35" s="43">
        <f>L18</f>
        <v>0.06</v>
      </c>
      <c r="H35" s="9"/>
      <c r="I35" s="9"/>
      <c r="J35" s="9"/>
      <c r="K35" s="63">
        <f>L15/(I57-G35)</f>
        <v>19929.474385353587</v>
      </c>
    </row>
    <row r="36" spans="2:11" x14ac:dyDescent="0.35">
      <c r="J36" t="s">
        <v>50</v>
      </c>
      <c r="K36" s="66">
        <f>AVERAGE(K34:K35)</f>
        <v>25490.103148190901</v>
      </c>
    </row>
    <row r="37" spans="2:11" x14ac:dyDescent="0.35">
      <c r="J37" t="s">
        <v>14</v>
      </c>
      <c r="K37" s="65">
        <f>-K26</f>
        <v>-2836.5000000000005</v>
      </c>
    </row>
    <row r="38" spans="2:11" x14ac:dyDescent="0.35">
      <c r="J38" t="s">
        <v>51</v>
      </c>
      <c r="K38" s="66">
        <f>+K37+K36</f>
        <v>22653.603148190901</v>
      </c>
    </row>
    <row r="39" spans="2:11" ht="15" thickBot="1" x14ac:dyDescent="0.4">
      <c r="E39" s="8" t="s">
        <v>48</v>
      </c>
      <c r="F39" s="8"/>
      <c r="G39" s="39">
        <f>G31</f>
        <v>719.51092359302936</v>
      </c>
      <c r="H39" s="39">
        <f t="shared" ref="H39:J39" si="8">H31</f>
        <v>762.68157900861149</v>
      </c>
      <c r="I39" s="39">
        <f t="shared" si="8"/>
        <v>808.44247374912811</v>
      </c>
      <c r="J39" s="39">
        <f t="shared" si="8"/>
        <v>856.94902217407548</v>
      </c>
      <c r="K39" s="67">
        <f>K31+K38</f>
        <v>23561.96911169542</v>
      </c>
    </row>
    <row r="40" spans="2:11" ht="15" thickTop="1" x14ac:dyDescent="0.35"/>
    <row r="41" spans="2:11" x14ac:dyDescent="0.35">
      <c r="B41" s="112" t="s">
        <v>24</v>
      </c>
      <c r="G41" s="68">
        <f>NPV(G55,G39:K39)</f>
        <v>15391.788318575842</v>
      </c>
      <c r="H41" t="s">
        <v>62</v>
      </c>
    </row>
    <row r="42" spans="2:11" ht="15" thickBot="1" x14ac:dyDescent="0.4">
      <c r="B42" s="112" t="s">
        <v>25</v>
      </c>
      <c r="G42" s="101">
        <v>95.48</v>
      </c>
      <c r="H42" t="s">
        <v>39</v>
      </c>
    </row>
    <row r="43" spans="2:11" ht="15" thickBot="1" x14ac:dyDescent="0.4">
      <c r="B43" s="112"/>
      <c r="F43" s="22" t="s">
        <v>80</v>
      </c>
      <c r="G43" s="13">
        <f>+G41/G42</f>
        <v>161.20431837637037</v>
      </c>
    </row>
    <row r="44" spans="2:11" ht="15" thickBot="1" x14ac:dyDescent="0.4">
      <c r="E44" s="12"/>
    </row>
    <row r="45" spans="2:11" x14ac:dyDescent="0.35">
      <c r="B45" s="76" t="s">
        <v>71</v>
      </c>
      <c r="C45" s="33"/>
      <c r="D45" s="33"/>
      <c r="E45" s="33"/>
      <c r="F45" s="33"/>
      <c r="G45" s="33"/>
      <c r="H45" s="33"/>
      <c r="I45" s="34"/>
    </row>
    <row r="46" spans="2:11" ht="15" thickBot="1" x14ac:dyDescent="0.4">
      <c r="B46" s="29" t="s">
        <v>33</v>
      </c>
      <c r="C46" s="26"/>
      <c r="D46" s="26"/>
      <c r="E46" s="46"/>
      <c r="F46" s="47" t="s">
        <v>34</v>
      </c>
      <c r="G46" s="26"/>
      <c r="H46" s="26"/>
      <c r="I46" s="54"/>
    </row>
    <row r="47" spans="2:11" ht="15" thickTop="1" x14ac:dyDescent="0.35">
      <c r="B47" s="14" t="s">
        <v>28</v>
      </c>
      <c r="C47" s="45">
        <v>4.6800000000000001E-2</v>
      </c>
      <c r="D47" s="15" t="s">
        <v>27</v>
      </c>
      <c r="E47" s="15"/>
      <c r="F47" s="48" t="s">
        <v>7</v>
      </c>
      <c r="G47" s="23">
        <v>3782</v>
      </c>
      <c r="H47" s="15" t="s">
        <v>39</v>
      </c>
      <c r="I47" s="17"/>
    </row>
    <row r="48" spans="2:11" x14ac:dyDescent="0.35">
      <c r="B48" s="14" t="s">
        <v>29</v>
      </c>
      <c r="C48" s="45">
        <v>5.5E-2</v>
      </c>
      <c r="D48" s="15" t="s">
        <v>52</v>
      </c>
      <c r="E48" s="15"/>
      <c r="F48" s="48" t="s">
        <v>17</v>
      </c>
      <c r="G48" s="15">
        <v>242</v>
      </c>
      <c r="H48" s="15" t="s">
        <v>39</v>
      </c>
      <c r="I48" s="17"/>
    </row>
    <row r="49" spans="2:9" x14ac:dyDescent="0.35">
      <c r="B49" s="14" t="s">
        <v>16</v>
      </c>
      <c r="C49" s="44">
        <v>1.43</v>
      </c>
      <c r="D49" s="15"/>
      <c r="E49" s="15"/>
      <c r="F49" s="48"/>
      <c r="G49" s="15"/>
      <c r="H49" s="15"/>
      <c r="I49" s="17"/>
    </row>
    <row r="50" spans="2:9" x14ac:dyDescent="0.35">
      <c r="B50" s="30" t="s">
        <v>21</v>
      </c>
      <c r="C50" s="40">
        <f>C47+C49*C48</f>
        <v>0.12545000000000001</v>
      </c>
      <c r="D50" s="15" t="s">
        <v>47</v>
      </c>
      <c r="E50" s="15"/>
      <c r="F50" s="49" t="s">
        <v>17</v>
      </c>
      <c r="G50" s="40">
        <f>G48/G47</f>
        <v>6.398730830248546E-2</v>
      </c>
      <c r="H50" s="15" t="s">
        <v>15</v>
      </c>
      <c r="I50" s="17"/>
    </row>
    <row r="51" spans="2:9" x14ac:dyDescent="0.35">
      <c r="B51" s="53"/>
      <c r="C51" s="51"/>
      <c r="D51" s="51"/>
      <c r="E51" s="52"/>
      <c r="F51" s="50"/>
      <c r="G51" s="51"/>
      <c r="H51" s="51"/>
      <c r="I51" s="55"/>
    </row>
    <row r="52" spans="2:9" x14ac:dyDescent="0.35">
      <c r="B52" s="31"/>
      <c r="C52" s="15"/>
      <c r="D52" s="15"/>
      <c r="E52" s="15"/>
      <c r="F52" s="15"/>
      <c r="G52" s="15"/>
      <c r="H52" s="15"/>
      <c r="I52" s="17"/>
    </row>
    <row r="53" spans="2:9" x14ac:dyDescent="0.35">
      <c r="B53" s="31" t="s">
        <v>30</v>
      </c>
      <c r="C53" s="15"/>
      <c r="D53" s="15"/>
      <c r="E53" s="15"/>
      <c r="F53" s="15"/>
      <c r="G53" s="15"/>
      <c r="H53" s="15"/>
      <c r="I53" s="17"/>
    </row>
    <row r="54" spans="2:9" ht="29.5" thickBot="1" x14ac:dyDescent="0.4">
      <c r="B54" s="32" t="s">
        <v>31</v>
      </c>
      <c r="C54" s="106" t="s">
        <v>72</v>
      </c>
      <c r="D54" s="106" t="s">
        <v>73</v>
      </c>
      <c r="E54" s="27" t="s">
        <v>40</v>
      </c>
      <c r="F54" s="106" t="s">
        <v>74</v>
      </c>
      <c r="G54" s="27" t="s">
        <v>32</v>
      </c>
      <c r="H54" s="108" t="s">
        <v>75</v>
      </c>
      <c r="I54" s="107" t="s">
        <v>76</v>
      </c>
    </row>
    <row r="55" spans="2:9" ht="15" thickTop="1" x14ac:dyDescent="0.35">
      <c r="B55" s="14" t="s">
        <v>58</v>
      </c>
      <c r="C55" s="102">
        <v>135</v>
      </c>
      <c r="D55" s="103">
        <v>95.48</v>
      </c>
      <c r="E55" s="74">
        <f>C55*D55</f>
        <v>12889.800000000001</v>
      </c>
      <c r="F55" s="28">
        <f>+E55/E57</f>
        <v>0.77314986984008915</v>
      </c>
      <c r="G55" s="71">
        <f>C50</f>
        <v>0.12545000000000001</v>
      </c>
      <c r="H55" s="72">
        <f>+G55</f>
        <v>0.12545000000000001</v>
      </c>
      <c r="I55" s="104">
        <f>H55*F55</f>
        <v>9.6991651171439194E-2</v>
      </c>
    </row>
    <row r="56" spans="2:9" x14ac:dyDescent="0.35">
      <c r="B56" s="14" t="s">
        <v>45</v>
      </c>
      <c r="C56" s="15"/>
      <c r="D56" s="15"/>
      <c r="E56" s="75">
        <f>E26</f>
        <v>3782</v>
      </c>
      <c r="F56" s="28">
        <f>+E56/$E$57</f>
        <v>0.22685013015991071</v>
      </c>
      <c r="G56" s="73">
        <f>G50</f>
        <v>6.398730830248546E-2</v>
      </c>
      <c r="H56" s="73">
        <f>+G56*(1-F11)</f>
        <v>4.9910100475938662E-2</v>
      </c>
      <c r="I56" s="104">
        <f>H56*F56</f>
        <v>1.1322112789260907E-2</v>
      </c>
    </row>
    <row r="57" spans="2:9" ht="15" thickBot="1" x14ac:dyDescent="0.4">
      <c r="B57" s="14" t="s">
        <v>44</v>
      </c>
      <c r="C57" s="15"/>
      <c r="D57" s="15"/>
      <c r="E57" s="109">
        <f>+E56+E55</f>
        <v>16671.800000000003</v>
      </c>
      <c r="F57" s="110">
        <f>SUM(F55:F56)</f>
        <v>0.99999999999999989</v>
      </c>
      <c r="G57" s="15"/>
      <c r="H57" s="24" t="s">
        <v>26</v>
      </c>
      <c r="I57" s="105">
        <f>+I56+I55</f>
        <v>0.1083137639607001</v>
      </c>
    </row>
    <row r="58" spans="2:9" ht="15.5" thickTop="1" thickBot="1" x14ac:dyDescent="0.4">
      <c r="B58" s="18"/>
      <c r="C58" s="19"/>
      <c r="D58" s="19"/>
      <c r="E58" s="19"/>
      <c r="F58" s="19"/>
      <c r="G58" s="19"/>
      <c r="H58" s="19"/>
      <c r="I58" s="20"/>
    </row>
    <row r="59" spans="2:9" x14ac:dyDescent="0.35">
      <c r="B59" s="15"/>
      <c r="C59" s="15"/>
      <c r="D59" s="15"/>
      <c r="H59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CEA57-92C9-4E34-8BCF-CD27E3E37124}">
  <dimension ref="B1:D18"/>
  <sheetViews>
    <sheetView showGridLines="0" workbookViewId="0">
      <selection activeCell="G6" sqref="G6"/>
    </sheetView>
  </sheetViews>
  <sheetFormatPr defaultRowHeight="14.5" x14ac:dyDescent="0.35"/>
  <cols>
    <col min="1" max="1" width="4.90625" customWidth="1"/>
    <col min="2" max="2" width="34.1796875" customWidth="1"/>
    <col min="3" max="3" width="10.1796875" bestFit="1" customWidth="1"/>
  </cols>
  <sheetData>
    <row r="1" spans="2:4" ht="18" x14ac:dyDescent="0.4">
      <c r="B1" s="1" t="s">
        <v>22</v>
      </c>
    </row>
    <row r="2" spans="2:4" x14ac:dyDescent="0.35">
      <c r="B2" s="9" t="s">
        <v>81</v>
      </c>
    </row>
    <row r="4" spans="2:4" ht="18" customHeight="1" x14ac:dyDescent="0.35">
      <c r="B4" s="58" t="s">
        <v>53</v>
      </c>
      <c r="C4" s="38" t="s">
        <v>41</v>
      </c>
    </row>
    <row r="5" spans="2:4" ht="18" customHeight="1" x14ac:dyDescent="0.35">
      <c r="B5" s="48" t="s">
        <v>35</v>
      </c>
      <c r="C5" s="56">
        <v>28.947700000000001</v>
      </c>
    </row>
    <row r="6" spans="2:4" ht="18" customHeight="1" x14ac:dyDescent="0.35">
      <c r="B6" s="48" t="s">
        <v>36</v>
      </c>
      <c r="C6" s="56">
        <v>19.544996874999999</v>
      </c>
    </row>
    <row r="7" spans="2:4" ht="18" customHeight="1" x14ac:dyDescent="0.35">
      <c r="B7" s="48" t="s">
        <v>37</v>
      </c>
      <c r="C7" s="56">
        <v>14.506359150326798</v>
      </c>
    </row>
    <row r="8" spans="2:4" ht="18" customHeight="1" x14ac:dyDescent="0.35">
      <c r="B8" s="48" t="s">
        <v>38</v>
      </c>
      <c r="C8" s="56">
        <v>13.308644174831599</v>
      </c>
    </row>
    <row r="9" spans="2:4" ht="18" customHeight="1" thickBot="1" x14ac:dyDescent="0.4">
      <c r="B9" s="50" t="s">
        <v>23</v>
      </c>
      <c r="C9" s="57">
        <f>AVERAGE(C5:C8)</f>
        <v>19.076925050039598</v>
      </c>
    </row>
    <row r="10" spans="2:4" ht="15" thickTop="1" x14ac:dyDescent="0.35"/>
    <row r="11" spans="2:4" x14ac:dyDescent="0.35">
      <c r="B11" s="9" t="s">
        <v>88</v>
      </c>
    </row>
    <row r="12" spans="2:4" x14ac:dyDescent="0.35">
      <c r="B12" t="s">
        <v>6</v>
      </c>
      <c r="C12" s="3">
        <f>'DCF Method'!E25</f>
        <v>1237</v>
      </c>
    </row>
    <row r="13" spans="2:4" x14ac:dyDescent="0.35">
      <c r="B13" t="s">
        <v>82</v>
      </c>
      <c r="C13" s="3">
        <f>+C12*C9</f>
        <v>23598.156286898982</v>
      </c>
      <c r="D13" t="s">
        <v>83</v>
      </c>
    </row>
    <row r="14" spans="2:4" x14ac:dyDescent="0.35">
      <c r="B14" t="s">
        <v>14</v>
      </c>
      <c r="C14" s="3">
        <f>-'DCF Method'!E26</f>
        <v>-3782</v>
      </c>
    </row>
    <row r="15" spans="2:4" x14ac:dyDescent="0.35">
      <c r="B15" t="s">
        <v>84</v>
      </c>
      <c r="C15" s="113">
        <v>600</v>
      </c>
    </row>
    <row r="16" spans="2:4" x14ac:dyDescent="0.35">
      <c r="B16" t="s">
        <v>85</v>
      </c>
      <c r="C16" s="3">
        <f>SUM(C13:C15)</f>
        <v>20416.156286898982</v>
      </c>
    </row>
    <row r="17" spans="2:3" ht="15" thickBot="1" x14ac:dyDescent="0.4">
      <c r="B17" t="s">
        <v>86</v>
      </c>
      <c r="C17">
        <f>'DCF Method'!D55</f>
        <v>95.48</v>
      </c>
    </row>
    <row r="18" spans="2:3" ht="15" thickBot="1" x14ac:dyDescent="0.4">
      <c r="B18" t="s">
        <v>87</v>
      </c>
      <c r="C18" s="13">
        <f>C16/C17</f>
        <v>213.82652164745477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A626-8826-4567-B4A1-EC89178AE7E9}">
  <dimension ref="B1:D9"/>
  <sheetViews>
    <sheetView showGridLines="0" workbookViewId="0">
      <selection activeCell="D17" sqref="D17"/>
    </sheetView>
  </sheetViews>
  <sheetFormatPr defaultRowHeight="14.5" x14ac:dyDescent="0.35"/>
  <cols>
    <col min="1" max="1" width="1.26953125" customWidth="1"/>
    <col min="2" max="2" width="18.1796875" customWidth="1"/>
  </cols>
  <sheetData>
    <row r="1" spans="2:4" ht="18" x14ac:dyDescent="0.4">
      <c r="B1" s="1" t="s">
        <v>22</v>
      </c>
    </row>
    <row r="2" spans="2:4" x14ac:dyDescent="0.35">
      <c r="B2" s="9" t="s">
        <v>77</v>
      </c>
    </row>
    <row r="5" spans="2:4" x14ac:dyDescent="0.35">
      <c r="B5" t="s">
        <v>19</v>
      </c>
      <c r="C5" s="111">
        <v>166</v>
      </c>
      <c r="D5" t="s">
        <v>78</v>
      </c>
    </row>
    <row r="6" spans="2:4" x14ac:dyDescent="0.35">
      <c r="B6" t="s">
        <v>20</v>
      </c>
      <c r="C6" s="70">
        <v>6.68</v>
      </c>
    </row>
    <row r="7" spans="2:4" x14ac:dyDescent="0.35">
      <c r="B7" t="s">
        <v>21</v>
      </c>
      <c r="C7" s="7">
        <f>'DCF Method'!C50</f>
        <v>0.12545000000000001</v>
      </c>
    </row>
    <row r="8" spans="2:4" ht="15" thickBot="1" x14ac:dyDescent="0.4"/>
    <row r="9" spans="2:4" ht="15" thickBot="1" x14ac:dyDescent="0.4">
      <c r="B9" t="s">
        <v>79</v>
      </c>
      <c r="C9" s="13">
        <f>(C5+C6)/(1+C7)</f>
        <v>153.43196054911368</v>
      </c>
      <c r="D9" s="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DCF Method</vt:lpstr>
      <vt:lpstr>Trading EBITDA Comparables</vt:lpstr>
      <vt:lpstr>Intrinsic Method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Droussiotis</dc:creator>
  <cp:lastModifiedBy>Chris Droussiotis</cp:lastModifiedBy>
  <dcterms:created xsi:type="dcterms:W3CDTF">2025-10-01T16:38:14Z</dcterms:created>
  <dcterms:modified xsi:type="dcterms:W3CDTF">2025-10-02T02:34:04Z</dcterms:modified>
</cp:coreProperties>
</file>