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oussch\OneDrive\Documents\School Work\SHU\FIN 4241 FIN 7225 Mergers &amp; Acquisition\"/>
    </mc:Choice>
  </mc:AlternateContent>
  <xr:revisionPtr revIDLastSave="0" documentId="13_ncr:1_{8DD52878-A6BB-4148-BA05-5B981B7E0C3B}" xr6:coauthVersionLast="47" xr6:coauthVersionMax="47" xr10:uidLastSave="{00000000-0000-0000-0000-000000000000}"/>
  <bookViews>
    <workbookView xWindow="-110" yWindow="-110" windowWidth="19420" windowHeight="11500" activeTab="1" xr2:uid="{8587EE83-BB9A-447D-BEF2-9DEE735D1869}"/>
  </bookViews>
  <sheets>
    <sheet name="LBO Model" sheetId="2" r:id="rId1"/>
    <sheet name="Template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0" i="6" l="1"/>
  <c r="K130" i="6" s="1"/>
  <c r="L130" i="6" s="1"/>
  <c r="M130" i="6" s="1"/>
  <c r="J140" i="6"/>
  <c r="J135" i="6"/>
  <c r="K135" i="6" s="1"/>
  <c r="L135" i="6" s="1"/>
  <c r="M135" i="6" s="1"/>
  <c r="E111" i="6"/>
  <c r="B111" i="6"/>
  <c r="B110" i="6"/>
  <c r="B109" i="6"/>
  <c r="E104" i="6"/>
  <c r="D104" i="6"/>
  <c r="C104" i="6"/>
  <c r="H104" i="6" s="1"/>
  <c r="E101" i="6"/>
  <c r="D101" i="6"/>
  <c r="H101" i="6" s="1"/>
  <c r="I101" i="6" s="1"/>
  <c r="C101" i="6"/>
  <c r="H99" i="6"/>
  <c r="E98" i="6"/>
  <c r="D98" i="6"/>
  <c r="C98" i="6"/>
  <c r="H98" i="6" s="1"/>
  <c r="H93" i="6"/>
  <c r="H94" i="6" s="1"/>
  <c r="D92" i="6"/>
  <c r="C92" i="6"/>
  <c r="J81" i="6"/>
  <c r="K81" i="6" s="1"/>
  <c r="E81" i="6"/>
  <c r="D81" i="6"/>
  <c r="C81" i="6"/>
  <c r="H80" i="6"/>
  <c r="E78" i="6"/>
  <c r="E77" i="6"/>
  <c r="H77" i="6" s="1"/>
  <c r="D77" i="6"/>
  <c r="D83" i="6" s="1"/>
  <c r="C77" i="6"/>
  <c r="E75" i="6"/>
  <c r="D75" i="6"/>
  <c r="C75" i="6"/>
  <c r="I75" i="6" s="1"/>
  <c r="J75" i="6" s="1"/>
  <c r="K75" i="6" s="1"/>
  <c r="L75" i="6" s="1"/>
  <c r="M75" i="6" s="1"/>
  <c r="H74" i="6"/>
  <c r="E72" i="6"/>
  <c r="H72" i="6" s="1"/>
  <c r="D72" i="6"/>
  <c r="I71" i="6"/>
  <c r="J71" i="6" s="1"/>
  <c r="H71" i="6"/>
  <c r="I70" i="6"/>
  <c r="J70" i="6" s="1"/>
  <c r="E70" i="6"/>
  <c r="H70" i="6" s="1"/>
  <c r="E66" i="6"/>
  <c r="F63" i="6"/>
  <c r="H63" i="6" s="1"/>
  <c r="E62" i="6"/>
  <c r="E59" i="6"/>
  <c r="H59" i="6" s="1"/>
  <c r="H56" i="6"/>
  <c r="H55" i="6"/>
  <c r="E49" i="6"/>
  <c r="H49" i="6" s="1"/>
  <c r="H48" i="6"/>
  <c r="H47" i="6"/>
  <c r="H46" i="6"/>
  <c r="P43" i="6"/>
  <c r="I30" i="6"/>
  <c r="I33" i="6" s="1"/>
  <c r="J22" i="6"/>
  <c r="K22" i="6" s="1"/>
  <c r="G17" i="6"/>
  <c r="F56" i="6" s="1"/>
  <c r="E16" i="6"/>
  <c r="G16" i="6" s="1"/>
  <c r="J6" i="6"/>
  <c r="I6" i="6"/>
  <c r="I128" i="2"/>
  <c r="J128" i="2"/>
  <c r="K128" i="2"/>
  <c r="L128" i="2"/>
  <c r="M128" i="2"/>
  <c r="I133" i="2"/>
  <c r="J133" i="2"/>
  <c r="K133" i="2"/>
  <c r="L133" i="2"/>
  <c r="M133" i="2"/>
  <c r="I130" i="2"/>
  <c r="J130" i="2"/>
  <c r="K130" i="2"/>
  <c r="L130" i="2"/>
  <c r="M130" i="2"/>
  <c r="I135" i="2"/>
  <c r="J135" i="2"/>
  <c r="K135" i="2"/>
  <c r="L135" i="2"/>
  <c r="M135" i="2"/>
  <c r="I74" i="2"/>
  <c r="G10" i="2"/>
  <c r="G16" i="2"/>
  <c r="F55" i="2" s="1"/>
  <c r="E15" i="2"/>
  <c r="G15" i="2" s="1"/>
  <c r="E65" i="2"/>
  <c r="E61" i="2"/>
  <c r="E58" i="2"/>
  <c r="E48" i="2"/>
  <c r="J134" i="2"/>
  <c r="K134" i="2" s="1"/>
  <c r="L134" i="2" s="1"/>
  <c r="M134" i="2" s="1"/>
  <c r="J129" i="2"/>
  <c r="K129" i="2" s="1"/>
  <c r="L129" i="2" s="1"/>
  <c r="M129" i="2" s="1"/>
  <c r="H79" i="2"/>
  <c r="H73" i="2"/>
  <c r="H70" i="2"/>
  <c r="H54" i="2"/>
  <c r="H47" i="2"/>
  <c r="H46" i="2"/>
  <c r="F62" i="2"/>
  <c r="H62" i="2" s="1"/>
  <c r="H98" i="2"/>
  <c r="H92" i="2"/>
  <c r="I69" i="2"/>
  <c r="J69" i="2" s="1"/>
  <c r="K69" i="2" s="1"/>
  <c r="L69" i="2" s="1"/>
  <c r="M69" i="2" s="1"/>
  <c r="M91" i="2" s="1"/>
  <c r="M124" i="2" s="1"/>
  <c r="E69" i="2"/>
  <c r="E91" i="2" s="1"/>
  <c r="H91" i="2" s="1"/>
  <c r="H45" i="2"/>
  <c r="E110" i="2"/>
  <c r="C91" i="2"/>
  <c r="B109" i="2"/>
  <c r="B110" i="2"/>
  <c r="B108" i="2"/>
  <c r="P42" i="2"/>
  <c r="I29" i="2"/>
  <c r="I32" i="2" s="1"/>
  <c r="J21" i="2"/>
  <c r="K21" i="2" s="1"/>
  <c r="L21" i="2" s="1"/>
  <c r="M21" i="2" s="1"/>
  <c r="N21" i="2" s="1"/>
  <c r="O21" i="2" s="1"/>
  <c r="P21" i="2" s="1"/>
  <c r="P5" i="2" s="1"/>
  <c r="I104" i="6" l="1"/>
  <c r="E83" i="6"/>
  <c r="G11" i="6" s="1"/>
  <c r="I100" i="6"/>
  <c r="H78" i="6"/>
  <c r="E92" i="6"/>
  <c r="H92" i="6" s="1"/>
  <c r="H114" i="6" s="1"/>
  <c r="D78" i="6"/>
  <c r="I92" i="6"/>
  <c r="H95" i="6"/>
  <c r="H106" i="6" s="1"/>
  <c r="I98" i="6"/>
  <c r="I97" i="6" s="1"/>
  <c r="J98" i="6"/>
  <c r="G18" i="6"/>
  <c r="G19" i="6"/>
  <c r="F51" i="6"/>
  <c r="H81" i="6"/>
  <c r="H75" i="6"/>
  <c r="K71" i="6"/>
  <c r="J101" i="6"/>
  <c r="H83" i="6"/>
  <c r="H97" i="6"/>
  <c r="L22" i="6"/>
  <c r="K6" i="6"/>
  <c r="J80" i="6"/>
  <c r="J30" i="6"/>
  <c r="I74" i="6"/>
  <c r="I77" i="6" s="1"/>
  <c r="J74" i="6"/>
  <c r="J77" i="6" s="1"/>
  <c r="H103" i="6"/>
  <c r="H100" i="6"/>
  <c r="C78" i="6"/>
  <c r="C83" i="6"/>
  <c r="J104" i="6"/>
  <c r="I103" i="6"/>
  <c r="K70" i="6"/>
  <c r="J92" i="6"/>
  <c r="K140" i="6"/>
  <c r="L81" i="6"/>
  <c r="F62" i="6"/>
  <c r="I80" i="6"/>
  <c r="G17" i="2"/>
  <c r="G18" i="2" s="1"/>
  <c r="F61" i="2"/>
  <c r="F50" i="2"/>
  <c r="H113" i="2"/>
  <c r="H93" i="2"/>
  <c r="H94" i="2" s="1"/>
  <c r="H58" i="2"/>
  <c r="H69" i="2"/>
  <c r="H80" i="2"/>
  <c r="H74" i="2"/>
  <c r="I91" i="2"/>
  <c r="K91" i="2"/>
  <c r="M113" i="2"/>
  <c r="L91" i="2"/>
  <c r="J91" i="2"/>
  <c r="I5" i="2"/>
  <c r="O5" i="2"/>
  <c r="N5" i="2"/>
  <c r="M5" i="2"/>
  <c r="L5" i="2"/>
  <c r="K5" i="2"/>
  <c r="J5" i="2"/>
  <c r="D91" i="2"/>
  <c r="E100" i="2"/>
  <c r="C100" i="2"/>
  <c r="D97" i="2"/>
  <c r="E103" i="2"/>
  <c r="D103" i="2"/>
  <c r="C103" i="2"/>
  <c r="E97" i="2"/>
  <c r="D100" i="2"/>
  <c r="H100" i="2" s="1"/>
  <c r="C97" i="2"/>
  <c r="C76" i="2"/>
  <c r="C82" i="2" s="1"/>
  <c r="D74" i="2"/>
  <c r="E76" i="2"/>
  <c r="E74" i="2"/>
  <c r="D80" i="2"/>
  <c r="D76" i="2"/>
  <c r="D82" i="2" s="1"/>
  <c r="E80" i="2"/>
  <c r="C74" i="2"/>
  <c r="I70" i="2"/>
  <c r="C80" i="2"/>
  <c r="D71" i="2"/>
  <c r="H55" i="2"/>
  <c r="E71" i="2"/>
  <c r="H71" i="2" s="1"/>
  <c r="J29" i="2"/>
  <c r="I114" i="6" l="1"/>
  <c r="I125" i="6"/>
  <c r="J83" i="6"/>
  <c r="J78" i="6"/>
  <c r="L140" i="6"/>
  <c r="L71" i="6"/>
  <c r="K74" i="6"/>
  <c r="K77" i="6" s="1"/>
  <c r="J100" i="6"/>
  <c r="K101" i="6"/>
  <c r="I78" i="6"/>
  <c r="I83" i="6"/>
  <c r="J114" i="6"/>
  <c r="J125" i="6"/>
  <c r="J33" i="6"/>
  <c r="K30" i="6"/>
  <c r="K104" i="6"/>
  <c r="J103" i="6"/>
  <c r="H51" i="6"/>
  <c r="K92" i="6"/>
  <c r="L70" i="6"/>
  <c r="K80" i="6"/>
  <c r="M22" i="6"/>
  <c r="L6" i="6"/>
  <c r="C7" i="6"/>
  <c r="H19" i="6"/>
  <c r="D116" i="6" s="1"/>
  <c r="C8" i="6"/>
  <c r="M84" i="6"/>
  <c r="M99" i="6" s="1"/>
  <c r="J84" i="6"/>
  <c r="J99" i="6" s="1"/>
  <c r="I84" i="6"/>
  <c r="I99" i="6" s="1"/>
  <c r="L84" i="6"/>
  <c r="L99" i="6" s="1"/>
  <c r="F52" i="6"/>
  <c r="H52" i="6" s="1"/>
  <c r="K84" i="6"/>
  <c r="K99" i="6" s="1"/>
  <c r="K98" i="6"/>
  <c r="J97" i="6"/>
  <c r="M81" i="6"/>
  <c r="F51" i="2"/>
  <c r="F65" i="2" s="1"/>
  <c r="H18" i="2"/>
  <c r="C7" i="2"/>
  <c r="C6" i="2"/>
  <c r="H99" i="2"/>
  <c r="I100" i="2"/>
  <c r="J100" i="2" s="1"/>
  <c r="K100" i="2" s="1"/>
  <c r="L100" i="2" s="1"/>
  <c r="M100" i="2" s="1"/>
  <c r="J124" i="2"/>
  <c r="J113" i="2"/>
  <c r="L124" i="2"/>
  <c r="L113" i="2"/>
  <c r="K124" i="2"/>
  <c r="K113" i="2"/>
  <c r="I124" i="2"/>
  <c r="I113" i="2"/>
  <c r="I103" i="2"/>
  <c r="J103" i="2" s="1"/>
  <c r="K103" i="2" s="1"/>
  <c r="L103" i="2" s="1"/>
  <c r="M103" i="2" s="1"/>
  <c r="H103" i="2"/>
  <c r="H102" i="2" s="1"/>
  <c r="I97" i="2"/>
  <c r="J97" i="2" s="1"/>
  <c r="K97" i="2" s="1"/>
  <c r="H97" i="2"/>
  <c r="H96" i="2" s="1"/>
  <c r="E82" i="2"/>
  <c r="H76" i="2"/>
  <c r="H77" i="2" s="1"/>
  <c r="H48" i="2"/>
  <c r="D77" i="2"/>
  <c r="E77" i="2"/>
  <c r="C77" i="2"/>
  <c r="I99" i="2"/>
  <c r="J74" i="2"/>
  <c r="K74" i="2" s="1"/>
  <c r="L74" i="2" s="1"/>
  <c r="M74" i="2" s="1"/>
  <c r="J80" i="2"/>
  <c r="K83" i="2"/>
  <c r="K98" i="2" s="1"/>
  <c r="M83" i="2"/>
  <c r="M98" i="2" s="1"/>
  <c r="J83" i="2"/>
  <c r="J98" i="2" s="1"/>
  <c r="L83" i="2"/>
  <c r="L98" i="2" s="1"/>
  <c r="I83" i="2"/>
  <c r="I98" i="2" s="1"/>
  <c r="J70" i="2"/>
  <c r="K29" i="2"/>
  <c r="J32" i="2"/>
  <c r="K78" i="6" l="1"/>
  <c r="K83" i="6"/>
  <c r="K100" i="6"/>
  <c r="L101" i="6"/>
  <c r="F66" i="6"/>
  <c r="M71" i="6"/>
  <c r="M80" i="6" s="1"/>
  <c r="L74" i="6"/>
  <c r="L77" i="6" s="1"/>
  <c r="M6" i="6"/>
  <c r="N22" i="6"/>
  <c r="H53" i="6"/>
  <c r="K97" i="6"/>
  <c r="L98" i="6"/>
  <c r="I126" i="6"/>
  <c r="I85" i="6"/>
  <c r="L92" i="6"/>
  <c r="M70" i="6"/>
  <c r="M92" i="6" s="1"/>
  <c r="K114" i="6"/>
  <c r="K125" i="6"/>
  <c r="P37" i="6"/>
  <c r="G58" i="6"/>
  <c r="H58" i="6" s="1"/>
  <c r="O37" i="6"/>
  <c r="H36" i="6"/>
  <c r="L37" i="6"/>
  <c r="E8" i="6"/>
  <c r="K37" i="6"/>
  <c r="C9" i="6"/>
  <c r="N37" i="6"/>
  <c r="M37" i="6"/>
  <c r="I37" i="6"/>
  <c r="J37" i="6"/>
  <c r="K103" i="6"/>
  <c r="L104" i="6"/>
  <c r="M140" i="6"/>
  <c r="K33" i="6"/>
  <c r="L30" i="6"/>
  <c r="L80" i="6"/>
  <c r="I25" i="6"/>
  <c r="N25" i="6"/>
  <c r="O25" i="6"/>
  <c r="P25" i="6"/>
  <c r="M25" i="6"/>
  <c r="L25" i="6"/>
  <c r="K25" i="6"/>
  <c r="J25" i="6"/>
  <c r="H24" i="6"/>
  <c r="E7" i="6"/>
  <c r="G57" i="6"/>
  <c r="J126" i="6"/>
  <c r="J85" i="6"/>
  <c r="H51" i="2"/>
  <c r="E6" i="2"/>
  <c r="C8" i="2"/>
  <c r="E7" i="2"/>
  <c r="H82" i="2"/>
  <c r="H105" i="2"/>
  <c r="J96" i="2"/>
  <c r="I96" i="2"/>
  <c r="I102" i="2"/>
  <c r="I73" i="2"/>
  <c r="I76" i="2" s="1"/>
  <c r="I77" i="2" s="1"/>
  <c r="J99" i="2"/>
  <c r="I79" i="2"/>
  <c r="L97" i="2"/>
  <c r="J73" i="2"/>
  <c r="J76" i="2" s="1"/>
  <c r="K70" i="2"/>
  <c r="K96" i="2" s="1"/>
  <c r="K80" i="2"/>
  <c r="J79" i="2"/>
  <c r="L29" i="2"/>
  <c r="K32" i="2"/>
  <c r="L83" i="6" l="1"/>
  <c r="L78" i="6"/>
  <c r="J93" i="6"/>
  <c r="M74" i="6"/>
  <c r="M77" i="6"/>
  <c r="H39" i="6"/>
  <c r="I38" i="6"/>
  <c r="I39" i="6" s="1"/>
  <c r="I36" i="6"/>
  <c r="H43" i="6"/>
  <c r="L103" i="6"/>
  <c r="M104" i="6"/>
  <c r="M103" i="6" s="1"/>
  <c r="N6" i="6"/>
  <c r="O22" i="6"/>
  <c r="H57" i="6"/>
  <c r="H60" i="6" s="1"/>
  <c r="M125" i="6"/>
  <c r="M114" i="6"/>
  <c r="H27" i="6"/>
  <c r="I26" i="6"/>
  <c r="I24" i="6"/>
  <c r="L114" i="6"/>
  <c r="L125" i="6"/>
  <c r="L100" i="6"/>
  <c r="M101" i="6"/>
  <c r="M100" i="6" s="1"/>
  <c r="M30" i="6"/>
  <c r="L33" i="6"/>
  <c r="C11" i="6"/>
  <c r="I93" i="6"/>
  <c r="K126" i="6"/>
  <c r="K85" i="6"/>
  <c r="E9" i="6"/>
  <c r="L97" i="6"/>
  <c r="M98" i="6"/>
  <c r="M97" i="6" s="1"/>
  <c r="E8" i="2"/>
  <c r="H143" i="2"/>
  <c r="C10" i="2"/>
  <c r="I82" i="2"/>
  <c r="I125" i="2" s="1"/>
  <c r="J102" i="2"/>
  <c r="K99" i="2"/>
  <c r="M97" i="2"/>
  <c r="H50" i="2"/>
  <c r="H52" i="2" s="1"/>
  <c r="L70" i="2"/>
  <c r="L96" i="2" s="1"/>
  <c r="K73" i="2"/>
  <c r="K76" i="2" s="1"/>
  <c r="L80" i="2"/>
  <c r="K79" i="2"/>
  <c r="J77" i="2"/>
  <c r="J82" i="2"/>
  <c r="J125" i="2" s="1"/>
  <c r="M29" i="2"/>
  <c r="L32" i="2"/>
  <c r="K93" i="6" l="1"/>
  <c r="J26" i="6"/>
  <c r="J24" i="6"/>
  <c r="J38" i="6"/>
  <c r="J39" i="6" s="1"/>
  <c r="J36" i="6"/>
  <c r="I43" i="6"/>
  <c r="I86" i="6"/>
  <c r="I27" i="6"/>
  <c r="I94" i="6"/>
  <c r="I95" i="6" s="1"/>
  <c r="I106" i="6" s="1"/>
  <c r="I121" i="6" s="1"/>
  <c r="G62" i="6"/>
  <c r="H121" i="6"/>
  <c r="C12" i="6"/>
  <c r="M78" i="6"/>
  <c r="M83" i="6"/>
  <c r="J94" i="6"/>
  <c r="J95" i="6"/>
  <c r="J106" i="6" s="1"/>
  <c r="J121" i="6" s="1"/>
  <c r="N30" i="6"/>
  <c r="M33" i="6"/>
  <c r="O6" i="6"/>
  <c r="P22" i="6"/>
  <c r="P6" i="6" s="1"/>
  <c r="L126" i="6"/>
  <c r="L85" i="6"/>
  <c r="C11" i="2"/>
  <c r="J84" i="2"/>
  <c r="J92" i="2" s="1"/>
  <c r="J93" i="2" s="1"/>
  <c r="J94" i="2" s="1"/>
  <c r="J105" i="2" s="1"/>
  <c r="J120" i="2" s="1"/>
  <c r="J138" i="2" s="1"/>
  <c r="I84" i="2"/>
  <c r="I92" i="2" s="1"/>
  <c r="I93" i="2" s="1"/>
  <c r="I94" i="2" s="1"/>
  <c r="I105" i="2" s="1"/>
  <c r="I120" i="2" s="1"/>
  <c r="I138" i="2" s="1"/>
  <c r="K102" i="2"/>
  <c r="L99" i="2"/>
  <c r="K77" i="2"/>
  <c r="K82" i="2"/>
  <c r="K125" i="2" s="1"/>
  <c r="M70" i="2"/>
  <c r="M96" i="2" s="1"/>
  <c r="L73" i="2"/>
  <c r="L76" i="2" s="1"/>
  <c r="M80" i="2"/>
  <c r="L79" i="2"/>
  <c r="N29" i="2"/>
  <c r="M32" i="2"/>
  <c r="I87" i="6" l="1"/>
  <c r="O30" i="6"/>
  <c r="N33" i="6"/>
  <c r="M85" i="6"/>
  <c r="M126" i="6"/>
  <c r="M116" i="6"/>
  <c r="K38" i="6"/>
  <c r="K39" i="6" s="1"/>
  <c r="J43" i="6"/>
  <c r="K36" i="6"/>
  <c r="D12" i="6"/>
  <c r="D8" i="6"/>
  <c r="C110" i="6" s="1"/>
  <c r="D7" i="6"/>
  <c r="C109" i="6" s="1"/>
  <c r="D9" i="6"/>
  <c r="K24" i="6"/>
  <c r="K26" i="6"/>
  <c r="L93" i="6"/>
  <c r="J86" i="6"/>
  <c r="J27" i="6"/>
  <c r="D11" i="6"/>
  <c r="C111" i="6" s="1"/>
  <c r="F111" i="6" s="1"/>
  <c r="K94" i="6"/>
  <c r="K95" i="6"/>
  <c r="K106" i="6" s="1"/>
  <c r="K121" i="6" s="1"/>
  <c r="H62" i="6"/>
  <c r="G66" i="6"/>
  <c r="D11" i="2"/>
  <c r="D6" i="2"/>
  <c r="D7" i="2"/>
  <c r="D8" i="2"/>
  <c r="D10" i="2"/>
  <c r="K84" i="2"/>
  <c r="K92" i="2" s="1"/>
  <c r="K93" i="2" s="1"/>
  <c r="K94" i="2" s="1"/>
  <c r="K105" i="2" s="1"/>
  <c r="K120" i="2" s="1"/>
  <c r="K138" i="2" s="1"/>
  <c r="G57" i="2"/>
  <c r="G56" i="2"/>
  <c r="M102" i="2"/>
  <c r="L102" i="2"/>
  <c r="M99" i="2"/>
  <c r="L77" i="2"/>
  <c r="L82" i="2"/>
  <c r="L125" i="2" s="1"/>
  <c r="M73" i="2"/>
  <c r="M76" i="2" s="1"/>
  <c r="M79" i="2"/>
  <c r="O29" i="2"/>
  <c r="N32" i="2"/>
  <c r="L26" i="6" l="1"/>
  <c r="L24" i="6"/>
  <c r="L36" i="6"/>
  <c r="K43" i="6"/>
  <c r="L38" i="6"/>
  <c r="L39" i="6" s="1"/>
  <c r="I88" i="6"/>
  <c r="I89" i="6"/>
  <c r="K86" i="6"/>
  <c r="K27" i="6"/>
  <c r="H66" i="6"/>
  <c r="H64" i="6"/>
  <c r="P30" i="6"/>
  <c r="P33" i="6" s="1"/>
  <c r="O33" i="6"/>
  <c r="J87" i="6"/>
  <c r="L94" i="6"/>
  <c r="L95" i="6" s="1"/>
  <c r="L106" i="6" s="1"/>
  <c r="L121" i="6" s="1"/>
  <c r="M93" i="6"/>
  <c r="L84" i="2"/>
  <c r="L92" i="2" s="1"/>
  <c r="L93" i="2" s="1"/>
  <c r="L94" i="2" s="1"/>
  <c r="L105" i="2" s="1"/>
  <c r="L120" i="2" s="1"/>
  <c r="L138" i="2" s="1"/>
  <c r="I24" i="2"/>
  <c r="J24" i="2"/>
  <c r="K24" i="2"/>
  <c r="L24" i="2"/>
  <c r="N24" i="2"/>
  <c r="H56" i="2"/>
  <c r="O24" i="2"/>
  <c r="H23" i="2"/>
  <c r="M24" i="2"/>
  <c r="P24" i="2"/>
  <c r="H57" i="2"/>
  <c r="P36" i="2"/>
  <c r="O36" i="2"/>
  <c r="N36" i="2"/>
  <c r="M36" i="2"/>
  <c r="H35" i="2"/>
  <c r="L36" i="2"/>
  <c r="K36" i="2"/>
  <c r="J36" i="2"/>
  <c r="I36" i="2"/>
  <c r="M82" i="2"/>
  <c r="M125" i="2" s="1"/>
  <c r="M77" i="2"/>
  <c r="P29" i="2"/>
  <c r="P32" i="2" s="1"/>
  <c r="O32" i="2"/>
  <c r="K87" i="6" l="1"/>
  <c r="J88" i="6"/>
  <c r="J89" i="6" s="1"/>
  <c r="M36" i="6"/>
  <c r="L43" i="6"/>
  <c r="M38" i="6"/>
  <c r="M39" i="6" s="1"/>
  <c r="L86" i="6"/>
  <c r="L27" i="6"/>
  <c r="M94" i="6"/>
  <c r="M95" i="6" s="1"/>
  <c r="M106" i="6" s="1"/>
  <c r="M26" i="6"/>
  <c r="M24" i="6"/>
  <c r="C108" i="2"/>
  <c r="G61" i="2"/>
  <c r="H59" i="2"/>
  <c r="D115" i="2"/>
  <c r="M115" i="2" s="1"/>
  <c r="I37" i="2"/>
  <c r="I38" i="2" s="1"/>
  <c r="H38" i="2"/>
  <c r="I35" i="2"/>
  <c r="H42" i="2"/>
  <c r="H120" i="2"/>
  <c r="H26" i="2"/>
  <c r="I23" i="2"/>
  <c r="I25" i="2"/>
  <c r="M84" i="2"/>
  <c r="M92" i="2" s="1"/>
  <c r="M93" i="2" s="1"/>
  <c r="M94" i="2" s="1"/>
  <c r="M105" i="2" s="1"/>
  <c r="L87" i="6" l="1"/>
  <c r="N36" i="6"/>
  <c r="M43" i="6"/>
  <c r="N38" i="6"/>
  <c r="N39" i="6" s="1"/>
  <c r="N24" i="6"/>
  <c r="N26" i="6"/>
  <c r="N27" i="6" s="1"/>
  <c r="M86" i="6"/>
  <c r="M27" i="6"/>
  <c r="K88" i="6"/>
  <c r="K89" i="6" s="1"/>
  <c r="C110" i="2"/>
  <c r="F110" i="2" s="1"/>
  <c r="C109" i="2"/>
  <c r="G65" i="2"/>
  <c r="H61" i="2"/>
  <c r="H63" i="2" s="1"/>
  <c r="I26" i="2"/>
  <c r="I85" i="2"/>
  <c r="J23" i="2"/>
  <c r="J25" i="2"/>
  <c r="I42" i="2"/>
  <c r="J35" i="2"/>
  <c r="J37" i="2"/>
  <c r="J38" i="2" s="1"/>
  <c r="M87" i="6" l="1"/>
  <c r="O24" i="6"/>
  <c r="P26" i="6" s="1"/>
  <c r="P27" i="6" s="1"/>
  <c r="O26" i="6"/>
  <c r="O27" i="6" s="1"/>
  <c r="F27" i="6" s="1"/>
  <c r="N43" i="6"/>
  <c r="O38" i="6"/>
  <c r="O39" i="6" s="1"/>
  <c r="O36" i="6"/>
  <c r="L88" i="6"/>
  <c r="L89" i="6" s="1"/>
  <c r="M119" i="6"/>
  <c r="I86" i="2"/>
  <c r="I87" i="2" s="1"/>
  <c r="I88" i="2" s="1"/>
  <c r="H65" i="2"/>
  <c r="K23" i="2"/>
  <c r="K25" i="2"/>
  <c r="J42" i="2"/>
  <c r="K35" i="2"/>
  <c r="K37" i="2"/>
  <c r="K38" i="2" s="1"/>
  <c r="J26" i="2"/>
  <c r="J85" i="2"/>
  <c r="P38" i="6" l="1"/>
  <c r="P39" i="6" s="1"/>
  <c r="F41" i="6" s="1"/>
  <c r="O43" i="6"/>
  <c r="D109" i="6"/>
  <c r="E109" i="6" s="1"/>
  <c r="F109" i="6" s="1"/>
  <c r="G7" i="6"/>
  <c r="M88" i="6"/>
  <c r="M89" i="6" s="1"/>
  <c r="J86" i="2"/>
  <c r="J87" i="2" s="1"/>
  <c r="J88" i="2" s="1"/>
  <c r="K42" i="2"/>
  <c r="L35" i="2"/>
  <c r="L37" i="2"/>
  <c r="L38" i="2" s="1"/>
  <c r="K26" i="2"/>
  <c r="K85" i="2"/>
  <c r="L23" i="2"/>
  <c r="L25" i="2"/>
  <c r="G8" i="6" l="1"/>
  <c r="D110" i="6"/>
  <c r="E110" i="6" s="1"/>
  <c r="F110" i="6" s="1"/>
  <c r="F112" i="6" s="1"/>
  <c r="D117" i="6" s="1"/>
  <c r="M117" i="6" s="1"/>
  <c r="M118" i="6" s="1"/>
  <c r="M120" i="6" s="1"/>
  <c r="M121" i="6" s="1"/>
  <c r="K86" i="2"/>
  <c r="K87" i="2" s="1"/>
  <c r="K88" i="2" s="1"/>
  <c r="L42" i="2"/>
  <c r="M37" i="2"/>
  <c r="M38" i="2" s="1"/>
  <c r="M35" i="2"/>
  <c r="L26" i="2"/>
  <c r="L85" i="2"/>
  <c r="M23" i="2"/>
  <c r="M25" i="2"/>
  <c r="D121" i="6" l="1"/>
  <c r="L86" i="2"/>
  <c r="L87" i="2" s="1"/>
  <c r="L88" i="2" s="1"/>
  <c r="M42" i="2"/>
  <c r="N37" i="2"/>
  <c r="N38" i="2" s="1"/>
  <c r="N35" i="2"/>
  <c r="M26" i="2"/>
  <c r="M85" i="2"/>
  <c r="N23" i="2"/>
  <c r="N25" i="2"/>
  <c r="N26" i="2" s="1"/>
  <c r="M86" i="2" l="1"/>
  <c r="M87" i="2" s="1"/>
  <c r="M88" i="2" s="1"/>
  <c r="M118" i="2"/>
  <c r="O23" i="2"/>
  <c r="P25" i="2" s="1"/>
  <c r="P26" i="2" s="1"/>
  <c r="O25" i="2"/>
  <c r="O26" i="2" s="1"/>
  <c r="F26" i="2" s="1"/>
  <c r="G6" i="2" s="1"/>
  <c r="N42" i="2"/>
  <c r="O35" i="2"/>
  <c r="O37" i="2"/>
  <c r="O38" i="2" s="1"/>
  <c r="D108" i="2" l="1"/>
  <c r="P37" i="2"/>
  <c r="P38" i="2" s="1"/>
  <c r="F40" i="2" s="1"/>
  <c r="G7" i="2" s="1"/>
  <c r="H139" i="2" s="1"/>
  <c r="O42" i="2"/>
  <c r="D109" i="2" l="1"/>
  <c r="E108" i="2"/>
  <c r="F108" i="2" s="1"/>
  <c r="E109" i="2" l="1"/>
  <c r="F109" i="2" s="1"/>
  <c r="F111" i="2" s="1"/>
  <c r="D116" i="2" s="1"/>
  <c r="M116" i="2" s="1"/>
  <c r="M117" i="2" s="1"/>
  <c r="M119" i="2" s="1"/>
  <c r="M120" i="2" s="1"/>
  <c r="M138" i="2" s="1"/>
  <c r="H140" i="2" s="1"/>
  <c r="H142" i="2" s="1"/>
  <c r="H144" i="2" s="1"/>
  <c r="D120" i="2" l="1"/>
</calcChain>
</file>

<file path=xl/sharedStrings.xml><?xml version="1.0" encoding="utf-8"?>
<sst xmlns="http://schemas.openxmlformats.org/spreadsheetml/2006/main" count="291" uniqueCount="135">
  <si>
    <t>TRANSACTION SOURCES &amp; USES:</t>
  </si>
  <si>
    <t>SOURCES</t>
  </si>
  <si>
    <t>Facility</t>
  </si>
  <si>
    <t>USES</t>
  </si>
  <si>
    <t>Bank Loan</t>
  </si>
  <si>
    <t>Equity</t>
  </si>
  <si>
    <t>Purchase of Stock</t>
  </si>
  <si>
    <t>Current Stock Price</t>
  </si>
  <si>
    <t>Premium</t>
  </si>
  <si>
    <t>Purchase 
Stock
 Price</t>
  </si>
  <si>
    <t>Refinancing of Debt</t>
  </si>
  <si>
    <t>Fees</t>
  </si>
  <si>
    <t>DEBT SCHEDULE</t>
  </si>
  <si>
    <t xml:space="preserve">   Outstanding</t>
  </si>
  <si>
    <t xml:space="preserve">   Principal Payment</t>
  </si>
  <si>
    <t xml:space="preserve">   Interest Payment</t>
  </si>
  <si>
    <t xml:space="preserve">   Total Payment</t>
  </si>
  <si>
    <t>Spread</t>
  </si>
  <si>
    <t>Interest Rate</t>
  </si>
  <si>
    <t>INCOME STATEMENT</t>
  </si>
  <si>
    <t xml:space="preserve">Revenues </t>
  </si>
  <si>
    <t xml:space="preserve">  Revenue Growth %</t>
  </si>
  <si>
    <t>Cost of Revenues</t>
  </si>
  <si>
    <t>Gross Profit</t>
  </si>
  <si>
    <t xml:space="preserve">   Gross Margin</t>
  </si>
  <si>
    <t>Operating Expenses</t>
  </si>
  <si>
    <t xml:space="preserve">  as Percentage of Revenues %</t>
  </si>
  <si>
    <t>EBIT</t>
  </si>
  <si>
    <t>Less Amortization of Fees</t>
  </si>
  <si>
    <t>EBITA</t>
  </si>
  <si>
    <t>Interest</t>
  </si>
  <si>
    <t>EBT</t>
  </si>
  <si>
    <t>Taxes</t>
  </si>
  <si>
    <t>Net Income</t>
  </si>
  <si>
    <t>HISTORICAL</t>
  </si>
  <si>
    <t>PROJECTED</t>
  </si>
  <si>
    <t>PROFORMA BALANCE SHEET</t>
  </si>
  <si>
    <t>DEBIT</t>
  </si>
  <si>
    <t>CREDIT</t>
  </si>
  <si>
    <t>Net PP&amp;E</t>
  </si>
  <si>
    <t>Goodwill</t>
  </si>
  <si>
    <t>Transaction Fees</t>
  </si>
  <si>
    <t>Total Assets</t>
  </si>
  <si>
    <t>Current Liabilities</t>
  </si>
  <si>
    <t>Existing Debt</t>
  </si>
  <si>
    <t>New Bank Loan</t>
  </si>
  <si>
    <t>New Corporate Bond</t>
  </si>
  <si>
    <t>Other LT Liabilities</t>
  </si>
  <si>
    <t>Total Liabilities</t>
  </si>
  <si>
    <t>Existing Equity</t>
  </si>
  <si>
    <t>Total Liabilities &amp; Equity</t>
  </si>
  <si>
    <t>Total Current Assets</t>
  </si>
  <si>
    <t>Other LT Assets</t>
  </si>
  <si>
    <t xml:space="preserve">   Total</t>
  </si>
  <si>
    <t>Total</t>
  </si>
  <si>
    <t>% Cap</t>
  </si>
  <si>
    <t>Shares
Outs
(millions)</t>
  </si>
  <si>
    <t>Amount
(millions)</t>
  </si>
  <si>
    <t>($ millions)</t>
  </si>
  <si>
    <t>EBITDA</t>
  </si>
  <si>
    <t>Debt
Capacity</t>
  </si>
  <si>
    <t>years</t>
  </si>
  <si>
    <t>tax Rate</t>
  </si>
  <si>
    <t>Total Debt Outstanding</t>
  </si>
  <si>
    <t>DCF AND EQUITY IRR</t>
  </si>
  <si>
    <t>Plus Depreciation</t>
  </si>
  <si>
    <t>Taxes (unlevered)</t>
  </si>
  <si>
    <t>Net Income (unlevered)</t>
  </si>
  <si>
    <t>Plus Amortization of Fees</t>
  </si>
  <si>
    <t>Less Working Capital</t>
  </si>
  <si>
    <t>Less Capex</t>
  </si>
  <si>
    <t>Terminal Value</t>
  </si>
  <si>
    <t xml:space="preserve">  EBITDA Multiple</t>
  </si>
  <si>
    <t xml:space="preserve">  Perpetutuity Mathod</t>
  </si>
  <si>
    <t xml:space="preserve">  Average Terminal Value</t>
  </si>
  <si>
    <t xml:space="preserve">  Less Debt</t>
  </si>
  <si>
    <t xml:space="preserve">   Percentage of Revenue</t>
  </si>
  <si>
    <t xml:space="preserve">   WC as % of Revenue</t>
  </si>
  <si>
    <t xml:space="preserve">  Capex as % of Recvenue</t>
  </si>
  <si>
    <t>Assumptions</t>
  </si>
  <si>
    <t>EXIT YR</t>
  </si>
  <si>
    <t>WACC=</t>
  </si>
  <si>
    <t xml:space="preserve">     Debt IRR</t>
  </si>
  <si>
    <t>WACC Calculation</t>
  </si>
  <si>
    <t>AT Inter.</t>
  </si>
  <si>
    <t>WACC</t>
  </si>
  <si>
    <t>Growth=</t>
  </si>
  <si>
    <t>Multiple</t>
  </si>
  <si>
    <t>Equity Terminal Value</t>
  </si>
  <si>
    <t>Equity Value + TV</t>
  </si>
  <si>
    <t>IRR=</t>
  </si>
  <si>
    <t>FYE June 30</t>
  </si>
  <si>
    <t>Pricing</t>
  </si>
  <si>
    <t>SOFR Rate</t>
  </si>
  <si>
    <t>SOFR Increase</t>
  </si>
  <si>
    <t>Subordinated Bonds</t>
  </si>
  <si>
    <t>CREDIT ANALYSIS</t>
  </si>
  <si>
    <t>Leverage Ratio</t>
  </si>
  <si>
    <t xml:space="preserve">  Debt / EBITDA</t>
  </si>
  <si>
    <t xml:space="preserve">  Covenant</t>
  </si>
  <si>
    <t xml:space="preserve"> EBITDA Cushion</t>
  </si>
  <si>
    <t>Coverage Ratio</t>
  </si>
  <si>
    <t xml:space="preserve">  EBITDA / Interest</t>
  </si>
  <si>
    <t xml:space="preserve"> Covenant</t>
  </si>
  <si>
    <t>Debt IRR</t>
  </si>
  <si>
    <t xml:space="preserve"> Total Debt</t>
  </si>
  <si>
    <t>Debt Schedule Payment</t>
  </si>
  <si>
    <t>DEBT ASSUMPTIONS</t>
  </si>
  <si>
    <t>Retained Earnings</t>
  </si>
  <si>
    <t>Total Net Worth</t>
  </si>
  <si>
    <t>1st Yr
EBITDA
(LTM)</t>
  </si>
  <si>
    <t xml:space="preserve">  Total Cash Flows (Unlevered)</t>
  </si>
  <si>
    <t>Equity Cash Flow (Unlevered)</t>
  </si>
  <si>
    <t>WACD=</t>
  </si>
  <si>
    <t>NPV (Debt)</t>
  </si>
  <si>
    <t>Cushion</t>
  </si>
  <si>
    <t>Max Debt</t>
  </si>
  <si>
    <t>Proposed</t>
  </si>
  <si>
    <t>Proposed/Max</t>
  </si>
  <si>
    <t>Debt Capacity (DCR) Analysis</t>
  </si>
  <si>
    <t>Crox Inc.</t>
  </si>
  <si>
    <t>LTM
9/30/2025</t>
  </si>
  <si>
    <t>S+4.0%</t>
  </si>
  <si>
    <t>EBITDA =</t>
  </si>
  <si>
    <t xml:space="preserve">NPV (Debt) = </t>
  </si>
  <si>
    <t xml:space="preserve">WACD= </t>
  </si>
  <si>
    <t>Cushion =</t>
  </si>
  <si>
    <t>Max Debt =</t>
  </si>
  <si>
    <t>Proposed =</t>
  </si>
  <si>
    <t>Proposed/Max =</t>
  </si>
  <si>
    <t>Senior Leverage Ratio</t>
  </si>
  <si>
    <t xml:space="preserve">  Bank Debt / EBITDA</t>
  </si>
  <si>
    <t xml:space="preserve"> Total Debt / EBITDA</t>
  </si>
  <si>
    <t>Total Leverage Ratio</t>
  </si>
  <si>
    <t>LBO and Covenant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</si>
</sst>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0.0\x"/>
    <numFmt numFmtId="167" formatCode="_(* #,##0_);_(* \(#,##0\);_(* &quot;-&quot;??_);_(@_)"/>
    <numFmt numFmtId="168" formatCode="0.00\x"/>
    <numFmt numFmtId="169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22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0" borderId="2" xfId="0" applyBorder="1"/>
    <xf numFmtId="164" fontId="0" fillId="0" borderId="2" xfId="3" applyNumberFormat="1" applyFont="1" applyBorder="1"/>
    <xf numFmtId="164" fontId="0" fillId="0" borderId="0" xfId="3" applyNumberFormat="1" applyFont="1"/>
    <xf numFmtId="0" fontId="0" fillId="0" borderId="0" xfId="0" applyAlignment="1">
      <alignment horizontal="right"/>
    </xf>
    <xf numFmtId="10" fontId="0" fillId="0" borderId="2" xfId="0" applyNumberFormat="1" applyBorder="1"/>
    <xf numFmtId="0" fontId="0" fillId="0" borderId="0" xfId="0" applyAlignment="1">
      <alignment vertical="center"/>
    </xf>
    <xf numFmtId="0" fontId="2" fillId="2" borderId="0" xfId="0" quotePrefix="1" applyFont="1" applyFill="1"/>
    <xf numFmtId="0" fontId="2" fillId="2" borderId="0" xfId="0" applyFont="1" applyFill="1" applyAlignment="1">
      <alignment vertical="center"/>
    </xf>
    <xf numFmtId="164" fontId="0" fillId="0" borderId="4" xfId="3" applyNumberFormat="1" applyFont="1" applyBorder="1"/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65" fontId="0" fillId="0" borderId="2" xfId="0" applyNumberFormat="1" applyBorder="1"/>
    <xf numFmtId="3" fontId="0" fillId="0" borderId="0" xfId="0" applyNumberFormat="1"/>
    <xf numFmtId="165" fontId="0" fillId="0" borderId="4" xfId="0" applyNumberFormat="1" applyBorder="1"/>
    <xf numFmtId="165" fontId="3" fillId="0" borderId="1" xfId="0" applyNumberFormat="1" applyFont="1" applyBorder="1"/>
    <xf numFmtId="165" fontId="3" fillId="0" borderId="2" xfId="0" applyNumberFormat="1" applyFont="1" applyBorder="1"/>
    <xf numFmtId="167" fontId="0" fillId="0" borderId="2" xfId="1" applyNumberFormat="1" applyFont="1" applyBorder="1"/>
    <xf numFmtId="167" fontId="0" fillId="0" borderId="2" xfId="0" applyNumberFormat="1" applyBorder="1"/>
    <xf numFmtId="164" fontId="0" fillId="0" borderId="0" xfId="3" applyNumberFormat="1" applyFont="1" applyBorder="1"/>
    <xf numFmtId="167" fontId="0" fillId="0" borderId="0" xfId="1" applyNumberFormat="1" applyFont="1"/>
    <xf numFmtId="164" fontId="3" fillId="0" borderId="2" xfId="3" applyNumberFormat="1" applyFont="1" applyBorder="1"/>
    <xf numFmtId="0" fontId="2" fillId="2" borderId="0" xfId="0" applyFont="1" applyFill="1" applyAlignment="1">
      <alignment horizontal="center" wrapText="1"/>
    </xf>
    <xf numFmtId="9" fontId="0" fillId="0" borderId="0" xfId="0" applyNumberFormat="1"/>
    <xf numFmtId="167" fontId="0" fillId="0" borderId="3" xfId="0" applyNumberFormat="1" applyBorder="1"/>
    <xf numFmtId="3" fontId="0" fillId="0" borderId="2" xfId="0" applyNumberFormat="1" applyBorder="1"/>
    <xf numFmtId="167" fontId="0" fillId="0" borderId="0" xfId="0" applyNumberFormat="1"/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6" fillId="0" borderId="0" xfId="0" applyNumberFormat="1" applyFont="1"/>
    <xf numFmtId="10" fontId="0" fillId="0" borderId="0" xfId="3" applyNumberFormat="1" applyFont="1"/>
    <xf numFmtId="0" fontId="3" fillId="3" borderId="0" xfId="0" applyFont="1" applyFill="1" applyAlignment="1">
      <alignment horizontal="center"/>
    </xf>
    <xf numFmtId="10" fontId="0" fillId="0" borderId="1" xfId="0" applyNumberFormat="1" applyBorder="1"/>
    <xf numFmtId="164" fontId="3" fillId="4" borderId="2" xfId="0" applyNumberFormat="1" applyFont="1" applyFill="1" applyBorder="1"/>
    <xf numFmtId="167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10" fontId="0" fillId="0" borderId="0" xfId="3" applyNumberFormat="1" applyFont="1" applyBorder="1"/>
    <xf numFmtId="0" fontId="3" fillId="0" borderId="2" xfId="0" applyFont="1" applyBorder="1" applyAlignment="1">
      <alignment horizontal="right"/>
    </xf>
    <xf numFmtId="165" fontId="6" fillId="0" borderId="5" xfId="2" applyNumberFormat="1" applyFont="1" applyBorder="1"/>
    <xf numFmtId="164" fontId="6" fillId="0" borderId="2" xfId="3" applyNumberFormat="1" applyFont="1" applyBorder="1"/>
    <xf numFmtId="167" fontId="0" fillId="0" borderId="7" xfId="0" applyNumberFormat="1" applyBorder="1"/>
    <xf numFmtId="164" fontId="7" fillId="0" borderId="2" xfId="3" applyNumberFormat="1" applyFont="1" applyBorder="1"/>
    <xf numFmtId="166" fontId="6" fillId="0" borderId="2" xfId="0" applyNumberFormat="1" applyFont="1" applyBorder="1" applyAlignment="1">
      <alignment horizontal="center"/>
    </xf>
    <xf numFmtId="166" fontId="3" fillId="4" borderId="6" xfId="0" applyNumberFormat="1" applyFont="1" applyFill="1" applyBorder="1" applyAlignment="1">
      <alignment horizontal="center"/>
    </xf>
    <xf numFmtId="167" fontId="0" fillId="0" borderId="1" xfId="0" applyNumberFormat="1" applyBorder="1"/>
    <xf numFmtId="0" fontId="3" fillId="3" borderId="4" xfId="0" applyFont="1" applyFill="1" applyBorder="1" applyAlignment="1">
      <alignment horizontal="center" vertical="center" wrapText="1"/>
    </xf>
    <xf numFmtId="167" fontId="0" fillId="0" borderId="8" xfId="0" applyNumberFormat="1" applyBorder="1"/>
    <xf numFmtId="0" fontId="8" fillId="0" borderId="0" xfId="0" applyFont="1"/>
    <xf numFmtId="0" fontId="3" fillId="3" borderId="0" xfId="0" applyFont="1" applyFill="1" applyAlignment="1">
      <alignment horizontal="center" vertical="center"/>
    </xf>
    <xf numFmtId="164" fontId="3" fillId="0" borderId="2" xfId="3" applyNumberFormat="1" applyFont="1" applyFill="1" applyBorder="1"/>
    <xf numFmtId="164" fontId="0" fillId="0" borderId="2" xfId="3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9" fontId="6" fillId="0" borderId="2" xfId="3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3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0" fontId="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9" fillId="0" borderId="6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167" fontId="0" fillId="0" borderId="11" xfId="1" applyNumberFormat="1" applyFont="1" applyBorder="1"/>
    <xf numFmtId="167" fontId="0" fillId="0" borderId="10" xfId="1" applyNumberFormat="1" applyFont="1" applyBorder="1"/>
    <xf numFmtId="167" fontId="0" fillId="0" borderId="11" xfId="1" applyNumberFormat="1" applyFont="1" applyFill="1" applyBorder="1"/>
    <xf numFmtId="167" fontId="0" fillId="0" borderId="12" xfId="1" applyNumberFormat="1" applyFont="1" applyBorder="1"/>
    <xf numFmtId="167" fontId="0" fillId="0" borderId="13" xfId="1" applyNumberFormat="1" applyFont="1" applyBorder="1"/>
    <xf numFmtId="167" fontId="0" fillId="0" borderId="14" xfId="1" applyNumberFormat="1" applyFont="1" applyBorder="1"/>
    <xf numFmtId="167" fontId="0" fillId="0" borderId="16" xfId="1" applyNumberFormat="1" applyFont="1" applyBorder="1"/>
    <xf numFmtId="0" fontId="2" fillId="2" borderId="17" xfId="0" applyFont="1" applyFill="1" applyBorder="1" applyAlignment="1">
      <alignment horizontal="center" wrapText="1"/>
    </xf>
    <xf numFmtId="167" fontId="0" fillId="0" borderId="18" xfId="1" applyNumberFormat="1" applyFont="1" applyBorder="1"/>
    <xf numFmtId="167" fontId="0" fillId="0" borderId="19" xfId="1" applyNumberFormat="1" applyFont="1" applyBorder="1"/>
    <xf numFmtId="167" fontId="0" fillId="0" borderId="20" xfId="1" applyNumberFormat="1" applyFont="1" applyBorder="1"/>
    <xf numFmtId="167" fontId="0" fillId="0" borderId="21" xfId="1" applyNumberFormat="1" applyFont="1" applyBorder="1"/>
    <xf numFmtId="0" fontId="2" fillId="2" borderId="1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64" fontId="3" fillId="0" borderId="22" xfId="3" applyNumberFormat="1" applyFont="1" applyBorder="1"/>
    <xf numFmtId="165" fontId="3" fillId="0" borderId="3" xfId="0" applyNumberFormat="1" applyFont="1" applyBorder="1"/>
    <xf numFmtId="166" fontId="10" fillId="0" borderId="2" xfId="0" applyNumberFormat="1" applyFont="1" applyBorder="1" applyAlignment="1">
      <alignment horizontal="center"/>
    </xf>
    <xf numFmtId="167" fontId="0" fillId="0" borderId="24" xfId="1" applyNumberFormat="1" applyFont="1" applyBorder="1"/>
    <xf numFmtId="44" fontId="6" fillId="0" borderId="2" xfId="2" applyFont="1" applyBorder="1"/>
    <xf numFmtId="44" fontId="7" fillId="4" borderId="2" xfId="2" applyFont="1" applyFill="1" applyBorder="1"/>
    <xf numFmtId="164" fontId="6" fillId="4" borderId="2" xfId="3" applyNumberFormat="1" applyFont="1" applyFill="1" applyBorder="1"/>
    <xf numFmtId="164" fontId="7" fillId="4" borderId="2" xfId="3" applyNumberFormat="1" applyFont="1" applyFill="1" applyBorder="1"/>
    <xf numFmtId="43" fontId="0" fillId="0" borderId="0" xfId="0" applyNumberFormat="1"/>
    <xf numFmtId="168" fontId="0" fillId="0" borderId="0" xfId="0" applyNumberFormat="1"/>
    <xf numFmtId="168" fontId="6" fillId="0" borderId="0" xfId="0" applyNumberFormat="1" applyFont="1"/>
    <xf numFmtId="169" fontId="0" fillId="0" borderId="0" xfId="3" applyNumberFormat="1" applyFont="1"/>
    <xf numFmtId="6" fontId="0" fillId="0" borderId="0" xfId="0" applyNumberFormat="1"/>
    <xf numFmtId="6" fontId="3" fillId="4" borderId="6" xfId="0" applyNumberFormat="1" applyFont="1" applyFill="1" applyBorder="1"/>
    <xf numFmtId="168" fontId="3" fillId="4" borderId="6" xfId="0" applyNumberFormat="1" applyFont="1" applyFill="1" applyBorder="1"/>
    <xf numFmtId="167" fontId="0" fillId="4" borderId="23" xfId="1" applyNumberFormat="1" applyFont="1" applyFill="1" applyBorder="1"/>
    <xf numFmtId="167" fontId="0" fillId="4" borderId="19" xfId="1" applyNumberFormat="1" applyFont="1" applyFill="1" applyBorder="1"/>
    <xf numFmtId="10" fontId="0" fillId="0" borderId="2" xfId="0" quotePrefix="1" applyNumberForma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25" xfId="0" applyBorder="1"/>
    <xf numFmtId="167" fontId="3" fillId="4" borderId="26" xfId="0" applyNumberFormat="1" applyFont="1" applyFill="1" applyBorder="1"/>
    <xf numFmtId="168" fontId="0" fillId="0" borderId="2" xfId="0" applyNumberFormat="1" applyBorder="1"/>
    <xf numFmtId="169" fontId="0" fillId="0" borderId="2" xfId="3" applyNumberFormat="1" applyFont="1" applyBorder="1"/>
    <xf numFmtId="6" fontId="0" fillId="0" borderId="2" xfId="0" applyNumberFormat="1" applyBorder="1"/>
    <xf numFmtId="9" fontId="0" fillId="0" borderId="2" xfId="0" applyNumberFormat="1" applyBorder="1"/>
    <xf numFmtId="6" fontId="3" fillId="4" borderId="2" xfId="0" applyNumberFormat="1" applyFont="1" applyFill="1" applyBorder="1"/>
    <xf numFmtId="168" fontId="3" fillId="4" borderId="2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0A0A-1563-442F-AE11-178CF19A06CC}">
  <dimension ref="A1:AB144"/>
  <sheetViews>
    <sheetView topLeftCell="A128" zoomScaleNormal="100" workbookViewId="0">
      <selection activeCell="A128" sqref="A1:XFD1048576"/>
    </sheetView>
  </sheetViews>
  <sheetFormatPr defaultRowHeight="14.5" x14ac:dyDescent="0.35"/>
  <cols>
    <col min="1" max="1" width="3.81640625" customWidth="1"/>
    <col min="2" max="2" width="25.6328125" customWidth="1"/>
    <col min="3" max="4" width="10.26953125" customWidth="1"/>
    <col min="5" max="5" width="12.54296875" customWidth="1"/>
    <col min="6" max="6" width="11.81640625" customWidth="1"/>
    <col min="7" max="7" width="10.26953125" customWidth="1"/>
    <col min="8" max="8" width="11.453125" customWidth="1"/>
    <col min="9" max="9" width="16.453125" bestFit="1" customWidth="1"/>
    <col min="10" max="16" width="11.453125" customWidth="1"/>
    <col min="20" max="20" width="10.54296875" customWidth="1"/>
  </cols>
  <sheetData>
    <row r="1" spans="1:28" ht="28.5" x14ac:dyDescent="0.65">
      <c r="A1" s="3"/>
      <c r="B1" s="56" t="s">
        <v>120</v>
      </c>
    </row>
    <row r="3" spans="1:28" x14ac:dyDescent="0.35">
      <c r="B3" s="6" t="s">
        <v>0</v>
      </c>
      <c r="C3" s="5"/>
      <c r="D3" s="5"/>
      <c r="E3" s="5"/>
      <c r="F3" s="5"/>
      <c r="G3" s="5"/>
      <c r="I3" s="6" t="s">
        <v>107</v>
      </c>
      <c r="J3" s="5"/>
      <c r="K3" s="5"/>
      <c r="L3" s="5"/>
      <c r="M3" s="5"/>
      <c r="N3" s="5"/>
      <c r="O3" s="5"/>
      <c r="P3" s="5"/>
    </row>
    <row r="4" spans="1:28" x14ac:dyDescent="0.35">
      <c r="B4" s="4" t="s">
        <v>1</v>
      </c>
      <c r="C4" s="4"/>
      <c r="D4" s="4"/>
      <c r="E4" s="4"/>
      <c r="F4" s="4"/>
      <c r="G4" s="4"/>
      <c r="I4" s="4" t="s">
        <v>106</v>
      </c>
      <c r="J4" s="4"/>
      <c r="K4" s="4"/>
      <c r="L4" s="4"/>
      <c r="M4" s="4"/>
      <c r="N4" s="4"/>
      <c r="O4" s="4"/>
      <c r="P4" s="4"/>
    </row>
    <row r="5" spans="1:28" s="12" customFormat="1" ht="29" x14ac:dyDescent="0.35">
      <c r="B5" s="16" t="s">
        <v>2</v>
      </c>
      <c r="C5" s="17" t="s">
        <v>57</v>
      </c>
      <c r="D5" s="18" t="s">
        <v>55</v>
      </c>
      <c r="E5" s="54" t="s">
        <v>60</v>
      </c>
      <c r="F5" s="54" t="s">
        <v>92</v>
      </c>
      <c r="G5" s="54" t="s">
        <v>30</v>
      </c>
      <c r="H5"/>
      <c r="I5" s="17">
        <f t="shared" ref="I5:P5" si="0">I21</f>
        <v>2025</v>
      </c>
      <c r="J5" s="17">
        <f t="shared" si="0"/>
        <v>2026</v>
      </c>
      <c r="K5" s="17">
        <f t="shared" si="0"/>
        <v>2027</v>
      </c>
      <c r="L5" s="17">
        <f t="shared" si="0"/>
        <v>2028</v>
      </c>
      <c r="M5" s="17">
        <f t="shared" si="0"/>
        <v>2029</v>
      </c>
      <c r="N5" s="17">
        <f t="shared" si="0"/>
        <v>2030</v>
      </c>
      <c r="O5" s="17">
        <f t="shared" si="0"/>
        <v>2031</v>
      </c>
      <c r="P5" s="17">
        <f t="shared" si="0"/>
        <v>2032</v>
      </c>
      <c r="AB5"/>
    </row>
    <row r="6" spans="1:28" x14ac:dyDescent="0.35">
      <c r="B6" t="s">
        <v>4</v>
      </c>
      <c r="C6" s="21">
        <f>MIN(0.5*G18,G10*4)</f>
        <v>3018.4981210000001</v>
      </c>
      <c r="D6" s="15">
        <f>C6/$C$11</f>
        <v>0.5</v>
      </c>
      <c r="E6" s="51">
        <f>C6/G10</f>
        <v>3.0386932765157222</v>
      </c>
      <c r="F6" s="102" t="s">
        <v>122</v>
      </c>
      <c r="G6" s="84">
        <f>F26</f>
        <v>7.7332704360806748E-2</v>
      </c>
      <c r="I6" s="11">
        <v>0.01</v>
      </c>
      <c r="J6" s="11">
        <v>0.01</v>
      </c>
      <c r="K6" s="11">
        <v>0.01</v>
      </c>
      <c r="L6" s="11">
        <v>0.01</v>
      </c>
      <c r="M6" s="11">
        <v>0.01</v>
      </c>
      <c r="N6" s="11">
        <v>0.01</v>
      </c>
      <c r="O6" s="11">
        <v>0.94</v>
      </c>
      <c r="P6" s="7"/>
    </row>
    <row r="7" spans="1:28" x14ac:dyDescent="0.35">
      <c r="B7" t="s">
        <v>95</v>
      </c>
      <c r="C7" s="21">
        <f>MIN(0.2*G18,G10*2)</f>
        <v>1207.3992484</v>
      </c>
      <c r="D7" s="8">
        <f t="shared" ref="D7:D11" si="1">C7/$C$11</f>
        <v>0.2</v>
      </c>
      <c r="E7" s="51">
        <f>C7/G10</f>
        <v>1.2154773106062888</v>
      </c>
      <c r="F7" s="11">
        <v>0.08</v>
      </c>
      <c r="G7" s="84">
        <f>F40</f>
        <v>8.0000000000000071E-2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1</v>
      </c>
    </row>
    <row r="8" spans="1:28" x14ac:dyDescent="0.35">
      <c r="B8" t="s">
        <v>105</v>
      </c>
      <c r="C8" s="21">
        <f>C7+C6</f>
        <v>4225.8973693999997</v>
      </c>
      <c r="D8" s="8">
        <f t="shared" si="1"/>
        <v>0.7</v>
      </c>
      <c r="E8" s="87">
        <f>E7+E6</f>
        <v>4.2541705871220108</v>
      </c>
      <c r="H8" s="37"/>
      <c r="I8" s="37"/>
      <c r="J8" s="37"/>
      <c r="K8" s="37"/>
      <c r="L8" s="37"/>
      <c r="M8" s="37"/>
      <c r="N8" s="37"/>
      <c r="O8" s="37"/>
      <c r="P8" s="37"/>
    </row>
    <row r="9" spans="1:28" ht="15" thickBot="1" x14ac:dyDescent="0.4">
      <c r="L9" s="37"/>
      <c r="M9" s="37"/>
      <c r="N9" s="37"/>
      <c r="O9" s="37"/>
      <c r="P9" s="37"/>
    </row>
    <row r="10" spans="1:28" ht="15" thickBot="1" x14ac:dyDescent="0.4">
      <c r="B10" t="s">
        <v>5</v>
      </c>
      <c r="C10" s="19">
        <f>G18-C8</f>
        <v>1811.0988726000005</v>
      </c>
      <c r="D10" s="8">
        <f t="shared" si="1"/>
        <v>0.3000000000000001</v>
      </c>
      <c r="F10" s="104" t="s">
        <v>123</v>
      </c>
      <c r="G10" s="105">
        <f>E82+E96</f>
        <v>993.3540000000005</v>
      </c>
      <c r="H10" s="37"/>
    </row>
    <row r="11" spans="1:28" ht="15" thickBot="1" x14ac:dyDescent="0.4">
      <c r="B11" t="s">
        <v>53</v>
      </c>
      <c r="C11" s="86">
        <f>C10+C8</f>
        <v>6036.9962420000002</v>
      </c>
      <c r="D11" s="85">
        <f t="shared" si="1"/>
        <v>1</v>
      </c>
    </row>
    <row r="12" spans="1:28" ht="15" thickTop="1" x14ac:dyDescent="0.35"/>
    <row r="13" spans="1:28" x14ac:dyDescent="0.35">
      <c r="B13" s="4" t="s">
        <v>3</v>
      </c>
      <c r="C13" s="4"/>
      <c r="D13" s="4"/>
      <c r="E13" s="4"/>
      <c r="F13" s="4"/>
      <c r="G13" s="4"/>
      <c r="H13" s="4"/>
    </row>
    <row r="14" spans="1:28" ht="43.5" x14ac:dyDescent="0.35">
      <c r="B14" s="64"/>
      <c r="C14" s="17" t="s">
        <v>7</v>
      </c>
      <c r="D14" s="17" t="s">
        <v>8</v>
      </c>
      <c r="E14" s="17" t="s">
        <v>9</v>
      </c>
      <c r="F14" s="17" t="s">
        <v>56</v>
      </c>
      <c r="G14" s="17" t="s">
        <v>57</v>
      </c>
      <c r="H14" s="54" t="s">
        <v>110</v>
      </c>
    </row>
    <row r="15" spans="1:28" x14ac:dyDescent="0.35">
      <c r="B15" s="65" t="s">
        <v>6</v>
      </c>
      <c r="C15" s="89">
        <v>77.62</v>
      </c>
      <c r="D15" s="61">
        <v>0</v>
      </c>
      <c r="E15" s="90">
        <f>C15*(1+D15)</f>
        <v>77.62</v>
      </c>
      <c r="F15" s="7">
        <v>54.62</v>
      </c>
      <c r="G15" s="19">
        <f>F15*E15</f>
        <v>4239.6044000000002</v>
      </c>
      <c r="H15" s="47"/>
    </row>
    <row r="16" spans="1:28" x14ac:dyDescent="0.35">
      <c r="B16" s="65" t="s">
        <v>10</v>
      </c>
      <c r="G16" s="19">
        <f>E55</f>
        <v>1621.557</v>
      </c>
    </row>
    <row r="17" spans="2:16" ht="15" thickBot="1" x14ac:dyDescent="0.4">
      <c r="B17" s="65" t="s">
        <v>11</v>
      </c>
      <c r="C17" s="11">
        <v>0.03</v>
      </c>
      <c r="G17" s="19">
        <f>C17*(G15+G16)</f>
        <v>175.83484199999998</v>
      </c>
    </row>
    <row r="18" spans="2:16" ht="15" thickBot="1" x14ac:dyDescent="0.4">
      <c r="B18" s="65" t="s">
        <v>54</v>
      </c>
      <c r="G18" s="23">
        <f>SUM(G15:G17)</f>
        <v>6036.9962420000002</v>
      </c>
      <c r="H18" s="52">
        <f>G18/G10</f>
        <v>6.0773865530314444</v>
      </c>
    </row>
    <row r="20" spans="2:16" x14ac:dyDescent="0.35">
      <c r="B20" s="6" t="s">
        <v>12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s="12" customFormat="1" ht="30.5" customHeight="1" x14ac:dyDescent="0.35">
      <c r="B21" s="14" t="s">
        <v>58</v>
      </c>
      <c r="C21" s="14"/>
      <c r="D21" s="14"/>
      <c r="E21" s="14"/>
      <c r="F21" s="69" t="s">
        <v>104</v>
      </c>
      <c r="G21" s="14"/>
      <c r="H21" s="60" t="s">
        <v>121</v>
      </c>
      <c r="I21" s="14">
        <v>2025</v>
      </c>
      <c r="J21" s="14">
        <f t="shared" ref="J21:P21" si="2">+I21+1</f>
        <v>2026</v>
      </c>
      <c r="K21" s="14">
        <f t="shared" si="2"/>
        <v>2027</v>
      </c>
      <c r="L21" s="14">
        <f t="shared" si="2"/>
        <v>2028</v>
      </c>
      <c r="M21" s="14">
        <f t="shared" si="2"/>
        <v>2029</v>
      </c>
      <c r="N21" s="14">
        <f t="shared" si="2"/>
        <v>2030</v>
      </c>
      <c r="O21" s="14">
        <f t="shared" si="2"/>
        <v>2031</v>
      </c>
      <c r="P21" s="14">
        <f t="shared" si="2"/>
        <v>2032</v>
      </c>
    </row>
    <row r="22" spans="2:16" x14ac:dyDescent="0.35">
      <c r="B22" s="2" t="s">
        <v>4</v>
      </c>
    </row>
    <row r="23" spans="2:16" x14ac:dyDescent="0.35">
      <c r="B23" t="s">
        <v>13</v>
      </c>
      <c r="H23" s="19">
        <f>+C6</f>
        <v>3018.4981210000001</v>
      </c>
      <c r="I23" s="25">
        <f>+H23-I24</f>
        <v>2988.3131397900002</v>
      </c>
      <c r="J23" s="25">
        <f t="shared" ref="J23:O23" si="3">+I23-J24</f>
        <v>2958.1281585800002</v>
      </c>
      <c r="K23" s="25">
        <f t="shared" si="3"/>
        <v>2927.9431773700003</v>
      </c>
      <c r="L23" s="25">
        <f t="shared" si="3"/>
        <v>2897.7581961600004</v>
      </c>
      <c r="M23" s="25">
        <f t="shared" si="3"/>
        <v>2867.5732149500004</v>
      </c>
      <c r="N23" s="25">
        <f t="shared" si="3"/>
        <v>2837.3882337400005</v>
      </c>
      <c r="O23" s="25">
        <f t="shared" si="3"/>
        <v>0</v>
      </c>
      <c r="P23" s="7"/>
    </row>
    <row r="24" spans="2:16" x14ac:dyDescent="0.35">
      <c r="B24" t="s">
        <v>14</v>
      </c>
      <c r="I24" s="24">
        <f t="shared" ref="I24:P24" si="4">$C$6*I6</f>
        <v>30.18498121</v>
      </c>
      <c r="J24" s="24">
        <f t="shared" si="4"/>
        <v>30.18498121</v>
      </c>
      <c r="K24" s="24">
        <f t="shared" si="4"/>
        <v>30.18498121</v>
      </c>
      <c r="L24" s="24">
        <f t="shared" si="4"/>
        <v>30.18498121</v>
      </c>
      <c r="M24" s="24">
        <f t="shared" si="4"/>
        <v>30.18498121</v>
      </c>
      <c r="N24" s="24">
        <f t="shared" si="4"/>
        <v>30.18498121</v>
      </c>
      <c r="O24" s="24">
        <f t="shared" si="4"/>
        <v>2837.38823374</v>
      </c>
      <c r="P24" s="24">
        <f t="shared" si="4"/>
        <v>0</v>
      </c>
    </row>
    <row r="25" spans="2:16" x14ac:dyDescent="0.35">
      <c r="B25" t="s">
        <v>15</v>
      </c>
      <c r="I25" s="24">
        <f>+H23*I32</f>
        <v>196.20237786500002</v>
      </c>
      <c r="J25" s="24">
        <f t="shared" ref="J25:P25" si="5">+I23*J32</f>
        <v>209.18191978530004</v>
      </c>
      <c r="K25" s="24">
        <f t="shared" si="5"/>
        <v>221.85961189350004</v>
      </c>
      <c r="L25" s="24">
        <f t="shared" si="5"/>
        <v>248.87517007645005</v>
      </c>
      <c r="M25" s="24">
        <f t="shared" si="5"/>
        <v>246.30944667360004</v>
      </c>
      <c r="N25" s="24">
        <f t="shared" si="5"/>
        <v>243.74372327075005</v>
      </c>
      <c r="O25" s="24">
        <f t="shared" si="5"/>
        <v>241.17799986790007</v>
      </c>
      <c r="P25" s="24">
        <f t="shared" si="5"/>
        <v>0</v>
      </c>
    </row>
    <row r="26" spans="2:16" x14ac:dyDescent="0.35">
      <c r="B26" t="s">
        <v>16</v>
      </c>
      <c r="F26" s="66">
        <f>IRR(H26:O26)</f>
        <v>7.7332704360806748E-2</v>
      </c>
      <c r="H26" s="35">
        <f>-H23</f>
        <v>-3018.4981210000001</v>
      </c>
      <c r="I26" s="25">
        <f>+I25+I24</f>
        <v>226.38735907500001</v>
      </c>
      <c r="J26" s="25">
        <f t="shared" ref="J26:P26" si="6">+J25+J24</f>
        <v>239.36690099530003</v>
      </c>
      <c r="K26" s="25">
        <f t="shared" si="6"/>
        <v>252.04459310350003</v>
      </c>
      <c r="L26" s="25">
        <f t="shared" si="6"/>
        <v>279.06015128645004</v>
      </c>
      <c r="M26" s="25">
        <f t="shared" si="6"/>
        <v>276.49442788360005</v>
      </c>
      <c r="N26" s="25">
        <f t="shared" si="6"/>
        <v>273.92870448075007</v>
      </c>
      <c r="O26" s="25">
        <f t="shared" si="6"/>
        <v>3078.5662336078999</v>
      </c>
      <c r="P26" s="25">
        <f t="shared" si="6"/>
        <v>0</v>
      </c>
    </row>
    <row r="27" spans="2:16" x14ac:dyDescent="0.35">
      <c r="B27" t="s">
        <v>82</v>
      </c>
      <c r="F27" s="67"/>
    </row>
    <row r="28" spans="2:16" x14ac:dyDescent="0.35">
      <c r="F28" s="67"/>
    </row>
    <row r="29" spans="2:16" x14ac:dyDescent="0.35">
      <c r="B29" s="1" t="s">
        <v>93</v>
      </c>
      <c r="F29" s="67"/>
      <c r="H29" s="50">
        <v>0.02</v>
      </c>
      <c r="I29" s="28">
        <f>+H29+I30</f>
        <v>2.5000000000000001E-2</v>
      </c>
      <c r="J29" s="28">
        <f t="shared" ref="J29:P29" si="7">+I29+J30</f>
        <v>3.0000000000000002E-2</v>
      </c>
      <c r="K29" s="28">
        <f t="shared" si="7"/>
        <v>3.5000000000000003E-2</v>
      </c>
      <c r="L29" s="28">
        <f t="shared" si="7"/>
        <v>4.5000000000000005E-2</v>
      </c>
      <c r="M29" s="28">
        <f t="shared" si="7"/>
        <v>4.5000000000000005E-2</v>
      </c>
      <c r="N29" s="28">
        <f t="shared" si="7"/>
        <v>4.5000000000000005E-2</v>
      </c>
      <c r="O29" s="28">
        <f t="shared" si="7"/>
        <v>4.5000000000000005E-2</v>
      </c>
      <c r="P29" s="28">
        <f t="shared" si="7"/>
        <v>4.5000000000000005E-2</v>
      </c>
    </row>
    <row r="30" spans="2:16" x14ac:dyDescent="0.35">
      <c r="B30" t="s">
        <v>94</v>
      </c>
      <c r="F30" s="67"/>
      <c r="H30" s="26"/>
      <c r="I30" s="48">
        <v>5.0000000000000001E-3</v>
      </c>
      <c r="J30" s="48">
        <v>5.0000000000000001E-3</v>
      </c>
      <c r="K30" s="48">
        <v>5.0000000000000001E-3</v>
      </c>
      <c r="L30" s="48">
        <v>0.01</v>
      </c>
      <c r="M30" s="48"/>
      <c r="N30" s="48"/>
      <c r="O30" s="48"/>
      <c r="P30" s="48"/>
    </row>
    <row r="31" spans="2:16" x14ac:dyDescent="0.35">
      <c r="B31" t="s">
        <v>17</v>
      </c>
      <c r="F31" s="67"/>
      <c r="H31" s="26"/>
      <c r="I31" s="8">
        <v>0.04</v>
      </c>
      <c r="J31" s="8">
        <v>0.04</v>
      </c>
      <c r="K31" s="8">
        <v>0.04</v>
      </c>
      <c r="L31" s="8">
        <v>0.04</v>
      </c>
      <c r="M31" s="8">
        <v>0.04</v>
      </c>
      <c r="N31" s="8">
        <v>0.04</v>
      </c>
      <c r="O31" s="8">
        <v>0.04</v>
      </c>
      <c r="P31" s="8">
        <v>0.04</v>
      </c>
    </row>
    <row r="32" spans="2:16" x14ac:dyDescent="0.35">
      <c r="B32" t="s">
        <v>18</v>
      </c>
      <c r="F32" s="67"/>
      <c r="H32" s="26"/>
      <c r="I32" s="8">
        <f>+I31+I29</f>
        <v>6.5000000000000002E-2</v>
      </c>
      <c r="J32" s="8">
        <f t="shared" ref="J32:P32" si="8">+J31+J29</f>
        <v>7.0000000000000007E-2</v>
      </c>
      <c r="K32" s="8">
        <f t="shared" si="8"/>
        <v>7.5000000000000011E-2</v>
      </c>
      <c r="L32" s="8">
        <f t="shared" si="8"/>
        <v>8.5000000000000006E-2</v>
      </c>
      <c r="M32" s="8">
        <f t="shared" si="8"/>
        <v>8.5000000000000006E-2</v>
      </c>
      <c r="N32" s="8">
        <f t="shared" si="8"/>
        <v>8.5000000000000006E-2</v>
      </c>
      <c r="O32" s="8">
        <f t="shared" si="8"/>
        <v>8.5000000000000006E-2</v>
      </c>
      <c r="P32" s="8">
        <f t="shared" si="8"/>
        <v>8.5000000000000006E-2</v>
      </c>
    </row>
    <row r="33" spans="2:20" x14ac:dyDescent="0.35">
      <c r="F33" s="67"/>
    </row>
    <row r="34" spans="2:20" x14ac:dyDescent="0.35">
      <c r="B34" s="2" t="s">
        <v>95</v>
      </c>
      <c r="F34" s="67"/>
    </row>
    <row r="35" spans="2:20" x14ac:dyDescent="0.35">
      <c r="B35" t="s">
        <v>13</v>
      </c>
      <c r="F35" s="67"/>
      <c r="H35" s="19">
        <f>+C7</f>
        <v>1207.3992484</v>
      </c>
      <c r="I35" s="25">
        <f>+H35-I36</f>
        <v>1207.3992484</v>
      </c>
      <c r="J35" s="25">
        <f t="shared" ref="J35" si="9">+I35-J36</f>
        <v>1207.3992484</v>
      </c>
      <c r="K35" s="25">
        <f t="shared" ref="K35" si="10">+J35-K36</f>
        <v>1207.3992484</v>
      </c>
      <c r="L35" s="25">
        <f t="shared" ref="L35" si="11">+K35-L36</f>
        <v>1207.3992484</v>
      </c>
      <c r="M35" s="25">
        <f t="shared" ref="M35" si="12">+L35-M36</f>
        <v>1207.3992484</v>
      </c>
      <c r="N35" s="25">
        <f t="shared" ref="N35" si="13">+M35-N36</f>
        <v>1207.3992484</v>
      </c>
      <c r="O35" s="25">
        <f t="shared" ref="O35" si="14">+N35-O36</f>
        <v>1207.3992484</v>
      </c>
      <c r="P35" s="7"/>
    </row>
    <row r="36" spans="2:20" x14ac:dyDescent="0.35">
      <c r="B36" t="s">
        <v>14</v>
      </c>
      <c r="F36" s="67"/>
      <c r="I36" s="24">
        <f t="shared" ref="I36:P36" si="15">$C$7*I7</f>
        <v>0</v>
      </c>
      <c r="J36" s="24">
        <f t="shared" si="15"/>
        <v>0</v>
      </c>
      <c r="K36" s="24">
        <f t="shared" si="15"/>
        <v>0</v>
      </c>
      <c r="L36" s="24">
        <f t="shared" si="15"/>
        <v>0</v>
      </c>
      <c r="M36" s="24">
        <f t="shared" si="15"/>
        <v>0</v>
      </c>
      <c r="N36" s="24">
        <f t="shared" si="15"/>
        <v>0</v>
      </c>
      <c r="O36" s="24">
        <f t="shared" si="15"/>
        <v>0</v>
      </c>
      <c r="P36" s="24">
        <f t="shared" si="15"/>
        <v>1207.3992484</v>
      </c>
    </row>
    <row r="37" spans="2:20" x14ac:dyDescent="0.35">
      <c r="B37" t="s">
        <v>15</v>
      </c>
      <c r="F37" s="67"/>
      <c r="I37" s="24">
        <f>+H35*I40</f>
        <v>96.591939872000012</v>
      </c>
      <c r="J37" s="24">
        <f t="shared" ref="J37:P37" si="16">+I35*J40</f>
        <v>96.591939872000012</v>
      </c>
      <c r="K37" s="24">
        <f t="shared" si="16"/>
        <v>96.591939872000012</v>
      </c>
      <c r="L37" s="24">
        <f t="shared" si="16"/>
        <v>96.591939872000012</v>
      </c>
      <c r="M37" s="24">
        <f t="shared" si="16"/>
        <v>96.591939872000012</v>
      </c>
      <c r="N37" s="24">
        <f t="shared" si="16"/>
        <v>96.591939872000012</v>
      </c>
      <c r="O37" s="24">
        <f t="shared" si="16"/>
        <v>96.591939872000012</v>
      </c>
      <c r="P37" s="24">
        <f t="shared" si="16"/>
        <v>96.591939872000012</v>
      </c>
    </row>
    <row r="38" spans="2:20" x14ac:dyDescent="0.35">
      <c r="B38" t="s">
        <v>16</v>
      </c>
      <c r="F38" s="67"/>
      <c r="H38" s="35">
        <f>-H35</f>
        <v>-1207.3992484</v>
      </c>
      <c r="I38" s="25">
        <f>+I37+I36</f>
        <v>96.591939872000012</v>
      </c>
      <c r="J38" s="25">
        <f t="shared" ref="J38:P38" si="17">+J37+J36</f>
        <v>96.591939872000012</v>
      </c>
      <c r="K38" s="25">
        <f t="shared" si="17"/>
        <v>96.591939872000012</v>
      </c>
      <c r="L38" s="25">
        <f t="shared" si="17"/>
        <v>96.591939872000012</v>
      </c>
      <c r="M38" s="25">
        <f t="shared" si="17"/>
        <v>96.591939872000012</v>
      </c>
      <c r="N38" s="25">
        <f t="shared" si="17"/>
        <v>96.591939872000012</v>
      </c>
      <c r="O38" s="25">
        <f t="shared" si="17"/>
        <v>96.591939872000012</v>
      </c>
      <c r="P38" s="25">
        <f t="shared" si="17"/>
        <v>1303.991188272</v>
      </c>
    </row>
    <row r="39" spans="2:20" ht="15" thickBot="1" x14ac:dyDescent="0.4">
      <c r="F39" s="67"/>
    </row>
    <row r="40" spans="2:20" ht="15" thickBot="1" x14ac:dyDescent="0.4">
      <c r="B40" t="s">
        <v>18</v>
      </c>
      <c r="F40" s="68">
        <f>IRR(H38:P38)</f>
        <v>8.0000000000000071E-2</v>
      </c>
      <c r="I40" s="11">
        <v>0.08</v>
      </c>
      <c r="J40" s="11">
        <v>0.08</v>
      </c>
      <c r="K40" s="11">
        <v>0.08</v>
      </c>
      <c r="L40" s="11">
        <v>0.08</v>
      </c>
      <c r="M40" s="11">
        <v>0.08</v>
      </c>
      <c r="N40" s="11">
        <v>0.08</v>
      </c>
      <c r="O40" s="11">
        <v>0.08</v>
      </c>
      <c r="P40" s="11">
        <v>0.08</v>
      </c>
    </row>
    <row r="42" spans="2:20" x14ac:dyDescent="0.35">
      <c r="B42" t="s">
        <v>63</v>
      </c>
      <c r="H42" s="25">
        <f t="shared" ref="H42" si="18">+H35+H23</f>
        <v>4225.8973693999997</v>
      </c>
      <c r="I42" s="25">
        <f>+I35+I23</f>
        <v>4195.7123881900006</v>
      </c>
      <c r="J42" s="25">
        <f t="shared" ref="J42:P42" si="19">+J35+J23</f>
        <v>4165.5274069799998</v>
      </c>
      <c r="K42" s="25">
        <f t="shared" si="19"/>
        <v>4135.3424257700008</v>
      </c>
      <c r="L42" s="25">
        <f t="shared" si="19"/>
        <v>4105.1574445599999</v>
      </c>
      <c r="M42" s="25">
        <f t="shared" si="19"/>
        <v>4074.9724633500005</v>
      </c>
      <c r="N42" s="25">
        <f t="shared" si="19"/>
        <v>4044.7874821400005</v>
      </c>
      <c r="O42" s="25">
        <f t="shared" si="19"/>
        <v>1207.3992484</v>
      </c>
      <c r="P42" s="25">
        <f t="shared" si="19"/>
        <v>0</v>
      </c>
    </row>
    <row r="44" spans="2:20" ht="15" thickBot="1" x14ac:dyDescent="0.4">
      <c r="B44" s="6" t="s">
        <v>36</v>
      </c>
      <c r="C44" s="57"/>
      <c r="D44" s="57"/>
      <c r="E44" s="6"/>
      <c r="F44" s="6"/>
      <c r="G44" s="6"/>
      <c r="H44" s="6"/>
    </row>
    <row r="45" spans="2:20" ht="29" customHeight="1" x14ac:dyDescent="0.35">
      <c r="B45" s="13" t="s">
        <v>58</v>
      </c>
      <c r="C45" s="4">
        <v>2023</v>
      </c>
      <c r="D45" s="4">
        <v>2024</v>
      </c>
      <c r="E45" s="77" t="s">
        <v>121</v>
      </c>
      <c r="F45" s="82" t="s">
        <v>37</v>
      </c>
      <c r="G45" s="83" t="s">
        <v>38</v>
      </c>
      <c r="H45" s="77" t="str">
        <f>+E45</f>
        <v>LTM
9/30/2025</v>
      </c>
    </row>
    <row r="46" spans="2:20" x14ac:dyDescent="0.35">
      <c r="B46" t="s">
        <v>51</v>
      </c>
      <c r="E46" s="78">
        <v>971.19100000000003</v>
      </c>
      <c r="F46" s="70"/>
      <c r="G46" s="74"/>
      <c r="H46" s="78">
        <f>+E46+F46-G46</f>
        <v>971.19100000000003</v>
      </c>
      <c r="T46" s="27">
        <v>1000000</v>
      </c>
    </row>
    <row r="47" spans="2:20" x14ac:dyDescent="0.35">
      <c r="B47" t="s">
        <v>39</v>
      </c>
      <c r="E47" s="78">
        <v>585.23900000000003</v>
      </c>
      <c r="F47" s="70"/>
      <c r="G47" s="74"/>
      <c r="H47" s="78">
        <f>+E47+F47-G47</f>
        <v>585.23900000000003</v>
      </c>
    </row>
    <row r="48" spans="2:20" ht="15" thickBot="1" x14ac:dyDescent="0.4">
      <c r="B48" t="s">
        <v>52</v>
      </c>
      <c r="E48" s="79">
        <f>E52-E50-E47-E46</f>
        <v>1008.1519999999994</v>
      </c>
      <c r="F48" s="70"/>
      <c r="G48" s="74"/>
      <c r="H48" s="78">
        <f>+E48+F48-G48</f>
        <v>1008.1519999999994</v>
      </c>
    </row>
    <row r="49" spans="2:8" ht="15" thickTop="1" x14ac:dyDescent="0.35">
      <c r="E49" s="80"/>
      <c r="F49" s="76"/>
      <c r="G49" s="71"/>
      <c r="H49" s="80"/>
    </row>
    <row r="50" spans="2:8" x14ac:dyDescent="0.35">
      <c r="B50" t="s">
        <v>40</v>
      </c>
      <c r="E50" s="78">
        <v>1735.202</v>
      </c>
      <c r="F50" s="72">
        <f>+G15-E63</f>
        <v>2876.4643999999998</v>
      </c>
      <c r="G50" s="74"/>
      <c r="H50" s="78">
        <f>+E50+F50-G50</f>
        <v>4611.6664000000001</v>
      </c>
    </row>
    <row r="51" spans="2:8" x14ac:dyDescent="0.35">
      <c r="B51" t="s">
        <v>41</v>
      </c>
      <c r="E51" s="78"/>
      <c r="F51" s="70">
        <f>+G17</f>
        <v>175.83484199999998</v>
      </c>
      <c r="G51" s="74"/>
      <c r="H51" s="78">
        <f>+E51+F51-G51</f>
        <v>175.83484199999998</v>
      </c>
    </row>
    <row r="52" spans="2:8" ht="15" thickBot="1" x14ac:dyDescent="0.4">
      <c r="B52" t="s">
        <v>42</v>
      </c>
      <c r="E52" s="101">
        <v>4299.7839999999997</v>
      </c>
      <c r="F52" s="76"/>
      <c r="G52" s="71"/>
      <c r="H52" s="79">
        <f>SUM(H46:H51)</f>
        <v>7352.0832419999997</v>
      </c>
    </row>
    <row r="53" spans="2:8" ht="15" thickTop="1" x14ac:dyDescent="0.35">
      <c r="E53" s="80"/>
      <c r="F53" s="76"/>
      <c r="G53" s="71"/>
      <c r="H53" s="80"/>
    </row>
    <row r="54" spans="2:8" x14ac:dyDescent="0.35">
      <c r="B54" t="s">
        <v>43</v>
      </c>
      <c r="E54" s="78">
        <v>691.73500000000001</v>
      </c>
      <c r="F54" s="70"/>
      <c r="G54" s="74"/>
      <c r="H54" s="78">
        <f>+E54-F54+G54</f>
        <v>691.73500000000001</v>
      </c>
    </row>
    <row r="55" spans="2:8" x14ac:dyDescent="0.35">
      <c r="B55" t="s">
        <v>44</v>
      </c>
      <c r="E55" s="78">
        <v>1621.557</v>
      </c>
      <c r="F55" s="70">
        <f>+G16</f>
        <v>1621.557</v>
      </c>
      <c r="G55" s="74"/>
      <c r="H55" s="78">
        <f>+E55-F55+G55</f>
        <v>0</v>
      </c>
    </row>
    <row r="56" spans="2:8" x14ac:dyDescent="0.35">
      <c r="B56" t="s">
        <v>45</v>
      </c>
      <c r="E56" s="78"/>
      <c r="F56" s="70"/>
      <c r="G56" s="74">
        <f>+C6</f>
        <v>3018.4981210000001</v>
      </c>
      <c r="H56" s="78">
        <f>+E56-F56+G56</f>
        <v>3018.4981210000001</v>
      </c>
    </row>
    <row r="57" spans="2:8" x14ac:dyDescent="0.35">
      <c r="B57" t="s">
        <v>46</v>
      </c>
      <c r="E57" s="78"/>
      <c r="F57" s="70"/>
      <c r="G57" s="74">
        <f>+C7</f>
        <v>1207.3992484</v>
      </c>
      <c r="H57" s="78">
        <f>+E57-F57+G57</f>
        <v>1207.3992484</v>
      </c>
    </row>
    <row r="58" spans="2:8" x14ac:dyDescent="0.35">
      <c r="B58" t="s">
        <v>47</v>
      </c>
      <c r="E58" s="78">
        <f>E59-E55-E54</f>
        <v>623.33199999999977</v>
      </c>
      <c r="F58" s="70"/>
      <c r="G58" s="74"/>
      <c r="H58" s="78">
        <f>+E58-F58+G58</f>
        <v>623.33199999999977</v>
      </c>
    </row>
    <row r="59" spans="2:8" ht="15" thickBot="1" x14ac:dyDescent="0.4">
      <c r="B59" t="s">
        <v>48</v>
      </c>
      <c r="E59" s="79">
        <v>2936.6239999999998</v>
      </c>
      <c r="F59" s="76"/>
      <c r="G59" s="71"/>
      <c r="H59" s="79">
        <f>SUM(H54:H58)</f>
        <v>5540.9643693999997</v>
      </c>
    </row>
    <row r="60" spans="2:8" ht="15" thickTop="1" x14ac:dyDescent="0.35">
      <c r="E60" s="80"/>
      <c r="F60" s="76"/>
      <c r="G60" s="71"/>
      <c r="H60" s="80"/>
    </row>
    <row r="61" spans="2:8" x14ac:dyDescent="0.35">
      <c r="B61" t="s">
        <v>49</v>
      </c>
      <c r="E61" s="78">
        <f>E63-E62</f>
        <v>-2012.3329999999999</v>
      </c>
      <c r="F61" s="70">
        <f>+E61</f>
        <v>-2012.3329999999999</v>
      </c>
      <c r="G61" s="74">
        <f>+C10</f>
        <v>1811.0988726000005</v>
      </c>
      <c r="H61" s="78">
        <f>+E61-F61+G61</f>
        <v>1811.0988726000005</v>
      </c>
    </row>
    <row r="62" spans="2:8" x14ac:dyDescent="0.35">
      <c r="B62" t="s">
        <v>108</v>
      </c>
      <c r="E62" s="80">
        <v>3375.473</v>
      </c>
      <c r="F62" s="76">
        <f>+E62</f>
        <v>3375.473</v>
      </c>
      <c r="G62" s="71"/>
      <c r="H62" s="78">
        <f>+E62-F62+G62</f>
        <v>0</v>
      </c>
    </row>
    <row r="63" spans="2:8" ht="15" thickBot="1" x14ac:dyDescent="0.4">
      <c r="B63" t="s">
        <v>109</v>
      </c>
      <c r="E63" s="79">
        <v>1363.14</v>
      </c>
      <c r="F63" s="76"/>
      <c r="G63" s="71"/>
      <c r="H63" s="79">
        <f t="shared" ref="H63" si="20">H62+H61</f>
        <v>1811.0988726000005</v>
      </c>
    </row>
    <row r="64" spans="2:8" ht="15.5" thickTop="1" thickBot="1" x14ac:dyDescent="0.4">
      <c r="E64" s="88"/>
      <c r="F64" s="76"/>
      <c r="G64" s="71"/>
      <c r="H64" s="80"/>
    </row>
    <row r="65" spans="2:13" ht="15.5" thickTop="1" thickBot="1" x14ac:dyDescent="0.4">
      <c r="B65" t="s">
        <v>50</v>
      </c>
      <c r="E65" s="100">
        <f>E63+E59</f>
        <v>4299.7640000000001</v>
      </c>
      <c r="F65" s="73">
        <f>SUM(F46:F62)</f>
        <v>6036.9962420000002</v>
      </c>
      <c r="G65" s="75">
        <f>SUM(G46:G61)</f>
        <v>6036.9962420000002</v>
      </c>
      <c r="H65" s="81">
        <f>+H61+H59</f>
        <v>7352.0632420000002</v>
      </c>
    </row>
    <row r="68" spans="2:13" x14ac:dyDescent="0.35">
      <c r="B68" s="6" t="s">
        <v>19</v>
      </c>
      <c r="C68" s="57" t="s">
        <v>34</v>
      </c>
      <c r="D68" s="57"/>
      <c r="E68" s="57"/>
      <c r="H68" s="57"/>
      <c r="I68" s="57" t="s">
        <v>35</v>
      </c>
      <c r="J68" s="57"/>
      <c r="K68" s="57"/>
      <c r="L68" s="57"/>
      <c r="M68" s="57"/>
    </row>
    <row r="69" spans="2:13" ht="29" x14ac:dyDescent="0.35">
      <c r="B69" s="4" t="s">
        <v>91</v>
      </c>
      <c r="C69" s="4">
        <v>2023</v>
      </c>
      <c r="D69" s="4">
        <v>2024</v>
      </c>
      <c r="E69" s="29" t="str">
        <f>+E45</f>
        <v>LTM
9/30/2025</v>
      </c>
      <c r="H69" s="29" t="str">
        <f>+$E$69</f>
        <v>LTM
9/30/2025</v>
      </c>
      <c r="I69" s="4">
        <f>+I21</f>
        <v>2025</v>
      </c>
      <c r="J69" s="4">
        <f>+I69+1</f>
        <v>2026</v>
      </c>
      <c r="K69" s="4">
        <f>+J69+1</f>
        <v>2027</v>
      </c>
      <c r="L69" s="4">
        <f>+K69+1</f>
        <v>2028</v>
      </c>
      <c r="M69" s="4">
        <f>+L69+1</f>
        <v>2029</v>
      </c>
    </row>
    <row r="70" spans="2:13" x14ac:dyDescent="0.35">
      <c r="B70" t="s">
        <v>20</v>
      </c>
      <c r="C70" s="24">
        <v>2962.3470000000002</v>
      </c>
      <c r="D70" s="24">
        <v>4102.1080000000002</v>
      </c>
      <c r="E70" s="24">
        <v>4072.78</v>
      </c>
      <c r="F70" s="27"/>
      <c r="H70" s="24">
        <f>+E70</f>
        <v>4072.78</v>
      </c>
      <c r="I70" s="24">
        <f>+E70*(1+I71)</f>
        <v>4194.9634000000005</v>
      </c>
      <c r="J70" s="24">
        <f>+I70*(1+J71)</f>
        <v>4320.8123020000003</v>
      </c>
      <c r="K70" s="24">
        <f t="shared" ref="K70:M70" si="21">+J70*(1+K71)</f>
        <v>4450.4366710600007</v>
      </c>
      <c r="L70" s="24">
        <f t="shared" si="21"/>
        <v>4583.9497711918011</v>
      </c>
      <c r="M70" s="24">
        <f t="shared" si="21"/>
        <v>4721.4682643275555</v>
      </c>
    </row>
    <row r="71" spans="2:13" x14ac:dyDescent="0.35">
      <c r="B71" t="s">
        <v>21</v>
      </c>
      <c r="C71" s="26"/>
      <c r="D71" s="8">
        <f>+D70/C70-1</f>
        <v>0.3847493220746927</v>
      </c>
      <c r="E71" s="8">
        <f>+E70/D70-1</f>
        <v>-7.1494948450894213E-3</v>
      </c>
      <c r="F71" s="9"/>
      <c r="H71" s="8">
        <f>+E71</f>
        <v>-7.1494948450894213E-3</v>
      </c>
      <c r="I71" s="48">
        <v>0.03</v>
      </c>
      <c r="J71" s="48">
        <v>0.03</v>
      </c>
      <c r="K71" s="48">
        <v>0.03</v>
      </c>
      <c r="L71" s="48">
        <v>0.03</v>
      </c>
      <c r="M71" s="48">
        <v>0.03</v>
      </c>
    </row>
    <row r="72" spans="2:13" x14ac:dyDescent="0.35">
      <c r="C72" s="20"/>
    </row>
    <row r="73" spans="2:13" x14ac:dyDescent="0.35">
      <c r="B73" t="s">
        <v>22</v>
      </c>
      <c r="C73" s="24">
        <v>1742.337</v>
      </c>
      <c r="D73" s="24">
        <v>1691.85</v>
      </c>
      <c r="E73" s="24">
        <v>1666.461</v>
      </c>
      <c r="H73" s="24">
        <f>+E73</f>
        <v>1666.461</v>
      </c>
      <c r="I73" s="24">
        <f>+I70*I74</f>
        <v>1971.3051620916415</v>
      </c>
      <c r="J73" s="24">
        <f t="shared" ref="J73:M73" si="22">+J70*J74</f>
        <v>2030.4443169543906</v>
      </c>
      <c r="K73" s="24">
        <f t="shared" si="22"/>
        <v>2091.3576464630228</v>
      </c>
      <c r="L73" s="24">
        <f t="shared" si="22"/>
        <v>2154.0983758569137</v>
      </c>
      <c r="M73" s="24">
        <f t="shared" si="22"/>
        <v>2218.7213271326209</v>
      </c>
    </row>
    <row r="74" spans="2:13" x14ac:dyDescent="0.35">
      <c r="B74" t="s">
        <v>26</v>
      </c>
      <c r="C74" s="8">
        <f>+C73/C70</f>
        <v>0.5881610088217214</v>
      </c>
      <c r="D74" s="8">
        <f t="shared" ref="D74:E74" si="23">+D73/D70</f>
        <v>0.41243428988217762</v>
      </c>
      <c r="E74" s="8">
        <f t="shared" si="23"/>
        <v>0.40917039466899757</v>
      </c>
      <c r="F74" s="9"/>
      <c r="H74" s="8">
        <f t="shared" ref="H74" si="24">+H73/H70</f>
        <v>0.40917039466899757</v>
      </c>
      <c r="I74" s="91">
        <f>AVERAGE(C74:E74)</f>
        <v>0.46992189779096555</v>
      </c>
      <c r="J74" s="59">
        <f>+I74</f>
        <v>0.46992189779096555</v>
      </c>
      <c r="K74" s="59">
        <f t="shared" ref="K74:M74" si="25">+J74</f>
        <v>0.46992189779096555</v>
      </c>
      <c r="L74" s="59">
        <f t="shared" si="25"/>
        <v>0.46992189779096555</v>
      </c>
      <c r="M74" s="59">
        <f t="shared" si="25"/>
        <v>0.46992189779096555</v>
      </c>
    </row>
    <row r="76" spans="2:13" x14ac:dyDescent="0.35">
      <c r="B76" t="s">
        <v>23</v>
      </c>
      <c r="C76" s="25">
        <f>+C70-C73</f>
        <v>1220.0100000000002</v>
      </c>
      <c r="D76" s="25">
        <f t="shared" ref="D76:E76" si="26">+D70-D73</f>
        <v>2410.2580000000003</v>
      </c>
      <c r="E76" s="25">
        <f t="shared" si="26"/>
        <v>2406.3190000000004</v>
      </c>
      <c r="H76" s="25">
        <f>+E76</f>
        <v>2406.3190000000004</v>
      </c>
      <c r="I76" s="25">
        <f>+I70-I73</f>
        <v>2223.6582379083593</v>
      </c>
      <c r="J76" s="25">
        <f t="shared" ref="J76:M76" si="27">+J70-J73</f>
        <v>2290.3679850456097</v>
      </c>
      <c r="K76" s="25">
        <f t="shared" si="27"/>
        <v>2359.0790245969779</v>
      </c>
      <c r="L76" s="25">
        <f t="shared" si="27"/>
        <v>2429.8513953348875</v>
      </c>
      <c r="M76" s="25">
        <f t="shared" si="27"/>
        <v>2502.7469371949346</v>
      </c>
    </row>
    <row r="77" spans="2:13" x14ac:dyDescent="0.35">
      <c r="B77" t="s">
        <v>24</v>
      </c>
      <c r="C77" s="8">
        <f>+C76/C70</f>
        <v>0.4118389911782786</v>
      </c>
      <c r="D77" s="8">
        <f t="shared" ref="D77:E77" si="28">+D76/D70</f>
        <v>0.58756571011782244</v>
      </c>
      <c r="E77" s="8">
        <f t="shared" si="28"/>
        <v>0.59082960533100248</v>
      </c>
      <c r="H77" s="8">
        <f t="shared" ref="H77" si="29">+H76/H70</f>
        <v>0.59082960533100248</v>
      </c>
      <c r="I77" s="8">
        <f>+I76/I70</f>
        <v>0.53007810220903451</v>
      </c>
      <c r="J77" s="8">
        <f t="shared" ref="J77:M77" si="30">+J76/J70</f>
        <v>0.53007810220903451</v>
      </c>
      <c r="K77" s="8">
        <f t="shared" si="30"/>
        <v>0.5300781022090344</v>
      </c>
      <c r="L77" s="8">
        <f t="shared" si="30"/>
        <v>0.5300781022090344</v>
      </c>
      <c r="M77" s="8">
        <f t="shared" si="30"/>
        <v>0.53007810220903451</v>
      </c>
    </row>
    <row r="79" spans="2:13" x14ac:dyDescent="0.35">
      <c r="B79" t="s">
        <v>25</v>
      </c>
      <c r="C79" s="24">
        <v>1173.2270000000001</v>
      </c>
      <c r="D79" s="24">
        <v>1388.347</v>
      </c>
      <c r="E79" s="24">
        <v>1489.252</v>
      </c>
      <c r="H79" s="24">
        <f>+E79</f>
        <v>1489.252</v>
      </c>
      <c r="I79" s="24">
        <f>+I80*I70</f>
        <v>1510.1868240000001</v>
      </c>
      <c r="J79" s="24">
        <f t="shared" ref="J79:M79" si="31">+J80*J70</f>
        <v>1555.4924287200001</v>
      </c>
      <c r="K79" s="24">
        <f t="shared" si="31"/>
        <v>1602.1572015816002</v>
      </c>
      <c r="L79" s="24">
        <f t="shared" si="31"/>
        <v>1650.2219176290484</v>
      </c>
      <c r="M79" s="24">
        <f t="shared" si="31"/>
        <v>1699.72857515792</v>
      </c>
    </row>
    <row r="80" spans="2:13" x14ac:dyDescent="0.35">
      <c r="B80" t="s">
        <v>26</v>
      </c>
      <c r="C80" s="8">
        <f>+C79/C70</f>
        <v>0.39604644560546082</v>
      </c>
      <c r="D80" s="8">
        <f t="shared" ref="D80:E80" si="32">+D79/D70</f>
        <v>0.33844720811836254</v>
      </c>
      <c r="E80" s="8">
        <f t="shared" si="32"/>
        <v>0.36565981958269289</v>
      </c>
      <c r="F80" s="9"/>
      <c r="H80" s="8">
        <f t="shared" ref="H80" si="33">+H79/H70</f>
        <v>0.36565981958269289</v>
      </c>
      <c r="I80" s="92">
        <v>0.36</v>
      </c>
      <c r="J80" s="58">
        <f>+I80</f>
        <v>0.36</v>
      </c>
      <c r="K80" s="58">
        <f t="shared" ref="K80:M80" si="34">+J80</f>
        <v>0.36</v>
      </c>
      <c r="L80" s="58">
        <f t="shared" si="34"/>
        <v>0.36</v>
      </c>
      <c r="M80" s="58">
        <f t="shared" si="34"/>
        <v>0.36</v>
      </c>
    </row>
    <row r="82" spans="2:13" ht="15" thickBot="1" x14ac:dyDescent="0.4">
      <c r="B82" t="s">
        <v>29</v>
      </c>
      <c r="C82" s="53">
        <f>C76-C79</f>
        <v>46.783000000000129</v>
      </c>
      <c r="D82" s="53">
        <f t="shared" ref="D82:E82" si="35">D76-D79</f>
        <v>1021.9110000000003</v>
      </c>
      <c r="E82" s="53">
        <f t="shared" si="35"/>
        <v>917.06700000000046</v>
      </c>
      <c r="H82" s="53">
        <f t="shared" ref="H82" si="36">H76-H79</f>
        <v>917.06700000000046</v>
      </c>
      <c r="I82" s="25">
        <f>+I76-I79</f>
        <v>713.47141390835918</v>
      </c>
      <c r="J82" s="25">
        <f t="shared" ref="J82:M82" si="37">+J76-J79</f>
        <v>734.87555632560952</v>
      </c>
      <c r="K82" s="25">
        <f t="shared" si="37"/>
        <v>756.92182301537764</v>
      </c>
      <c r="L82" s="25">
        <f t="shared" si="37"/>
        <v>779.62947770583901</v>
      </c>
      <c r="M82" s="25">
        <f t="shared" si="37"/>
        <v>803.01836203701464</v>
      </c>
    </row>
    <row r="83" spans="2:13" ht="15" thickTop="1" x14ac:dyDescent="0.35">
      <c r="B83" t="s">
        <v>28</v>
      </c>
      <c r="C83">
        <v>7</v>
      </c>
      <c r="D83" t="s">
        <v>61</v>
      </c>
      <c r="I83" s="24">
        <f>+$G$17/$C$83</f>
        <v>25.11926314285714</v>
      </c>
      <c r="J83" s="24">
        <f>+$G$17/$C$83</f>
        <v>25.11926314285714</v>
      </c>
      <c r="K83" s="24">
        <f>+$G$17/$C$83</f>
        <v>25.11926314285714</v>
      </c>
      <c r="L83" s="24">
        <f>+$G$17/$C$83</f>
        <v>25.11926314285714</v>
      </c>
      <c r="M83" s="24">
        <f>+$G$17/$C$83</f>
        <v>25.11926314285714</v>
      </c>
    </row>
    <row r="84" spans="2:13" x14ac:dyDescent="0.35">
      <c r="B84" t="s">
        <v>27</v>
      </c>
      <c r="I84" s="25">
        <f>+I82-I83</f>
        <v>688.35215076550207</v>
      </c>
      <c r="J84" s="25">
        <f t="shared" ref="J84:M84" si="38">+J82-J83</f>
        <v>709.75629318275242</v>
      </c>
      <c r="K84" s="25">
        <f t="shared" si="38"/>
        <v>731.80255987252053</v>
      </c>
      <c r="L84" s="25">
        <f t="shared" si="38"/>
        <v>754.5102145629819</v>
      </c>
      <c r="M84" s="25">
        <f t="shared" si="38"/>
        <v>777.89909889415753</v>
      </c>
    </row>
    <row r="85" spans="2:13" x14ac:dyDescent="0.35">
      <c r="B85" t="s">
        <v>30</v>
      </c>
      <c r="I85" s="25">
        <f>+I25+I37</f>
        <v>292.79431773700003</v>
      </c>
      <c r="J85" s="25">
        <f>+J25+J37</f>
        <v>305.77385965730002</v>
      </c>
      <c r="K85" s="25">
        <f>+K25+K37</f>
        <v>318.45155176550008</v>
      </c>
      <c r="L85" s="25">
        <f>+L25+L37</f>
        <v>345.46710994845006</v>
      </c>
      <c r="M85" s="25">
        <f>+M25+M37</f>
        <v>342.90138654560008</v>
      </c>
    </row>
    <row r="86" spans="2:13" x14ac:dyDescent="0.35">
      <c r="B86" t="s">
        <v>31</v>
      </c>
      <c r="I86" s="25">
        <f>+I84-I85</f>
        <v>395.55783302850205</v>
      </c>
      <c r="J86" s="25">
        <f t="shared" ref="J86:M86" si="39">+J84-J85</f>
        <v>403.98243352545239</v>
      </c>
      <c r="K86" s="25">
        <f t="shared" si="39"/>
        <v>413.35100810702045</v>
      </c>
      <c r="L86" s="25">
        <f t="shared" si="39"/>
        <v>409.04310461453184</v>
      </c>
      <c r="M86" s="25">
        <f t="shared" si="39"/>
        <v>434.99771234855746</v>
      </c>
    </row>
    <row r="87" spans="2:13" x14ac:dyDescent="0.35">
      <c r="B87" t="s">
        <v>32</v>
      </c>
      <c r="C87" s="30">
        <v>0.22</v>
      </c>
      <c r="D87" t="s">
        <v>62</v>
      </c>
      <c r="I87" s="25">
        <f>+$C$87*I86</f>
        <v>87.022723266270447</v>
      </c>
      <c r="J87" s="25">
        <f t="shared" ref="J87:M87" si="40">+$C$87*J86</f>
        <v>88.876135375599532</v>
      </c>
      <c r="K87" s="25">
        <f t="shared" si="40"/>
        <v>90.937221783544501</v>
      </c>
      <c r="L87" s="25">
        <f t="shared" si="40"/>
        <v>89.98948301519701</v>
      </c>
      <c r="M87" s="25">
        <f t="shared" si="40"/>
        <v>95.699496716682646</v>
      </c>
    </row>
    <row r="88" spans="2:13" ht="15" thickBot="1" x14ac:dyDescent="0.4">
      <c r="B88" t="s">
        <v>33</v>
      </c>
      <c r="I88" s="31">
        <f>+I86-I87</f>
        <v>308.53510976223163</v>
      </c>
      <c r="J88" s="31">
        <f t="shared" ref="J88:M88" si="41">+J86-J87</f>
        <v>315.10629814985288</v>
      </c>
      <c r="K88" s="31">
        <f t="shared" si="41"/>
        <v>322.41378632347596</v>
      </c>
      <c r="L88" s="31">
        <f t="shared" si="41"/>
        <v>319.05362159933486</v>
      </c>
      <c r="M88" s="31">
        <f t="shared" si="41"/>
        <v>339.29821563187483</v>
      </c>
    </row>
    <row r="89" spans="2:13" ht="15" thickTop="1" x14ac:dyDescent="0.35"/>
    <row r="90" spans="2:13" x14ac:dyDescent="0.35">
      <c r="B90" s="6" t="s">
        <v>64</v>
      </c>
      <c r="C90" s="103" t="s">
        <v>34</v>
      </c>
      <c r="D90" s="103"/>
      <c r="E90" s="103"/>
      <c r="H90" s="57" t="s">
        <v>35</v>
      </c>
      <c r="I90" s="57"/>
      <c r="J90" s="57"/>
      <c r="K90" s="57"/>
      <c r="L90" s="57"/>
      <c r="M90" s="57"/>
    </row>
    <row r="91" spans="2:13" ht="29" x14ac:dyDescent="0.35">
      <c r="B91" s="4"/>
      <c r="C91" s="4">
        <f>+C69</f>
        <v>2023</v>
      </c>
      <c r="D91" s="29">
        <f>+D69</f>
        <v>2024</v>
      </c>
      <c r="E91" s="29" t="str">
        <f>+E69</f>
        <v>LTM
9/30/2025</v>
      </c>
      <c r="H91" s="29" t="str">
        <f>+E91</f>
        <v>LTM
9/30/2025</v>
      </c>
      <c r="I91" s="4">
        <f>+I69</f>
        <v>2025</v>
      </c>
      <c r="J91" s="4">
        <f t="shared" ref="J91:M91" si="42">+J69</f>
        <v>2026</v>
      </c>
      <c r="K91" s="4">
        <f t="shared" si="42"/>
        <v>2027</v>
      </c>
      <c r="L91" s="4">
        <f t="shared" si="42"/>
        <v>2028</v>
      </c>
      <c r="M91" s="4">
        <f t="shared" si="42"/>
        <v>2029</v>
      </c>
    </row>
    <row r="92" spans="2:13" x14ac:dyDescent="0.35">
      <c r="B92" t="s">
        <v>27</v>
      </c>
      <c r="H92" s="25">
        <f>H84</f>
        <v>0</v>
      </c>
      <c r="I92" s="25">
        <f>I84</f>
        <v>688.35215076550207</v>
      </c>
      <c r="J92" s="25">
        <f t="shared" ref="J92:M92" si="43">J84</f>
        <v>709.75629318275242</v>
      </c>
      <c r="K92" s="25">
        <f t="shared" si="43"/>
        <v>731.80255987252053</v>
      </c>
      <c r="L92" s="25">
        <f t="shared" si="43"/>
        <v>754.5102145629819</v>
      </c>
      <c r="M92" s="25">
        <f t="shared" si="43"/>
        <v>777.89909889415753</v>
      </c>
    </row>
    <row r="93" spans="2:13" x14ac:dyDescent="0.35">
      <c r="B93" t="s">
        <v>66</v>
      </c>
      <c r="H93" s="25">
        <f>-H92*$C$87</f>
        <v>0</v>
      </c>
      <c r="I93" s="25">
        <f>-I92*$C$87</f>
        <v>-151.43747316841046</v>
      </c>
      <c r="J93" s="25">
        <f t="shared" ref="J93:M93" si="44">-J92*$C$87</f>
        <v>-156.14638450020553</v>
      </c>
      <c r="K93" s="25">
        <f t="shared" si="44"/>
        <v>-160.99656317195451</v>
      </c>
      <c r="L93" s="25">
        <f t="shared" si="44"/>
        <v>-165.99224720385601</v>
      </c>
      <c r="M93" s="25">
        <f t="shared" si="44"/>
        <v>-171.13780175671465</v>
      </c>
    </row>
    <row r="94" spans="2:13" ht="15" thickBot="1" x14ac:dyDescent="0.4">
      <c r="B94" t="s">
        <v>67</v>
      </c>
      <c r="H94" s="31">
        <f>+H92+H93</f>
        <v>0</v>
      </c>
      <c r="I94" s="31">
        <f>+I92+I93</f>
        <v>536.91467759709167</v>
      </c>
      <c r="J94" s="31">
        <f t="shared" ref="J94:M94" si="45">+J92+J93</f>
        <v>553.60990868254692</v>
      </c>
      <c r="K94" s="31">
        <f t="shared" si="45"/>
        <v>570.80599670056608</v>
      </c>
      <c r="L94" s="31">
        <f t="shared" si="45"/>
        <v>588.51796735912592</v>
      </c>
      <c r="M94" s="31">
        <f t="shared" si="45"/>
        <v>606.76129713744285</v>
      </c>
    </row>
    <row r="95" spans="2:13" ht="15" thickTop="1" x14ac:dyDescent="0.35"/>
    <row r="96" spans="2:13" x14ac:dyDescent="0.35">
      <c r="B96" t="s">
        <v>65</v>
      </c>
      <c r="C96" s="25">
        <v>54.304000000000002</v>
      </c>
      <c r="D96" s="25">
        <v>69.84</v>
      </c>
      <c r="E96" s="25">
        <v>76.287000000000006</v>
      </c>
      <c r="H96" s="32">
        <f>H97*H70</f>
        <v>72.000241423966585</v>
      </c>
      <c r="I96" s="32">
        <f>I97*I70</f>
        <v>75.632035777790392</v>
      </c>
      <c r="J96" s="32">
        <f t="shared" ref="J96:M96" si="46">J97*J70</f>
        <v>77.900996851124106</v>
      </c>
      <c r="K96" s="32">
        <f t="shared" si="46"/>
        <v>80.238026756657831</v>
      </c>
      <c r="L96" s="32">
        <f t="shared" si="46"/>
        <v>82.645167559357574</v>
      </c>
      <c r="M96" s="32">
        <f t="shared" si="46"/>
        <v>85.124522586138312</v>
      </c>
    </row>
    <row r="97" spans="2:13" x14ac:dyDescent="0.35">
      <c r="B97" t="s">
        <v>76</v>
      </c>
      <c r="C97" s="8">
        <f>+C96/C70</f>
        <v>1.833141087117748E-2</v>
      </c>
      <c r="D97" s="8">
        <f t="shared" ref="D97:E97" si="47">+D96/D70</f>
        <v>1.7025392798044322E-2</v>
      </c>
      <c r="E97" s="8">
        <f t="shared" si="47"/>
        <v>1.873094053693055E-2</v>
      </c>
      <c r="H97" s="48">
        <f>AVERAGE(B97:D97)</f>
        <v>1.7678401834610901E-2</v>
      </c>
      <c r="I97" s="48">
        <f>AVERAGE(C97:E97)</f>
        <v>1.802924806871745E-2</v>
      </c>
      <c r="J97" s="48">
        <f>+I97</f>
        <v>1.802924806871745E-2</v>
      </c>
      <c r="K97" s="48">
        <f t="shared" ref="K97:M97" si="48">+J97</f>
        <v>1.802924806871745E-2</v>
      </c>
      <c r="L97" s="48">
        <f t="shared" si="48"/>
        <v>1.802924806871745E-2</v>
      </c>
      <c r="M97" s="48">
        <f t="shared" si="48"/>
        <v>1.802924806871745E-2</v>
      </c>
    </row>
    <row r="98" spans="2:13" x14ac:dyDescent="0.35">
      <c r="B98" t="s">
        <v>68</v>
      </c>
      <c r="H98" s="25">
        <f>H83</f>
        <v>0</v>
      </c>
      <c r="I98" s="25">
        <f>I83</f>
        <v>25.11926314285714</v>
      </c>
      <c r="J98" s="25">
        <f t="shared" ref="J98:M98" si="49">J83</f>
        <v>25.11926314285714</v>
      </c>
      <c r="K98" s="25">
        <f t="shared" si="49"/>
        <v>25.11926314285714</v>
      </c>
      <c r="L98" s="25">
        <f t="shared" si="49"/>
        <v>25.11926314285714</v>
      </c>
      <c r="M98" s="25">
        <f t="shared" si="49"/>
        <v>25.11926314285714</v>
      </c>
    </row>
    <row r="99" spans="2:13" x14ac:dyDescent="0.35">
      <c r="B99" t="s">
        <v>69</v>
      </c>
      <c r="C99" s="25">
        <v>365.52499999999998</v>
      </c>
      <c r="D99" s="25">
        <v>68.430000000000007</v>
      </c>
      <c r="E99" s="25">
        <v>-112.717</v>
      </c>
      <c r="H99" s="25">
        <f>-H100*H70</f>
        <v>67.940760067750546</v>
      </c>
      <c r="I99" s="25">
        <f>-I100*I70</f>
        <v>69.978982869783067</v>
      </c>
      <c r="J99" s="25">
        <f t="shared" ref="J99:M99" si="50">-J100*J70</f>
        <v>72.078352355876547</v>
      </c>
      <c r="K99" s="25">
        <f t="shared" si="50"/>
        <v>74.240702926552856</v>
      </c>
      <c r="L99" s="25">
        <f t="shared" si="50"/>
        <v>76.46792401434945</v>
      </c>
      <c r="M99" s="25">
        <f t="shared" si="50"/>
        <v>78.761961734779945</v>
      </c>
    </row>
    <row r="100" spans="2:13" x14ac:dyDescent="0.35">
      <c r="B100" t="s">
        <v>77</v>
      </c>
      <c r="C100" s="8">
        <f>-C99/C70</f>
        <v>-0.12339033880905916</v>
      </c>
      <c r="D100" s="8">
        <f t="shared" ref="D100:E100" si="51">-D99/D70</f>
        <v>-1.6681667084338103E-2</v>
      </c>
      <c r="E100" s="8">
        <f t="shared" si="51"/>
        <v>2.7675690805788675E-2</v>
      </c>
      <c r="H100" s="48">
        <f>+D100</f>
        <v>-1.6681667084338103E-2</v>
      </c>
      <c r="I100" s="48">
        <f>+H100</f>
        <v>-1.6681667084338103E-2</v>
      </c>
      <c r="J100" s="48">
        <f>+I100</f>
        <v>-1.6681667084338103E-2</v>
      </c>
      <c r="K100" s="48">
        <f t="shared" ref="K100:M100" si="52">+J100</f>
        <v>-1.6681667084338103E-2</v>
      </c>
      <c r="L100" s="48">
        <f t="shared" si="52"/>
        <v>-1.6681667084338103E-2</v>
      </c>
      <c r="M100" s="48">
        <f t="shared" si="52"/>
        <v>-1.6681667084338103E-2</v>
      </c>
    </row>
    <row r="101" spans="2:13" x14ac:dyDescent="0.35">
      <c r="C101" s="26"/>
      <c r="D101" s="26"/>
      <c r="E101" s="26"/>
      <c r="H101" s="26"/>
      <c r="I101" s="26"/>
      <c r="J101" s="26"/>
      <c r="K101" s="26"/>
      <c r="L101" s="26"/>
      <c r="M101" s="26"/>
    </row>
    <row r="102" spans="2:13" x14ac:dyDescent="0.35">
      <c r="B102" t="s">
        <v>70</v>
      </c>
      <c r="C102" s="25">
        <v>-115.625</v>
      </c>
      <c r="D102" s="25">
        <v>-69.346999999999994</v>
      </c>
      <c r="E102" s="25">
        <v>-63.61</v>
      </c>
      <c r="H102" s="25">
        <f>-H103*H70</f>
        <v>-113.90906349921818</v>
      </c>
      <c r="I102" s="25">
        <f>-I103*I70</f>
        <v>-100.05699026946316</v>
      </c>
      <c r="J102" s="25">
        <f t="shared" ref="J102:M102" si="53">-J103*J70</f>
        <v>-103.05869997754704</v>
      </c>
      <c r="K102" s="25">
        <f t="shared" si="53"/>
        <v>-106.15046097687346</v>
      </c>
      <c r="L102" s="25">
        <f t="shared" si="53"/>
        <v>-109.33497480617967</v>
      </c>
      <c r="M102" s="25">
        <f t="shared" si="53"/>
        <v>-112.61502405036508</v>
      </c>
    </row>
    <row r="103" spans="2:13" x14ac:dyDescent="0.35">
      <c r="B103" t="s">
        <v>78</v>
      </c>
      <c r="C103" s="8">
        <f>-C102/C70</f>
        <v>3.9031551671698146E-2</v>
      </c>
      <c r="D103" s="8">
        <f t="shared" ref="D103:E103" si="54">-D102/D70</f>
        <v>1.6905210686798101E-2</v>
      </c>
      <c r="E103" s="8">
        <f t="shared" si="54"/>
        <v>1.561832458419065E-2</v>
      </c>
      <c r="H103" s="48">
        <f>AVERAGE(B103:D103)</f>
        <v>2.7968381179248124E-2</v>
      </c>
      <c r="I103" s="48">
        <f>AVERAGE(C103:E103)</f>
        <v>2.3851695647562298E-2</v>
      </c>
      <c r="J103" s="48">
        <f>+I103</f>
        <v>2.3851695647562298E-2</v>
      </c>
      <c r="K103" s="48">
        <f t="shared" ref="K103:M103" si="55">+J103</f>
        <v>2.3851695647562298E-2</v>
      </c>
      <c r="L103" s="48">
        <f t="shared" si="55"/>
        <v>2.3851695647562298E-2</v>
      </c>
      <c r="M103" s="48">
        <f t="shared" si="55"/>
        <v>2.3851695647562298E-2</v>
      </c>
    </row>
    <row r="105" spans="2:13" x14ac:dyDescent="0.35">
      <c r="B105" t="s">
        <v>112</v>
      </c>
      <c r="H105" s="25">
        <f>+H94+H96+H98+H99+H102</f>
        <v>26.031937992498968</v>
      </c>
      <c r="I105" s="25">
        <f>+I94+I96+I98+I99+I102</f>
        <v>607.58796911805905</v>
      </c>
      <c r="J105" s="25">
        <f t="shared" ref="J105:M105" si="56">+J94+J96+J98+J99+J102</f>
        <v>625.64982105485763</v>
      </c>
      <c r="K105" s="25">
        <f t="shared" si="56"/>
        <v>644.25352854976052</v>
      </c>
      <c r="L105" s="25">
        <f t="shared" si="56"/>
        <v>663.41534726951045</v>
      </c>
      <c r="M105" s="25">
        <f t="shared" si="56"/>
        <v>683.15202055085308</v>
      </c>
    </row>
    <row r="107" spans="2:13" x14ac:dyDescent="0.35">
      <c r="B107" s="6" t="s">
        <v>83</v>
      </c>
      <c r="C107" s="40" t="s">
        <v>55</v>
      </c>
      <c r="D107" s="40" t="s">
        <v>30</v>
      </c>
      <c r="E107" s="40" t="s">
        <v>84</v>
      </c>
      <c r="F107" s="40" t="s">
        <v>85</v>
      </c>
    </row>
    <row r="108" spans="2:13" x14ac:dyDescent="0.35">
      <c r="B108" t="str">
        <f>+B6</f>
        <v>Bank Loan</v>
      </c>
      <c r="C108" s="36">
        <f>D6</f>
        <v>0.5</v>
      </c>
      <c r="D108" s="37">
        <f>+F26</f>
        <v>7.7332704360806748E-2</v>
      </c>
      <c r="E108" s="37">
        <f>D108*(1-$C$87)</f>
        <v>6.0319509401429265E-2</v>
      </c>
      <c r="F108" s="39">
        <f>+E108*C108</f>
        <v>3.0159754700714633E-2</v>
      </c>
    </row>
    <row r="109" spans="2:13" x14ac:dyDescent="0.35">
      <c r="B109" t="str">
        <f>+B7</f>
        <v>Subordinated Bonds</v>
      </c>
      <c r="C109" s="36">
        <f>D7</f>
        <v>0.2</v>
      </c>
      <c r="D109" s="37">
        <f>+F40</f>
        <v>8.0000000000000071E-2</v>
      </c>
      <c r="E109" s="37">
        <f>D109*(1-$C$87)</f>
        <v>6.240000000000006E-2</v>
      </c>
      <c r="F109" s="39">
        <f t="shared" ref="F109:F110" si="57">+E109*C109</f>
        <v>1.2480000000000012E-2</v>
      </c>
    </row>
    <row r="110" spans="2:13" x14ac:dyDescent="0.35">
      <c r="B110" t="str">
        <f>+B10</f>
        <v>Equity</v>
      </c>
      <c r="C110" s="36">
        <f>D10</f>
        <v>0.3000000000000001</v>
      </c>
      <c r="D110" s="38">
        <v>0.2</v>
      </c>
      <c r="E110" s="37">
        <f>+D110</f>
        <v>0.2</v>
      </c>
      <c r="F110" s="39">
        <f t="shared" si="57"/>
        <v>6.0000000000000026E-2</v>
      </c>
    </row>
    <row r="111" spans="2:13" ht="15" thickBot="1" x14ac:dyDescent="0.4">
      <c r="F111" s="41">
        <f>SUM(F108:F110)</f>
        <v>0.10263975470071467</v>
      </c>
    </row>
    <row r="112" spans="2:13" ht="15" thickTop="1" x14ac:dyDescent="0.35">
      <c r="F112" s="37"/>
      <c r="L112" s="45"/>
    </row>
    <row r="113" spans="2:13" ht="29" x14ac:dyDescent="0.35">
      <c r="B113" s="63"/>
      <c r="C113" s="62"/>
      <c r="D113" s="62"/>
      <c r="E113" s="62"/>
      <c r="F113" s="62"/>
      <c r="G113" s="62"/>
      <c r="H113" s="29" t="str">
        <f>+H91</f>
        <v>LTM
9/30/2025</v>
      </c>
      <c r="I113" s="4">
        <f>+I91</f>
        <v>2025</v>
      </c>
      <c r="J113" s="4">
        <f t="shared" ref="J113:L113" si="58">+J91</f>
        <v>2026</v>
      </c>
      <c r="K113" s="4">
        <f t="shared" si="58"/>
        <v>2027</v>
      </c>
      <c r="L113" s="4">
        <f t="shared" si="58"/>
        <v>2028</v>
      </c>
      <c r="M113" s="62">
        <f>+M91</f>
        <v>2029</v>
      </c>
    </row>
    <row r="114" spans="2:13" ht="15" thickBot="1" x14ac:dyDescent="0.4">
      <c r="B114" s="2" t="s">
        <v>71</v>
      </c>
      <c r="C114" s="6" t="s">
        <v>79</v>
      </c>
      <c r="D114" s="5"/>
      <c r="E114" s="5"/>
      <c r="F114" s="5"/>
      <c r="G114" s="5"/>
      <c r="H114" s="5"/>
      <c r="I114" s="5"/>
      <c r="J114" s="5"/>
      <c r="K114" s="5"/>
      <c r="L114" s="5"/>
      <c r="M114" s="44" t="s">
        <v>80</v>
      </c>
    </row>
    <row r="115" spans="2:13" ht="15" thickTop="1" x14ac:dyDescent="0.35">
      <c r="B115" t="s">
        <v>72</v>
      </c>
      <c r="D115" s="34">
        <f>+H18</f>
        <v>6.0773865530314444</v>
      </c>
      <c r="E115" t="s">
        <v>87</v>
      </c>
      <c r="M115" s="27">
        <f>+D115*(M82+M96)</f>
        <v>5397.5876241793067</v>
      </c>
    </row>
    <row r="116" spans="2:13" x14ac:dyDescent="0.35">
      <c r="B116" t="s">
        <v>73</v>
      </c>
      <c r="C116" s="10" t="s">
        <v>81</v>
      </c>
      <c r="D116" s="37">
        <f>+F111</f>
        <v>0.10263975470071467</v>
      </c>
      <c r="E116" t="s">
        <v>86</v>
      </c>
      <c r="F116" s="38">
        <v>0.03</v>
      </c>
      <c r="M116" s="33">
        <f>M105/(D116-F116)</f>
        <v>9404.657592327083</v>
      </c>
    </row>
    <row r="117" spans="2:13" x14ac:dyDescent="0.35">
      <c r="B117" t="s">
        <v>74</v>
      </c>
      <c r="M117" s="49">
        <f>AVERAGE(M115:M116)</f>
        <v>7401.1226082531948</v>
      </c>
    </row>
    <row r="118" spans="2:13" x14ac:dyDescent="0.35">
      <c r="B118" t="s">
        <v>75</v>
      </c>
      <c r="M118" s="33">
        <f>-M42</f>
        <v>-4074.9724633500005</v>
      </c>
    </row>
    <row r="119" spans="2:13" x14ac:dyDescent="0.35">
      <c r="B119" t="s">
        <v>88</v>
      </c>
      <c r="M119" s="55">
        <f>M117+M118</f>
        <v>3326.1501449031944</v>
      </c>
    </row>
    <row r="120" spans="2:13" ht="15" thickBot="1" x14ac:dyDescent="0.4">
      <c r="B120" t="s">
        <v>89</v>
      </c>
      <c r="C120" s="46" t="s">
        <v>90</v>
      </c>
      <c r="D120" s="42">
        <f>IRR(H120:M120)</f>
        <v>0.42235535559257831</v>
      </c>
      <c r="H120" s="22">
        <f>-C10</f>
        <v>-1811.0988726000005</v>
      </c>
      <c r="I120" s="43">
        <f>+I105</f>
        <v>607.58796911805905</v>
      </c>
      <c r="J120" s="43">
        <f>+J105</f>
        <v>625.64982105485763</v>
      </c>
      <c r="K120" s="43">
        <f>+K105</f>
        <v>644.25352854976052</v>
      </c>
      <c r="L120" s="43">
        <f>+L105</f>
        <v>663.41534726951045</v>
      </c>
      <c r="M120" s="43">
        <f>+M105+M119</f>
        <v>4009.3021654540476</v>
      </c>
    </row>
    <row r="121" spans="2:13" ht="15" thickTop="1" x14ac:dyDescent="0.35"/>
    <row r="123" spans="2:13" x14ac:dyDescent="0.35">
      <c r="B123" s="6" t="s">
        <v>96</v>
      </c>
      <c r="C123" s="57"/>
      <c r="D123" s="57"/>
      <c r="E123" s="57"/>
      <c r="F123" s="57"/>
      <c r="G123" s="57"/>
      <c r="H123" s="57" t="s">
        <v>35</v>
      </c>
      <c r="I123" s="57"/>
      <c r="J123" s="57"/>
      <c r="K123" s="57"/>
      <c r="L123" s="57"/>
      <c r="M123" s="57"/>
    </row>
    <row r="124" spans="2:13" x14ac:dyDescent="0.35">
      <c r="B124" s="4"/>
      <c r="C124" s="4"/>
      <c r="D124" s="29"/>
      <c r="E124" s="29"/>
      <c r="F124" s="29"/>
      <c r="G124" s="29"/>
      <c r="H124" s="29"/>
      <c r="I124" s="4">
        <f>+I91</f>
        <v>2025</v>
      </c>
      <c r="J124" s="4">
        <f>+J91</f>
        <v>2026</v>
      </c>
      <c r="K124" s="4">
        <f>+K91</f>
        <v>2027</v>
      </c>
      <c r="L124" s="4">
        <f>+L91</f>
        <v>2028</v>
      </c>
      <c r="M124" s="4">
        <f>+M91</f>
        <v>2029</v>
      </c>
    </row>
    <row r="125" spans="2:13" ht="15" thickBot="1" x14ac:dyDescent="0.4">
      <c r="B125" t="s">
        <v>59</v>
      </c>
      <c r="I125" s="43">
        <f>+I82+I96</f>
        <v>789.10344968614959</v>
      </c>
      <c r="J125" s="43">
        <f t="shared" ref="J125:M125" si="59">+J82+J96</f>
        <v>812.77655317673361</v>
      </c>
      <c r="K125" s="43">
        <f t="shared" si="59"/>
        <v>837.1598497720355</v>
      </c>
      <c r="L125" s="43">
        <f t="shared" si="59"/>
        <v>862.27464526519657</v>
      </c>
      <c r="M125" s="43">
        <f t="shared" si="59"/>
        <v>888.1428846231529</v>
      </c>
    </row>
    <row r="126" spans="2:13" ht="15" thickTop="1" x14ac:dyDescent="0.35"/>
    <row r="127" spans="2:13" x14ac:dyDescent="0.35">
      <c r="B127" s="1" t="s">
        <v>97</v>
      </c>
    </row>
    <row r="128" spans="2:13" x14ac:dyDescent="0.35">
      <c r="B128" t="s">
        <v>98</v>
      </c>
      <c r="H128" s="93"/>
      <c r="I128" s="94">
        <f>+I42/I125</f>
        <v>5.3170625345241653</v>
      </c>
      <c r="J128" s="94">
        <f t="shared" ref="J128:M128" si="60">+J42/J125</f>
        <v>5.1250585301692748</v>
      </c>
      <c r="K128" s="94">
        <f t="shared" si="60"/>
        <v>4.9397285678429075</v>
      </c>
      <c r="L128" s="94">
        <f t="shared" si="60"/>
        <v>4.7608467523679066</v>
      </c>
      <c r="M128" s="94">
        <f t="shared" si="60"/>
        <v>4.5881946856772355</v>
      </c>
    </row>
    <row r="129" spans="2:13" x14ac:dyDescent="0.35">
      <c r="B129" t="s">
        <v>99</v>
      </c>
      <c r="I129" s="95">
        <v>6.5</v>
      </c>
      <c r="J129" s="94">
        <f>+I129-0.5</f>
        <v>6</v>
      </c>
      <c r="K129" s="94">
        <f t="shared" ref="K129:M129" si="61">+J129-0.5</f>
        <v>5.5</v>
      </c>
      <c r="L129" s="94">
        <f t="shared" si="61"/>
        <v>5</v>
      </c>
      <c r="M129" s="94">
        <f t="shared" si="61"/>
        <v>4.5</v>
      </c>
    </row>
    <row r="130" spans="2:13" x14ac:dyDescent="0.35">
      <c r="B130" t="s">
        <v>100</v>
      </c>
      <c r="I130" s="33">
        <f>I42/I129-I125</f>
        <v>-143.60923611845715</v>
      </c>
      <c r="J130" s="33">
        <f t="shared" ref="J130:M130" si="62">J42/J129-J125</f>
        <v>-118.52198534673369</v>
      </c>
      <c r="K130" s="33">
        <f t="shared" si="62"/>
        <v>-85.279408722944481</v>
      </c>
      <c r="L130" s="33">
        <f t="shared" si="62"/>
        <v>-41.243156353196582</v>
      </c>
      <c r="M130" s="33">
        <f t="shared" si="62"/>
        <v>17.406551676847243</v>
      </c>
    </row>
    <row r="132" spans="2:13" x14ac:dyDescent="0.35">
      <c r="B132" s="1" t="s">
        <v>101</v>
      </c>
    </row>
    <row r="133" spans="2:13" x14ac:dyDescent="0.35">
      <c r="B133" t="s">
        <v>102</v>
      </c>
      <c r="I133" s="94">
        <f>I120/I85</f>
        <v>2.0751357943490545</v>
      </c>
      <c r="J133" s="94">
        <f t="shared" ref="J133:M133" si="63">J120/J85</f>
        <v>2.0461193829847413</v>
      </c>
      <c r="K133" s="94">
        <f t="shared" si="63"/>
        <v>2.0230817685704765</v>
      </c>
      <c r="L133" s="94">
        <f t="shared" si="63"/>
        <v>1.9203430027492459</v>
      </c>
      <c r="M133" s="94">
        <f t="shared" si="63"/>
        <v>11.692289161743819</v>
      </c>
    </row>
    <row r="134" spans="2:13" x14ac:dyDescent="0.35">
      <c r="B134" t="s">
        <v>103</v>
      </c>
      <c r="I134" s="95">
        <v>2</v>
      </c>
      <c r="J134" s="94">
        <f>+I134+0.25</f>
        <v>2.25</v>
      </c>
      <c r="K134" s="94">
        <f t="shared" ref="K134:M134" si="64">+J134+0.25</f>
        <v>2.5</v>
      </c>
      <c r="L134" s="94">
        <f t="shared" si="64"/>
        <v>2.75</v>
      </c>
      <c r="M134" s="94">
        <f t="shared" si="64"/>
        <v>3</v>
      </c>
    </row>
    <row r="135" spans="2:13" x14ac:dyDescent="0.35">
      <c r="B135" t="s">
        <v>100</v>
      </c>
      <c r="I135" s="33">
        <f>I134*I85-I125</f>
        <v>-203.51481421214953</v>
      </c>
      <c r="J135" s="33">
        <f t="shared" ref="J135:M135" si="65">J134*J85-J125</f>
        <v>-124.78536894780859</v>
      </c>
      <c r="K135" s="33">
        <f t="shared" si="65"/>
        <v>-41.030970358285344</v>
      </c>
      <c r="L135" s="33">
        <f t="shared" si="65"/>
        <v>87.759907093041079</v>
      </c>
      <c r="M135" s="33">
        <f t="shared" si="65"/>
        <v>140.56127501364745</v>
      </c>
    </row>
    <row r="137" spans="2:13" x14ac:dyDescent="0.35">
      <c r="B137" s="1" t="s">
        <v>119</v>
      </c>
    </row>
    <row r="138" spans="2:13" x14ac:dyDescent="0.35">
      <c r="B138" t="s">
        <v>111</v>
      </c>
      <c r="I138" s="33">
        <f>+I120</f>
        <v>607.58796911805905</v>
      </c>
      <c r="J138" s="33">
        <f t="shared" ref="J138:M138" si="66">+J120</f>
        <v>625.64982105485763</v>
      </c>
      <c r="K138" s="33">
        <f t="shared" si="66"/>
        <v>644.25352854976052</v>
      </c>
      <c r="L138" s="33">
        <f t="shared" si="66"/>
        <v>663.41534726951045</v>
      </c>
      <c r="M138" s="33">
        <f t="shared" si="66"/>
        <v>4009.3021654540476</v>
      </c>
    </row>
    <row r="139" spans="2:13" x14ac:dyDescent="0.35">
      <c r="G139" s="10" t="s">
        <v>113</v>
      </c>
      <c r="H139" s="96">
        <f>(C6/$C$8)*G6+(C7/$C$8)*G7</f>
        <v>7.8094788829147721E-2</v>
      </c>
    </row>
    <row r="140" spans="2:13" x14ac:dyDescent="0.35">
      <c r="G140" s="10" t="s">
        <v>114</v>
      </c>
      <c r="H140" s="97">
        <f>NPV(H139,I138:M138)</f>
        <v>4859.958195314257</v>
      </c>
    </row>
    <row r="141" spans="2:13" ht="15" thickBot="1" x14ac:dyDescent="0.4">
      <c r="G141" s="10" t="s">
        <v>115</v>
      </c>
      <c r="H141" s="30">
        <v>0.2</v>
      </c>
    </row>
    <row r="142" spans="2:13" ht="15" thickBot="1" x14ac:dyDescent="0.4">
      <c r="G142" s="10" t="s">
        <v>116</v>
      </c>
      <c r="H142" s="98">
        <f>+H140*(1-H141)</f>
        <v>3887.9665562514056</v>
      </c>
    </row>
    <row r="143" spans="2:13" ht="15" thickBot="1" x14ac:dyDescent="0.4">
      <c r="G143" s="10" t="s">
        <v>117</v>
      </c>
      <c r="H143" s="35">
        <f>+C8</f>
        <v>4225.8973693999997</v>
      </c>
    </row>
    <row r="144" spans="2:13" ht="15" thickBot="1" x14ac:dyDescent="0.4">
      <c r="G144" s="10" t="s">
        <v>118</v>
      </c>
      <c r="H144" s="99">
        <f>H143/H142</f>
        <v>1.0869171090490066</v>
      </c>
    </row>
  </sheetData>
  <mergeCells count="1">
    <mergeCell ref="C90:E9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FEFF-82B8-47FE-89CE-8CFE5AC396CB}">
  <dimension ref="A1:AB150"/>
  <sheetViews>
    <sheetView tabSelected="1" workbookViewId="0">
      <selection activeCell="J15" sqref="J15"/>
    </sheetView>
  </sheetViews>
  <sheetFormatPr defaultRowHeight="14.5" x14ac:dyDescent="0.35"/>
  <cols>
    <col min="1" max="1" width="3.81640625" customWidth="1"/>
    <col min="2" max="2" width="25.6328125" customWidth="1"/>
    <col min="3" max="4" width="10.26953125" customWidth="1"/>
    <col min="5" max="5" width="12.54296875" customWidth="1"/>
    <col min="6" max="6" width="11.81640625" customWidth="1"/>
    <col min="7" max="7" width="10.26953125" customWidth="1"/>
    <col min="8" max="8" width="11.453125" customWidth="1"/>
    <col min="9" max="9" width="16.453125" bestFit="1" customWidth="1"/>
    <col min="10" max="16" width="11.453125" customWidth="1"/>
    <col min="20" max="20" width="10.54296875" customWidth="1"/>
  </cols>
  <sheetData>
    <row r="1" spans="1:28" ht="28.5" x14ac:dyDescent="0.65">
      <c r="A1" s="3"/>
      <c r="B1" s="56" t="s">
        <v>120</v>
      </c>
    </row>
    <row r="2" spans="1:28" x14ac:dyDescent="0.35">
      <c r="B2" t="s">
        <v>134</v>
      </c>
    </row>
    <row r="4" spans="1:28" x14ac:dyDescent="0.35">
      <c r="B4" s="6" t="s">
        <v>0</v>
      </c>
      <c r="C4" s="5"/>
      <c r="D4" s="5"/>
      <c r="E4" s="5"/>
      <c r="F4" s="5"/>
      <c r="G4" s="5"/>
      <c r="I4" s="6" t="s">
        <v>107</v>
      </c>
      <c r="J4" s="5"/>
      <c r="K4" s="5"/>
      <c r="L4" s="5"/>
      <c r="M4" s="5"/>
      <c r="N4" s="5"/>
      <c r="O4" s="5"/>
      <c r="P4" s="5"/>
    </row>
    <row r="5" spans="1:28" x14ac:dyDescent="0.35">
      <c r="B5" s="4" t="s">
        <v>1</v>
      </c>
      <c r="C5" s="4"/>
      <c r="D5" s="4"/>
      <c r="E5" s="4"/>
      <c r="F5" s="4"/>
      <c r="G5" s="4"/>
      <c r="I5" s="4" t="s">
        <v>106</v>
      </c>
      <c r="J5" s="4"/>
      <c r="K5" s="4"/>
      <c r="L5" s="4"/>
      <c r="M5" s="4"/>
      <c r="N5" s="4"/>
      <c r="O5" s="4"/>
      <c r="P5" s="4"/>
    </row>
    <row r="6" spans="1:28" s="12" customFormat="1" ht="29" x14ac:dyDescent="0.35">
      <c r="B6" s="16" t="s">
        <v>2</v>
      </c>
      <c r="C6" s="17" t="s">
        <v>57</v>
      </c>
      <c r="D6" s="18" t="s">
        <v>55</v>
      </c>
      <c r="E6" s="54" t="s">
        <v>60</v>
      </c>
      <c r="F6" s="54" t="s">
        <v>92</v>
      </c>
      <c r="G6" s="54" t="s">
        <v>30</v>
      </c>
      <c r="H6"/>
      <c r="I6" s="17">
        <f t="shared" ref="I6:P6" si="0">I22</f>
        <v>2025</v>
      </c>
      <c r="J6" s="17">
        <f t="shared" si="0"/>
        <v>2026</v>
      </c>
      <c r="K6" s="17">
        <f t="shared" si="0"/>
        <v>2027</v>
      </c>
      <c r="L6" s="17">
        <f t="shared" si="0"/>
        <v>2028</v>
      </c>
      <c r="M6" s="17">
        <f t="shared" si="0"/>
        <v>2029</v>
      </c>
      <c r="N6" s="17">
        <f t="shared" si="0"/>
        <v>2030</v>
      </c>
      <c r="O6" s="17">
        <f t="shared" si="0"/>
        <v>2031</v>
      </c>
      <c r="P6" s="17">
        <f t="shared" si="0"/>
        <v>2032</v>
      </c>
      <c r="AB6"/>
    </row>
    <row r="7" spans="1:28" x14ac:dyDescent="0.35">
      <c r="B7" t="s">
        <v>4</v>
      </c>
      <c r="C7" s="21">
        <f>MIN(0.5*G19,G11*4)</f>
        <v>3018.4981210000001</v>
      </c>
      <c r="D7" s="15">
        <f>C7/$C$12</f>
        <v>0.5</v>
      </c>
      <c r="E7" s="51">
        <f>C7/G11</f>
        <v>3.0386932765157222</v>
      </c>
      <c r="F7" s="102" t="s">
        <v>122</v>
      </c>
      <c r="G7" s="84">
        <f>F27</f>
        <v>7.7332704360806748E-2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0.94</v>
      </c>
      <c r="P7" s="7"/>
    </row>
    <row r="8" spans="1:28" x14ac:dyDescent="0.35">
      <c r="B8" t="s">
        <v>95</v>
      </c>
      <c r="C8" s="21">
        <f>MIN(0.2*G19,G11*2)</f>
        <v>1207.3992484</v>
      </c>
      <c r="D8" s="8">
        <f t="shared" ref="D8:D12" si="1">C8/$C$12</f>
        <v>0.2</v>
      </c>
      <c r="E8" s="51">
        <f>C8/G11</f>
        <v>1.2154773106062888</v>
      </c>
      <c r="F8" s="11">
        <v>0.08</v>
      </c>
      <c r="G8" s="84">
        <f>F41</f>
        <v>8.0000000000000071E-2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1</v>
      </c>
    </row>
    <row r="9" spans="1:28" x14ac:dyDescent="0.35">
      <c r="B9" t="s">
        <v>105</v>
      </c>
      <c r="C9" s="21">
        <f>C8+C7</f>
        <v>4225.8973693999997</v>
      </c>
      <c r="D9" s="8">
        <f t="shared" si="1"/>
        <v>0.7</v>
      </c>
      <c r="E9" s="87">
        <f>E8+E7</f>
        <v>4.2541705871220108</v>
      </c>
      <c r="H9" s="37"/>
      <c r="I9" s="37"/>
      <c r="J9" s="37"/>
      <c r="K9" s="37"/>
      <c r="L9" s="37"/>
      <c r="M9" s="37"/>
      <c r="N9" s="37"/>
      <c r="O9" s="37"/>
      <c r="P9" s="37"/>
    </row>
    <row r="10" spans="1:28" ht="15" thickBot="1" x14ac:dyDescent="0.4">
      <c r="L10" s="37"/>
      <c r="M10" s="37"/>
      <c r="N10" s="37"/>
      <c r="O10" s="37"/>
      <c r="P10" s="37"/>
    </row>
    <row r="11" spans="1:28" ht="15" thickBot="1" x14ac:dyDescent="0.4">
      <c r="B11" t="s">
        <v>5</v>
      </c>
      <c r="C11" s="19">
        <f>G19-C9</f>
        <v>1811.0988726000005</v>
      </c>
      <c r="D11" s="8">
        <f t="shared" si="1"/>
        <v>0.3000000000000001</v>
      </c>
      <c r="F11" s="104" t="s">
        <v>123</v>
      </c>
      <c r="G11" s="105">
        <f>E83+E97</f>
        <v>993.3540000000005</v>
      </c>
      <c r="H11" s="37"/>
    </row>
    <row r="12" spans="1:28" ht="15" thickBot="1" x14ac:dyDescent="0.4">
      <c r="B12" t="s">
        <v>53</v>
      </c>
      <c r="C12" s="86">
        <f>C11+C9</f>
        <v>6036.9962420000002</v>
      </c>
      <c r="D12" s="85">
        <f t="shared" si="1"/>
        <v>1</v>
      </c>
    </row>
    <row r="13" spans="1:28" ht="15" thickTop="1" x14ac:dyDescent="0.35"/>
    <row r="14" spans="1:28" x14ac:dyDescent="0.35">
      <c r="B14" s="4" t="s">
        <v>3</v>
      </c>
      <c r="C14" s="4"/>
      <c r="D14" s="4"/>
      <c r="E14" s="4"/>
      <c r="F14" s="4"/>
      <c r="G14" s="4"/>
      <c r="H14" s="4"/>
    </row>
    <row r="15" spans="1:28" ht="43.5" x14ac:dyDescent="0.35">
      <c r="B15" s="64"/>
      <c r="C15" s="17" t="s">
        <v>7</v>
      </c>
      <c r="D15" s="17" t="s">
        <v>8</v>
      </c>
      <c r="E15" s="17" t="s">
        <v>9</v>
      </c>
      <c r="F15" s="17" t="s">
        <v>56</v>
      </c>
      <c r="G15" s="17" t="s">
        <v>57</v>
      </c>
      <c r="H15" s="54" t="s">
        <v>110</v>
      </c>
    </row>
    <row r="16" spans="1:28" x14ac:dyDescent="0.35">
      <c r="B16" s="65" t="s">
        <v>6</v>
      </c>
      <c r="C16" s="89">
        <v>77.62</v>
      </c>
      <c r="D16" s="61">
        <v>0</v>
      </c>
      <c r="E16" s="90">
        <f>C16*(1+D16)</f>
        <v>77.62</v>
      </c>
      <c r="F16" s="7">
        <v>54.62</v>
      </c>
      <c r="G16" s="19">
        <f>F16*E16</f>
        <v>4239.6044000000002</v>
      </c>
      <c r="H16" s="47"/>
    </row>
    <row r="17" spans="2:16" x14ac:dyDescent="0.35">
      <c r="B17" s="65" t="s">
        <v>10</v>
      </c>
      <c r="G17" s="19">
        <f>E56</f>
        <v>1621.557</v>
      </c>
    </row>
    <row r="18" spans="2:16" ht="15" thickBot="1" x14ac:dyDescent="0.4">
      <c r="B18" s="65" t="s">
        <v>11</v>
      </c>
      <c r="C18" s="11">
        <v>0.03</v>
      </c>
      <c r="G18" s="19">
        <f>C18*(G16+G17)</f>
        <v>175.83484199999998</v>
      </c>
    </row>
    <row r="19" spans="2:16" ht="15" thickBot="1" x14ac:dyDescent="0.4">
      <c r="B19" s="65" t="s">
        <v>54</v>
      </c>
      <c r="G19" s="23">
        <f>SUM(G16:G18)</f>
        <v>6036.9962420000002</v>
      </c>
      <c r="H19" s="52">
        <f>G19/G11</f>
        <v>6.0773865530314444</v>
      </c>
    </row>
    <row r="21" spans="2:16" x14ac:dyDescent="0.35">
      <c r="B21" s="6" t="s">
        <v>12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s="12" customFormat="1" ht="30.5" customHeight="1" x14ac:dyDescent="0.35">
      <c r="B22" s="14" t="s">
        <v>58</v>
      </c>
      <c r="C22" s="14"/>
      <c r="D22" s="14"/>
      <c r="E22" s="14"/>
      <c r="F22" s="69" t="s">
        <v>104</v>
      </c>
      <c r="G22" s="14"/>
      <c r="H22" s="60" t="s">
        <v>121</v>
      </c>
      <c r="I22" s="14">
        <v>2025</v>
      </c>
      <c r="J22" s="14">
        <f t="shared" ref="J22:P22" si="2">+I22+1</f>
        <v>2026</v>
      </c>
      <c r="K22" s="14">
        <f t="shared" si="2"/>
        <v>2027</v>
      </c>
      <c r="L22" s="14">
        <f t="shared" si="2"/>
        <v>2028</v>
      </c>
      <c r="M22" s="14">
        <f t="shared" si="2"/>
        <v>2029</v>
      </c>
      <c r="N22" s="14">
        <f t="shared" si="2"/>
        <v>2030</v>
      </c>
      <c r="O22" s="14">
        <f t="shared" si="2"/>
        <v>2031</v>
      </c>
      <c r="P22" s="14">
        <f t="shared" si="2"/>
        <v>2032</v>
      </c>
    </row>
    <row r="23" spans="2:16" x14ac:dyDescent="0.35">
      <c r="B23" s="2" t="s">
        <v>4</v>
      </c>
    </row>
    <row r="24" spans="2:16" x14ac:dyDescent="0.35">
      <c r="B24" t="s">
        <v>13</v>
      </c>
      <c r="H24" s="19">
        <f>+C7</f>
        <v>3018.4981210000001</v>
      </c>
      <c r="I24" s="25">
        <f>+H24-I25</f>
        <v>2988.3131397900002</v>
      </c>
      <c r="J24" s="25">
        <f t="shared" ref="J24:O24" si="3">+I24-J25</f>
        <v>2958.1281585800002</v>
      </c>
      <c r="K24" s="25">
        <f t="shared" si="3"/>
        <v>2927.9431773700003</v>
      </c>
      <c r="L24" s="25">
        <f t="shared" si="3"/>
        <v>2897.7581961600004</v>
      </c>
      <c r="M24" s="25">
        <f t="shared" si="3"/>
        <v>2867.5732149500004</v>
      </c>
      <c r="N24" s="25">
        <f t="shared" si="3"/>
        <v>2837.3882337400005</v>
      </c>
      <c r="O24" s="25">
        <f t="shared" si="3"/>
        <v>0</v>
      </c>
      <c r="P24" s="7"/>
    </row>
    <row r="25" spans="2:16" x14ac:dyDescent="0.35">
      <c r="B25" t="s">
        <v>14</v>
      </c>
      <c r="I25" s="24">
        <f t="shared" ref="I25:P25" si="4">$C$7*I7</f>
        <v>30.18498121</v>
      </c>
      <c r="J25" s="24">
        <f t="shared" si="4"/>
        <v>30.18498121</v>
      </c>
      <c r="K25" s="24">
        <f t="shared" si="4"/>
        <v>30.18498121</v>
      </c>
      <c r="L25" s="24">
        <f t="shared" si="4"/>
        <v>30.18498121</v>
      </c>
      <c r="M25" s="24">
        <f t="shared" si="4"/>
        <v>30.18498121</v>
      </c>
      <c r="N25" s="24">
        <f t="shared" si="4"/>
        <v>30.18498121</v>
      </c>
      <c r="O25" s="24">
        <f t="shared" si="4"/>
        <v>2837.38823374</v>
      </c>
      <c r="P25" s="24">
        <f t="shared" si="4"/>
        <v>0</v>
      </c>
    </row>
    <row r="26" spans="2:16" x14ac:dyDescent="0.35">
      <c r="B26" t="s">
        <v>15</v>
      </c>
      <c r="I26" s="24">
        <f>+H24*I33</f>
        <v>196.20237786500002</v>
      </c>
      <c r="J26" s="24">
        <f t="shared" ref="J26:P26" si="5">+I24*J33</f>
        <v>209.18191978530004</v>
      </c>
      <c r="K26" s="24">
        <f t="shared" si="5"/>
        <v>221.85961189350004</v>
      </c>
      <c r="L26" s="24">
        <f t="shared" si="5"/>
        <v>248.87517007645005</v>
      </c>
      <c r="M26" s="24">
        <f t="shared" si="5"/>
        <v>246.30944667360004</v>
      </c>
      <c r="N26" s="24">
        <f t="shared" si="5"/>
        <v>243.74372327075005</v>
      </c>
      <c r="O26" s="24">
        <f t="shared" si="5"/>
        <v>241.17799986790007</v>
      </c>
      <c r="P26" s="24">
        <f t="shared" si="5"/>
        <v>0</v>
      </c>
    </row>
    <row r="27" spans="2:16" x14ac:dyDescent="0.35">
      <c r="B27" t="s">
        <v>16</v>
      </c>
      <c r="F27" s="66">
        <f>IRR(H27:O27)</f>
        <v>7.7332704360806748E-2</v>
      </c>
      <c r="H27" s="35">
        <f>-H24</f>
        <v>-3018.4981210000001</v>
      </c>
      <c r="I27" s="25">
        <f>+I26+I25</f>
        <v>226.38735907500001</v>
      </c>
      <c r="J27" s="25">
        <f t="shared" ref="J27:P27" si="6">+J26+J25</f>
        <v>239.36690099530003</v>
      </c>
      <c r="K27" s="25">
        <f t="shared" si="6"/>
        <v>252.04459310350003</v>
      </c>
      <c r="L27" s="25">
        <f t="shared" si="6"/>
        <v>279.06015128645004</v>
      </c>
      <c r="M27" s="25">
        <f t="shared" si="6"/>
        <v>276.49442788360005</v>
      </c>
      <c r="N27" s="25">
        <f t="shared" si="6"/>
        <v>273.92870448075007</v>
      </c>
      <c r="O27" s="25">
        <f t="shared" si="6"/>
        <v>3078.5662336078999</v>
      </c>
      <c r="P27" s="25">
        <f t="shared" si="6"/>
        <v>0</v>
      </c>
    </row>
    <row r="28" spans="2:16" x14ac:dyDescent="0.35">
      <c r="B28" t="s">
        <v>82</v>
      </c>
      <c r="F28" s="67"/>
    </row>
    <row r="29" spans="2:16" x14ac:dyDescent="0.35">
      <c r="F29" s="67"/>
    </row>
    <row r="30" spans="2:16" x14ac:dyDescent="0.35">
      <c r="B30" s="1" t="s">
        <v>93</v>
      </c>
      <c r="F30" s="67"/>
      <c r="H30" s="50">
        <v>0.02</v>
      </c>
      <c r="I30" s="28">
        <f>+H30+I31</f>
        <v>2.5000000000000001E-2</v>
      </c>
      <c r="J30" s="28">
        <f t="shared" ref="J30:P30" si="7">+I30+J31</f>
        <v>3.0000000000000002E-2</v>
      </c>
      <c r="K30" s="28">
        <f t="shared" si="7"/>
        <v>3.5000000000000003E-2</v>
      </c>
      <c r="L30" s="28">
        <f t="shared" si="7"/>
        <v>4.5000000000000005E-2</v>
      </c>
      <c r="M30" s="28">
        <f t="shared" si="7"/>
        <v>4.5000000000000005E-2</v>
      </c>
      <c r="N30" s="28">
        <f t="shared" si="7"/>
        <v>4.5000000000000005E-2</v>
      </c>
      <c r="O30" s="28">
        <f t="shared" si="7"/>
        <v>4.5000000000000005E-2</v>
      </c>
      <c r="P30" s="28">
        <f t="shared" si="7"/>
        <v>4.5000000000000005E-2</v>
      </c>
    </row>
    <row r="31" spans="2:16" x14ac:dyDescent="0.35">
      <c r="B31" t="s">
        <v>94</v>
      </c>
      <c r="F31" s="67"/>
      <c r="H31" s="26"/>
      <c r="I31" s="48">
        <v>5.0000000000000001E-3</v>
      </c>
      <c r="J31" s="48">
        <v>5.0000000000000001E-3</v>
      </c>
      <c r="K31" s="48">
        <v>5.0000000000000001E-3</v>
      </c>
      <c r="L31" s="48">
        <v>0.01</v>
      </c>
      <c r="M31" s="48"/>
      <c r="N31" s="48"/>
      <c r="O31" s="48"/>
      <c r="P31" s="48"/>
    </row>
    <row r="32" spans="2:16" x14ac:dyDescent="0.35">
      <c r="B32" t="s">
        <v>17</v>
      </c>
      <c r="F32" s="67"/>
      <c r="H32" s="26"/>
      <c r="I32" s="8">
        <v>0.04</v>
      </c>
      <c r="J32" s="8">
        <v>0.04</v>
      </c>
      <c r="K32" s="8">
        <v>0.04</v>
      </c>
      <c r="L32" s="8">
        <v>0.04</v>
      </c>
      <c r="M32" s="8">
        <v>0.04</v>
      </c>
      <c r="N32" s="8">
        <v>0.04</v>
      </c>
      <c r="O32" s="8">
        <v>0.04</v>
      </c>
      <c r="P32" s="8">
        <v>0.04</v>
      </c>
    </row>
    <row r="33" spans="2:20" x14ac:dyDescent="0.35">
      <c r="B33" t="s">
        <v>18</v>
      </c>
      <c r="F33" s="67"/>
      <c r="H33" s="26"/>
      <c r="I33" s="8">
        <f>+I32+I30</f>
        <v>6.5000000000000002E-2</v>
      </c>
      <c r="J33" s="8">
        <f t="shared" ref="J33:P33" si="8">+J32+J30</f>
        <v>7.0000000000000007E-2</v>
      </c>
      <c r="K33" s="8">
        <f t="shared" si="8"/>
        <v>7.5000000000000011E-2</v>
      </c>
      <c r="L33" s="8">
        <f t="shared" si="8"/>
        <v>8.5000000000000006E-2</v>
      </c>
      <c r="M33" s="8">
        <f t="shared" si="8"/>
        <v>8.5000000000000006E-2</v>
      </c>
      <c r="N33" s="8">
        <f t="shared" si="8"/>
        <v>8.5000000000000006E-2</v>
      </c>
      <c r="O33" s="8">
        <f t="shared" si="8"/>
        <v>8.5000000000000006E-2</v>
      </c>
      <c r="P33" s="8">
        <f t="shared" si="8"/>
        <v>8.5000000000000006E-2</v>
      </c>
    </row>
    <row r="34" spans="2:20" x14ac:dyDescent="0.35">
      <c r="F34" s="67"/>
    </row>
    <row r="35" spans="2:20" x14ac:dyDescent="0.35">
      <c r="B35" s="2" t="s">
        <v>95</v>
      </c>
      <c r="F35" s="67"/>
    </row>
    <row r="36" spans="2:20" x14ac:dyDescent="0.35">
      <c r="B36" t="s">
        <v>13</v>
      </c>
      <c r="F36" s="67"/>
      <c r="H36" s="19">
        <f>+C8</f>
        <v>1207.3992484</v>
      </c>
      <c r="I36" s="25">
        <f>+H36-I37</f>
        <v>1207.3992484</v>
      </c>
      <c r="J36" s="25">
        <f t="shared" ref="J36:O36" si="9">+I36-J37</f>
        <v>1207.3992484</v>
      </c>
      <c r="K36" s="25">
        <f t="shared" si="9"/>
        <v>1207.3992484</v>
      </c>
      <c r="L36" s="25">
        <f t="shared" si="9"/>
        <v>1207.3992484</v>
      </c>
      <c r="M36" s="25">
        <f t="shared" si="9"/>
        <v>1207.3992484</v>
      </c>
      <c r="N36" s="25">
        <f t="shared" si="9"/>
        <v>1207.3992484</v>
      </c>
      <c r="O36" s="25">
        <f t="shared" si="9"/>
        <v>1207.3992484</v>
      </c>
      <c r="P36" s="7"/>
    </row>
    <row r="37" spans="2:20" x14ac:dyDescent="0.35">
      <c r="B37" t="s">
        <v>14</v>
      </c>
      <c r="F37" s="67"/>
      <c r="I37" s="24">
        <f t="shared" ref="I37:P37" si="10">$C$8*I8</f>
        <v>0</v>
      </c>
      <c r="J37" s="24">
        <f t="shared" si="10"/>
        <v>0</v>
      </c>
      <c r="K37" s="24">
        <f t="shared" si="10"/>
        <v>0</v>
      </c>
      <c r="L37" s="24">
        <f t="shared" si="10"/>
        <v>0</v>
      </c>
      <c r="M37" s="24">
        <f t="shared" si="10"/>
        <v>0</v>
      </c>
      <c r="N37" s="24">
        <f t="shared" si="10"/>
        <v>0</v>
      </c>
      <c r="O37" s="24">
        <f t="shared" si="10"/>
        <v>0</v>
      </c>
      <c r="P37" s="24">
        <f t="shared" si="10"/>
        <v>1207.3992484</v>
      </c>
    </row>
    <row r="38" spans="2:20" x14ac:dyDescent="0.35">
      <c r="B38" t="s">
        <v>15</v>
      </c>
      <c r="F38" s="67"/>
      <c r="I38" s="24">
        <f>+H36*I41</f>
        <v>96.591939872000012</v>
      </c>
      <c r="J38" s="24">
        <f t="shared" ref="J38:P38" si="11">+I36*J41</f>
        <v>96.591939872000012</v>
      </c>
      <c r="K38" s="24">
        <f t="shared" si="11"/>
        <v>96.591939872000012</v>
      </c>
      <c r="L38" s="24">
        <f t="shared" si="11"/>
        <v>96.591939872000012</v>
      </c>
      <c r="M38" s="24">
        <f t="shared" si="11"/>
        <v>96.591939872000012</v>
      </c>
      <c r="N38" s="24">
        <f t="shared" si="11"/>
        <v>96.591939872000012</v>
      </c>
      <c r="O38" s="24">
        <f t="shared" si="11"/>
        <v>96.591939872000012</v>
      </c>
      <c r="P38" s="24">
        <f t="shared" si="11"/>
        <v>96.591939872000012</v>
      </c>
    </row>
    <row r="39" spans="2:20" x14ac:dyDescent="0.35">
      <c r="B39" t="s">
        <v>16</v>
      </c>
      <c r="F39" s="67"/>
      <c r="H39" s="35">
        <f>-H36</f>
        <v>-1207.3992484</v>
      </c>
      <c r="I39" s="25">
        <f>+I38+I37</f>
        <v>96.591939872000012</v>
      </c>
      <c r="J39" s="25">
        <f t="shared" ref="J39:P39" si="12">+J38+J37</f>
        <v>96.591939872000012</v>
      </c>
      <c r="K39" s="25">
        <f t="shared" si="12"/>
        <v>96.591939872000012</v>
      </c>
      <c r="L39" s="25">
        <f t="shared" si="12"/>
        <v>96.591939872000012</v>
      </c>
      <c r="M39" s="25">
        <f t="shared" si="12"/>
        <v>96.591939872000012</v>
      </c>
      <c r="N39" s="25">
        <f t="shared" si="12"/>
        <v>96.591939872000012</v>
      </c>
      <c r="O39" s="25">
        <f t="shared" si="12"/>
        <v>96.591939872000012</v>
      </c>
      <c r="P39" s="25">
        <f t="shared" si="12"/>
        <v>1303.991188272</v>
      </c>
    </row>
    <row r="40" spans="2:20" ht="15" thickBot="1" x14ac:dyDescent="0.4">
      <c r="F40" s="67"/>
    </row>
    <row r="41" spans="2:20" ht="15" thickBot="1" x14ac:dyDescent="0.4">
      <c r="B41" t="s">
        <v>18</v>
      </c>
      <c r="F41" s="68">
        <f>IRR(H39:P39)</f>
        <v>8.0000000000000071E-2</v>
      </c>
      <c r="I41" s="11">
        <v>0.08</v>
      </c>
      <c r="J41" s="11">
        <v>0.08</v>
      </c>
      <c r="K41" s="11">
        <v>0.08</v>
      </c>
      <c r="L41" s="11">
        <v>0.08</v>
      </c>
      <c r="M41" s="11">
        <v>0.08</v>
      </c>
      <c r="N41" s="11">
        <v>0.08</v>
      </c>
      <c r="O41" s="11">
        <v>0.08</v>
      </c>
      <c r="P41" s="11">
        <v>0.08</v>
      </c>
    </row>
    <row r="43" spans="2:20" x14ac:dyDescent="0.35">
      <c r="B43" t="s">
        <v>63</v>
      </c>
      <c r="H43" s="25">
        <f t="shared" ref="H43" si="13">+H36+H24</f>
        <v>4225.8973693999997</v>
      </c>
      <c r="I43" s="25">
        <f>+I36+I24</f>
        <v>4195.7123881900006</v>
      </c>
      <c r="J43" s="25">
        <f t="shared" ref="J43:P43" si="14">+J36+J24</f>
        <v>4165.5274069799998</v>
      </c>
      <c r="K43" s="25">
        <f t="shared" si="14"/>
        <v>4135.3424257700008</v>
      </c>
      <c r="L43" s="25">
        <f t="shared" si="14"/>
        <v>4105.1574445599999</v>
      </c>
      <c r="M43" s="25">
        <f t="shared" si="14"/>
        <v>4074.9724633500005</v>
      </c>
      <c r="N43" s="25">
        <f t="shared" si="14"/>
        <v>4044.7874821400005</v>
      </c>
      <c r="O43" s="25">
        <f t="shared" si="14"/>
        <v>1207.3992484</v>
      </c>
      <c r="P43" s="25">
        <f t="shared" si="14"/>
        <v>0</v>
      </c>
    </row>
    <row r="45" spans="2:20" ht="15" thickBot="1" x14ac:dyDescent="0.4">
      <c r="B45" s="6" t="s">
        <v>36</v>
      </c>
      <c r="C45" s="57"/>
      <c r="D45" s="57"/>
      <c r="E45" s="6"/>
      <c r="F45" s="6"/>
      <c r="G45" s="6"/>
      <c r="H45" s="6"/>
    </row>
    <row r="46" spans="2:20" ht="29" customHeight="1" x14ac:dyDescent="0.35">
      <c r="B46" s="13" t="s">
        <v>58</v>
      </c>
      <c r="C46" s="4">
        <v>2023</v>
      </c>
      <c r="D46" s="4">
        <v>2024</v>
      </c>
      <c r="E46" s="77" t="s">
        <v>121</v>
      </c>
      <c r="F46" s="82" t="s">
        <v>37</v>
      </c>
      <c r="G46" s="83" t="s">
        <v>38</v>
      </c>
      <c r="H46" s="77" t="str">
        <f>+E46</f>
        <v>LTM
9/30/2025</v>
      </c>
    </row>
    <row r="47" spans="2:20" x14ac:dyDescent="0.35">
      <c r="B47" t="s">
        <v>51</v>
      </c>
      <c r="E47" s="78">
        <v>971.19100000000003</v>
      </c>
      <c r="F47" s="70"/>
      <c r="G47" s="74"/>
      <c r="H47" s="78">
        <f>+E47+F47-G47</f>
        <v>971.19100000000003</v>
      </c>
      <c r="T47" s="27">
        <v>1000000</v>
      </c>
    </row>
    <row r="48" spans="2:20" x14ac:dyDescent="0.35">
      <c r="B48" t="s">
        <v>39</v>
      </c>
      <c r="E48" s="78">
        <v>585.23900000000003</v>
      </c>
      <c r="F48" s="70"/>
      <c r="G48" s="74"/>
      <c r="H48" s="78">
        <f>+E48+F48-G48</f>
        <v>585.23900000000003</v>
      </c>
    </row>
    <row r="49" spans="2:8" ht="15" thickBot="1" x14ac:dyDescent="0.4">
      <c r="B49" t="s">
        <v>52</v>
      </c>
      <c r="E49" s="79">
        <f>E53-E51-E48-E47</f>
        <v>1008.1519999999994</v>
      </c>
      <c r="F49" s="70"/>
      <c r="G49" s="74"/>
      <c r="H49" s="78">
        <f>+E49+F49-G49</f>
        <v>1008.1519999999994</v>
      </c>
    </row>
    <row r="50" spans="2:8" ht="15" thickTop="1" x14ac:dyDescent="0.35">
      <c r="E50" s="80"/>
      <c r="F50" s="76"/>
      <c r="G50" s="71"/>
      <c r="H50" s="80"/>
    </row>
    <row r="51" spans="2:8" x14ac:dyDescent="0.35">
      <c r="B51" t="s">
        <v>40</v>
      </c>
      <c r="E51" s="78">
        <v>1735.202</v>
      </c>
      <c r="F51" s="72">
        <f>+G16-E64</f>
        <v>2876.4643999999998</v>
      </c>
      <c r="G51" s="74"/>
      <c r="H51" s="78">
        <f>+E51+F51-G51</f>
        <v>4611.6664000000001</v>
      </c>
    </row>
    <row r="52" spans="2:8" x14ac:dyDescent="0.35">
      <c r="B52" t="s">
        <v>41</v>
      </c>
      <c r="E52" s="78"/>
      <c r="F52" s="70">
        <f>+G18</f>
        <v>175.83484199999998</v>
      </c>
      <c r="G52" s="74"/>
      <c r="H52" s="78">
        <f>+E52+F52-G52</f>
        <v>175.83484199999998</v>
      </c>
    </row>
    <row r="53" spans="2:8" ht="15" thickBot="1" x14ac:dyDescent="0.4">
      <c r="B53" t="s">
        <v>42</v>
      </c>
      <c r="E53" s="101">
        <v>4299.7839999999997</v>
      </c>
      <c r="F53" s="76"/>
      <c r="G53" s="71"/>
      <c r="H53" s="79">
        <f>SUM(H47:H52)</f>
        <v>7352.0832419999997</v>
      </c>
    </row>
    <row r="54" spans="2:8" ht="15" thickTop="1" x14ac:dyDescent="0.35">
      <c r="E54" s="80"/>
      <c r="F54" s="76"/>
      <c r="G54" s="71"/>
      <c r="H54" s="80"/>
    </row>
    <row r="55" spans="2:8" x14ac:dyDescent="0.35">
      <c r="B55" t="s">
        <v>43</v>
      </c>
      <c r="E55" s="78">
        <v>691.73500000000001</v>
      </c>
      <c r="F55" s="70"/>
      <c r="G55" s="74"/>
      <c r="H55" s="78">
        <f>+E55-F55+G55</f>
        <v>691.73500000000001</v>
      </c>
    </row>
    <row r="56" spans="2:8" x14ac:dyDescent="0.35">
      <c r="B56" t="s">
        <v>44</v>
      </c>
      <c r="E56" s="78">
        <v>1621.557</v>
      </c>
      <c r="F56" s="70">
        <f>+G17</f>
        <v>1621.557</v>
      </c>
      <c r="G56" s="74"/>
      <c r="H56" s="78">
        <f>+E56-F56+G56</f>
        <v>0</v>
      </c>
    </row>
    <row r="57" spans="2:8" x14ac:dyDescent="0.35">
      <c r="B57" t="s">
        <v>45</v>
      </c>
      <c r="E57" s="78"/>
      <c r="F57" s="70"/>
      <c r="G57" s="74">
        <f>+C7</f>
        <v>3018.4981210000001</v>
      </c>
      <c r="H57" s="78">
        <f>+E57-F57+G57</f>
        <v>3018.4981210000001</v>
      </c>
    </row>
    <row r="58" spans="2:8" x14ac:dyDescent="0.35">
      <c r="B58" t="s">
        <v>46</v>
      </c>
      <c r="E58" s="78"/>
      <c r="F58" s="70"/>
      <c r="G58" s="74">
        <f>+C8</f>
        <v>1207.3992484</v>
      </c>
      <c r="H58" s="78">
        <f>+E58-F58+G58</f>
        <v>1207.3992484</v>
      </c>
    </row>
    <row r="59" spans="2:8" x14ac:dyDescent="0.35">
      <c r="B59" t="s">
        <v>47</v>
      </c>
      <c r="E59" s="78">
        <f>E60-E56-E55</f>
        <v>623.33199999999977</v>
      </c>
      <c r="F59" s="70"/>
      <c r="G59" s="74"/>
      <c r="H59" s="78">
        <f>+E59-F59+G59</f>
        <v>623.33199999999977</v>
      </c>
    </row>
    <row r="60" spans="2:8" ht="15" thickBot="1" x14ac:dyDescent="0.4">
      <c r="B60" t="s">
        <v>48</v>
      </c>
      <c r="E60" s="79">
        <v>2936.6239999999998</v>
      </c>
      <c r="F60" s="76"/>
      <c r="G60" s="71"/>
      <c r="H60" s="79">
        <f>SUM(H55:H59)</f>
        <v>5540.9643693999997</v>
      </c>
    </row>
    <row r="61" spans="2:8" ht="15" thickTop="1" x14ac:dyDescent="0.35">
      <c r="E61" s="80"/>
      <c r="F61" s="76"/>
      <c r="G61" s="71"/>
      <c r="H61" s="80"/>
    </row>
    <row r="62" spans="2:8" x14ac:dyDescent="0.35">
      <c r="B62" t="s">
        <v>49</v>
      </c>
      <c r="E62" s="78">
        <f>E64-E63</f>
        <v>-2012.3329999999999</v>
      </c>
      <c r="F62" s="70">
        <f>+E62</f>
        <v>-2012.3329999999999</v>
      </c>
      <c r="G62" s="74">
        <f>+C11</f>
        <v>1811.0988726000005</v>
      </c>
      <c r="H62" s="78">
        <f>+E62-F62+G62</f>
        <v>1811.0988726000005</v>
      </c>
    </row>
    <row r="63" spans="2:8" x14ac:dyDescent="0.35">
      <c r="B63" t="s">
        <v>108</v>
      </c>
      <c r="E63" s="80">
        <v>3375.473</v>
      </c>
      <c r="F63" s="76">
        <f>+E63</f>
        <v>3375.473</v>
      </c>
      <c r="G63" s="71"/>
      <c r="H63" s="78">
        <f>+E63-F63+G63</f>
        <v>0</v>
      </c>
    </row>
    <row r="64" spans="2:8" ht="15" thickBot="1" x14ac:dyDescent="0.4">
      <c r="B64" t="s">
        <v>109</v>
      </c>
      <c r="E64" s="79">
        <v>1363.14</v>
      </c>
      <c r="F64" s="76"/>
      <c r="G64" s="71"/>
      <c r="H64" s="79">
        <f t="shared" ref="H64" si="15">H63+H62</f>
        <v>1811.0988726000005</v>
      </c>
    </row>
    <row r="65" spans="2:13" ht="15.5" thickTop="1" thickBot="1" x14ac:dyDescent="0.4">
      <c r="E65" s="88"/>
      <c r="F65" s="76"/>
      <c r="G65" s="71"/>
      <c r="H65" s="80"/>
    </row>
    <row r="66" spans="2:13" ht="15.5" thickTop="1" thickBot="1" x14ac:dyDescent="0.4">
      <c r="B66" t="s">
        <v>50</v>
      </c>
      <c r="E66" s="100">
        <f>E64+E60</f>
        <v>4299.7640000000001</v>
      </c>
      <c r="F66" s="73">
        <f>SUM(F47:F63)</f>
        <v>6036.9962420000002</v>
      </c>
      <c r="G66" s="75">
        <f>SUM(G47:G62)</f>
        <v>6036.9962420000002</v>
      </c>
      <c r="H66" s="81">
        <f>+H62+H60</f>
        <v>7352.0632420000002</v>
      </c>
    </row>
    <row r="69" spans="2:13" x14ac:dyDescent="0.35">
      <c r="B69" s="6" t="s">
        <v>19</v>
      </c>
      <c r="C69" s="57" t="s">
        <v>34</v>
      </c>
      <c r="D69" s="57"/>
      <c r="E69" s="57"/>
      <c r="H69" s="57"/>
      <c r="I69" s="57" t="s">
        <v>35</v>
      </c>
      <c r="J69" s="57"/>
      <c r="K69" s="57"/>
      <c r="L69" s="57"/>
      <c r="M69" s="57"/>
    </row>
    <row r="70" spans="2:13" ht="29" x14ac:dyDescent="0.35">
      <c r="B70" s="4" t="s">
        <v>91</v>
      </c>
      <c r="C70" s="4">
        <v>2023</v>
      </c>
      <c r="D70" s="4">
        <v>2024</v>
      </c>
      <c r="E70" s="29" t="str">
        <f>+E46</f>
        <v>LTM
9/30/2025</v>
      </c>
      <c r="H70" s="29" t="str">
        <f>+$E$70</f>
        <v>LTM
9/30/2025</v>
      </c>
      <c r="I70" s="4">
        <f>+I22</f>
        <v>2025</v>
      </c>
      <c r="J70" s="4">
        <f>+I70+1</f>
        <v>2026</v>
      </c>
      <c r="K70" s="4">
        <f>+J70+1</f>
        <v>2027</v>
      </c>
      <c r="L70" s="4">
        <f>+K70+1</f>
        <v>2028</v>
      </c>
      <c r="M70" s="4">
        <f>+L70+1</f>
        <v>2029</v>
      </c>
    </row>
    <row r="71" spans="2:13" x14ac:dyDescent="0.35">
      <c r="B71" t="s">
        <v>20</v>
      </c>
      <c r="C71" s="24">
        <v>2962.3470000000002</v>
      </c>
      <c r="D71" s="24">
        <v>4102.1080000000002</v>
      </c>
      <c r="E71" s="24">
        <v>4072.78</v>
      </c>
      <c r="F71" s="27"/>
      <c r="H71" s="24">
        <f>+E71</f>
        <v>4072.78</v>
      </c>
      <c r="I71" s="24">
        <f>+E71*(1+I72)</f>
        <v>4194.9634000000005</v>
      </c>
      <c r="J71" s="24">
        <f>+I71*(1+J72)</f>
        <v>4320.8123020000003</v>
      </c>
      <c r="K71" s="24">
        <f t="shared" ref="K71:M71" si="16">+J71*(1+K72)</f>
        <v>4450.4366710600007</v>
      </c>
      <c r="L71" s="24">
        <f t="shared" si="16"/>
        <v>4583.9497711918011</v>
      </c>
      <c r="M71" s="24">
        <f t="shared" si="16"/>
        <v>4721.4682643275555</v>
      </c>
    </row>
    <row r="72" spans="2:13" x14ac:dyDescent="0.35">
      <c r="B72" t="s">
        <v>21</v>
      </c>
      <c r="C72" s="26"/>
      <c r="D72" s="8">
        <f>+D71/C71-1</f>
        <v>0.3847493220746927</v>
      </c>
      <c r="E72" s="8">
        <f>+E71/D71-1</f>
        <v>-7.1494948450894213E-3</v>
      </c>
      <c r="F72" s="9"/>
      <c r="H72" s="8">
        <f>+E72</f>
        <v>-7.1494948450894213E-3</v>
      </c>
      <c r="I72" s="48">
        <v>0.03</v>
      </c>
      <c r="J72" s="48">
        <v>0.03</v>
      </c>
      <c r="K72" s="48">
        <v>0.03</v>
      </c>
      <c r="L72" s="48">
        <v>0.03</v>
      </c>
      <c r="M72" s="48">
        <v>0.03</v>
      </c>
    </row>
    <row r="73" spans="2:13" x14ac:dyDescent="0.35">
      <c r="C73" s="20"/>
    </row>
    <row r="74" spans="2:13" x14ac:dyDescent="0.35">
      <c r="B74" t="s">
        <v>22</v>
      </c>
      <c r="C74" s="24">
        <v>1742.337</v>
      </c>
      <c r="D74" s="24">
        <v>1691.85</v>
      </c>
      <c r="E74" s="24">
        <v>1666.461</v>
      </c>
      <c r="H74" s="24">
        <f>+E74</f>
        <v>1666.461</v>
      </c>
      <c r="I74" s="24">
        <f>+I71*I75</f>
        <v>1971.3051620916415</v>
      </c>
      <c r="J74" s="24">
        <f t="shared" ref="J74:M74" si="17">+J71*J75</f>
        <v>2030.4443169543906</v>
      </c>
      <c r="K74" s="24">
        <f t="shared" si="17"/>
        <v>2091.3576464630228</v>
      </c>
      <c r="L74" s="24">
        <f t="shared" si="17"/>
        <v>2154.0983758569137</v>
      </c>
      <c r="M74" s="24">
        <f t="shared" si="17"/>
        <v>2218.7213271326209</v>
      </c>
    </row>
    <row r="75" spans="2:13" x14ac:dyDescent="0.35">
      <c r="B75" t="s">
        <v>26</v>
      </c>
      <c r="C75" s="8">
        <f>+C74/C71</f>
        <v>0.5881610088217214</v>
      </c>
      <c r="D75" s="8">
        <f t="shared" ref="D75:E75" si="18">+D74/D71</f>
        <v>0.41243428988217762</v>
      </c>
      <c r="E75" s="8">
        <f t="shared" si="18"/>
        <v>0.40917039466899757</v>
      </c>
      <c r="F75" s="9"/>
      <c r="H75" s="8">
        <f t="shared" ref="H75" si="19">+H74/H71</f>
        <v>0.40917039466899757</v>
      </c>
      <c r="I75" s="91">
        <f>AVERAGE(C75:E75)</f>
        <v>0.46992189779096555</v>
      </c>
      <c r="J75" s="59">
        <f>+I75</f>
        <v>0.46992189779096555</v>
      </c>
      <c r="K75" s="59">
        <f t="shared" ref="K75:M75" si="20">+J75</f>
        <v>0.46992189779096555</v>
      </c>
      <c r="L75" s="59">
        <f t="shared" si="20"/>
        <v>0.46992189779096555</v>
      </c>
      <c r="M75" s="59">
        <f t="shared" si="20"/>
        <v>0.46992189779096555</v>
      </c>
    </row>
    <row r="77" spans="2:13" x14ac:dyDescent="0.35">
      <c r="B77" t="s">
        <v>23</v>
      </c>
      <c r="C77" s="25">
        <f>+C71-C74</f>
        <v>1220.0100000000002</v>
      </c>
      <c r="D77" s="25">
        <f t="shared" ref="D77:E77" si="21">+D71-D74</f>
        <v>2410.2580000000003</v>
      </c>
      <c r="E77" s="25">
        <f t="shared" si="21"/>
        <v>2406.3190000000004</v>
      </c>
      <c r="H77" s="25">
        <f>+E77</f>
        <v>2406.3190000000004</v>
      </c>
      <c r="I77" s="25">
        <f>+I71-I74</f>
        <v>2223.6582379083593</v>
      </c>
      <c r="J77" s="25">
        <f t="shared" ref="J77:M77" si="22">+J71-J74</f>
        <v>2290.3679850456097</v>
      </c>
      <c r="K77" s="25">
        <f t="shared" si="22"/>
        <v>2359.0790245969779</v>
      </c>
      <c r="L77" s="25">
        <f t="shared" si="22"/>
        <v>2429.8513953348875</v>
      </c>
      <c r="M77" s="25">
        <f t="shared" si="22"/>
        <v>2502.7469371949346</v>
      </c>
    </row>
    <row r="78" spans="2:13" x14ac:dyDescent="0.35">
      <c r="B78" t="s">
        <v>24</v>
      </c>
      <c r="C78" s="8">
        <f>+C77/C71</f>
        <v>0.4118389911782786</v>
      </c>
      <c r="D78" s="8">
        <f t="shared" ref="D78:E78" si="23">+D77/D71</f>
        <v>0.58756571011782244</v>
      </c>
      <c r="E78" s="8">
        <f t="shared" si="23"/>
        <v>0.59082960533100248</v>
      </c>
      <c r="H78" s="8">
        <f t="shared" ref="H78" si="24">+H77/H71</f>
        <v>0.59082960533100248</v>
      </c>
      <c r="I78" s="8">
        <f>+I77/I71</f>
        <v>0.53007810220903451</v>
      </c>
      <c r="J78" s="8">
        <f t="shared" ref="J78:M78" si="25">+J77/J71</f>
        <v>0.53007810220903451</v>
      </c>
      <c r="K78" s="8">
        <f t="shared" si="25"/>
        <v>0.5300781022090344</v>
      </c>
      <c r="L78" s="8">
        <f t="shared" si="25"/>
        <v>0.5300781022090344</v>
      </c>
      <c r="M78" s="8">
        <f t="shared" si="25"/>
        <v>0.53007810220903451</v>
      </c>
    </row>
    <row r="80" spans="2:13" x14ac:dyDescent="0.35">
      <c r="B80" t="s">
        <v>25</v>
      </c>
      <c r="C80" s="24">
        <v>1173.2270000000001</v>
      </c>
      <c r="D80" s="24">
        <v>1388.347</v>
      </c>
      <c r="E80" s="24">
        <v>1489.252</v>
      </c>
      <c r="H80" s="24">
        <f>+E80</f>
        <v>1489.252</v>
      </c>
      <c r="I80" s="24">
        <f>+I81*I71</f>
        <v>1510.1868240000001</v>
      </c>
      <c r="J80" s="24">
        <f t="shared" ref="J80:M80" si="26">+J81*J71</f>
        <v>1555.4924287200001</v>
      </c>
      <c r="K80" s="24">
        <f t="shared" si="26"/>
        <v>1602.1572015816002</v>
      </c>
      <c r="L80" s="24">
        <f t="shared" si="26"/>
        <v>1650.2219176290484</v>
      </c>
      <c r="M80" s="24">
        <f t="shared" si="26"/>
        <v>1699.72857515792</v>
      </c>
    </row>
    <row r="81" spans="2:13" x14ac:dyDescent="0.35">
      <c r="B81" t="s">
        <v>26</v>
      </c>
      <c r="C81" s="8">
        <f>+C80/C71</f>
        <v>0.39604644560546082</v>
      </c>
      <c r="D81" s="8">
        <f t="shared" ref="D81:E81" si="27">+D80/D71</f>
        <v>0.33844720811836254</v>
      </c>
      <c r="E81" s="8">
        <f t="shared" si="27"/>
        <v>0.36565981958269289</v>
      </c>
      <c r="F81" s="9"/>
      <c r="H81" s="8">
        <f t="shared" ref="H81" si="28">+H80/H71</f>
        <v>0.36565981958269289</v>
      </c>
      <c r="I81" s="92">
        <v>0.36</v>
      </c>
      <c r="J81" s="58">
        <f>+I81</f>
        <v>0.36</v>
      </c>
      <c r="K81" s="58">
        <f t="shared" ref="K81:M81" si="29">+J81</f>
        <v>0.36</v>
      </c>
      <c r="L81" s="58">
        <f t="shared" si="29"/>
        <v>0.36</v>
      </c>
      <c r="M81" s="58">
        <f t="shared" si="29"/>
        <v>0.36</v>
      </c>
    </row>
    <row r="83" spans="2:13" ht="15" thickBot="1" x14ac:dyDescent="0.4">
      <c r="B83" t="s">
        <v>29</v>
      </c>
      <c r="C83" s="53">
        <f>C77-C80</f>
        <v>46.783000000000129</v>
      </c>
      <c r="D83" s="53">
        <f t="shared" ref="D83:E83" si="30">D77-D80</f>
        <v>1021.9110000000003</v>
      </c>
      <c r="E83" s="53">
        <f t="shared" si="30"/>
        <v>917.06700000000046</v>
      </c>
      <c r="H83" s="53">
        <f t="shared" ref="H83" si="31">H77-H80</f>
        <v>917.06700000000046</v>
      </c>
      <c r="I83" s="25">
        <f>+I77-I80</f>
        <v>713.47141390835918</v>
      </c>
      <c r="J83" s="25">
        <f t="shared" ref="J83:M83" si="32">+J77-J80</f>
        <v>734.87555632560952</v>
      </c>
      <c r="K83" s="25">
        <f t="shared" si="32"/>
        <v>756.92182301537764</v>
      </c>
      <c r="L83" s="25">
        <f t="shared" si="32"/>
        <v>779.62947770583901</v>
      </c>
      <c r="M83" s="25">
        <f t="shared" si="32"/>
        <v>803.01836203701464</v>
      </c>
    </row>
    <row r="84" spans="2:13" ht="15" thickTop="1" x14ac:dyDescent="0.35">
      <c r="B84" t="s">
        <v>28</v>
      </c>
      <c r="C84">
        <v>7</v>
      </c>
      <c r="D84" t="s">
        <v>61</v>
      </c>
      <c r="I84" s="24">
        <f>+$G$18/$C$84</f>
        <v>25.11926314285714</v>
      </c>
      <c r="J84" s="24">
        <f>+$G$18/$C$84</f>
        <v>25.11926314285714</v>
      </c>
      <c r="K84" s="24">
        <f>+$G$18/$C$84</f>
        <v>25.11926314285714</v>
      </c>
      <c r="L84" s="24">
        <f>+$G$18/$C$84</f>
        <v>25.11926314285714</v>
      </c>
      <c r="M84" s="24">
        <f>+$G$18/$C$84</f>
        <v>25.11926314285714</v>
      </c>
    </row>
    <row r="85" spans="2:13" x14ac:dyDescent="0.35">
      <c r="B85" t="s">
        <v>27</v>
      </c>
      <c r="I85" s="25">
        <f>+I83-I84</f>
        <v>688.35215076550207</v>
      </c>
      <c r="J85" s="25">
        <f t="shared" ref="J85:M85" si="33">+J83-J84</f>
        <v>709.75629318275242</v>
      </c>
      <c r="K85" s="25">
        <f t="shared" si="33"/>
        <v>731.80255987252053</v>
      </c>
      <c r="L85" s="25">
        <f t="shared" si="33"/>
        <v>754.5102145629819</v>
      </c>
      <c r="M85" s="25">
        <f t="shared" si="33"/>
        <v>777.89909889415753</v>
      </c>
    </row>
    <row r="86" spans="2:13" x14ac:dyDescent="0.35">
      <c r="B86" t="s">
        <v>30</v>
      </c>
      <c r="I86" s="25">
        <f>+I26+I38</f>
        <v>292.79431773700003</v>
      </c>
      <c r="J86" s="25">
        <f>+J26+J38</f>
        <v>305.77385965730002</v>
      </c>
      <c r="K86" s="25">
        <f>+K26+K38</f>
        <v>318.45155176550008</v>
      </c>
      <c r="L86" s="25">
        <f>+L26+L38</f>
        <v>345.46710994845006</v>
      </c>
      <c r="M86" s="25">
        <f>+M26+M38</f>
        <v>342.90138654560008</v>
      </c>
    </row>
    <row r="87" spans="2:13" x14ac:dyDescent="0.35">
      <c r="B87" t="s">
        <v>31</v>
      </c>
      <c r="I87" s="25">
        <f>+I85-I86</f>
        <v>395.55783302850205</v>
      </c>
      <c r="J87" s="25">
        <f t="shared" ref="J87:M87" si="34">+J85-J86</f>
        <v>403.98243352545239</v>
      </c>
      <c r="K87" s="25">
        <f t="shared" si="34"/>
        <v>413.35100810702045</v>
      </c>
      <c r="L87" s="25">
        <f t="shared" si="34"/>
        <v>409.04310461453184</v>
      </c>
      <c r="M87" s="25">
        <f t="shared" si="34"/>
        <v>434.99771234855746</v>
      </c>
    </row>
    <row r="88" spans="2:13" x14ac:dyDescent="0.35">
      <c r="B88" t="s">
        <v>32</v>
      </c>
      <c r="C88" s="30">
        <v>0.22</v>
      </c>
      <c r="D88" t="s">
        <v>62</v>
      </c>
      <c r="I88" s="25">
        <f>+$C$88*I87</f>
        <v>87.022723266270447</v>
      </c>
      <c r="J88" s="25">
        <f t="shared" ref="J88:M88" si="35">+$C$88*J87</f>
        <v>88.876135375599532</v>
      </c>
      <c r="K88" s="25">
        <f t="shared" si="35"/>
        <v>90.937221783544501</v>
      </c>
      <c r="L88" s="25">
        <f t="shared" si="35"/>
        <v>89.98948301519701</v>
      </c>
      <c r="M88" s="25">
        <f t="shared" si="35"/>
        <v>95.699496716682646</v>
      </c>
    </row>
    <row r="89" spans="2:13" ht="15" thickBot="1" x14ac:dyDescent="0.4">
      <c r="B89" t="s">
        <v>33</v>
      </c>
      <c r="I89" s="31">
        <f>+I87-I88</f>
        <v>308.53510976223163</v>
      </c>
      <c r="J89" s="31">
        <f t="shared" ref="J89:M89" si="36">+J87-J88</f>
        <v>315.10629814985288</v>
      </c>
      <c r="K89" s="31">
        <f t="shared" si="36"/>
        <v>322.41378632347596</v>
      </c>
      <c r="L89" s="31">
        <f t="shared" si="36"/>
        <v>319.05362159933486</v>
      </c>
      <c r="M89" s="31">
        <f t="shared" si="36"/>
        <v>339.29821563187483</v>
      </c>
    </row>
    <row r="90" spans="2:13" ht="15" thickTop="1" x14ac:dyDescent="0.35"/>
    <row r="91" spans="2:13" x14ac:dyDescent="0.35">
      <c r="B91" s="6" t="s">
        <v>64</v>
      </c>
      <c r="C91" s="103" t="s">
        <v>34</v>
      </c>
      <c r="D91" s="103"/>
      <c r="E91" s="103"/>
      <c r="H91" s="57" t="s">
        <v>35</v>
      </c>
      <c r="I91" s="57"/>
      <c r="J91" s="57"/>
      <c r="K91" s="57"/>
      <c r="L91" s="57"/>
      <c r="M91" s="57"/>
    </row>
    <row r="92" spans="2:13" ht="29" x14ac:dyDescent="0.35">
      <c r="B92" s="4"/>
      <c r="C92" s="4">
        <f>+C70</f>
        <v>2023</v>
      </c>
      <c r="D92" s="29">
        <f>+D70</f>
        <v>2024</v>
      </c>
      <c r="E92" s="29" t="str">
        <f>+E70</f>
        <v>LTM
9/30/2025</v>
      </c>
      <c r="H92" s="29" t="str">
        <f>+E92</f>
        <v>LTM
9/30/2025</v>
      </c>
      <c r="I92" s="4">
        <f>+I70</f>
        <v>2025</v>
      </c>
      <c r="J92" s="4">
        <f t="shared" ref="J92:M92" si="37">+J70</f>
        <v>2026</v>
      </c>
      <c r="K92" s="4">
        <f t="shared" si="37"/>
        <v>2027</v>
      </c>
      <c r="L92" s="4">
        <f t="shared" si="37"/>
        <v>2028</v>
      </c>
      <c r="M92" s="4">
        <f t="shared" si="37"/>
        <v>2029</v>
      </c>
    </row>
    <row r="93" spans="2:13" x14ac:dyDescent="0.35">
      <c r="B93" t="s">
        <v>27</v>
      </c>
      <c r="H93" s="25">
        <f>H85</f>
        <v>0</v>
      </c>
      <c r="I93" s="25">
        <f>I85</f>
        <v>688.35215076550207</v>
      </c>
      <c r="J93" s="25">
        <f t="shared" ref="J93:M93" si="38">J85</f>
        <v>709.75629318275242</v>
      </c>
      <c r="K93" s="25">
        <f t="shared" si="38"/>
        <v>731.80255987252053</v>
      </c>
      <c r="L93" s="25">
        <f t="shared" si="38"/>
        <v>754.5102145629819</v>
      </c>
      <c r="M93" s="25">
        <f t="shared" si="38"/>
        <v>777.89909889415753</v>
      </c>
    </row>
    <row r="94" spans="2:13" x14ac:dyDescent="0.35">
      <c r="B94" t="s">
        <v>66</v>
      </c>
      <c r="H94" s="25">
        <f>-H93*$C$88</f>
        <v>0</v>
      </c>
      <c r="I94" s="25">
        <f>-I93*$C$88</f>
        <v>-151.43747316841046</v>
      </c>
      <c r="J94" s="25">
        <f t="shared" ref="J94:M94" si="39">-J93*$C$88</f>
        <v>-156.14638450020553</v>
      </c>
      <c r="K94" s="25">
        <f t="shared" si="39"/>
        <v>-160.99656317195451</v>
      </c>
      <c r="L94" s="25">
        <f t="shared" si="39"/>
        <v>-165.99224720385601</v>
      </c>
      <c r="M94" s="25">
        <f t="shared" si="39"/>
        <v>-171.13780175671465</v>
      </c>
    </row>
    <row r="95" spans="2:13" ht="15" thickBot="1" x14ac:dyDescent="0.4">
      <c r="B95" t="s">
        <v>67</v>
      </c>
      <c r="H95" s="31">
        <f>+H93+H94</f>
        <v>0</v>
      </c>
      <c r="I95" s="31">
        <f>+I93+I94</f>
        <v>536.91467759709167</v>
      </c>
      <c r="J95" s="31">
        <f t="shared" ref="J95:M95" si="40">+J93+J94</f>
        <v>553.60990868254692</v>
      </c>
      <c r="K95" s="31">
        <f t="shared" si="40"/>
        <v>570.80599670056608</v>
      </c>
      <c r="L95" s="31">
        <f t="shared" si="40"/>
        <v>588.51796735912592</v>
      </c>
      <c r="M95" s="31">
        <f t="shared" si="40"/>
        <v>606.76129713744285</v>
      </c>
    </row>
    <row r="96" spans="2:13" ht="15" thickTop="1" x14ac:dyDescent="0.35"/>
    <row r="97" spans="2:13" x14ac:dyDescent="0.35">
      <c r="B97" t="s">
        <v>65</v>
      </c>
      <c r="C97" s="25">
        <v>54.304000000000002</v>
      </c>
      <c r="D97" s="25">
        <v>69.84</v>
      </c>
      <c r="E97" s="25">
        <v>76.287000000000006</v>
      </c>
      <c r="H97" s="32">
        <f>H98*H71</f>
        <v>72.000241423966585</v>
      </c>
      <c r="I97" s="32">
        <f>I98*I71</f>
        <v>75.632035777790392</v>
      </c>
      <c r="J97" s="32">
        <f t="shared" ref="J97:M97" si="41">J98*J71</f>
        <v>77.900996851124106</v>
      </c>
      <c r="K97" s="32">
        <f t="shared" si="41"/>
        <v>80.238026756657831</v>
      </c>
      <c r="L97" s="32">
        <f t="shared" si="41"/>
        <v>82.645167559357574</v>
      </c>
      <c r="M97" s="32">
        <f t="shared" si="41"/>
        <v>85.124522586138312</v>
      </c>
    </row>
    <row r="98" spans="2:13" x14ac:dyDescent="0.35">
      <c r="B98" t="s">
        <v>76</v>
      </c>
      <c r="C98" s="8">
        <f>+C97/C71</f>
        <v>1.833141087117748E-2</v>
      </c>
      <c r="D98" s="8">
        <f t="shared" ref="D98:E98" si="42">+D97/D71</f>
        <v>1.7025392798044322E-2</v>
      </c>
      <c r="E98" s="8">
        <f t="shared" si="42"/>
        <v>1.873094053693055E-2</v>
      </c>
      <c r="H98" s="48">
        <f>AVERAGE(B98:D98)</f>
        <v>1.7678401834610901E-2</v>
      </c>
      <c r="I98" s="48">
        <f>AVERAGE(C98:E98)</f>
        <v>1.802924806871745E-2</v>
      </c>
      <c r="J98" s="48">
        <f>+I98</f>
        <v>1.802924806871745E-2</v>
      </c>
      <c r="K98" s="48">
        <f t="shared" ref="K98:M98" si="43">+J98</f>
        <v>1.802924806871745E-2</v>
      </c>
      <c r="L98" s="48">
        <f t="shared" si="43"/>
        <v>1.802924806871745E-2</v>
      </c>
      <c r="M98" s="48">
        <f t="shared" si="43"/>
        <v>1.802924806871745E-2</v>
      </c>
    </row>
    <row r="99" spans="2:13" x14ac:dyDescent="0.35">
      <c r="B99" t="s">
        <v>68</v>
      </c>
      <c r="H99" s="25">
        <f>H84</f>
        <v>0</v>
      </c>
      <c r="I99" s="25">
        <f>I84</f>
        <v>25.11926314285714</v>
      </c>
      <c r="J99" s="25">
        <f t="shared" ref="J99:M99" si="44">J84</f>
        <v>25.11926314285714</v>
      </c>
      <c r="K99" s="25">
        <f t="shared" si="44"/>
        <v>25.11926314285714</v>
      </c>
      <c r="L99" s="25">
        <f t="shared" si="44"/>
        <v>25.11926314285714</v>
      </c>
      <c r="M99" s="25">
        <f t="shared" si="44"/>
        <v>25.11926314285714</v>
      </c>
    </row>
    <row r="100" spans="2:13" x14ac:dyDescent="0.35">
      <c r="B100" t="s">
        <v>69</v>
      </c>
      <c r="C100" s="25">
        <v>365.52499999999998</v>
      </c>
      <c r="D100" s="25">
        <v>68.430000000000007</v>
      </c>
      <c r="E100" s="25">
        <v>-112.717</v>
      </c>
      <c r="H100" s="25">
        <f>-H101*H71</f>
        <v>67.940760067750546</v>
      </c>
      <c r="I100" s="25">
        <f>-I101*I71</f>
        <v>69.978982869783067</v>
      </c>
      <c r="J100" s="25">
        <f t="shared" ref="J100:M100" si="45">-J101*J71</f>
        <v>72.078352355876547</v>
      </c>
      <c r="K100" s="25">
        <f t="shared" si="45"/>
        <v>74.240702926552856</v>
      </c>
      <c r="L100" s="25">
        <f t="shared" si="45"/>
        <v>76.46792401434945</v>
      </c>
      <c r="M100" s="25">
        <f t="shared" si="45"/>
        <v>78.761961734779945</v>
      </c>
    </row>
    <row r="101" spans="2:13" x14ac:dyDescent="0.35">
      <c r="B101" t="s">
        <v>77</v>
      </c>
      <c r="C101" s="8">
        <f>-C100/C71</f>
        <v>-0.12339033880905916</v>
      </c>
      <c r="D101" s="8">
        <f t="shared" ref="D101:E101" si="46">-D100/D71</f>
        <v>-1.6681667084338103E-2</v>
      </c>
      <c r="E101" s="8">
        <f t="shared" si="46"/>
        <v>2.7675690805788675E-2</v>
      </c>
      <c r="H101" s="48">
        <f>+D101</f>
        <v>-1.6681667084338103E-2</v>
      </c>
      <c r="I101" s="48">
        <f>+H101</f>
        <v>-1.6681667084338103E-2</v>
      </c>
      <c r="J101" s="48">
        <f>+I101</f>
        <v>-1.6681667084338103E-2</v>
      </c>
      <c r="K101" s="48">
        <f t="shared" ref="K101:M101" si="47">+J101</f>
        <v>-1.6681667084338103E-2</v>
      </c>
      <c r="L101" s="48">
        <f t="shared" si="47"/>
        <v>-1.6681667084338103E-2</v>
      </c>
      <c r="M101" s="48">
        <f t="shared" si="47"/>
        <v>-1.6681667084338103E-2</v>
      </c>
    </row>
    <row r="102" spans="2:13" x14ac:dyDescent="0.35">
      <c r="C102" s="26"/>
      <c r="D102" s="26"/>
      <c r="E102" s="26"/>
      <c r="H102" s="26"/>
      <c r="I102" s="26"/>
      <c r="J102" s="26"/>
      <c r="K102" s="26"/>
      <c r="L102" s="26"/>
      <c r="M102" s="26"/>
    </row>
    <row r="103" spans="2:13" x14ac:dyDescent="0.35">
      <c r="B103" t="s">
        <v>70</v>
      </c>
      <c r="C103" s="25">
        <v>-115.625</v>
      </c>
      <c r="D103" s="25">
        <v>-69.346999999999994</v>
      </c>
      <c r="E103" s="25">
        <v>-63.61</v>
      </c>
      <c r="H103" s="25">
        <f>-H104*H71</f>
        <v>-113.90906349921818</v>
      </c>
      <c r="I103" s="25">
        <f>-I104*I71</f>
        <v>-100.05699026946316</v>
      </c>
      <c r="J103" s="25">
        <f t="shared" ref="J103:M103" si="48">-J104*J71</f>
        <v>-103.05869997754704</v>
      </c>
      <c r="K103" s="25">
        <f t="shared" si="48"/>
        <v>-106.15046097687346</v>
      </c>
      <c r="L103" s="25">
        <f t="shared" si="48"/>
        <v>-109.33497480617967</v>
      </c>
      <c r="M103" s="25">
        <f t="shared" si="48"/>
        <v>-112.61502405036508</v>
      </c>
    </row>
    <row r="104" spans="2:13" x14ac:dyDescent="0.35">
      <c r="B104" t="s">
        <v>78</v>
      </c>
      <c r="C104" s="8">
        <f>-C103/C71</f>
        <v>3.9031551671698146E-2</v>
      </c>
      <c r="D104" s="8">
        <f t="shared" ref="D104:E104" si="49">-D103/D71</f>
        <v>1.6905210686798101E-2</v>
      </c>
      <c r="E104" s="8">
        <f t="shared" si="49"/>
        <v>1.561832458419065E-2</v>
      </c>
      <c r="H104" s="48">
        <f>AVERAGE(B104:D104)</f>
        <v>2.7968381179248124E-2</v>
      </c>
      <c r="I104" s="48">
        <f>AVERAGE(C104:E104)</f>
        <v>2.3851695647562298E-2</v>
      </c>
      <c r="J104" s="48">
        <f>+I104</f>
        <v>2.3851695647562298E-2</v>
      </c>
      <c r="K104" s="48">
        <f t="shared" ref="K104:M104" si="50">+J104</f>
        <v>2.3851695647562298E-2</v>
      </c>
      <c r="L104" s="48">
        <f t="shared" si="50"/>
        <v>2.3851695647562298E-2</v>
      </c>
      <c r="M104" s="48">
        <f t="shared" si="50"/>
        <v>2.3851695647562298E-2</v>
      </c>
    </row>
    <row r="106" spans="2:13" x14ac:dyDescent="0.35">
      <c r="B106" t="s">
        <v>112</v>
      </c>
      <c r="H106" s="25">
        <f>+H95+H97+H99+H100+H103</f>
        <v>26.031937992498968</v>
      </c>
      <c r="I106" s="25">
        <f>+I95+I97+I99+I100+I103</f>
        <v>607.58796911805905</v>
      </c>
      <c r="J106" s="25">
        <f t="shared" ref="J106:M106" si="51">+J95+J97+J99+J100+J103</f>
        <v>625.64982105485763</v>
      </c>
      <c r="K106" s="25">
        <f t="shared" si="51"/>
        <v>644.25352854976052</v>
      </c>
      <c r="L106" s="25">
        <f t="shared" si="51"/>
        <v>663.41534726951045</v>
      </c>
      <c r="M106" s="25">
        <f t="shared" si="51"/>
        <v>683.15202055085308</v>
      </c>
    </row>
    <row r="108" spans="2:13" x14ac:dyDescent="0.35">
      <c r="B108" s="6" t="s">
        <v>83</v>
      </c>
      <c r="C108" s="40" t="s">
        <v>55</v>
      </c>
      <c r="D108" s="40" t="s">
        <v>30</v>
      </c>
      <c r="E108" s="40" t="s">
        <v>84</v>
      </c>
      <c r="F108" s="40" t="s">
        <v>85</v>
      </c>
    </row>
    <row r="109" spans="2:13" x14ac:dyDescent="0.35">
      <c r="B109" t="str">
        <f>+B7</f>
        <v>Bank Loan</v>
      </c>
      <c r="C109" s="36">
        <f>D7</f>
        <v>0.5</v>
      </c>
      <c r="D109" s="37">
        <f>+F27</f>
        <v>7.7332704360806748E-2</v>
      </c>
      <c r="E109" s="37">
        <f>D109*(1-$C$88)</f>
        <v>6.0319509401429265E-2</v>
      </c>
      <c r="F109" s="39">
        <f>+E109*C109</f>
        <v>3.0159754700714633E-2</v>
      </c>
    </row>
    <row r="110" spans="2:13" x14ac:dyDescent="0.35">
      <c r="B110" t="str">
        <f>+B8</f>
        <v>Subordinated Bonds</v>
      </c>
      <c r="C110" s="36">
        <f>D8</f>
        <v>0.2</v>
      </c>
      <c r="D110" s="37">
        <f>+F41</f>
        <v>8.0000000000000071E-2</v>
      </c>
      <c r="E110" s="37">
        <f>D110*(1-$C$88)</f>
        <v>6.240000000000006E-2</v>
      </c>
      <c r="F110" s="39">
        <f t="shared" ref="F110:F111" si="52">+E110*C110</f>
        <v>1.2480000000000012E-2</v>
      </c>
    </row>
    <row r="111" spans="2:13" x14ac:dyDescent="0.35">
      <c r="B111" t="str">
        <f>+B11</f>
        <v>Equity</v>
      </c>
      <c r="C111" s="36">
        <f>D11</f>
        <v>0.3000000000000001</v>
      </c>
      <c r="D111" s="38">
        <v>0.2</v>
      </c>
      <c r="E111" s="37">
        <f>+D111</f>
        <v>0.2</v>
      </c>
      <c r="F111" s="39">
        <f t="shared" si="52"/>
        <v>6.0000000000000026E-2</v>
      </c>
    </row>
    <row r="112" spans="2:13" ht="15" thickBot="1" x14ac:dyDescent="0.4">
      <c r="F112" s="41">
        <f>SUM(F109:F111)</f>
        <v>0.10263975470071467</v>
      </c>
    </row>
    <row r="113" spans="2:13" ht="15" thickTop="1" x14ac:dyDescent="0.35">
      <c r="F113" s="37"/>
      <c r="L113" s="45"/>
    </row>
    <row r="114" spans="2:13" ht="29" x14ac:dyDescent="0.35">
      <c r="B114" s="63"/>
      <c r="C114" s="62"/>
      <c r="D114" s="62"/>
      <c r="E114" s="62"/>
      <c r="F114" s="62"/>
      <c r="G114" s="62"/>
      <c r="H114" s="29" t="str">
        <f>+H92</f>
        <v>LTM
9/30/2025</v>
      </c>
      <c r="I114" s="4">
        <f>+I92</f>
        <v>2025</v>
      </c>
      <c r="J114" s="4">
        <f t="shared" ref="J114:L114" si="53">+J92</f>
        <v>2026</v>
      </c>
      <c r="K114" s="4">
        <f t="shared" si="53"/>
        <v>2027</v>
      </c>
      <c r="L114" s="4">
        <f t="shared" si="53"/>
        <v>2028</v>
      </c>
      <c r="M114" s="62">
        <f>+M92</f>
        <v>2029</v>
      </c>
    </row>
    <row r="115" spans="2:13" ht="15" thickBot="1" x14ac:dyDescent="0.4">
      <c r="B115" s="2" t="s">
        <v>71</v>
      </c>
      <c r="C115" s="6" t="s">
        <v>79</v>
      </c>
      <c r="D115" s="5"/>
      <c r="E115" s="5"/>
      <c r="F115" s="5"/>
      <c r="G115" s="5"/>
      <c r="H115" s="5"/>
      <c r="I115" s="5"/>
      <c r="J115" s="5"/>
      <c r="K115" s="5"/>
      <c r="L115" s="5"/>
      <c r="M115" s="44" t="s">
        <v>80</v>
      </c>
    </row>
    <row r="116" spans="2:13" ht="15" thickTop="1" x14ac:dyDescent="0.35">
      <c r="B116" t="s">
        <v>72</v>
      </c>
      <c r="D116" s="34">
        <f>+H19</f>
        <v>6.0773865530314444</v>
      </c>
      <c r="E116" t="s">
        <v>87</v>
      </c>
      <c r="M116" s="27">
        <f>+D116*(M83+M97)</f>
        <v>5397.5876241793067</v>
      </c>
    </row>
    <row r="117" spans="2:13" x14ac:dyDescent="0.35">
      <c r="B117" t="s">
        <v>73</v>
      </c>
      <c r="C117" s="10" t="s">
        <v>81</v>
      </c>
      <c r="D117" s="37">
        <f>+F112</f>
        <v>0.10263975470071467</v>
      </c>
      <c r="E117" t="s">
        <v>86</v>
      </c>
      <c r="F117" s="38">
        <v>0.03</v>
      </c>
      <c r="M117" s="33">
        <f>M106/(D117-F117)</f>
        <v>9404.657592327083</v>
      </c>
    </row>
    <row r="118" spans="2:13" x14ac:dyDescent="0.35">
      <c r="B118" t="s">
        <v>74</v>
      </c>
      <c r="M118" s="49">
        <f>AVERAGE(M116:M117)</f>
        <v>7401.1226082531948</v>
      </c>
    </row>
    <row r="119" spans="2:13" x14ac:dyDescent="0.35">
      <c r="B119" t="s">
        <v>75</v>
      </c>
      <c r="M119" s="33">
        <f>-M43</f>
        <v>-4074.9724633500005</v>
      </c>
    </row>
    <row r="120" spans="2:13" x14ac:dyDescent="0.35">
      <c r="B120" t="s">
        <v>88</v>
      </c>
      <c r="M120" s="55">
        <f>M118+M119</f>
        <v>3326.1501449031944</v>
      </c>
    </row>
    <row r="121" spans="2:13" ht="15" thickBot="1" x14ac:dyDescent="0.4">
      <c r="B121" t="s">
        <v>89</v>
      </c>
      <c r="C121" s="46" t="s">
        <v>90</v>
      </c>
      <c r="D121" s="42">
        <f>IRR(H121:M121)</f>
        <v>0.42235535559257831</v>
      </c>
      <c r="H121" s="22">
        <f>-C11</f>
        <v>-1811.0988726000005</v>
      </c>
      <c r="I121" s="43">
        <f>+I106</f>
        <v>607.58796911805905</v>
      </c>
      <c r="J121" s="43">
        <f>+J106</f>
        <v>625.64982105485763</v>
      </c>
      <c r="K121" s="43">
        <f>+K106</f>
        <v>644.25352854976052</v>
      </c>
      <c r="L121" s="43">
        <f>+L106</f>
        <v>663.41534726951045</v>
      </c>
      <c r="M121" s="43">
        <f>+M106+M120</f>
        <v>4009.3021654540476</v>
      </c>
    </row>
    <row r="122" spans="2:13" ht="15" thickTop="1" x14ac:dyDescent="0.35"/>
    <row r="124" spans="2:13" x14ac:dyDescent="0.35">
      <c r="B124" s="6" t="s">
        <v>96</v>
      </c>
      <c r="C124" s="57"/>
      <c r="D124" s="57"/>
      <c r="E124" s="57"/>
      <c r="F124" s="57"/>
      <c r="G124" s="57"/>
      <c r="H124" s="57" t="s">
        <v>35</v>
      </c>
      <c r="I124" s="57"/>
      <c r="J124" s="57"/>
      <c r="K124" s="57"/>
      <c r="L124" s="57"/>
      <c r="M124" s="57"/>
    </row>
    <row r="125" spans="2:13" x14ac:dyDescent="0.35">
      <c r="B125" s="4"/>
      <c r="C125" s="4"/>
      <c r="D125" s="29"/>
      <c r="E125" s="29"/>
      <c r="F125" s="29"/>
      <c r="G125" s="29"/>
      <c r="H125" s="29"/>
      <c r="I125" s="4">
        <f>+I92</f>
        <v>2025</v>
      </c>
      <c r="J125" s="4">
        <f>+J92</f>
        <v>2026</v>
      </c>
      <c r="K125" s="4">
        <f>+K92</f>
        <v>2027</v>
      </c>
      <c r="L125" s="4">
        <f>+L92</f>
        <v>2028</v>
      </c>
      <c r="M125" s="4">
        <f>+M92</f>
        <v>2029</v>
      </c>
    </row>
    <row r="126" spans="2:13" ht="15" thickBot="1" x14ac:dyDescent="0.4">
      <c r="B126" t="s">
        <v>59</v>
      </c>
      <c r="I126" s="43">
        <f>+I83+I97</f>
        <v>789.10344968614959</v>
      </c>
      <c r="J126" s="43">
        <f t="shared" ref="J126:M126" si="54">+J83+J97</f>
        <v>812.77655317673361</v>
      </c>
      <c r="K126" s="43">
        <f t="shared" si="54"/>
        <v>837.1598497720355</v>
      </c>
      <c r="L126" s="43">
        <f t="shared" si="54"/>
        <v>862.27464526519657</v>
      </c>
      <c r="M126" s="43">
        <f t="shared" si="54"/>
        <v>888.1428846231529</v>
      </c>
    </row>
    <row r="127" spans="2:13" ht="15" thickTop="1" x14ac:dyDescent="0.35"/>
    <row r="128" spans="2:13" x14ac:dyDescent="0.35">
      <c r="B128" s="1" t="s">
        <v>130</v>
      </c>
    </row>
    <row r="129" spans="2:13" x14ac:dyDescent="0.35">
      <c r="B129" t="s">
        <v>131</v>
      </c>
      <c r="H129" s="93"/>
      <c r="I129" s="106"/>
      <c r="J129" s="106"/>
      <c r="K129" s="106"/>
      <c r="L129" s="106"/>
      <c r="M129" s="106"/>
    </row>
    <row r="130" spans="2:13" x14ac:dyDescent="0.35">
      <c r="B130" t="s">
        <v>99</v>
      </c>
      <c r="I130" s="95">
        <v>3.5</v>
      </c>
      <c r="J130" s="94">
        <f>+I130-0.5</f>
        <v>3</v>
      </c>
      <c r="K130" s="94">
        <f t="shared" ref="K130" si="55">+J130-0.5</f>
        <v>2.5</v>
      </c>
      <c r="L130" s="94">
        <f t="shared" ref="L130" si="56">+K130-0.5</f>
        <v>2</v>
      </c>
      <c r="M130" s="94">
        <f t="shared" ref="M130" si="57">+L130-0.5</f>
        <v>1.5</v>
      </c>
    </row>
    <row r="131" spans="2:13" x14ac:dyDescent="0.35">
      <c r="B131" t="s">
        <v>100</v>
      </c>
      <c r="I131" s="25"/>
      <c r="J131" s="25"/>
      <c r="K131" s="25"/>
      <c r="L131" s="25"/>
      <c r="M131" s="25"/>
    </row>
    <row r="133" spans="2:13" x14ac:dyDescent="0.35">
      <c r="B133" s="1" t="s">
        <v>133</v>
      </c>
    </row>
    <row r="134" spans="2:13" x14ac:dyDescent="0.35">
      <c r="B134" t="s">
        <v>132</v>
      </c>
      <c r="H134" s="93"/>
      <c r="I134" s="106"/>
      <c r="J134" s="106"/>
      <c r="K134" s="106"/>
      <c r="L134" s="106"/>
      <c r="M134" s="106"/>
    </row>
    <row r="135" spans="2:13" x14ac:dyDescent="0.35">
      <c r="B135" t="s">
        <v>99</v>
      </c>
      <c r="I135" s="95">
        <v>6.5</v>
      </c>
      <c r="J135" s="94">
        <f>+I135-0.5</f>
        <v>6</v>
      </c>
      <c r="K135" s="94">
        <f t="shared" ref="K135:M135" si="58">+J135-0.5</f>
        <v>5.5</v>
      </c>
      <c r="L135" s="94">
        <f t="shared" si="58"/>
        <v>5</v>
      </c>
      <c r="M135" s="94">
        <f t="shared" si="58"/>
        <v>4.5</v>
      </c>
    </row>
    <row r="136" spans="2:13" x14ac:dyDescent="0.35">
      <c r="B136" t="s">
        <v>100</v>
      </c>
      <c r="I136" s="25"/>
      <c r="J136" s="25"/>
      <c r="K136" s="25"/>
      <c r="L136" s="25"/>
      <c r="M136" s="25"/>
    </row>
    <row r="138" spans="2:13" x14ac:dyDescent="0.35">
      <c r="B138" s="1" t="s">
        <v>101</v>
      </c>
    </row>
    <row r="139" spans="2:13" x14ac:dyDescent="0.35">
      <c r="B139" t="s">
        <v>102</v>
      </c>
      <c r="I139" s="106"/>
      <c r="J139" s="106"/>
      <c r="K139" s="106"/>
      <c r="L139" s="106"/>
      <c r="M139" s="106"/>
    </row>
    <row r="140" spans="2:13" x14ac:dyDescent="0.35">
      <c r="B140" t="s">
        <v>103</v>
      </c>
      <c r="I140" s="95">
        <v>2</v>
      </c>
      <c r="J140" s="94">
        <f>+I140+0.25</f>
        <v>2.25</v>
      </c>
      <c r="K140" s="94">
        <f t="shared" ref="K140:M140" si="59">+J140+0.25</f>
        <v>2.5</v>
      </c>
      <c r="L140" s="94">
        <f t="shared" si="59"/>
        <v>2.75</v>
      </c>
      <c r="M140" s="94">
        <f t="shared" si="59"/>
        <v>3</v>
      </c>
    </row>
    <row r="141" spans="2:13" x14ac:dyDescent="0.35">
      <c r="B141" t="s">
        <v>100</v>
      </c>
      <c r="I141" s="25"/>
      <c r="J141" s="25"/>
      <c r="K141" s="25"/>
      <c r="L141" s="25"/>
      <c r="M141" s="25"/>
    </row>
    <row r="143" spans="2:13" x14ac:dyDescent="0.35">
      <c r="B143" s="1" t="s">
        <v>119</v>
      </c>
    </row>
    <row r="144" spans="2:13" x14ac:dyDescent="0.35">
      <c r="B144" t="s">
        <v>111</v>
      </c>
      <c r="I144" s="25"/>
      <c r="J144" s="25"/>
      <c r="K144" s="25"/>
      <c r="L144" s="25"/>
      <c r="M144" s="25"/>
    </row>
    <row r="145" spans="7:8" x14ac:dyDescent="0.35">
      <c r="G145" s="10" t="s">
        <v>125</v>
      </c>
      <c r="H145" s="107"/>
    </row>
    <row r="146" spans="7:8" x14ac:dyDescent="0.35">
      <c r="G146" s="10" t="s">
        <v>124</v>
      </c>
      <c r="H146" s="108"/>
    </row>
    <row r="147" spans="7:8" x14ac:dyDescent="0.35">
      <c r="G147" s="10" t="s">
        <v>126</v>
      </c>
      <c r="H147" s="109">
        <v>0.2</v>
      </c>
    </row>
    <row r="148" spans="7:8" x14ac:dyDescent="0.35">
      <c r="G148" s="10" t="s">
        <v>127</v>
      </c>
      <c r="H148" s="110"/>
    </row>
    <row r="149" spans="7:8" x14ac:dyDescent="0.35">
      <c r="G149" s="10" t="s">
        <v>128</v>
      </c>
      <c r="H149" s="19"/>
    </row>
    <row r="150" spans="7:8" x14ac:dyDescent="0.35">
      <c r="G150" s="10" t="s">
        <v>129</v>
      </c>
      <c r="H150" s="111"/>
    </row>
  </sheetData>
  <mergeCells count="1">
    <mergeCell ref="C91:E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LBO Model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Droussiotis</dc:creator>
  <cp:lastModifiedBy>Chris Droussiotis</cp:lastModifiedBy>
  <dcterms:created xsi:type="dcterms:W3CDTF">2021-12-02T02:53:11Z</dcterms:created>
  <dcterms:modified xsi:type="dcterms:W3CDTF">2025-12-01T21:27:29Z</dcterms:modified>
</cp:coreProperties>
</file>