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roussch\OneDrive\Documents\School Work\SHU\Courses\FIN 4261 Private Equity\"/>
    </mc:Choice>
  </mc:AlternateContent>
  <xr:revisionPtr revIDLastSave="0" documentId="13_ncr:1_{948A06C4-B774-41FA-90D3-CC82CBAC9035}" xr6:coauthVersionLast="47" xr6:coauthVersionMax="47" xr10:uidLastSave="{00000000-0000-0000-0000-000000000000}"/>
  <bookViews>
    <workbookView xWindow="-110" yWindow="-110" windowWidth="19420" windowHeight="11500" tabRatio="485" xr2:uid="{FCFB2FA9-BC0F-48DA-B56F-3F8E4A39D41C}"/>
  </bookViews>
  <sheets>
    <sheet name="Model" sheetId="1" r:id="rId1"/>
    <sheet name="Sheet2" sheetId="10" r:id="rId2"/>
    <sheet name="Comparable" sheetId="8" r:id="rId3"/>
    <sheet name="IS" sheetId="2" r:id="rId4"/>
    <sheet name="BS" sheetId="5" r:id="rId5"/>
    <sheet name="CF" sheetId="6" r:id="rId6"/>
    <sheet name="Stock Price" sheetId="7" r:id="rId7"/>
  </sheets>
  <definedNames>
    <definedName name="_xlnm.Print_Area" localSheetId="0">Model!$B$4:$O$229</definedName>
    <definedName name="_xlnm.Print_Titles" localSheetId="0">Model!$1:$3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0" i="1" l="1"/>
  <c r="K183" i="1"/>
  <c r="L183" i="1"/>
  <c r="K184" i="1"/>
  <c r="L184" i="1"/>
  <c r="M184" i="1"/>
  <c r="N184" i="1"/>
  <c r="O184" i="1"/>
  <c r="G185" i="1"/>
  <c r="J185" i="1" s="1"/>
  <c r="K185" i="1"/>
  <c r="L185" i="1"/>
  <c r="M185" i="1"/>
  <c r="N185" i="1"/>
  <c r="O185" i="1"/>
  <c r="K186" i="1"/>
  <c r="L186" i="1"/>
  <c r="M186" i="1"/>
  <c r="N186" i="1"/>
  <c r="O186" i="1"/>
  <c r="K189" i="1"/>
  <c r="L189" i="1"/>
  <c r="M189" i="1"/>
  <c r="N189" i="1"/>
  <c r="O189" i="1"/>
  <c r="K190" i="1"/>
  <c r="L190" i="1"/>
  <c r="M190" i="1"/>
  <c r="N190" i="1"/>
  <c r="O190" i="1"/>
  <c r="K194" i="1"/>
  <c r="L194" i="1"/>
  <c r="M194" i="1"/>
  <c r="N194" i="1"/>
  <c r="O194" i="1"/>
  <c r="K195" i="1"/>
  <c r="L195" i="1"/>
  <c r="M195" i="1"/>
  <c r="N195" i="1"/>
  <c r="O195" i="1"/>
  <c r="K196" i="1"/>
  <c r="L196" i="1"/>
  <c r="M196" i="1"/>
  <c r="N196" i="1"/>
  <c r="O196" i="1"/>
  <c r="K197" i="1"/>
  <c r="L197" i="1"/>
  <c r="M197" i="1"/>
  <c r="N197" i="1"/>
  <c r="O197" i="1"/>
  <c r="K198" i="1"/>
  <c r="L198" i="1"/>
  <c r="M198" i="1"/>
  <c r="N198" i="1"/>
  <c r="O198" i="1"/>
  <c r="K199" i="1"/>
  <c r="L199" i="1"/>
  <c r="M199" i="1"/>
  <c r="N199" i="1"/>
  <c r="O199" i="1"/>
  <c r="K201" i="1"/>
  <c r="L201" i="1"/>
  <c r="M201" i="1"/>
  <c r="N201" i="1"/>
  <c r="O201" i="1"/>
  <c r="K202" i="1"/>
  <c r="L202" i="1"/>
  <c r="M202" i="1"/>
  <c r="N202" i="1"/>
  <c r="O202" i="1"/>
  <c r="C64" i="1"/>
  <c r="D64" i="1"/>
  <c r="D67" i="1" s="1"/>
  <c r="E64" i="1"/>
  <c r="F64" i="1"/>
  <c r="G64" i="1"/>
  <c r="J64" i="1" s="1"/>
  <c r="C65" i="1"/>
  <c r="D65" i="1"/>
  <c r="E65" i="1"/>
  <c r="F65" i="1"/>
  <c r="G65" i="1"/>
  <c r="G194" i="1" s="1"/>
  <c r="J194" i="1" s="1"/>
  <c r="J65" i="1"/>
  <c r="C66" i="1"/>
  <c r="D66" i="1"/>
  <c r="E66" i="1"/>
  <c r="F66" i="1"/>
  <c r="G66" i="1"/>
  <c r="J66" i="1" s="1"/>
  <c r="C68" i="1"/>
  <c r="D68" i="1"/>
  <c r="E68" i="1"/>
  <c r="F68" i="1"/>
  <c r="G68" i="1"/>
  <c r="C70" i="1"/>
  <c r="D70" i="1"/>
  <c r="E70" i="1"/>
  <c r="E71" i="1" s="1"/>
  <c r="F70" i="1"/>
  <c r="F71" i="1" s="1"/>
  <c r="G70" i="1"/>
  <c r="G71" i="1" s="1"/>
  <c r="J71" i="1" s="1"/>
  <c r="C72" i="1"/>
  <c r="D72" i="1"/>
  <c r="E72" i="1"/>
  <c r="F72" i="1"/>
  <c r="G72" i="1"/>
  <c r="C74" i="1"/>
  <c r="D74" i="1"/>
  <c r="E74" i="1"/>
  <c r="F74" i="1"/>
  <c r="G74" i="1"/>
  <c r="C77" i="1"/>
  <c r="D77" i="1"/>
  <c r="D76" i="1" s="1"/>
  <c r="E77" i="1"/>
  <c r="F77" i="1"/>
  <c r="G77" i="1"/>
  <c r="J147" i="1"/>
  <c r="F67" i="1" l="1"/>
  <c r="C71" i="1"/>
  <c r="E76" i="1"/>
  <c r="G76" i="1"/>
  <c r="F76" i="1"/>
  <c r="E67" i="1"/>
  <c r="D71" i="1"/>
  <c r="C76" i="1"/>
  <c r="J70" i="1"/>
  <c r="J72" i="1" s="1"/>
  <c r="C67" i="1"/>
  <c r="G67" i="1"/>
  <c r="G43" i="1"/>
  <c r="G184" i="1" s="1"/>
  <c r="J184" i="1" s="1"/>
  <c r="G7" i="10"/>
  <c r="G8" i="10"/>
  <c r="G6" i="10"/>
  <c r="E7" i="10"/>
  <c r="E8" i="10"/>
  <c r="E6" i="10"/>
  <c r="F8" i="10"/>
  <c r="D7" i="10"/>
  <c r="D6" i="10"/>
  <c r="D8" i="10" s="1"/>
  <c r="R17" i="1"/>
  <c r="AD18" i="1"/>
  <c r="AD19" i="1" s="1"/>
  <c r="C8" i="1"/>
  <c r="C9" i="1"/>
  <c r="D10" i="1"/>
  <c r="G195" i="1" l="1"/>
  <c r="J195" i="1" s="1"/>
  <c r="C10" i="1"/>
  <c r="J76" i="1"/>
  <c r="G201" i="1"/>
  <c r="J201" i="1" s="1"/>
  <c r="J67" i="1"/>
  <c r="J68" i="1" s="1"/>
  <c r="G196" i="1"/>
  <c r="J196" i="1" s="1"/>
  <c r="R19" i="1"/>
  <c r="AD20" i="1"/>
  <c r="AD21" i="1" s="1"/>
  <c r="AD22" i="1" s="1"/>
  <c r="AD23" i="1" s="1"/>
  <c r="R18" i="1"/>
  <c r="L32" i="1" l="1"/>
  <c r="M32" i="1" s="1"/>
  <c r="N32" i="1" s="1"/>
  <c r="O32" i="1" s="1"/>
  <c r="L28" i="1"/>
  <c r="M28" i="1" s="1"/>
  <c r="N28" i="1" s="1"/>
  <c r="O28" i="1" s="1"/>
  <c r="Y183" i="1"/>
  <c r="T16" i="1"/>
  <c r="U17" i="1"/>
  <c r="V17" i="1"/>
  <c r="W17" i="1"/>
  <c r="X17" i="1"/>
  <c r="Y17" i="1"/>
  <c r="Z17" i="1"/>
  <c r="AA17" i="1"/>
  <c r="AB17" i="1"/>
  <c r="U18" i="1"/>
  <c r="V18" i="1"/>
  <c r="W18" i="1"/>
  <c r="X18" i="1"/>
  <c r="Y18" i="1"/>
  <c r="Z18" i="1"/>
  <c r="AA18" i="1"/>
  <c r="AB18" i="1"/>
  <c r="U19" i="1"/>
  <c r="V19" i="1"/>
  <c r="W19" i="1"/>
  <c r="X19" i="1"/>
  <c r="Y19" i="1"/>
  <c r="Z19" i="1"/>
  <c r="AA19" i="1"/>
  <c r="AB19" i="1"/>
  <c r="U20" i="1"/>
  <c r="V20" i="1"/>
  <c r="W20" i="1"/>
  <c r="X20" i="1"/>
  <c r="Y20" i="1"/>
  <c r="Z20" i="1"/>
  <c r="AA20" i="1"/>
  <c r="AB20" i="1"/>
  <c r="U21" i="1"/>
  <c r="V21" i="1"/>
  <c r="W21" i="1"/>
  <c r="X21" i="1"/>
  <c r="Y21" i="1"/>
  <c r="Z21" i="1"/>
  <c r="AA21" i="1"/>
  <c r="AB21" i="1"/>
  <c r="U22" i="1"/>
  <c r="V22" i="1"/>
  <c r="W22" i="1"/>
  <c r="X22" i="1"/>
  <c r="Y22" i="1"/>
  <c r="Z22" i="1"/>
  <c r="AA22" i="1"/>
  <c r="AB22" i="1"/>
  <c r="U23" i="1"/>
  <c r="V23" i="1"/>
  <c r="W23" i="1"/>
  <c r="X23" i="1"/>
  <c r="Y23" i="1"/>
  <c r="Z23" i="1"/>
  <c r="AA23" i="1"/>
  <c r="AB23" i="1"/>
  <c r="T18" i="1"/>
  <c r="T19" i="1"/>
  <c r="T20" i="1"/>
  <c r="T21" i="1"/>
  <c r="T22" i="1"/>
  <c r="T23" i="1"/>
  <c r="T17" i="1"/>
  <c r="AF16" i="1"/>
  <c r="AG16" i="1" s="1"/>
  <c r="AH16" i="1" s="1"/>
  <c r="AI16" i="1" s="1"/>
  <c r="AJ16" i="1" s="1"/>
  <c r="AK16" i="1" s="1"/>
  <c r="R158" i="1"/>
  <c r="T158" i="1"/>
  <c r="U158" i="1"/>
  <c r="T175" i="1"/>
  <c r="Z183" i="1" l="1"/>
  <c r="M183" i="1"/>
  <c r="Y16" i="1"/>
  <c r="AL16" i="1"/>
  <c r="Z16" i="1"/>
  <c r="R20" i="1"/>
  <c r="W16" i="1"/>
  <c r="U16" i="1"/>
  <c r="X16" i="1"/>
  <c r="V16" i="1"/>
  <c r="L28" i="8"/>
  <c r="G12" i="8"/>
  <c r="L12" i="8" s="1"/>
  <c r="G11" i="8"/>
  <c r="L11" i="8" s="1"/>
  <c r="K11" i="8"/>
  <c r="G10" i="8"/>
  <c r="K10" i="8" s="1"/>
  <c r="B1" i="8"/>
  <c r="B14" i="8" s="1"/>
  <c r="H20" i="8"/>
  <c r="E20" i="8"/>
  <c r="D20" i="8"/>
  <c r="E19" i="8"/>
  <c r="D19" i="8"/>
  <c r="E18" i="8"/>
  <c r="D18" i="8"/>
  <c r="H17" i="8"/>
  <c r="E17" i="8"/>
  <c r="D17" i="8"/>
  <c r="I19" i="8"/>
  <c r="H18" i="8"/>
  <c r="G9" i="8"/>
  <c r="K9" i="8" s="1"/>
  <c r="G8" i="8"/>
  <c r="L8" i="8" s="1"/>
  <c r="G7" i="8"/>
  <c r="L7" i="8" s="1"/>
  <c r="AA183" i="1" l="1"/>
  <c r="O183" i="1" s="1"/>
  <c r="N183" i="1"/>
  <c r="R21" i="1"/>
  <c r="AM16" i="1"/>
  <c r="AB16" i="1" s="1"/>
  <c r="AA16" i="1"/>
  <c r="K12" i="8"/>
  <c r="L10" i="8"/>
  <c r="L9" i="8"/>
  <c r="L17" i="8" s="1"/>
  <c r="I17" i="8"/>
  <c r="I20" i="8"/>
  <c r="I18" i="8"/>
  <c r="G17" i="8"/>
  <c r="G19" i="8"/>
  <c r="G20" i="8"/>
  <c r="K8" i="8"/>
  <c r="H19" i="8"/>
  <c r="G18" i="8"/>
  <c r="K7" i="8"/>
  <c r="R22" i="1" l="1"/>
  <c r="L19" i="8"/>
  <c r="L18" i="8"/>
  <c r="L20" i="8"/>
  <c r="K19" i="8"/>
  <c r="K17" i="8"/>
  <c r="K20" i="8"/>
  <c r="K18" i="8"/>
  <c r="R23" i="1" l="1"/>
  <c r="K8" i="1"/>
  <c r="J5" i="7"/>
  <c r="J4" i="7"/>
  <c r="J3" i="7"/>
  <c r="A1" i="2"/>
  <c r="L158" i="1"/>
  <c r="M158" i="1"/>
  <c r="N158" i="1"/>
  <c r="O158" i="1"/>
  <c r="P158" i="1"/>
  <c r="Q158" i="1"/>
  <c r="K158" i="1"/>
  <c r="U9" i="1"/>
  <c r="L133" i="1"/>
  <c r="M133" i="1"/>
  <c r="N133" i="1"/>
  <c r="O133" i="1"/>
  <c r="K133" i="1"/>
  <c r="B133" i="1"/>
  <c r="I90" i="1"/>
  <c r="B90" i="1"/>
  <c r="J156" i="1"/>
  <c r="J90" i="1" s="1"/>
  <c r="B155" i="1"/>
  <c r="D110" i="1"/>
  <c r="E110" i="1"/>
  <c r="F110" i="1"/>
  <c r="G110" i="1"/>
  <c r="G189" i="1" s="1"/>
  <c r="J189" i="1" s="1"/>
  <c r="D116" i="1"/>
  <c r="E116" i="1"/>
  <c r="F116" i="1"/>
  <c r="G116" i="1"/>
  <c r="J116" i="1" s="1"/>
  <c r="D117" i="1"/>
  <c r="E117" i="1"/>
  <c r="F117" i="1"/>
  <c r="G117" i="1"/>
  <c r="J117" i="1" s="1"/>
  <c r="D118" i="1"/>
  <c r="E118" i="1"/>
  <c r="F118" i="1"/>
  <c r="G118" i="1"/>
  <c r="J118" i="1" s="1"/>
  <c r="D119" i="1"/>
  <c r="E119" i="1"/>
  <c r="F119" i="1"/>
  <c r="G119" i="1"/>
  <c r="J119" i="1" s="1"/>
  <c r="D120" i="1"/>
  <c r="E120" i="1"/>
  <c r="F120" i="1"/>
  <c r="G120" i="1"/>
  <c r="J120" i="1" s="1"/>
  <c r="D122" i="1"/>
  <c r="E122" i="1"/>
  <c r="F122" i="1"/>
  <c r="G122" i="1"/>
  <c r="G127" i="1"/>
  <c r="D127" i="1"/>
  <c r="E127" i="1"/>
  <c r="E190" i="1" s="1"/>
  <c r="F127" i="1"/>
  <c r="F190" i="1" s="1"/>
  <c r="C127" i="1"/>
  <c r="C190" i="1" s="1"/>
  <c r="C122" i="1"/>
  <c r="C120" i="1"/>
  <c r="C119" i="1"/>
  <c r="C118" i="1"/>
  <c r="C117" i="1"/>
  <c r="C116" i="1"/>
  <c r="C110" i="1"/>
  <c r="D99" i="1"/>
  <c r="E99" i="1"/>
  <c r="F99" i="1"/>
  <c r="G99" i="1"/>
  <c r="D101" i="1"/>
  <c r="E101" i="1"/>
  <c r="F101" i="1"/>
  <c r="G101" i="1"/>
  <c r="C101" i="1"/>
  <c r="C99" i="1"/>
  <c r="D96" i="1"/>
  <c r="E96" i="1"/>
  <c r="F96" i="1"/>
  <c r="G96" i="1"/>
  <c r="C96" i="1"/>
  <c r="D89" i="1"/>
  <c r="D93" i="1" s="1"/>
  <c r="E89" i="1"/>
  <c r="E93" i="1" s="1"/>
  <c r="F89" i="1"/>
  <c r="F93" i="1" s="1"/>
  <c r="G89" i="1"/>
  <c r="G24" i="1" s="1"/>
  <c r="C89" i="1"/>
  <c r="C93" i="1" s="1"/>
  <c r="D86" i="1"/>
  <c r="E86" i="1"/>
  <c r="F86" i="1"/>
  <c r="G86" i="1"/>
  <c r="C86" i="1"/>
  <c r="D84" i="1"/>
  <c r="E84" i="1"/>
  <c r="E198" i="1" s="1"/>
  <c r="F84" i="1"/>
  <c r="F198" i="1" s="1"/>
  <c r="G84" i="1"/>
  <c r="G198" i="1" s="1"/>
  <c r="J198" i="1" s="1"/>
  <c r="C84" i="1"/>
  <c r="C198" i="1" s="1"/>
  <c r="D83" i="1"/>
  <c r="E83" i="1"/>
  <c r="F83" i="1"/>
  <c r="G83" i="1"/>
  <c r="G197" i="1" s="1"/>
  <c r="J197" i="1" s="1"/>
  <c r="C83" i="1"/>
  <c r="F14" i="8"/>
  <c r="L26" i="8" s="1"/>
  <c r="D47" i="1"/>
  <c r="E47" i="1"/>
  <c r="E185" i="1" s="1"/>
  <c r="F47" i="1"/>
  <c r="F185" i="1" s="1"/>
  <c r="C47" i="1"/>
  <c r="C185" i="1" s="1"/>
  <c r="D43" i="1"/>
  <c r="E43" i="1"/>
  <c r="F43" i="1"/>
  <c r="C43" i="1"/>
  <c r="D40" i="1"/>
  <c r="E40" i="1"/>
  <c r="F40" i="1"/>
  <c r="C40" i="1"/>
  <c r="F17" i="1"/>
  <c r="E17" i="1" s="1"/>
  <c r="D17" i="1" s="1"/>
  <c r="G39" i="1"/>
  <c r="J17" i="1"/>
  <c r="K17" i="1" s="1"/>
  <c r="L17" i="1" s="1"/>
  <c r="M17" i="1" s="1"/>
  <c r="N17" i="1" s="1"/>
  <c r="O17" i="1" s="1"/>
  <c r="E197" i="1" l="1"/>
  <c r="D197" i="1"/>
  <c r="D195" i="1"/>
  <c r="D184" i="1"/>
  <c r="J39" i="1"/>
  <c r="G62" i="1"/>
  <c r="D198" i="1"/>
  <c r="D190" i="1"/>
  <c r="D185" i="1"/>
  <c r="J127" i="1"/>
  <c r="G190" i="1"/>
  <c r="J190" i="1" s="1"/>
  <c r="Q190" i="1" s="1"/>
  <c r="C18" i="1"/>
  <c r="C194" i="1"/>
  <c r="C196" i="1"/>
  <c r="C201" i="1"/>
  <c r="C189" i="1"/>
  <c r="F183" i="1"/>
  <c r="G183" i="1"/>
  <c r="J183" i="1" s="1"/>
  <c r="F196" i="1"/>
  <c r="F194" i="1"/>
  <c r="F201" i="1"/>
  <c r="C197" i="1"/>
  <c r="F189" i="1"/>
  <c r="E183" i="1"/>
  <c r="E194" i="1"/>
  <c r="E201" i="1"/>
  <c r="E196" i="1"/>
  <c r="E189" i="1"/>
  <c r="C184" i="1"/>
  <c r="C195" i="1"/>
  <c r="F184" i="1"/>
  <c r="F195" i="1"/>
  <c r="E184" i="1"/>
  <c r="E195" i="1"/>
  <c r="I185" i="1"/>
  <c r="D183" i="1"/>
  <c r="D194" i="1"/>
  <c r="D201" i="1"/>
  <c r="D196" i="1"/>
  <c r="F197" i="1"/>
  <c r="D189" i="1"/>
  <c r="J160" i="1"/>
  <c r="L8" i="1"/>
  <c r="S23" i="1"/>
  <c r="S17" i="1"/>
  <c r="S21" i="1"/>
  <c r="S20" i="1"/>
  <c r="S18" i="1"/>
  <c r="S22" i="1"/>
  <c r="S19" i="1"/>
  <c r="E41" i="1"/>
  <c r="F24" i="1"/>
  <c r="D24" i="1"/>
  <c r="E24" i="1"/>
  <c r="C24" i="1"/>
  <c r="G18" i="1"/>
  <c r="H14" i="8"/>
  <c r="G93" i="1"/>
  <c r="G95" i="1" s="1"/>
  <c r="G202" i="1" s="1"/>
  <c r="J202" i="1" s="1"/>
  <c r="E14" i="8"/>
  <c r="Q195" i="1"/>
  <c r="D102" i="1"/>
  <c r="D104" i="1" s="1"/>
  <c r="D105" i="1" s="1"/>
  <c r="G121" i="1"/>
  <c r="J121" i="1" s="1"/>
  <c r="J122" i="1" s="1"/>
  <c r="E121" i="1"/>
  <c r="C95" i="1"/>
  <c r="C202" i="1" s="1"/>
  <c r="E44" i="1"/>
  <c r="E48" i="1" s="1"/>
  <c r="E21" i="1" s="1"/>
  <c r="D44" i="1"/>
  <c r="D45" i="1" s="1"/>
  <c r="G108" i="1"/>
  <c r="G148" i="1" s="1"/>
  <c r="G181" i="1" s="1"/>
  <c r="F121" i="1"/>
  <c r="F44" i="1"/>
  <c r="F48" i="1" s="1"/>
  <c r="F49" i="1" s="1"/>
  <c r="Q198" i="1"/>
  <c r="Q194" i="1"/>
  <c r="D18" i="1"/>
  <c r="D19" i="1" s="1"/>
  <c r="J110" i="1"/>
  <c r="Q197" i="1"/>
  <c r="D41" i="1"/>
  <c r="G44" i="1"/>
  <c r="G48" i="1" s="1"/>
  <c r="F18" i="1"/>
  <c r="C85" i="1"/>
  <c r="C199" i="1" s="1"/>
  <c r="D39" i="1"/>
  <c r="C17" i="1"/>
  <c r="C39" i="1" s="1"/>
  <c r="F95" i="1"/>
  <c r="F202" i="1" s="1"/>
  <c r="C44" i="1"/>
  <c r="E95" i="1"/>
  <c r="E202" i="1" s="1"/>
  <c r="Q201" i="1"/>
  <c r="D121" i="1"/>
  <c r="F85" i="1"/>
  <c r="F199" i="1" s="1"/>
  <c r="G102" i="1"/>
  <c r="G104" i="1" s="1"/>
  <c r="G105" i="1" s="1"/>
  <c r="D85" i="1"/>
  <c r="D199" i="1" s="1"/>
  <c r="C102" i="1"/>
  <c r="G85" i="1"/>
  <c r="E85" i="1"/>
  <c r="E199" i="1" s="1"/>
  <c r="F102" i="1"/>
  <c r="F104" i="1" s="1"/>
  <c r="D95" i="1"/>
  <c r="D202" i="1" s="1"/>
  <c r="E102" i="1"/>
  <c r="E104" i="1" s="1"/>
  <c r="E105" i="1" s="1"/>
  <c r="C121" i="1"/>
  <c r="G228" i="1"/>
  <c r="B227" i="1"/>
  <c r="B228" i="1"/>
  <c r="B226" i="1"/>
  <c r="H99" i="1"/>
  <c r="H101" i="1"/>
  <c r="J101" i="1" s="1"/>
  <c r="L135" i="1"/>
  <c r="M135" i="1"/>
  <c r="N135" i="1"/>
  <c r="O135" i="1"/>
  <c r="K135" i="1"/>
  <c r="E18" i="1"/>
  <c r="K150" i="1"/>
  <c r="L150" i="1" s="1"/>
  <c r="M150" i="1" s="1"/>
  <c r="N150" i="1" s="1"/>
  <c r="O150" i="1" s="1"/>
  <c r="P150" i="1" s="1"/>
  <c r="R8" i="1"/>
  <c r="O9" i="1"/>
  <c r="H89" i="1" s="1"/>
  <c r="J89" i="1" s="1"/>
  <c r="K89" i="1" s="1"/>
  <c r="O8" i="1"/>
  <c r="H74" i="1" s="1"/>
  <c r="J74" i="1" s="1"/>
  <c r="B3" i="1"/>
  <c r="B206" i="1" s="1"/>
  <c r="J84" i="1"/>
  <c r="J83" i="1"/>
  <c r="K143" i="1"/>
  <c r="J47" i="1"/>
  <c r="J43" i="1"/>
  <c r="J40" i="1"/>
  <c r="G41" i="1"/>
  <c r="F41" i="1"/>
  <c r="O2" i="1"/>
  <c r="B168" i="1"/>
  <c r="B162" i="1"/>
  <c r="B135" i="1"/>
  <c r="B134" i="1"/>
  <c r="J107" i="1"/>
  <c r="B92" i="1"/>
  <c r="B91" i="1"/>
  <c r="J148" i="1"/>
  <c r="J62" i="1" l="1"/>
  <c r="G81" i="1"/>
  <c r="J81" i="1" s="1"/>
  <c r="C62" i="1"/>
  <c r="K39" i="1"/>
  <c r="J181" i="1"/>
  <c r="J207" i="1" s="1"/>
  <c r="I183" i="1"/>
  <c r="G199" i="1"/>
  <c r="J199" i="1" s="1"/>
  <c r="Q199" i="1" s="1"/>
  <c r="D62" i="1"/>
  <c r="I184" i="1"/>
  <c r="K74" i="1"/>
  <c r="L74" i="1" s="1"/>
  <c r="M74" i="1" s="1"/>
  <c r="N74" i="1" s="1"/>
  <c r="O74" i="1" s="1"/>
  <c r="B38" i="1"/>
  <c r="B16" i="1"/>
  <c r="G19" i="1"/>
  <c r="J19" i="1" s="1"/>
  <c r="L25" i="8"/>
  <c r="G14" i="8"/>
  <c r="K14" i="8" s="1"/>
  <c r="G49" i="1"/>
  <c r="I14" i="8"/>
  <c r="E27" i="1"/>
  <c r="D100" i="1"/>
  <c r="G100" i="1"/>
  <c r="H100" i="1" s="1"/>
  <c r="F21" i="1"/>
  <c r="F27" i="1" s="1"/>
  <c r="G21" i="1"/>
  <c r="D48" i="1"/>
  <c r="D49" i="1" s="1"/>
  <c r="G45" i="1"/>
  <c r="J85" i="1"/>
  <c r="J86" i="1" s="1"/>
  <c r="E19" i="1"/>
  <c r="F19" i="1"/>
  <c r="Q196" i="1"/>
  <c r="E100" i="1"/>
  <c r="F100" i="1"/>
  <c r="C45" i="1"/>
  <c r="C48" i="1"/>
  <c r="C104" i="1"/>
  <c r="C105" i="1" s="1"/>
  <c r="C100" i="1"/>
  <c r="K153" i="1"/>
  <c r="K159" i="1" s="1"/>
  <c r="E22" i="1"/>
  <c r="K132" i="1"/>
  <c r="L89" i="1"/>
  <c r="L132" i="1" s="1"/>
  <c r="O10" i="1"/>
  <c r="H75" i="1" s="1"/>
  <c r="J75" i="1" s="1"/>
  <c r="N153" i="1"/>
  <c r="K40" i="1"/>
  <c r="M153" i="1"/>
  <c r="L153" i="1"/>
  <c r="J18" i="1"/>
  <c r="P153" i="1"/>
  <c r="Q150" i="1"/>
  <c r="R150" i="1" s="1"/>
  <c r="O153" i="1"/>
  <c r="J44" i="1"/>
  <c r="J48" i="1" s="1"/>
  <c r="F45" i="1"/>
  <c r="Q202" i="1"/>
  <c r="E49" i="1"/>
  <c r="E45" i="1"/>
  <c r="J108" i="1"/>
  <c r="D108" i="1" l="1"/>
  <c r="D148" i="1" s="1"/>
  <c r="D181" i="1" s="1"/>
  <c r="D81" i="1"/>
  <c r="C108" i="1"/>
  <c r="C148" i="1" s="1"/>
  <c r="C181" i="1" s="1"/>
  <c r="C81" i="1"/>
  <c r="L39" i="1"/>
  <c r="K181" i="1"/>
  <c r="K62" i="1"/>
  <c r="K81" i="1" s="1"/>
  <c r="K108" i="1"/>
  <c r="K148" i="1"/>
  <c r="E9" i="1"/>
  <c r="V10" i="1"/>
  <c r="E8" i="1"/>
  <c r="E10" i="1"/>
  <c r="J77" i="1"/>
  <c r="K76" i="1"/>
  <c r="K67" i="1"/>
  <c r="K118" i="1" s="1"/>
  <c r="K65" i="1"/>
  <c r="K116" i="1" s="1"/>
  <c r="R153" i="1"/>
  <c r="T150" i="1"/>
  <c r="D21" i="1"/>
  <c r="D22" i="1" s="1"/>
  <c r="F22" i="1"/>
  <c r="L23" i="8"/>
  <c r="L24" i="8" s="1"/>
  <c r="L27" i="8" s="1"/>
  <c r="L29" i="8" s="1"/>
  <c r="L14" i="8"/>
  <c r="G22" i="1"/>
  <c r="G27" i="1"/>
  <c r="J100" i="1"/>
  <c r="K100" i="1" s="1"/>
  <c r="L100" i="1" s="1"/>
  <c r="M100" i="1" s="1"/>
  <c r="N100" i="1" s="1"/>
  <c r="O100" i="1" s="1"/>
  <c r="K84" i="1"/>
  <c r="K120" i="1" s="1"/>
  <c r="K85" i="1"/>
  <c r="K121" i="1" s="1"/>
  <c r="K95" i="1"/>
  <c r="C49" i="1"/>
  <c r="C21" i="1"/>
  <c r="J45" i="1"/>
  <c r="K43" i="1"/>
  <c r="L40" i="1"/>
  <c r="H104" i="1"/>
  <c r="K18" i="1"/>
  <c r="K19" i="1" s="1"/>
  <c r="K127" i="1"/>
  <c r="L51" i="1"/>
  <c r="L111" i="1" s="1"/>
  <c r="M51" i="1"/>
  <c r="M111" i="1" s="1"/>
  <c r="N51" i="1"/>
  <c r="N111" i="1" s="1"/>
  <c r="O51" i="1"/>
  <c r="O111" i="1" s="1"/>
  <c r="K51" i="1"/>
  <c r="K111" i="1" s="1"/>
  <c r="K110" i="1"/>
  <c r="K71" i="1" s="1"/>
  <c r="O13" i="1"/>
  <c r="D12" i="1" s="1"/>
  <c r="D13" i="1" s="1"/>
  <c r="K41" i="1"/>
  <c r="J49" i="1"/>
  <c r="J21" i="1"/>
  <c r="J22" i="1" s="1"/>
  <c r="M89" i="1"/>
  <c r="K47" i="1"/>
  <c r="Q153" i="1"/>
  <c r="J95" i="1"/>
  <c r="D27" i="1" l="1"/>
  <c r="K207" i="1"/>
  <c r="Q181" i="1"/>
  <c r="W181" i="1" s="1"/>
  <c r="AC181" i="1" s="1"/>
  <c r="M39" i="1"/>
  <c r="L181" i="1"/>
  <c r="L62" i="1"/>
  <c r="L81" i="1" s="1"/>
  <c r="L148" i="1"/>
  <c r="L108" i="1"/>
  <c r="K75" i="1"/>
  <c r="L75" i="1" s="1"/>
  <c r="M75" i="1" s="1"/>
  <c r="N75" i="1" s="1"/>
  <c r="O75" i="1" s="1"/>
  <c r="K83" i="1"/>
  <c r="K119" i="1" s="1"/>
  <c r="K66" i="1"/>
  <c r="K117" i="1" s="1"/>
  <c r="K122" i="1" s="1"/>
  <c r="K210" i="1" s="1"/>
  <c r="L67" i="1"/>
  <c r="L118" i="1" s="1"/>
  <c r="L76" i="1"/>
  <c r="L128" i="1" s="1"/>
  <c r="L65" i="1"/>
  <c r="L116" i="1" s="1"/>
  <c r="K211" i="1"/>
  <c r="K70" i="1"/>
  <c r="F7" i="1"/>
  <c r="F9" i="1"/>
  <c r="F13" i="1"/>
  <c r="F8" i="1"/>
  <c r="F10" i="1"/>
  <c r="F12" i="1"/>
  <c r="U150" i="1"/>
  <c r="U153" i="1" s="1"/>
  <c r="T153" i="1"/>
  <c r="C22" i="1"/>
  <c r="C27" i="1"/>
  <c r="L95" i="1"/>
  <c r="L136" i="1" s="1"/>
  <c r="L85" i="1"/>
  <c r="L121" i="1" s="1"/>
  <c r="L110" i="1"/>
  <c r="L71" i="1" s="1"/>
  <c r="L41" i="1"/>
  <c r="M40" i="1"/>
  <c r="L84" i="1"/>
  <c r="L120" i="1" s="1"/>
  <c r="L43" i="1"/>
  <c r="L127" i="1"/>
  <c r="L211" i="1" s="1"/>
  <c r="K44" i="1"/>
  <c r="K48" i="1" s="1"/>
  <c r="E12" i="1" s="1"/>
  <c r="L47" i="1"/>
  <c r="L18" i="1"/>
  <c r="L19" i="1" s="1"/>
  <c r="K128" i="1"/>
  <c r="K129" i="1" s="1"/>
  <c r="K136" i="1"/>
  <c r="N89" i="1"/>
  <c r="M132" i="1"/>
  <c r="F105" i="1"/>
  <c r="K86" i="1" l="1"/>
  <c r="N39" i="1"/>
  <c r="M62" i="1"/>
  <c r="M81" i="1" s="1"/>
  <c r="M181" i="1"/>
  <c r="M108" i="1"/>
  <c r="M148" i="1"/>
  <c r="L207" i="1"/>
  <c r="R181" i="1"/>
  <c r="X181" i="1" s="1"/>
  <c r="AD181" i="1" s="1"/>
  <c r="L70" i="1"/>
  <c r="K72" i="1"/>
  <c r="L44" i="1"/>
  <c r="L45" i="1" s="1"/>
  <c r="L66" i="1"/>
  <c r="L117" i="1" s="1"/>
  <c r="M67" i="1"/>
  <c r="M118" i="1" s="1"/>
  <c r="M76" i="1"/>
  <c r="M128" i="1" s="1"/>
  <c r="M65" i="1"/>
  <c r="M116" i="1" s="1"/>
  <c r="E13" i="1"/>
  <c r="T159" i="1"/>
  <c r="T160" i="1" s="1"/>
  <c r="U159" i="1"/>
  <c r="U160" i="1" s="1"/>
  <c r="V8" i="1"/>
  <c r="V9" i="1"/>
  <c r="M95" i="1"/>
  <c r="M136" i="1" s="1"/>
  <c r="M85" i="1"/>
  <c r="M121" i="1" s="1"/>
  <c r="M110" i="1"/>
  <c r="M71" i="1" s="1"/>
  <c r="M127" i="1"/>
  <c r="M211" i="1" s="1"/>
  <c r="M18" i="1"/>
  <c r="M19" i="1" s="1"/>
  <c r="M84" i="1"/>
  <c r="M120" i="1" s="1"/>
  <c r="M41" i="1"/>
  <c r="M43" i="1"/>
  <c r="N40" i="1"/>
  <c r="L83" i="1"/>
  <c r="L119" i="1" s="1"/>
  <c r="M47" i="1"/>
  <c r="K45" i="1"/>
  <c r="L129" i="1"/>
  <c r="K21" i="1"/>
  <c r="K208" i="1" s="1"/>
  <c r="N132" i="1"/>
  <c r="O89" i="1"/>
  <c r="K49" i="1"/>
  <c r="K52" i="1"/>
  <c r="M207" i="1" l="1"/>
  <c r="S181" i="1"/>
  <c r="Y181" i="1" s="1"/>
  <c r="AE181" i="1" s="1"/>
  <c r="O39" i="1"/>
  <c r="N62" i="1"/>
  <c r="N81" i="1" s="1"/>
  <c r="N181" i="1"/>
  <c r="N148" i="1"/>
  <c r="N108" i="1"/>
  <c r="L48" i="1"/>
  <c r="L21" i="1" s="1"/>
  <c r="L208" i="1" s="1"/>
  <c r="N67" i="1"/>
  <c r="N118" i="1" s="1"/>
  <c r="N76" i="1"/>
  <c r="N128" i="1" s="1"/>
  <c r="N65" i="1"/>
  <c r="N116" i="1" s="1"/>
  <c r="M44" i="1"/>
  <c r="M45" i="1" s="1"/>
  <c r="M66" i="1"/>
  <c r="M117" i="1" s="1"/>
  <c r="L72" i="1"/>
  <c r="M70" i="1"/>
  <c r="M129" i="1"/>
  <c r="D226" i="1"/>
  <c r="N110" i="1"/>
  <c r="N71" i="1" s="1"/>
  <c r="N85" i="1"/>
  <c r="N121" i="1" s="1"/>
  <c r="N95" i="1"/>
  <c r="N136" i="1" s="1"/>
  <c r="M83" i="1"/>
  <c r="M119" i="1" s="1"/>
  <c r="N127" i="1"/>
  <c r="N211" i="1" s="1"/>
  <c r="O40" i="1"/>
  <c r="N43" i="1"/>
  <c r="N41" i="1"/>
  <c r="N18" i="1"/>
  <c r="N19" i="1" s="1"/>
  <c r="N84" i="1"/>
  <c r="N120" i="1" s="1"/>
  <c r="L86" i="1"/>
  <c r="N47" i="1"/>
  <c r="K22" i="1"/>
  <c r="L122" i="1"/>
  <c r="L210" i="1" s="1"/>
  <c r="I91" i="1"/>
  <c r="J163" i="1"/>
  <c r="O132" i="1"/>
  <c r="N207" i="1" l="1"/>
  <c r="T181" i="1"/>
  <c r="Z181" i="1" s="1"/>
  <c r="AF181" i="1" s="1"/>
  <c r="O62" i="1"/>
  <c r="O81" i="1" s="1"/>
  <c r="O181" i="1"/>
  <c r="O148" i="1"/>
  <c r="P148" i="1" s="1"/>
  <c r="Q148" i="1" s="1"/>
  <c r="R148" i="1" s="1"/>
  <c r="T148" i="1" s="1"/>
  <c r="U148" i="1" s="1"/>
  <c r="O108" i="1"/>
  <c r="L52" i="1"/>
  <c r="L22" i="1"/>
  <c r="L49" i="1"/>
  <c r="M72" i="1"/>
  <c r="N70" i="1"/>
  <c r="M48" i="1"/>
  <c r="M21" i="1" s="1"/>
  <c r="M208" i="1" s="1"/>
  <c r="N44" i="1"/>
  <c r="N45" i="1" s="1"/>
  <c r="N66" i="1"/>
  <c r="N117" i="1" s="1"/>
  <c r="O76" i="1"/>
  <c r="O128" i="1" s="1"/>
  <c r="O67" i="1"/>
  <c r="O118" i="1" s="1"/>
  <c r="O65" i="1"/>
  <c r="O116" i="1" s="1"/>
  <c r="J220" i="1"/>
  <c r="D227" i="1"/>
  <c r="O95" i="1"/>
  <c r="O136" i="1" s="1"/>
  <c r="O85" i="1"/>
  <c r="O121" i="1" s="1"/>
  <c r="O47" i="1"/>
  <c r="O41" i="1"/>
  <c r="O43" i="1"/>
  <c r="M86" i="1"/>
  <c r="N83" i="1"/>
  <c r="N119" i="1" s="1"/>
  <c r="N129" i="1"/>
  <c r="O84" i="1"/>
  <c r="O120" i="1" s="1"/>
  <c r="O127" i="1"/>
  <c r="O211" i="1" s="1"/>
  <c r="O18" i="1"/>
  <c r="O19" i="1" s="1"/>
  <c r="O110" i="1"/>
  <c r="O71" i="1" s="1"/>
  <c r="M122" i="1"/>
  <c r="M210" i="1" s="1"/>
  <c r="D228" i="1"/>
  <c r="J91" i="1"/>
  <c r="I92" i="1"/>
  <c r="J92" i="1" s="1"/>
  <c r="J169" i="1"/>
  <c r="N164" i="1"/>
  <c r="O164" i="1"/>
  <c r="K164" i="1"/>
  <c r="Q164" i="1"/>
  <c r="Q175" i="1" s="1"/>
  <c r="P164" i="1"/>
  <c r="L164" i="1"/>
  <c r="J166" i="1"/>
  <c r="M164" i="1"/>
  <c r="K165" i="1"/>
  <c r="I99" i="1"/>
  <c r="J99" i="1" s="1"/>
  <c r="O207" i="1" l="1"/>
  <c r="U181" i="1"/>
  <c r="AA181" i="1" s="1"/>
  <c r="AG181" i="1" s="1"/>
  <c r="M52" i="1"/>
  <c r="N48" i="1"/>
  <c r="N21" i="1" s="1"/>
  <c r="N208" i="1" s="1"/>
  <c r="M22" i="1"/>
  <c r="M49" i="1"/>
  <c r="O44" i="1"/>
  <c r="O48" i="1" s="1"/>
  <c r="O49" i="1" s="1"/>
  <c r="O66" i="1"/>
  <c r="O117" i="1" s="1"/>
  <c r="N72" i="1"/>
  <c r="O70" i="1"/>
  <c r="O72" i="1" s="1"/>
  <c r="K163" i="1"/>
  <c r="K91" i="1" s="1"/>
  <c r="K175" i="1"/>
  <c r="E215" i="1"/>
  <c r="K156" i="1"/>
  <c r="K160" i="1"/>
  <c r="O83" i="1"/>
  <c r="O119" i="1" s="1"/>
  <c r="N122" i="1"/>
  <c r="N210" i="1" s="1"/>
  <c r="N86" i="1"/>
  <c r="O129" i="1"/>
  <c r="K166" i="1"/>
  <c r="D229" i="1"/>
  <c r="L134" i="1"/>
  <c r="L139" i="1" s="1"/>
  <c r="L175" i="1"/>
  <c r="M175" i="1"/>
  <c r="M134" i="1"/>
  <c r="M139" i="1" s="1"/>
  <c r="J93" i="1"/>
  <c r="J96" i="1" s="1"/>
  <c r="P175" i="1"/>
  <c r="K134" i="1"/>
  <c r="K139" i="1" s="1"/>
  <c r="O175" i="1"/>
  <c r="O134" i="1"/>
  <c r="O139" i="1" s="1"/>
  <c r="K99" i="1"/>
  <c r="L99" i="1" s="1"/>
  <c r="M99" i="1" s="1"/>
  <c r="N99" i="1" s="1"/>
  <c r="O99" i="1" s="1"/>
  <c r="J102" i="1"/>
  <c r="I104" i="1"/>
  <c r="N175" i="1"/>
  <c r="N134" i="1"/>
  <c r="N139" i="1" s="1"/>
  <c r="J172" i="1"/>
  <c r="J174" i="1"/>
  <c r="J24" i="1" s="1"/>
  <c r="J27" i="1" s="1"/>
  <c r="K171" i="1"/>
  <c r="K176" i="1" s="1"/>
  <c r="K169" i="1"/>
  <c r="K92" i="1" s="1"/>
  <c r="N52" i="1" l="1"/>
  <c r="N22" i="1"/>
  <c r="N49" i="1"/>
  <c r="O45" i="1"/>
  <c r="L165" i="1"/>
  <c r="L166" i="1" s="1"/>
  <c r="J35" i="1"/>
  <c r="L163" i="1"/>
  <c r="L91" i="1" s="1"/>
  <c r="K90" i="1"/>
  <c r="K93" i="1" s="1"/>
  <c r="K96" i="1" s="1"/>
  <c r="L159" i="1"/>
  <c r="L160" i="1" s="1"/>
  <c r="O86" i="1"/>
  <c r="L156" i="1"/>
  <c r="O21" i="1"/>
  <c r="O208" i="1" s="1"/>
  <c r="O52" i="1"/>
  <c r="O122" i="1"/>
  <c r="O210" i="1" s="1"/>
  <c r="E229" i="1"/>
  <c r="E226" i="1"/>
  <c r="E227" i="1"/>
  <c r="E228" i="1"/>
  <c r="H228" i="1" s="1"/>
  <c r="J104" i="1"/>
  <c r="J105" i="1" s="1"/>
  <c r="K172" i="1"/>
  <c r="K174" i="1"/>
  <c r="L171" i="1"/>
  <c r="L169" i="1"/>
  <c r="R175" i="1"/>
  <c r="M165" i="1" l="1"/>
  <c r="M166" i="1" s="1"/>
  <c r="M163" i="1"/>
  <c r="M91" i="1" s="1"/>
  <c r="O215" i="1"/>
  <c r="L92" i="1"/>
  <c r="U170" i="1"/>
  <c r="U175" i="1" s="1"/>
  <c r="L90" i="1"/>
  <c r="L93" i="1" s="1"/>
  <c r="L96" i="1" s="1"/>
  <c r="M159" i="1"/>
  <c r="M160" i="1" s="1"/>
  <c r="M156" i="1"/>
  <c r="O22" i="1"/>
  <c r="K53" i="1"/>
  <c r="K54" i="1" s="1"/>
  <c r="K55" i="1" s="1"/>
  <c r="K209" i="1" s="1"/>
  <c r="K212" i="1" s="1"/>
  <c r="K25" i="1"/>
  <c r="K24" i="1"/>
  <c r="L172" i="1"/>
  <c r="L176" i="1"/>
  <c r="M169" i="1"/>
  <c r="M92" i="1" s="1"/>
  <c r="L174" i="1"/>
  <c r="M171" i="1"/>
  <c r="N165" i="1" l="1"/>
  <c r="N166" i="1" s="1"/>
  <c r="N163" i="1"/>
  <c r="N91" i="1" s="1"/>
  <c r="K31" i="1"/>
  <c r="K33" i="1"/>
  <c r="K27" i="1"/>
  <c r="K29" i="1"/>
  <c r="M90" i="1"/>
  <c r="M93" i="1" s="1"/>
  <c r="M96" i="1" s="1"/>
  <c r="N159" i="1"/>
  <c r="N160" i="1" s="1"/>
  <c r="N156" i="1"/>
  <c r="K56" i="1"/>
  <c r="K220" i="1"/>
  <c r="L53" i="1"/>
  <c r="L54" i="1" s="1"/>
  <c r="L55" i="1" s="1"/>
  <c r="L209" i="1" s="1"/>
  <c r="L212" i="1" s="1"/>
  <c r="L25" i="1"/>
  <c r="L24" i="1"/>
  <c r="M172" i="1"/>
  <c r="M176" i="1"/>
  <c r="N169" i="1"/>
  <c r="N92" i="1" s="1"/>
  <c r="M174" i="1"/>
  <c r="N171" i="1"/>
  <c r="O165" i="1" l="1"/>
  <c r="O166" i="1" s="1"/>
  <c r="O163" i="1"/>
  <c r="O91" i="1" s="1"/>
  <c r="L27" i="1"/>
  <c r="L29" i="1"/>
  <c r="L31" i="1"/>
  <c r="L33" i="1"/>
  <c r="N90" i="1"/>
  <c r="O159" i="1"/>
  <c r="O160" i="1" s="1"/>
  <c r="N93" i="1"/>
  <c r="N96" i="1" s="1"/>
  <c r="O156" i="1"/>
  <c r="L56" i="1"/>
  <c r="L109" i="1" s="1"/>
  <c r="L113" i="1" s="1"/>
  <c r="L124" i="1" s="1"/>
  <c r="L141" i="1" s="1"/>
  <c r="L220" i="1"/>
  <c r="K101" i="1"/>
  <c r="K109" i="1"/>
  <c r="K113" i="1" s="1"/>
  <c r="K124" i="1" s="1"/>
  <c r="K141" i="1" s="1"/>
  <c r="K64" i="1" s="1"/>
  <c r="M24" i="1"/>
  <c r="M53" i="1"/>
  <c r="M54" i="1" s="1"/>
  <c r="M55" i="1" s="1"/>
  <c r="M209" i="1" s="1"/>
  <c r="M212" i="1" s="1"/>
  <c r="M25" i="1"/>
  <c r="O169" i="1"/>
  <c r="O92" i="1" s="1"/>
  <c r="N174" i="1"/>
  <c r="O171" i="1"/>
  <c r="N172" i="1"/>
  <c r="N176" i="1"/>
  <c r="K68" i="1" l="1"/>
  <c r="K77" i="1" s="1"/>
  <c r="L64" i="1"/>
  <c r="P163" i="1"/>
  <c r="Q163" i="1" s="1"/>
  <c r="P165" i="1"/>
  <c r="P166" i="1" s="1"/>
  <c r="M31" i="1"/>
  <c r="M33" i="1"/>
  <c r="M27" i="1"/>
  <c r="M29" i="1"/>
  <c r="O90" i="1"/>
  <c r="O93" i="1" s="1"/>
  <c r="P159" i="1"/>
  <c r="P160" i="1" s="1"/>
  <c r="P156" i="1"/>
  <c r="Q159" i="1" s="1"/>
  <c r="M56" i="1"/>
  <c r="M109" i="1" s="1"/>
  <c r="M113" i="1" s="1"/>
  <c r="M124" i="1" s="1"/>
  <c r="M141" i="1" s="1"/>
  <c r="M220" i="1"/>
  <c r="K144" i="1"/>
  <c r="L101" i="1"/>
  <c r="L102" i="1" s="1"/>
  <c r="L104" i="1" s="1"/>
  <c r="K102" i="1"/>
  <c r="N53" i="1"/>
  <c r="N54" i="1" s="1"/>
  <c r="N55" i="1" s="1"/>
  <c r="N209" i="1" s="1"/>
  <c r="N212" i="1" s="1"/>
  <c r="N25" i="1"/>
  <c r="N24" i="1"/>
  <c r="O172" i="1"/>
  <c r="O176" i="1"/>
  <c r="P169" i="1"/>
  <c r="P171" i="1"/>
  <c r="O174" i="1"/>
  <c r="L68" i="1" l="1"/>
  <c r="L77" i="1" s="1"/>
  <c r="M64" i="1"/>
  <c r="Q165" i="1"/>
  <c r="Q166" i="1" s="1"/>
  <c r="I166" i="1" s="1"/>
  <c r="F226" i="1" s="1"/>
  <c r="G226" i="1" s="1"/>
  <c r="H226" i="1" s="1"/>
  <c r="N27" i="1"/>
  <c r="N29" i="1"/>
  <c r="N31" i="1"/>
  <c r="N33" i="1"/>
  <c r="O218" i="1"/>
  <c r="O96" i="1"/>
  <c r="R163" i="1"/>
  <c r="R165" i="1"/>
  <c r="R166" i="1" s="1"/>
  <c r="Q156" i="1"/>
  <c r="R159" i="1" s="1"/>
  <c r="R160" i="1" s="1"/>
  <c r="Q160" i="1"/>
  <c r="M101" i="1"/>
  <c r="M102" i="1" s="1"/>
  <c r="M104" i="1" s="1"/>
  <c r="L35" i="1"/>
  <c r="N56" i="1"/>
  <c r="N109" i="1" s="1"/>
  <c r="N113" i="1" s="1"/>
  <c r="N124" i="1" s="1"/>
  <c r="N141" i="1" s="1"/>
  <c r="N220" i="1"/>
  <c r="K104" i="1"/>
  <c r="K35" i="1"/>
  <c r="L143" i="1"/>
  <c r="L144" i="1" s="1"/>
  <c r="O53" i="1"/>
  <c r="O54" i="1" s="1"/>
  <c r="O55" i="1" s="1"/>
  <c r="O209" i="1" s="1"/>
  <c r="O212" i="1" s="1"/>
  <c r="O25" i="1"/>
  <c r="O24" i="1"/>
  <c r="P172" i="1"/>
  <c r="P176" i="1"/>
  <c r="Q169" i="1"/>
  <c r="Q171" i="1"/>
  <c r="P174" i="1"/>
  <c r="N64" i="1" l="1"/>
  <c r="M68" i="1"/>
  <c r="M77" i="1" s="1"/>
  <c r="M105" i="1" s="1"/>
  <c r="O27" i="1"/>
  <c r="O29" i="1"/>
  <c r="O31" i="1"/>
  <c r="O33" i="1"/>
  <c r="T163" i="1"/>
  <c r="T165" i="1"/>
  <c r="T166" i="1" s="1"/>
  <c r="M35" i="1"/>
  <c r="N101" i="1"/>
  <c r="N102" i="1" s="1"/>
  <c r="O56" i="1"/>
  <c r="O109" i="1" s="1"/>
  <c r="O113" i="1" s="1"/>
  <c r="O124" i="1" s="1"/>
  <c r="O141" i="1" s="1"/>
  <c r="N143" i="1"/>
  <c r="N144" i="1" s="1"/>
  <c r="M143" i="1"/>
  <c r="M144" i="1" s="1"/>
  <c r="L105" i="1"/>
  <c r="K105" i="1"/>
  <c r="Q172" i="1"/>
  <c r="Q176" i="1"/>
  <c r="R169" i="1"/>
  <c r="R171" i="1"/>
  <c r="Q174" i="1"/>
  <c r="N68" i="1" l="1"/>
  <c r="N77" i="1" s="1"/>
  <c r="O64" i="1"/>
  <c r="O68" i="1" s="1"/>
  <c r="O77" i="1" s="1"/>
  <c r="U163" i="1"/>
  <c r="U165" i="1"/>
  <c r="U166" i="1" s="1"/>
  <c r="R174" i="1"/>
  <c r="T169" i="1"/>
  <c r="T171" i="1"/>
  <c r="O101" i="1"/>
  <c r="O102" i="1" s="1"/>
  <c r="O104" i="1" s="1"/>
  <c r="O143" i="1"/>
  <c r="O144" i="1" s="1"/>
  <c r="N104" i="1"/>
  <c r="N35" i="1"/>
  <c r="R176" i="1"/>
  <c r="R172" i="1"/>
  <c r="T176" i="1" l="1"/>
  <c r="T172" i="1"/>
  <c r="U171" i="1"/>
  <c r="U169" i="1"/>
  <c r="U174" i="1" s="1"/>
  <c r="T174" i="1"/>
  <c r="O105" i="1"/>
  <c r="O35" i="1"/>
  <c r="N105" i="1"/>
  <c r="U176" i="1" l="1"/>
  <c r="U172" i="1"/>
  <c r="I172" i="1" s="1"/>
  <c r="F227" i="1" s="1"/>
  <c r="G227" i="1" s="1"/>
  <c r="H227" i="1" s="1"/>
  <c r="H229" i="1" s="1"/>
  <c r="F216" i="1" s="1"/>
  <c r="O216" i="1" s="1"/>
  <c r="O217" i="1" s="1"/>
  <c r="O219" i="1" s="1"/>
  <c r="O220" i="1" s="1"/>
  <c r="F39" i="1"/>
  <c r="F220" i="1" l="1"/>
  <c r="F221" i="1"/>
  <c r="F62" i="1"/>
  <c r="E39" i="1"/>
  <c r="F108" i="1" l="1"/>
  <c r="F148" i="1" s="1"/>
  <c r="F181" i="1" s="1"/>
  <c r="F81" i="1"/>
  <c r="E62" i="1"/>
  <c r="R12" i="1"/>
  <c r="AD16" i="1"/>
  <c r="E108" i="1" l="1"/>
  <c r="E148" i="1" s="1"/>
  <c r="E181" i="1" s="1"/>
  <c r="E81" i="1"/>
</calcChain>
</file>

<file path=xl/sharedStrings.xml><?xml version="1.0" encoding="utf-8"?>
<sst xmlns="http://schemas.openxmlformats.org/spreadsheetml/2006/main" count="499" uniqueCount="448">
  <si>
    <t>TRANSACTION SOURCES &amp; USES</t>
  </si>
  <si>
    <t>SOURCES</t>
  </si>
  <si>
    <t>USES</t>
  </si>
  <si>
    <t>Amount</t>
  </si>
  <si>
    <t>% Cap</t>
  </si>
  <si>
    <t xml:space="preserve"> % 
Premium</t>
  </si>
  <si>
    <t>Purchase
Stock
Price</t>
  </si>
  <si>
    <t>Shares
Outs</t>
  </si>
  <si>
    <t>Total Debt</t>
  </si>
  <si>
    <t>Equity</t>
  </si>
  <si>
    <t>Total Sources</t>
  </si>
  <si>
    <t>Purchase of Equity</t>
  </si>
  <si>
    <t>Refinance Debt</t>
  </si>
  <si>
    <t>Transaction Fees</t>
  </si>
  <si>
    <t>Total Uses</t>
  </si>
  <si>
    <t>INCOME STATEMENT</t>
  </si>
  <si>
    <t>Revenue</t>
  </si>
  <si>
    <t xml:space="preserve">  Revenue Growth</t>
  </si>
  <si>
    <t>Cost of Revenue</t>
  </si>
  <si>
    <t>Gross Profit</t>
  </si>
  <si>
    <t xml:space="preserve">  Gross Margin</t>
  </si>
  <si>
    <t>Operating Expenses</t>
  </si>
  <si>
    <t>EBITDA</t>
  </si>
  <si>
    <t>EBITA</t>
  </si>
  <si>
    <t xml:space="preserve">  EBITA Margin</t>
  </si>
  <si>
    <t>Amortization</t>
  </si>
  <si>
    <t>EBIT</t>
  </si>
  <si>
    <t>Interest</t>
  </si>
  <si>
    <t>EBT</t>
  </si>
  <si>
    <t>Taxes</t>
  </si>
  <si>
    <t>Net Income</t>
  </si>
  <si>
    <t>BALANCE SHEET STATEMENT</t>
  </si>
  <si>
    <t>LTM</t>
  </si>
  <si>
    <t>Current Assets</t>
  </si>
  <si>
    <t>Cash</t>
  </si>
  <si>
    <t>Accounts Receivable</t>
  </si>
  <si>
    <t>Inventory</t>
  </si>
  <si>
    <t>OtherCurrent Assets</t>
  </si>
  <si>
    <t>Total Current Assets</t>
  </si>
  <si>
    <t>Gross PP&amp;E</t>
  </si>
  <si>
    <t>Accumulated Depreciation</t>
  </si>
  <si>
    <t>Net PP&amp;E</t>
  </si>
  <si>
    <t>Other LT Assets</t>
  </si>
  <si>
    <t>Total Assets</t>
  </si>
  <si>
    <t>Current Liabilities</t>
  </si>
  <si>
    <t>Accounts Payable</t>
  </si>
  <si>
    <t>Accrued Expenses</t>
  </si>
  <si>
    <t>Other Current Liabilities</t>
  </si>
  <si>
    <t>Total Current Liabilities</t>
  </si>
  <si>
    <t>Long Term Debt</t>
  </si>
  <si>
    <t>Existing Debt</t>
  </si>
  <si>
    <t>Other Liabilities</t>
  </si>
  <si>
    <t>Total Liabilities</t>
  </si>
  <si>
    <t>Net Worth</t>
  </si>
  <si>
    <t>Common Stock</t>
  </si>
  <si>
    <t>Other Equity</t>
  </si>
  <si>
    <t>Retained Earnings</t>
  </si>
  <si>
    <t>Total Net Worth</t>
  </si>
  <si>
    <t>Total Liabilities &amp; NW</t>
  </si>
  <si>
    <t>CASH FLOW STATEMENT</t>
  </si>
  <si>
    <t>Plus Depreciation</t>
  </si>
  <si>
    <t>Plus Amortization</t>
  </si>
  <si>
    <t>Deferred Taxes</t>
  </si>
  <si>
    <t>Cash Income</t>
  </si>
  <si>
    <t>Working Capital Activities</t>
  </si>
  <si>
    <t>Change in A/R</t>
  </si>
  <si>
    <t>Change in Inventory</t>
  </si>
  <si>
    <t>Change in Other CA</t>
  </si>
  <si>
    <t>Change in A/P</t>
  </si>
  <si>
    <t>Change in Accrued Expenses</t>
  </si>
  <si>
    <t>Change in Other CL</t>
  </si>
  <si>
    <t>Total Working Capital</t>
  </si>
  <si>
    <t>Investment Activities</t>
  </si>
  <si>
    <t>Capex</t>
  </si>
  <si>
    <t>Change in Other Assets</t>
  </si>
  <si>
    <t>Total Invesrment Activities</t>
  </si>
  <si>
    <t>Financing Activities</t>
  </si>
  <si>
    <t>Total Financing Activites</t>
  </si>
  <si>
    <t>Free Cash Flow</t>
  </si>
  <si>
    <t>Beginning Cash</t>
  </si>
  <si>
    <t>Ending Cash</t>
  </si>
  <si>
    <t>DEBT SCHEDULE</t>
  </si>
  <si>
    <t>Interest Rate Assumptions</t>
  </si>
  <si>
    <t>SOFR Rate</t>
  </si>
  <si>
    <t>Increse in SOFR</t>
  </si>
  <si>
    <t>Spread</t>
  </si>
  <si>
    <t>Total Interest</t>
  </si>
  <si>
    <t>Outstanding</t>
  </si>
  <si>
    <t>Principal Payment</t>
  </si>
  <si>
    <t>Interest Payment</t>
  </si>
  <si>
    <t>Total Payment</t>
  </si>
  <si>
    <t>Total Interest Payments</t>
  </si>
  <si>
    <t>Total Principal Payments</t>
  </si>
  <si>
    <t>Total Outstanding Debt</t>
  </si>
  <si>
    <t>OPERATING ASSUMPTIONS</t>
  </si>
  <si>
    <t>Income Statement Assumptions</t>
  </si>
  <si>
    <t>Revenue Growth</t>
  </si>
  <si>
    <t>Operating Expenses as % of Revenue</t>
  </si>
  <si>
    <t>Cost of Revenue as % of Revenue</t>
  </si>
  <si>
    <t>Tax Rate</t>
  </si>
  <si>
    <t>Cash Flow Statement Assumptions</t>
  </si>
  <si>
    <t>Depreciation as % of Revenue</t>
  </si>
  <si>
    <t>Accounts Receivable Days</t>
  </si>
  <si>
    <t>Inventory Days</t>
  </si>
  <si>
    <t>Other Current Asests as of Revenue</t>
  </si>
  <si>
    <t>Accounts Payable Days</t>
  </si>
  <si>
    <t>Accrued Expenses as % of Revenue</t>
  </si>
  <si>
    <t>Other Current Liab. As % of Revenue</t>
  </si>
  <si>
    <t>Capex as % of Revenue</t>
  </si>
  <si>
    <t>Other LT Liabilities as % of Revenue</t>
  </si>
  <si>
    <t>Other LT Assets as % of Revenue</t>
  </si>
  <si>
    <t xml:space="preserve">Amortization </t>
  </si>
  <si>
    <t>SUMMARY PERFORMANCE</t>
  </si>
  <si>
    <t xml:space="preserve">  EBITDA Margin</t>
  </si>
  <si>
    <t>Interest Expense</t>
  </si>
  <si>
    <t>Debt/Total Capitalization</t>
  </si>
  <si>
    <t>LBO Analysis</t>
  </si>
  <si>
    <t>name</t>
  </si>
  <si>
    <t>TotalRevenue</t>
  </si>
  <si>
    <t xml:space="preserve">	OperatingRevenue</t>
  </si>
  <si>
    <t>CostOfRevenue</t>
  </si>
  <si>
    <t>GrossProfit</t>
  </si>
  <si>
    <t>OperatingExpense</t>
  </si>
  <si>
    <t xml:space="preserve">	SellingGeneralAndAdministration</t>
  </si>
  <si>
    <t xml:space="preserve">	DepreciationAmortizationDepletionIncomeStatement</t>
  </si>
  <si>
    <t xml:space="preserve">		DepreciationAndAmortizationInIncomeStatement</t>
  </si>
  <si>
    <t>OperatingIncome</t>
  </si>
  <si>
    <t>NetNonOperatingInterestIncomeExpense</t>
  </si>
  <si>
    <t xml:space="preserve">	InterestIncomeNonOperating</t>
  </si>
  <si>
    <t xml:space="preserve">	InterestExpenseNonOperating</t>
  </si>
  <si>
    <t>OtherIncomeExpense</t>
  </si>
  <si>
    <t xml:space="preserve">	GainOnSaleOfSecurity</t>
  </si>
  <si>
    <t xml:space="preserve">	SpecialIncomeCharges</t>
  </si>
  <si>
    <t xml:space="preserve">		OtherSpecialCharges</t>
  </si>
  <si>
    <t xml:space="preserve">	OtherNonOperatingIncomeExpenses</t>
  </si>
  <si>
    <t>PretaxIncome</t>
  </si>
  <si>
    <t>TaxProvision</t>
  </si>
  <si>
    <t>NetIncomeCommonStockholders</t>
  </si>
  <si>
    <t xml:space="preserve">	NetIncome</t>
  </si>
  <si>
    <t xml:space="preserve">		NetIncomeIncludingNoncontrollingInterests</t>
  </si>
  <si>
    <t xml:space="preserve">			NetIncomeContinuousOperations</t>
  </si>
  <si>
    <t>DilutedNIAvailtoComStockholders</t>
  </si>
  <si>
    <t>BasicEPS</t>
  </si>
  <si>
    <t>DilutedEPS</t>
  </si>
  <si>
    <t>BasicAverageShares</t>
  </si>
  <si>
    <t>DilutedAverageShares</t>
  </si>
  <si>
    <t>TotalOperatingIncomeAsReported</t>
  </si>
  <si>
    <t>TotalExpenses</t>
  </si>
  <si>
    <t>NetIncomeFromContinuingAndDiscontinuedOperation</t>
  </si>
  <si>
    <t>NormalizedIncome</t>
  </si>
  <si>
    <t>InterestIncome</t>
  </si>
  <si>
    <t>InterestExpense</t>
  </si>
  <si>
    <t>NetInterestIncome</t>
  </si>
  <si>
    <t>ReconciledCostOfRevenue</t>
  </si>
  <si>
    <t>ReconciledDepreciation</t>
  </si>
  <si>
    <t>NetIncomeFromContinuingOperationNetMinorityInterest</t>
  </si>
  <si>
    <t>TotalUnusualItemsExcludingGoodwill</t>
  </si>
  <si>
    <t>TotalUnusualItems</t>
  </si>
  <si>
    <t>NormalizedEBITDA</t>
  </si>
  <si>
    <t>TaxRateForCalcs</t>
  </si>
  <si>
    <t>TaxEffectOfUnusualItems</t>
  </si>
  <si>
    <t>DR</t>
  </si>
  <si>
    <t>CR</t>
  </si>
  <si>
    <t>Balance Sheet Statement Assumptions</t>
  </si>
  <si>
    <t>BASE CASE</t>
  </si>
  <si>
    <t>UPSIDE CASE</t>
  </si>
  <si>
    <t>DOWNSIDE CASE</t>
  </si>
  <si>
    <t>Upside</t>
  </si>
  <si>
    <t>Base</t>
  </si>
  <si>
    <t>Downside</t>
  </si>
  <si>
    <t xml:space="preserve">Operating Cash Flow </t>
  </si>
  <si>
    <t>Equity Contribution</t>
  </si>
  <si>
    <t>Error</t>
  </si>
  <si>
    <t>Pricing</t>
  </si>
  <si>
    <t>SOFR+4%</t>
  </si>
  <si>
    <t>CAPM</t>
  </si>
  <si>
    <t>Risk Free</t>
  </si>
  <si>
    <t>Beta</t>
  </si>
  <si>
    <t>Market Pre</t>
  </si>
  <si>
    <t>IRR</t>
  </si>
  <si>
    <t>Goodwill</t>
  </si>
  <si>
    <t>Capitalized Fees</t>
  </si>
  <si>
    <t xml:space="preserve">Working Capital </t>
  </si>
  <si>
    <t xml:space="preserve"> Free Cash Flow</t>
  </si>
  <si>
    <t>Terminal Value</t>
  </si>
  <si>
    <t xml:space="preserve"> EBITDA Multiple</t>
  </si>
  <si>
    <t xml:space="preserve">  Perpetuity Method</t>
  </si>
  <si>
    <t>EBITDA x</t>
  </si>
  <si>
    <t>EXIT</t>
  </si>
  <si>
    <t>WACC</t>
  </si>
  <si>
    <t>Growth</t>
  </si>
  <si>
    <t>FCF / WACC - growth</t>
  </si>
  <si>
    <t xml:space="preserve"> %</t>
  </si>
  <si>
    <t>AT Inter</t>
  </si>
  <si>
    <t>Average</t>
  </si>
  <si>
    <t xml:space="preserve"> Less Debt</t>
  </si>
  <si>
    <t xml:space="preserve"> Equity TV</t>
  </si>
  <si>
    <t xml:space="preserve">  Equity Cash Flows</t>
  </si>
  <si>
    <t xml:space="preserve">			DepreciationIncomeStatement</t>
  </si>
  <si>
    <t xml:space="preserve">			Amortization</t>
  </si>
  <si>
    <t xml:space="preserve">				AmortizationOfIntangiblesIncomeStatement</t>
  </si>
  <si>
    <t xml:space="preserve">	OtherOperatingExpenses</t>
  </si>
  <si>
    <t xml:space="preserve">		RestructuringAndMergernAcquisition</t>
  </si>
  <si>
    <t xml:space="preserve">		ImpairmentOfCapitalAssets</t>
  </si>
  <si>
    <t xml:space="preserve">	PreferredStockDividends</t>
  </si>
  <si>
    <t>AverageDilutionEarnings</t>
  </si>
  <si>
    <t>TotalAssets</t>
  </si>
  <si>
    <t xml:space="preserve">	CurrentAssets</t>
  </si>
  <si>
    <t xml:space="preserve">		CashCashEquivalentsAndShortTermInvestments</t>
  </si>
  <si>
    <t xml:space="preserve">			CashAndCashEquivalents</t>
  </si>
  <si>
    <t xml:space="preserve">			OtherShortTermInvestments</t>
  </si>
  <si>
    <t xml:space="preserve">		Receivables</t>
  </si>
  <si>
    <t xml:space="preserve">			AccountsReceivable</t>
  </si>
  <si>
    <t xml:space="preserve">				GrossAccountsReceivable</t>
  </si>
  <si>
    <t xml:space="preserve">				AllowanceForDoubtfulAccountsReceivable</t>
  </si>
  <si>
    <t xml:space="preserve">			TaxesReceivable</t>
  </si>
  <si>
    <t xml:space="preserve">			OtherReceivables</t>
  </si>
  <si>
    <t xml:space="preserve">		Inventory</t>
  </si>
  <si>
    <t xml:space="preserve">			RawMaterials</t>
  </si>
  <si>
    <t xml:space="preserve">			WorkInProcess</t>
  </si>
  <si>
    <t xml:space="preserve">			FinishedGoods</t>
  </si>
  <si>
    <t xml:space="preserve">		PrepaidAssets</t>
  </si>
  <si>
    <t xml:space="preserve">		RestrictedCash</t>
  </si>
  <si>
    <t xml:space="preserve">		CurrentDeferredAssets</t>
  </si>
  <si>
    <t xml:space="preserve">			CurrentDeferredTaxesAssets</t>
  </si>
  <si>
    <t xml:space="preserve">		OtherCurrentAssets</t>
  </si>
  <si>
    <t xml:space="preserve">	TotalNonCurrentAssets</t>
  </si>
  <si>
    <t xml:space="preserve">		NetPPE</t>
  </si>
  <si>
    <t xml:space="preserve">			GrossPPE</t>
  </si>
  <si>
    <t xml:space="preserve">				Properties</t>
  </si>
  <si>
    <t xml:space="preserve">				BuildingsAndImprovements</t>
  </si>
  <si>
    <t xml:space="preserve">				MachineryFurnitureEquipment</t>
  </si>
  <si>
    <t xml:space="preserve">				OtherProperties</t>
  </si>
  <si>
    <t xml:space="preserve">				ConstructionInProgress</t>
  </si>
  <si>
    <t xml:space="preserve">				Leases</t>
  </si>
  <si>
    <t xml:space="preserve">			AccumulatedDepreciation</t>
  </si>
  <si>
    <t xml:space="preserve">		GoodwillAndOtherIntangibleAssets</t>
  </si>
  <si>
    <t xml:space="preserve">			Goodwill</t>
  </si>
  <si>
    <t xml:space="preserve">			OtherIntangibleAssets</t>
  </si>
  <si>
    <t xml:space="preserve">		NonCurrentDeferredAssets</t>
  </si>
  <si>
    <t xml:space="preserve">			NonCurrentDeferredTaxesAssets</t>
  </si>
  <si>
    <t xml:space="preserve">		OtherNonCurrentAssets</t>
  </si>
  <si>
    <t>TotalLiabilitiesNetMinorityInterest</t>
  </si>
  <si>
    <t xml:space="preserve">	CurrentLiabilities</t>
  </si>
  <si>
    <t xml:space="preserve">		PayablesAndAccruedExpenses</t>
  </si>
  <si>
    <t xml:space="preserve">			Payables</t>
  </si>
  <si>
    <t xml:space="preserve">				AccountsPayable</t>
  </si>
  <si>
    <t xml:space="preserve">				TotalTaxPayable</t>
  </si>
  <si>
    <t xml:space="preserve">					IncomeTaxPayable</t>
  </si>
  <si>
    <t xml:space="preserve">				DividendsPayable</t>
  </si>
  <si>
    <t xml:space="preserve">				OtherPayable</t>
  </si>
  <si>
    <t xml:space="preserve">			CurrentAccruedExpenses</t>
  </si>
  <si>
    <t xml:space="preserve">		PensionandOtherPostRetirementBenefitPlansCurrent</t>
  </si>
  <si>
    <t xml:space="preserve">		CurrentDebtAndCapitalLeaseObligation</t>
  </si>
  <si>
    <t xml:space="preserve">			CurrentDebt</t>
  </si>
  <si>
    <t xml:space="preserve">				CurrentNotesPayable</t>
  </si>
  <si>
    <t xml:space="preserve">				OtherCurrentBorrowings</t>
  </si>
  <si>
    <t xml:space="preserve">			CurrentCapitalLeaseObligation</t>
  </si>
  <si>
    <t xml:space="preserve">		CurrentDeferredLiabilities</t>
  </si>
  <si>
    <t xml:space="preserve">			CurrentDeferredTaxesLiabilities</t>
  </si>
  <si>
    <t xml:space="preserve">			CurrentDeferredRevenue</t>
  </si>
  <si>
    <t xml:space="preserve">		OtherCurrentLiabilities</t>
  </si>
  <si>
    <t xml:space="preserve">	TotalNonCurrentLiabilitiesNetMinorityInterest</t>
  </si>
  <si>
    <t xml:space="preserve">		LongTermDebtAndCapitalLeaseObligation</t>
  </si>
  <si>
    <t xml:space="preserve">			LongTermDebt</t>
  </si>
  <si>
    <t xml:space="preserve">			LongTermCapitalLeaseObligation</t>
  </si>
  <si>
    <t xml:space="preserve">		NonCurrentDeferredLiabilities</t>
  </si>
  <si>
    <t xml:space="preserve">			NonCurrentDeferredTaxesLiabilities</t>
  </si>
  <si>
    <t xml:space="preserve">		TradeandOtherPayablesNonCurrent</t>
  </si>
  <si>
    <t xml:space="preserve">		NonCurrentAccruedExpenses</t>
  </si>
  <si>
    <t xml:space="preserve">		PreferredSecuritiesOutsideStockEquity</t>
  </si>
  <si>
    <t xml:space="preserve">		OtherNonCurrentLiabilities</t>
  </si>
  <si>
    <t>TotalEquityGrossMinorityInterest</t>
  </si>
  <si>
    <t xml:space="preserve">	StockholdersEquity</t>
  </si>
  <si>
    <t xml:space="preserve">		CapitalStock</t>
  </si>
  <si>
    <t xml:space="preserve">			PreferredStock</t>
  </si>
  <si>
    <t xml:space="preserve">			CommonStock</t>
  </si>
  <si>
    <t xml:space="preserve">		AdditionalPaidInCapital</t>
  </si>
  <si>
    <t xml:space="preserve">		RetainedEarnings</t>
  </si>
  <si>
    <t xml:space="preserve">		TreasuryStock</t>
  </si>
  <si>
    <t xml:space="preserve">		GainsLossesNotAffectingRetainedEarnings</t>
  </si>
  <si>
    <t xml:space="preserve">			OtherEquityAdjustments</t>
  </si>
  <si>
    <t xml:space="preserve">		OtherEquityInterest</t>
  </si>
  <si>
    <t>TotalCapitalization</t>
  </si>
  <si>
    <t>PreferredStockEquity</t>
  </si>
  <si>
    <t>CommonStockEquity</t>
  </si>
  <si>
    <t>CapitalLeaseObligations</t>
  </si>
  <si>
    <t>NetTangibleAssets</t>
  </si>
  <si>
    <t>WorkingCapital</t>
  </si>
  <si>
    <t>InvestedCapital</t>
  </si>
  <si>
    <t>TangibleBookValue</t>
  </si>
  <si>
    <t>TotalDebt</t>
  </si>
  <si>
    <t>NetDebt</t>
  </si>
  <si>
    <t>ShareIssued</t>
  </si>
  <si>
    <t>OrdinarySharesNumber</t>
  </si>
  <si>
    <t>PreferredSharesNumber</t>
  </si>
  <si>
    <t>TreasurySharesNumber</t>
  </si>
  <si>
    <t>OperatingCashFlow</t>
  </si>
  <si>
    <t xml:space="preserve">	CashFlowFromContinuingOperatingActivities</t>
  </si>
  <si>
    <t xml:space="preserve">		NetIncomeFromContinuingOperations</t>
  </si>
  <si>
    <t xml:space="preserve">		OperatingGainsLosses</t>
  </si>
  <si>
    <t xml:space="preserve">			GainLossOnSaleOfPPE</t>
  </si>
  <si>
    <t xml:space="preserve">			NetForeignCurrencyExchangeGainLoss</t>
  </si>
  <si>
    <t xml:space="preserve">		DepreciationAmortizationDepletion</t>
  </si>
  <si>
    <t xml:space="preserve">			DepreciationAndAmortization</t>
  </si>
  <si>
    <t xml:space="preserve">		DeferredTax</t>
  </si>
  <si>
    <t xml:space="preserve">			DeferredIncomeTax</t>
  </si>
  <si>
    <t xml:space="preserve">		AssetImpairmentCharge</t>
  </si>
  <si>
    <t xml:space="preserve">		ProvisionandWriteOffofAssets</t>
  </si>
  <si>
    <t xml:space="preserve">		StockBasedCompensation</t>
  </si>
  <si>
    <t xml:space="preserve">		ExcessTaxBenefitFromStockBasedCompensation</t>
  </si>
  <si>
    <t xml:space="preserve">		OtherNonCashItems</t>
  </si>
  <si>
    <t xml:space="preserve">		ChangeInWorkingCapital</t>
  </si>
  <si>
    <t xml:space="preserve">			ChangeInReceivables</t>
  </si>
  <si>
    <t xml:space="preserve">				ChangesInAccountReceivables</t>
  </si>
  <si>
    <t xml:space="preserve">			ChangeInInventory</t>
  </si>
  <si>
    <t xml:space="preserve">			ChangeInPrepaidAssets</t>
  </si>
  <si>
    <t xml:space="preserve">			ChangeInPayablesAndAccruedExpense</t>
  </si>
  <si>
    <t xml:space="preserve">				ChangeInPayable</t>
  </si>
  <si>
    <t xml:space="preserve">					ChangeInTaxPayable</t>
  </si>
  <si>
    <t xml:space="preserve">						ChangeInIncomeTaxPayable</t>
  </si>
  <si>
    <t xml:space="preserve">					ChangeInAccountPayable</t>
  </si>
  <si>
    <t xml:space="preserve">				ChangeInAccruedExpense</t>
  </si>
  <si>
    <t xml:space="preserve">			ChangeInOtherCurrentLiabilities</t>
  </si>
  <si>
    <t xml:space="preserve">			ChangeInOtherWorkingCapital</t>
  </si>
  <si>
    <t>InvestingCashFlow</t>
  </si>
  <si>
    <t xml:space="preserve">	CashFlowFromContinuingInvestingActivities</t>
  </si>
  <si>
    <t xml:space="preserve">		NetPPEPurchaseAndSale</t>
  </si>
  <si>
    <t xml:space="preserve">			PurchaseOfPPE</t>
  </si>
  <si>
    <t xml:space="preserve">			SaleOfPPE</t>
  </si>
  <si>
    <t xml:space="preserve">		NetIntangiblesPurchaseAndSale</t>
  </si>
  <si>
    <t xml:space="preserve">			PurchaseOfIntangibles</t>
  </si>
  <si>
    <t xml:space="preserve">		NetBusinessPurchaseAndSale</t>
  </si>
  <si>
    <t xml:space="preserve">			PurchaseOfBusiness</t>
  </si>
  <si>
    <t xml:space="preserve">		NetInvestmentPropertiesPurchaseAndSale</t>
  </si>
  <si>
    <t xml:space="preserve">			PurchaseOfInvestmentProperties</t>
  </si>
  <si>
    <t xml:space="preserve">		NetInvestmentPurchaseAndSale</t>
  </si>
  <si>
    <t xml:space="preserve">			PurchaseOfInvestment</t>
  </si>
  <si>
    <t xml:space="preserve">			SaleOfInvestment</t>
  </si>
  <si>
    <t xml:space="preserve">		NetOtherInvestingChanges</t>
  </si>
  <si>
    <t>FinancingCashFlow</t>
  </si>
  <si>
    <t xml:space="preserve">	CashFlowFromContinuingFinancingActivities</t>
  </si>
  <si>
    <t xml:space="preserve">		NetIssuancePaymentsOfDebt</t>
  </si>
  <si>
    <t xml:space="preserve">			NetLongTermDebtIssuance</t>
  </si>
  <si>
    <t xml:space="preserve">				LongTermDebtIssuance</t>
  </si>
  <si>
    <t xml:space="preserve">				LongTermDebtPayments</t>
  </si>
  <si>
    <t xml:space="preserve">			NetShortTermDebtIssuance</t>
  </si>
  <si>
    <t xml:space="preserve">				ShortTermDebtIssuance</t>
  </si>
  <si>
    <t xml:space="preserve">				ShortTermDebtPayments</t>
  </si>
  <si>
    <t xml:space="preserve">		NetCommonStockIssuance</t>
  </si>
  <si>
    <t xml:space="preserve">			CommonStockIssuance</t>
  </si>
  <si>
    <t xml:space="preserve">			CommonStockPayments</t>
  </si>
  <si>
    <t xml:space="preserve">		NetPreferredStockIssuance</t>
  </si>
  <si>
    <t xml:space="preserve">			PreferredStockIssuance</t>
  </si>
  <si>
    <t xml:space="preserve">			PreferredStockPayments</t>
  </si>
  <si>
    <t xml:space="preserve">		CashDividendsPaid</t>
  </si>
  <si>
    <t xml:space="preserve">			PreferredStockDividendPaid</t>
  </si>
  <si>
    <t xml:space="preserve">		ProceedsFromStockOptionExercised</t>
  </si>
  <si>
    <t xml:space="preserve">		NetOtherFinancingCharges</t>
  </si>
  <si>
    <t>EndCashPosition</t>
  </si>
  <si>
    <t xml:space="preserve">	ChangesInCash</t>
  </si>
  <si>
    <t xml:space="preserve">	EffectOfExchangeRateChanges</t>
  </si>
  <si>
    <t xml:space="preserve">	BeginningCashPosition</t>
  </si>
  <si>
    <t>IncomeTaxPaidSupplementalData</t>
  </si>
  <si>
    <t>InterestPaidSupplementalData</t>
  </si>
  <si>
    <t>CapitalExpenditure</t>
  </si>
  <si>
    <t>IssuanceOfCapitalStock</t>
  </si>
  <si>
    <t>IssuanceOfDebt</t>
  </si>
  <si>
    <t>RepaymentOfDebt</t>
  </si>
  <si>
    <t>RepurchaseOfCapitalStock</t>
  </si>
  <si>
    <t>FreeCashFlow</t>
  </si>
  <si>
    <t>Other Equity/Treasury</t>
  </si>
  <si>
    <r>
      <t>Crocs, Inc (</t>
    </r>
    <r>
      <rPr>
        <b/>
        <sz val="12"/>
        <color theme="1"/>
        <rFont val="Aptos Narrow"/>
        <family val="2"/>
        <scheme val="minor"/>
      </rPr>
      <t>CROX</t>
    </r>
    <r>
      <rPr>
        <b/>
        <sz val="16"/>
        <color theme="1"/>
        <rFont val="Aptos Narrow"/>
        <family val="2"/>
        <scheme val="minor"/>
      </rPr>
      <t>)</t>
    </r>
  </si>
  <si>
    <t>Term Loan</t>
  </si>
  <si>
    <t>Revolving Line</t>
  </si>
  <si>
    <t>Funded
Amount</t>
  </si>
  <si>
    <t>Commit.
Amount</t>
  </si>
  <si>
    <t>Debt Capacity</t>
  </si>
  <si>
    <t>Amounts</t>
  </si>
  <si>
    <t>Interest and Commtiemt Fee Payment</t>
  </si>
  <si>
    <t>Commitment Fee (Unfunded Portion)</t>
  </si>
  <si>
    <t>($ millions)</t>
  </si>
  <si>
    <t>Seton Hall University</t>
  </si>
  <si>
    <t>Acquisition 
of HeyDude</t>
  </si>
  <si>
    <t>IRR =</t>
  </si>
  <si>
    <t>WACC Calculation</t>
  </si>
  <si>
    <t>1-Yr Avg
Stock
Price</t>
  </si>
  <si>
    <t>Date</t>
  </si>
  <si>
    <t>Open</t>
  </si>
  <si>
    <t>High</t>
  </si>
  <si>
    <t>Low</t>
  </si>
  <si>
    <t>Close</t>
  </si>
  <si>
    <t>Adj Close</t>
  </si>
  <si>
    <t>Volume</t>
  </si>
  <si>
    <t>PRE-Trans.</t>
  </si>
  <si>
    <t>POST-Trans.</t>
  </si>
  <si>
    <t xml:space="preserve">PUBLIC COMPARABLE </t>
  </si>
  <si>
    <t>Enteprise Value</t>
  </si>
  <si>
    <t>Company Name</t>
  </si>
  <si>
    <t>Ticker</t>
  </si>
  <si>
    <t>Market
Value</t>
  </si>
  <si>
    <t>LTM
Debt</t>
  </si>
  <si>
    <t>LTM
Cash</t>
  </si>
  <si>
    <t>Enteprise
Value</t>
  </si>
  <si>
    <t>LTM
Revenue</t>
  </si>
  <si>
    <t>LTM
EBITDA</t>
  </si>
  <si>
    <t>LTM 
Revenue</t>
  </si>
  <si>
    <t>LTM 
EBITDA</t>
  </si>
  <si>
    <t>Stock
Volatility (Variance)</t>
  </si>
  <si>
    <t>x</t>
  </si>
  <si>
    <t>Min</t>
  </si>
  <si>
    <t>Median</t>
  </si>
  <si>
    <t>Max</t>
  </si>
  <si>
    <t>Less Debt</t>
  </si>
  <si>
    <t>Plus Cash</t>
  </si>
  <si>
    <t>DECK</t>
  </si>
  <si>
    <t>ONON</t>
  </si>
  <si>
    <t>BIRK</t>
  </si>
  <si>
    <t>WWW</t>
  </si>
  <si>
    <t>Deckers Outdoor Corporation</t>
  </si>
  <si>
    <t>(Amounts In mm, USD)</t>
  </si>
  <si>
    <t>On Holding AG</t>
  </si>
  <si>
    <t>Birkenstock Holding plc</t>
  </si>
  <si>
    <t>Wolverine World Wide, Inc.</t>
  </si>
  <si>
    <t>RCKY</t>
  </si>
  <si>
    <t xml:space="preserve">Rocky Brands, Inc. </t>
  </si>
  <si>
    <t xml:space="preserve">Weyco Group, Inc. </t>
  </si>
  <si>
    <t>WEYS</t>
  </si>
  <si>
    <t>CROX</t>
  </si>
  <si>
    <t>EBITDA x Median</t>
  </si>
  <si>
    <t>mm</t>
  </si>
  <si>
    <t>Shares Outs</t>
  </si>
  <si>
    <t>Stock Price Val</t>
  </si>
  <si>
    <t>DCF and RETURN ANALYSIS</t>
  </si>
  <si>
    <t>MOIC =</t>
  </si>
  <si>
    <t>Subordinated Notes</t>
  </si>
  <si>
    <t>SENSITIVITY IRR PRICE VS AVERAGE REVENUE GROWTH</t>
  </si>
  <si>
    <t>Premium</t>
  </si>
  <si>
    <t>Stock 
Price</t>
  </si>
  <si>
    <t>Debt / EBITDA (Leverage Ratio)</t>
  </si>
  <si>
    <t>EBITDA/Interest (Coverage Ratio)</t>
  </si>
  <si>
    <t>Covenant</t>
  </si>
  <si>
    <t>EBITDA Cushion</t>
  </si>
  <si>
    <t>* Assuming 1.0% revenue growth for 2026</t>
  </si>
  <si>
    <t>SENSITIVITY SUMMARY -  IRR% AT VARIOUS ACQUISITION PRICES VS AVERAGE REVENUE GROWTH (2027-2030)</t>
  </si>
  <si>
    <t>*</t>
  </si>
  <si>
    <t xml:space="preserve">*Adjusting for non-cash impairment charges related to the indefinite-lived HEYDUDE trademark and HEYDUDE Brand </t>
  </si>
  <si>
    <t>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</si>
</sst>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* #,##0_);_(* \(#,##0\);_(* &quot;-&quot;??_);_(@_)"/>
    <numFmt numFmtId="166" formatCode="0.0"/>
    <numFmt numFmtId="167" formatCode="0.0%"/>
    <numFmt numFmtId="168" formatCode="0.0\x"/>
    <numFmt numFmtId="169" formatCode="0.00000%"/>
    <numFmt numFmtId="170" formatCode="_(* #,##0.0_);_(* \(#,##0.0\);_(* &quot;-&quot;?_);_(@_)"/>
    <numFmt numFmtId="171" formatCode="#,##0.00\x_)"/>
    <numFmt numFmtId="172" formatCode="#,##0.0\x_)"/>
    <numFmt numFmtId="173" formatCode="#,##0.0%_);\(#,##0.0%\)"/>
    <numFmt numFmtId="174" formatCode="#,##0.0_);\(#,##0.0\)"/>
    <numFmt numFmtId="175" formatCode="_(&quot;$&quot;* #,##0_);_(&quot;$&quot;* \(#,##0\);_(&quot;$&quot;* &quot;-&quot;??_);_(@_)"/>
  </numFmts>
  <fonts count="29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66FF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7"/>
      <color theme="0" tint="-0.24994659260841701"/>
      <name val="Arial"/>
      <family val="2"/>
    </font>
    <font>
      <sz val="11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color rgb="FF0000CC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b/>
      <u/>
      <sz val="12"/>
      <color theme="1"/>
      <name val="Arial"/>
      <family val="2"/>
    </font>
    <font>
      <sz val="10"/>
      <name val="Aptos Narrow"/>
      <family val="2"/>
      <scheme val="minor"/>
    </font>
    <font>
      <sz val="9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4" fillId="0" borderId="0" applyNumberFormat="0" applyFill="0" applyBorder="0" applyAlignment="0"/>
  </cellStyleXfs>
  <cellXfs count="170">
    <xf numFmtId="0" fontId="0" fillId="0" borderId="0" xfId="0"/>
    <xf numFmtId="0" fontId="0" fillId="0" borderId="0" xfId="0" quotePrefix="1"/>
    <xf numFmtId="0" fontId="3" fillId="2" borderId="0" xfId="0" applyFont="1" applyFill="1"/>
    <xf numFmtId="0" fontId="1" fillId="2" borderId="0" xfId="0" applyFont="1" applyFill="1"/>
    <xf numFmtId="0" fontId="2" fillId="3" borderId="0" xfId="0" applyFont="1" applyFill="1"/>
    <xf numFmtId="0" fontId="2" fillId="0" borderId="0" xfId="0" applyFont="1"/>
    <xf numFmtId="0" fontId="4" fillId="3" borderId="0" xfId="0" applyFont="1" applyFill="1" applyAlignment="1">
      <alignment horizontal="center"/>
    </xf>
    <xf numFmtId="0" fontId="2" fillId="3" borderId="0" xfId="0" applyFont="1" applyFill="1" applyAlignment="1">
      <alignment horizontal="right"/>
    </xf>
    <xf numFmtId="0" fontId="5" fillId="0" borderId="0" xfId="0" applyFont="1"/>
    <xf numFmtId="0" fontId="2" fillId="3" borderId="1" xfId="0" applyFont="1" applyFill="1" applyBorder="1"/>
    <xf numFmtId="0" fontId="2" fillId="3" borderId="1" xfId="0" applyFont="1" applyFill="1" applyBorder="1" applyAlignment="1">
      <alignment wrapText="1"/>
    </xf>
    <xf numFmtId="0" fontId="2" fillId="3" borderId="1" xfId="0" quotePrefix="1" applyFont="1" applyFill="1" applyBorder="1"/>
    <xf numFmtId="0" fontId="6" fillId="0" borderId="0" xfId="0" applyFont="1"/>
    <xf numFmtId="0" fontId="0" fillId="0" borderId="0" xfId="0" applyAlignment="1">
      <alignment horizontal="right"/>
    </xf>
    <xf numFmtId="164" fontId="2" fillId="0" borderId="0" xfId="0" applyNumberFormat="1" applyFont="1"/>
    <xf numFmtId="0" fontId="8" fillId="0" borderId="0" xfId="0" applyFont="1"/>
    <xf numFmtId="14" fontId="0" fillId="0" borderId="0" xfId="0" applyNumberFormat="1"/>
    <xf numFmtId="3" fontId="0" fillId="0" borderId="0" xfId="0" applyNumberFormat="1"/>
    <xf numFmtId="4" fontId="0" fillId="0" borderId="0" xfId="0" applyNumberFormat="1"/>
    <xf numFmtId="165" fontId="0" fillId="0" borderId="0" xfId="1" applyNumberFormat="1" applyFont="1"/>
    <xf numFmtId="9" fontId="0" fillId="0" borderId="0" xfId="2" applyFont="1"/>
    <xf numFmtId="165" fontId="0" fillId="0" borderId="2" xfId="1" applyNumberFormat="1" applyFont="1" applyBorder="1"/>
    <xf numFmtId="165" fontId="0" fillId="0" borderId="1" xfId="1" applyNumberFormat="1" applyFont="1" applyBorder="1"/>
    <xf numFmtId="165" fontId="0" fillId="0" borderId="0" xfId="0" applyNumberFormat="1"/>
    <xf numFmtId="0" fontId="2" fillId="3" borderId="0" xfId="0" applyFont="1" applyFill="1" applyAlignment="1">
      <alignment horizontal="center"/>
    </xf>
    <xf numFmtId="166" fontId="0" fillId="0" borderId="0" xfId="0" applyNumberFormat="1"/>
    <xf numFmtId="167" fontId="0" fillId="0" borderId="0" xfId="2" applyNumberFormat="1" applyFont="1"/>
    <xf numFmtId="0" fontId="9" fillId="0" borderId="0" xfId="0" applyFont="1"/>
    <xf numFmtId="9" fontId="9" fillId="0" borderId="0" xfId="0" applyNumberFormat="1" applyFont="1"/>
    <xf numFmtId="167" fontId="9" fillId="0" borderId="0" xfId="0" applyNumberFormat="1" applyFont="1"/>
    <xf numFmtId="0" fontId="0" fillId="4" borderId="0" xfId="0" applyFill="1" applyAlignment="1">
      <alignment horizontal="center"/>
    </xf>
    <xf numFmtId="9" fontId="8" fillId="0" borderId="0" xfId="0" applyNumberFormat="1" applyFont="1"/>
    <xf numFmtId="167" fontId="8" fillId="0" borderId="0" xfId="0" applyNumberFormat="1" applyFont="1"/>
    <xf numFmtId="0" fontId="0" fillId="0" borderId="0" xfId="0" applyAlignment="1">
      <alignment horizontal="center"/>
    </xf>
    <xf numFmtId="0" fontId="10" fillId="0" borderId="0" xfId="0" applyFont="1"/>
    <xf numFmtId="44" fontId="0" fillId="0" borderId="0" xfId="3" applyFont="1"/>
    <xf numFmtId="10" fontId="0" fillId="0" borderId="0" xfId="0" applyNumberFormat="1"/>
    <xf numFmtId="165" fontId="0" fillId="0" borderId="1" xfId="0" applyNumberFormat="1" applyBorder="1"/>
    <xf numFmtId="168" fontId="0" fillId="0" borderId="0" xfId="0" applyNumberFormat="1"/>
    <xf numFmtId="168" fontId="9" fillId="0" borderId="0" xfId="0" quotePrefix="1" applyNumberFormat="1" applyFont="1" applyAlignment="1">
      <alignment horizontal="center"/>
    </xf>
    <xf numFmtId="168" fontId="9" fillId="0" borderId="0" xfId="0" applyNumberFormat="1" applyFont="1" applyAlignment="1">
      <alignment horizontal="center"/>
    </xf>
    <xf numFmtId="167" fontId="0" fillId="0" borderId="1" xfId="2" applyNumberFormat="1" applyFont="1" applyBorder="1"/>
    <xf numFmtId="167" fontId="0" fillId="0" borderId="2" xfId="2" applyNumberFormat="1" applyFont="1" applyBorder="1"/>
    <xf numFmtId="10" fontId="0" fillId="0" borderId="3" xfId="0" applyNumberFormat="1" applyBorder="1"/>
    <xf numFmtId="10" fontId="0" fillId="0" borderId="0" xfId="2" applyNumberFormat="1" applyFont="1"/>
    <xf numFmtId="10" fontId="9" fillId="0" borderId="0" xfId="0" applyNumberFormat="1" applyFont="1"/>
    <xf numFmtId="165" fontId="0" fillId="0" borderId="2" xfId="0" applyNumberFormat="1" applyBorder="1"/>
    <xf numFmtId="167" fontId="0" fillId="0" borderId="0" xfId="0" applyNumberFormat="1"/>
    <xf numFmtId="10" fontId="9" fillId="0" borderId="0" xfId="2" applyNumberFormat="1" applyFont="1"/>
    <xf numFmtId="10" fontId="0" fillId="0" borderId="1" xfId="0" applyNumberFormat="1" applyBorder="1"/>
    <xf numFmtId="0" fontId="2" fillId="3" borderId="1" xfId="0" quotePrefix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0" fontId="2" fillId="5" borderId="0" xfId="0" applyFont="1" applyFill="1"/>
    <xf numFmtId="0" fontId="1" fillId="5" borderId="0" xfId="0" applyFont="1" applyFill="1"/>
    <xf numFmtId="0" fontId="3" fillId="5" borderId="0" xfId="0" applyFont="1" applyFill="1"/>
    <xf numFmtId="0" fontId="4" fillId="5" borderId="0" xfId="0" applyFont="1" applyFill="1"/>
    <xf numFmtId="0" fontId="4" fillId="5" borderId="0" xfId="0" applyFont="1" applyFill="1" applyAlignment="1">
      <alignment horizontal="right" vertical="center"/>
    </xf>
    <xf numFmtId="0" fontId="2" fillId="5" borderId="0" xfId="0" applyFont="1" applyFill="1" applyAlignment="1">
      <alignment horizontal="right" vertical="center"/>
    </xf>
    <xf numFmtId="0" fontId="4" fillId="5" borderId="0" xfId="0" applyFont="1" applyFill="1" applyAlignment="1">
      <alignment horizontal="center"/>
    </xf>
    <xf numFmtId="0" fontId="2" fillId="5" borderId="0" xfId="0" applyFont="1" applyFill="1" applyAlignment="1">
      <alignment horizontal="right"/>
    </xf>
    <xf numFmtId="0" fontId="0" fillId="5" borderId="0" xfId="0" applyFill="1"/>
    <xf numFmtId="0" fontId="0" fillId="5" borderId="4" xfId="0" applyFill="1" applyBorder="1"/>
    <xf numFmtId="0" fontId="2" fillId="5" borderId="0" xfId="0" applyFont="1" applyFill="1" applyAlignment="1">
      <alignment horizontal="center"/>
    </xf>
    <xf numFmtId="165" fontId="0" fillId="0" borderId="4" xfId="1" applyNumberFormat="1" applyFont="1" applyBorder="1"/>
    <xf numFmtId="0" fontId="4" fillId="3" borderId="0" xfId="0" applyFont="1" applyFill="1" applyAlignment="1">
      <alignment horizontal="right"/>
    </xf>
    <xf numFmtId="166" fontId="8" fillId="0" borderId="0" xfId="0" applyNumberFormat="1" applyFont="1"/>
    <xf numFmtId="165" fontId="2" fillId="0" borderId="1" xfId="1" applyNumberFormat="1" applyFont="1" applyBorder="1"/>
    <xf numFmtId="167" fontId="2" fillId="0" borderId="1" xfId="2" applyNumberFormat="1" applyFont="1" applyBorder="1"/>
    <xf numFmtId="165" fontId="2" fillId="0" borderId="1" xfId="0" applyNumberFormat="1" applyFont="1" applyBorder="1"/>
    <xf numFmtId="165" fontId="0" fillId="0" borderId="0" xfId="1" quotePrefix="1" applyNumberFormat="1" applyFont="1"/>
    <xf numFmtId="168" fontId="0" fillId="0" borderId="0" xfId="1" quotePrefix="1" applyNumberFormat="1" applyFont="1"/>
    <xf numFmtId="168" fontId="0" fillId="0" borderId="4" xfId="1" quotePrefix="1" applyNumberFormat="1" applyFont="1" applyBorder="1"/>
    <xf numFmtId="14" fontId="0" fillId="5" borderId="0" xfId="0" applyNumberFormat="1" applyFill="1"/>
    <xf numFmtId="167" fontId="2" fillId="3" borderId="3" xfId="0" applyNumberFormat="1" applyFont="1" applyFill="1" applyBorder="1"/>
    <xf numFmtId="0" fontId="2" fillId="0" borderId="0" xfId="0" applyFont="1" applyAlignment="1">
      <alignment horizontal="right"/>
    </xf>
    <xf numFmtId="0" fontId="0" fillId="0" borderId="0" xfId="0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168" fontId="0" fillId="0" borderId="1" xfId="1" quotePrefix="1" applyNumberFormat="1" applyFont="1" applyBorder="1"/>
    <xf numFmtId="0" fontId="2" fillId="3" borderId="1" xfId="0" quotePrefix="1" applyFont="1" applyFill="1" applyBorder="1" applyAlignment="1">
      <alignment horizontal="center" wrapText="1"/>
    </xf>
    <xf numFmtId="44" fontId="0" fillId="0" borderId="0" xfId="0" applyNumberFormat="1"/>
    <xf numFmtId="44" fontId="8" fillId="0" borderId="0" xfId="3" applyFont="1"/>
    <xf numFmtId="0" fontId="11" fillId="5" borderId="0" xfId="0" applyFont="1" applyFill="1" applyAlignment="1">
      <alignment horizontal="center" vertical="center" wrapText="1"/>
    </xf>
    <xf numFmtId="0" fontId="11" fillId="5" borderId="0" xfId="0" applyFont="1" applyFill="1" applyAlignment="1">
      <alignment horizontal="right" vertical="center" wrapText="1"/>
    </xf>
    <xf numFmtId="0" fontId="13" fillId="0" borderId="0" xfId="0" applyFont="1"/>
    <xf numFmtId="0" fontId="14" fillId="0" borderId="0" xfId="4"/>
    <xf numFmtId="0" fontId="15" fillId="0" borderId="0" xfId="4" applyFont="1"/>
    <xf numFmtId="0" fontId="16" fillId="2" borderId="0" xfId="0" applyFont="1" applyFill="1" applyAlignment="1">
      <alignment horizontal="left"/>
    </xf>
    <xf numFmtId="0" fontId="16" fillId="2" borderId="0" xfId="0" applyFont="1" applyFill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6" fillId="0" borderId="0" xfId="0" applyFont="1"/>
    <xf numFmtId="0" fontId="16" fillId="0" borderId="0" xfId="0" applyFont="1" applyAlignment="1">
      <alignment horizontal="center" vertical="center" wrapText="1"/>
    </xf>
    <xf numFmtId="0" fontId="17" fillId="0" borderId="0" xfId="0" applyFont="1"/>
    <xf numFmtId="0" fontId="18" fillId="0" borderId="7" xfId="0" applyFont="1" applyBorder="1" applyAlignment="1">
      <alignment horizontal="left" indent="1" shrinkToFit="1"/>
    </xf>
    <xf numFmtId="37" fontId="18" fillId="0" borderId="7" xfId="0" applyNumberFormat="1" applyFont="1" applyBorder="1" applyAlignment="1">
      <alignment horizontal="right" vertical="top"/>
    </xf>
    <xf numFmtId="37" fontId="0" fillId="6" borderId="7" xfId="0" applyNumberFormat="1" applyFill="1" applyBorder="1" applyAlignment="1">
      <alignment horizontal="right"/>
    </xf>
    <xf numFmtId="171" fontId="0" fillId="6" borderId="7" xfId="0" applyNumberFormat="1" applyFill="1" applyBorder="1" applyAlignment="1">
      <alignment horizontal="right" indent="2"/>
    </xf>
    <xf numFmtId="172" fontId="0" fillId="6" borderId="7" xfId="0" applyNumberFormat="1" applyFill="1" applyBorder="1" applyAlignment="1">
      <alignment horizontal="right" indent="2"/>
    </xf>
    <xf numFmtId="0" fontId="18" fillId="0" borderId="0" xfId="0" applyFont="1" applyAlignment="1">
      <alignment horizontal="left" indent="1"/>
    </xf>
    <xf numFmtId="170" fontId="18" fillId="0" borderId="0" xfId="0" applyNumberFormat="1" applyFont="1" applyAlignment="1">
      <alignment horizontal="right" vertical="top"/>
    </xf>
    <xf numFmtId="170" fontId="19" fillId="0" borderId="0" xfId="0" applyNumberFormat="1" applyFont="1" applyAlignment="1">
      <alignment horizontal="right" vertical="top"/>
    </xf>
    <xf numFmtId="171" fontId="0" fillId="0" borderId="0" xfId="0" applyNumberFormat="1" applyAlignment="1">
      <alignment horizontal="right" indent="2"/>
    </xf>
    <xf numFmtId="172" fontId="0" fillId="0" borderId="0" xfId="0" applyNumberFormat="1" applyAlignment="1">
      <alignment horizontal="right" indent="2"/>
    </xf>
    <xf numFmtId="173" fontId="20" fillId="7" borderId="0" xfId="0" applyNumberFormat="1" applyFont="1" applyFill="1" applyAlignment="1">
      <alignment horizontal="left" indent="1"/>
    </xf>
    <xf numFmtId="171" fontId="0" fillId="7" borderId="0" xfId="0" applyNumberFormat="1" applyFill="1" applyAlignment="1">
      <alignment horizontal="right" vertical="center" indent="2"/>
    </xf>
    <xf numFmtId="172" fontId="0" fillId="7" borderId="0" xfId="0" applyNumberFormat="1" applyFill="1" applyAlignment="1">
      <alignment horizontal="right" vertical="center" indent="2"/>
    </xf>
    <xf numFmtId="0" fontId="21" fillId="0" borderId="0" xfId="0" applyFont="1" applyAlignment="1">
      <alignment vertical="top"/>
    </xf>
    <xf numFmtId="5" fontId="0" fillId="6" borderId="0" xfId="0" applyNumberFormat="1" applyFill="1"/>
    <xf numFmtId="5" fontId="0" fillId="6" borderId="8" xfId="0" applyNumberFormat="1" applyFill="1" applyBorder="1"/>
    <xf numFmtId="171" fontId="0" fillId="6" borderId="8" xfId="0" applyNumberFormat="1" applyFill="1" applyBorder="1" applyAlignment="1">
      <alignment horizontal="right" indent="2"/>
    </xf>
    <xf numFmtId="172" fontId="0" fillId="6" borderId="9" xfId="0" applyNumberFormat="1" applyFill="1" applyBorder="1" applyAlignment="1">
      <alignment horizontal="right" indent="2"/>
    </xf>
    <xf numFmtId="171" fontId="0" fillId="6" borderId="0" xfId="0" applyNumberFormat="1" applyFill="1" applyAlignment="1">
      <alignment horizontal="right" indent="2"/>
    </xf>
    <xf numFmtId="172" fontId="0" fillId="6" borderId="10" xfId="0" applyNumberFormat="1" applyFill="1" applyBorder="1" applyAlignment="1">
      <alignment horizontal="right" indent="2"/>
    </xf>
    <xf numFmtId="174" fontId="0" fillId="6" borderId="11" xfId="0" applyNumberFormat="1" applyFill="1" applyBorder="1"/>
    <xf numFmtId="171" fontId="0" fillId="6" borderId="11" xfId="0" applyNumberFormat="1" applyFill="1" applyBorder="1" applyAlignment="1">
      <alignment horizontal="right" indent="2"/>
    </xf>
    <xf numFmtId="172" fontId="0" fillId="6" borderId="12" xfId="0" applyNumberFormat="1" applyFill="1" applyBorder="1" applyAlignment="1">
      <alignment horizontal="right" indent="2"/>
    </xf>
    <xf numFmtId="0" fontId="22" fillId="0" borderId="0" xfId="0" applyFont="1" applyAlignment="1">
      <alignment horizontal="left" indent="1" shrinkToFit="1"/>
    </xf>
    <xf numFmtId="0" fontId="23" fillId="0" borderId="0" xfId="0" applyFont="1" applyAlignment="1">
      <alignment horizontal="left" indent="1"/>
    </xf>
    <xf numFmtId="0" fontId="18" fillId="0" borderId="0" xfId="0" applyFont="1" applyAlignment="1">
      <alignment horizontal="left" indent="1" shrinkToFit="1"/>
    </xf>
    <xf numFmtId="37" fontId="18" fillId="0" borderId="0" xfId="0" applyNumberFormat="1" applyFont="1" applyAlignment="1">
      <alignment horizontal="right" vertical="top"/>
    </xf>
    <xf numFmtId="37" fontId="0" fillId="6" borderId="0" xfId="0" applyNumberFormat="1" applyFill="1" applyAlignment="1">
      <alignment horizontal="right"/>
    </xf>
    <xf numFmtId="172" fontId="0" fillId="6" borderId="0" xfId="0" applyNumberFormat="1" applyFill="1" applyAlignment="1">
      <alignment horizontal="right" indent="2"/>
    </xf>
    <xf numFmtId="165" fontId="20" fillId="7" borderId="0" xfId="1" applyNumberFormat="1" applyFont="1" applyFill="1" applyAlignment="1">
      <alignment vertical="center"/>
    </xf>
    <xf numFmtId="165" fontId="2" fillId="7" borderId="0" xfId="1" applyNumberFormat="1" applyFont="1" applyFill="1" applyAlignment="1">
      <alignment vertical="center"/>
    </xf>
    <xf numFmtId="165" fontId="18" fillId="7" borderId="0" xfId="1" applyNumberFormat="1" applyFont="1" applyFill="1" applyAlignment="1">
      <alignment horizontal="right" vertical="center"/>
    </xf>
    <xf numFmtId="165" fontId="20" fillId="7" borderId="0" xfId="1" applyNumberFormat="1" applyFont="1" applyFill="1" applyAlignment="1">
      <alignment horizontal="right" vertical="center"/>
    </xf>
    <xf numFmtId="43" fontId="2" fillId="3" borderId="3" xfId="0" applyNumberFormat="1" applyFont="1" applyFill="1" applyBorder="1"/>
    <xf numFmtId="168" fontId="2" fillId="3" borderId="3" xfId="0" applyNumberFormat="1" applyFont="1" applyFill="1" applyBorder="1"/>
    <xf numFmtId="10" fontId="24" fillId="0" borderId="0" xfId="0" applyNumberFormat="1" applyFont="1"/>
    <xf numFmtId="10" fontId="8" fillId="0" borderId="0" xfId="0" applyNumberFormat="1" applyFont="1"/>
    <xf numFmtId="44" fontId="4" fillId="0" borderId="3" xfId="3" applyFont="1" applyBorder="1"/>
    <xf numFmtId="166" fontId="9" fillId="0" borderId="0" xfId="0" applyNumberFormat="1" applyFont="1"/>
    <xf numFmtId="167" fontId="8" fillId="0" borderId="0" xfId="2" applyNumberFormat="1" applyFont="1"/>
    <xf numFmtId="167" fontId="9" fillId="0" borderId="0" xfId="2" applyNumberFormat="1" applyFont="1"/>
    <xf numFmtId="167" fontId="0" fillId="3" borderId="0" xfId="0" applyNumberFormat="1" applyFill="1"/>
    <xf numFmtId="10" fontId="9" fillId="3" borderId="0" xfId="0" applyNumberFormat="1" applyFont="1" applyFill="1"/>
    <xf numFmtId="0" fontId="9" fillId="3" borderId="0" xfId="0" applyFont="1" applyFill="1"/>
    <xf numFmtId="0" fontId="1" fillId="2" borderId="0" xfId="0" applyFont="1" applyFill="1" applyAlignment="1">
      <alignment horizontal="left"/>
    </xf>
    <xf numFmtId="0" fontId="25" fillId="0" borderId="0" xfId="0" quotePrefix="1" applyFont="1"/>
    <xf numFmtId="169" fontId="0" fillId="0" borderId="0" xfId="0" applyNumberFormat="1"/>
    <xf numFmtId="167" fontId="2" fillId="3" borderId="17" xfId="0" applyNumberFormat="1" applyFont="1" applyFill="1" applyBorder="1" applyAlignment="1">
      <alignment horizontal="center" vertical="center" wrapText="1"/>
    </xf>
    <xf numFmtId="167" fontId="2" fillId="3" borderId="17" xfId="0" applyNumberFormat="1" applyFont="1" applyFill="1" applyBorder="1" applyAlignment="1">
      <alignment horizontal="center" vertical="center"/>
    </xf>
    <xf numFmtId="10" fontId="2" fillId="3" borderId="1" xfId="0" applyNumberFormat="1" applyFont="1" applyFill="1" applyBorder="1" applyAlignment="1">
      <alignment vertical="center"/>
    </xf>
    <xf numFmtId="175" fontId="2" fillId="3" borderId="13" xfId="3" applyNumberFormat="1" applyFont="1" applyFill="1" applyBorder="1" applyAlignment="1">
      <alignment horizontal="center"/>
    </xf>
    <xf numFmtId="175" fontId="2" fillId="3" borderId="14" xfId="3" applyNumberFormat="1" applyFont="1" applyFill="1" applyBorder="1" applyAlignment="1">
      <alignment horizontal="center"/>
    </xf>
    <xf numFmtId="175" fontId="2" fillId="3" borderId="18" xfId="3" applyNumberFormat="1" applyFont="1" applyFill="1" applyBorder="1" applyAlignment="1">
      <alignment horizontal="center"/>
    </xf>
    <xf numFmtId="0" fontId="0" fillId="3" borderId="1" xfId="0" applyFill="1" applyBorder="1"/>
    <xf numFmtId="169" fontId="11" fillId="0" borderId="3" xfId="0" applyNumberFormat="1" applyFont="1" applyBorder="1"/>
    <xf numFmtId="0" fontId="26" fillId="0" borderId="0" xfId="0" applyFont="1"/>
    <xf numFmtId="168" fontId="26" fillId="0" borderId="0" xfId="0" applyNumberFormat="1" applyFont="1"/>
    <xf numFmtId="168" fontId="2" fillId="0" borderId="0" xfId="0" applyNumberFormat="1" applyFont="1"/>
    <xf numFmtId="165" fontId="26" fillId="0" borderId="0" xfId="0" applyNumberFormat="1" applyFont="1"/>
    <xf numFmtId="167" fontId="0" fillId="0" borderId="0" xfId="2" applyNumberFormat="1" applyFont="1" applyFill="1"/>
    <xf numFmtId="167" fontId="2" fillId="3" borderId="15" xfId="2" applyNumberFormat="1" applyFont="1" applyFill="1" applyBorder="1" applyAlignment="1">
      <alignment horizontal="center"/>
    </xf>
    <xf numFmtId="167" fontId="2" fillId="3" borderId="16" xfId="2" applyNumberFormat="1" applyFont="1" applyFill="1" applyBorder="1" applyAlignment="1">
      <alignment horizontal="center"/>
    </xf>
    <xf numFmtId="167" fontId="2" fillId="3" borderId="19" xfId="2" applyNumberFormat="1" applyFont="1" applyFill="1" applyBorder="1" applyAlignment="1">
      <alignment horizontal="center"/>
    </xf>
    <xf numFmtId="0" fontId="27" fillId="0" borderId="0" xfId="0" quotePrefix="1" applyFont="1" applyAlignment="1">
      <alignment horizontal="left"/>
    </xf>
    <xf numFmtId="0" fontId="2" fillId="3" borderId="16" xfId="0" applyFont="1" applyFill="1" applyBorder="1" applyAlignment="1">
      <alignment horizontal="center"/>
    </xf>
    <xf numFmtId="0" fontId="0" fillId="0" borderId="16" xfId="0" applyBorder="1"/>
    <xf numFmtId="9" fontId="0" fillId="0" borderId="16" xfId="2" applyFont="1" applyBorder="1"/>
    <xf numFmtId="0" fontId="28" fillId="0" borderId="0" xfId="0" quotePrefix="1" applyFont="1"/>
    <xf numFmtId="167" fontId="0" fillId="0" borderId="3" xfId="2" applyNumberFormat="1" applyFont="1" applyFill="1" applyBorder="1"/>
    <xf numFmtId="167" fontId="0" fillId="0" borderId="0" xfId="2" applyNumberFormat="1" applyFont="1" applyFill="1" applyBorder="1"/>
    <xf numFmtId="167" fontId="2" fillId="3" borderId="20" xfId="2" applyNumberFormat="1" applyFont="1" applyFill="1" applyBorder="1" applyAlignment="1">
      <alignment horizontal="center"/>
    </xf>
    <xf numFmtId="0" fontId="2" fillId="5" borderId="0" xfId="0" applyFont="1" applyFill="1" applyAlignment="1">
      <alignment vertical="top"/>
    </xf>
    <xf numFmtId="0" fontId="4" fillId="5" borderId="0" xfId="0" applyFont="1" applyFill="1" applyAlignment="1">
      <alignment horizontal="right"/>
    </xf>
    <xf numFmtId="0" fontId="28" fillId="0" borderId="2" xfId="0" quotePrefix="1" applyFont="1" applyBorder="1" applyAlignment="1">
      <alignment wrapText="1"/>
    </xf>
    <xf numFmtId="0" fontId="0" fillId="0" borderId="2" xfId="0" applyBorder="1" applyAlignment="1">
      <alignment wrapText="1"/>
    </xf>
    <xf numFmtId="0" fontId="1" fillId="2" borderId="5" xfId="0" applyFont="1" applyFill="1" applyBorder="1" applyAlignment="1">
      <alignment horizontal="center" vertical="center"/>
    </xf>
  </cellXfs>
  <cellStyles count="5">
    <cellStyle name="1JZirpolo" xfId="4" xr:uid="{8455C8A3-002C-42D3-A6B8-4513DDAC4139}"/>
    <cellStyle name="Comma" xfId="1" builtinId="3"/>
    <cellStyle name="Currency" xfId="3" builtinId="4"/>
    <cellStyle name="Normal" xfId="0" builtinId="0"/>
    <cellStyle name="Percent" xfId="2" builtinId="5"/>
  </cellStyles>
  <dxfs count="5"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solid">
          <bgColor theme="0" tint="-4.9989318521683403E-2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6B64C-48A4-42B8-8E77-A362C6F5C0AF}">
  <sheetPr>
    <pageSetUpPr fitToPage="1"/>
  </sheetPr>
  <dimension ref="B1:AM230"/>
  <sheetViews>
    <sheetView showGridLines="0" tabSelected="1" zoomScale="110" zoomScaleNormal="110" workbookViewId="0">
      <selection activeCell="X174" sqref="X174"/>
    </sheetView>
  </sheetViews>
  <sheetFormatPr defaultRowHeight="14.5" x14ac:dyDescent="0.35"/>
  <cols>
    <col min="1" max="1" width="3.36328125" customWidth="1"/>
    <col min="2" max="2" width="25.6328125" customWidth="1"/>
    <col min="3" max="3" width="8.81640625" customWidth="1"/>
    <col min="4" max="4" width="10.7265625" customWidth="1"/>
    <col min="5" max="10" width="8.453125" customWidth="1"/>
    <col min="11" max="11" width="9.54296875" customWidth="1"/>
    <col min="12" max="14" width="8.453125" customWidth="1"/>
    <col min="15" max="15" width="8.81640625" customWidth="1"/>
    <col min="17" max="17" width="9.1796875" bestFit="1" customWidth="1"/>
    <col min="18" max="18" width="7.90625" customWidth="1"/>
    <col min="19" max="19" width="8.90625" customWidth="1"/>
  </cols>
  <sheetData>
    <row r="1" spans="2:39" ht="21" x14ac:dyDescent="0.5">
      <c r="B1" s="12" t="s">
        <v>372</v>
      </c>
      <c r="C1" s="12"/>
      <c r="O1" s="13" t="s">
        <v>382</v>
      </c>
      <c r="Q1" s="30">
        <v>2</v>
      </c>
      <c r="R1" t="s">
        <v>167</v>
      </c>
      <c r="T1" s="33">
        <v>1</v>
      </c>
    </row>
    <row r="2" spans="2:39" x14ac:dyDescent="0.35">
      <c r="B2" t="s">
        <v>116</v>
      </c>
      <c r="O2" s="14">
        <f ca="1">NOW()</f>
        <v>46137.389608680554</v>
      </c>
      <c r="R2" t="s">
        <v>168</v>
      </c>
      <c r="T2" s="33">
        <v>2</v>
      </c>
    </row>
    <row r="3" spans="2:39" x14ac:dyDescent="0.35">
      <c r="B3" s="5" t="str">
        <f>IF($Q$1=1,"Upside Case",IF($Q$1=2,"Base Case","Downside Case"))</f>
        <v>Base Case</v>
      </c>
      <c r="R3" t="s">
        <v>169</v>
      </c>
      <c r="T3" s="33">
        <v>3</v>
      </c>
    </row>
    <row r="4" spans="2:39" x14ac:dyDescent="0.35">
      <c r="B4" s="3" t="s">
        <v>0</v>
      </c>
      <c r="C4" s="3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2:39" x14ac:dyDescent="0.35">
      <c r="B5" s="53" t="s">
        <v>1</v>
      </c>
      <c r="C5" s="53"/>
      <c r="D5" s="53"/>
      <c r="E5" s="53"/>
      <c r="F5" s="53"/>
      <c r="G5" s="53"/>
      <c r="H5" s="53"/>
      <c r="I5" s="53" t="s">
        <v>2</v>
      </c>
      <c r="J5" s="53"/>
      <c r="K5" s="53"/>
      <c r="L5" s="53"/>
      <c r="M5" s="53"/>
      <c r="N5" s="53"/>
      <c r="O5" s="53"/>
    </row>
    <row r="6" spans="2:39" ht="46" customHeight="1" thickBot="1" x14ac:dyDescent="0.4">
      <c r="B6" s="11" t="s">
        <v>381</v>
      </c>
      <c r="C6" s="10" t="s">
        <v>376</v>
      </c>
      <c r="D6" s="52" t="s">
        <v>375</v>
      </c>
      <c r="E6" s="52" t="s">
        <v>187</v>
      </c>
      <c r="F6" s="50" t="s">
        <v>4</v>
      </c>
      <c r="G6" s="51" t="s">
        <v>173</v>
      </c>
      <c r="H6" s="33"/>
      <c r="I6" s="11" t="s">
        <v>381</v>
      </c>
      <c r="J6" s="51"/>
      <c r="K6" s="79" t="s">
        <v>386</v>
      </c>
      <c r="L6" s="52" t="s">
        <v>5</v>
      </c>
      <c r="M6" s="52" t="s">
        <v>6</v>
      </c>
      <c r="N6" s="52" t="s">
        <v>7</v>
      </c>
      <c r="O6" s="52" t="s">
        <v>3</v>
      </c>
    </row>
    <row r="7" spans="2:39" ht="15.5" thickTop="1" thickBot="1" x14ac:dyDescent="0.4">
      <c r="B7" t="s">
        <v>374</v>
      </c>
      <c r="C7" s="23">
        <v>800</v>
      </c>
      <c r="D7" s="23">
        <v>0</v>
      </c>
      <c r="E7" s="39"/>
      <c r="F7" s="26">
        <f>D7/$D$13</f>
        <v>0</v>
      </c>
      <c r="G7" s="139" t="s">
        <v>174</v>
      </c>
      <c r="K7" s="35"/>
      <c r="L7" s="28"/>
      <c r="M7" s="35"/>
      <c r="O7" s="19"/>
      <c r="U7" t="s">
        <v>377</v>
      </c>
      <c r="V7" t="s">
        <v>378</v>
      </c>
    </row>
    <row r="8" spans="2:39" ht="15" thickBot="1" x14ac:dyDescent="0.4">
      <c r="B8" t="s">
        <v>373</v>
      </c>
      <c r="C8" s="23">
        <f>D8</f>
        <v>2500</v>
      </c>
      <c r="D8" s="70">
        <v>2500</v>
      </c>
      <c r="E8" s="71">
        <f>D8/($J$48+$J$110)</f>
        <v>2.5015259308177984</v>
      </c>
      <c r="F8" s="26">
        <f>D8/$D$13</f>
        <v>0.32530381375586337</v>
      </c>
      <c r="G8" s="139" t="s">
        <v>174</v>
      </c>
      <c r="I8" t="s">
        <v>11</v>
      </c>
      <c r="K8" s="81">
        <f>'Stock Price'!J4</f>
        <v>93.302748737051772</v>
      </c>
      <c r="L8" s="32">
        <f>M8/K8-1</f>
        <v>0.28613574224042537</v>
      </c>
      <c r="M8" s="131">
        <v>120</v>
      </c>
      <c r="N8">
        <v>51.92</v>
      </c>
      <c r="O8" s="19">
        <f>+N8*M8</f>
        <v>6230.4000000000005</v>
      </c>
      <c r="Q8" t="s">
        <v>175</v>
      </c>
      <c r="R8" s="148">
        <f>R9+R10*R11</f>
        <v>9.5000000000000001E-2</v>
      </c>
      <c r="S8" s="140"/>
      <c r="U8" s="39">
        <v>2.7</v>
      </c>
      <c r="V8" s="70">
        <f>U8*($K$48+$K$110)</f>
        <v>2534.5556099999999</v>
      </c>
    </row>
    <row r="9" spans="2:39" x14ac:dyDescent="0.35">
      <c r="B9" t="s">
        <v>435</v>
      </c>
      <c r="C9" s="23">
        <f>D9</f>
        <v>1800</v>
      </c>
      <c r="D9" s="19">
        <v>1800</v>
      </c>
      <c r="E9" s="72">
        <f>D9/($J$48+$J$110)</f>
        <v>1.8010986701888148</v>
      </c>
      <c r="F9" s="26">
        <f>D9/$D$13</f>
        <v>0.23421874590422165</v>
      </c>
      <c r="G9" s="129">
        <v>0.1</v>
      </c>
      <c r="I9" t="s">
        <v>12</v>
      </c>
      <c r="O9" s="19">
        <f>G89</f>
        <v>1230.885</v>
      </c>
      <c r="Q9" t="s">
        <v>176</v>
      </c>
      <c r="R9" s="36">
        <v>0.04</v>
      </c>
      <c r="S9" s="36"/>
      <c r="U9" s="39">
        <f>U10-U8</f>
        <v>1.7999999999999998</v>
      </c>
      <c r="V9" s="70">
        <f>U9*($K$48+$K$110)</f>
        <v>1689.7037399999997</v>
      </c>
    </row>
    <row r="10" spans="2:39" x14ac:dyDescent="0.35">
      <c r="B10" t="s">
        <v>8</v>
      </c>
      <c r="C10" s="21">
        <f>SUM(C7:C9)</f>
        <v>5100</v>
      </c>
      <c r="D10" s="21">
        <f>+D9+D8+D7</f>
        <v>4300</v>
      </c>
      <c r="E10" s="71">
        <f>D10/($J$48+$J$110)</f>
        <v>4.3026246010066131</v>
      </c>
      <c r="F10" s="42">
        <f>D10/$D$13</f>
        <v>0.55952255966008502</v>
      </c>
      <c r="I10" t="s">
        <v>13</v>
      </c>
      <c r="L10" s="130">
        <v>0.03</v>
      </c>
      <c r="O10" s="19">
        <f>L10*(O8+O9)</f>
        <v>223.83855000000003</v>
      </c>
      <c r="Q10" t="s">
        <v>177</v>
      </c>
      <c r="R10">
        <v>1</v>
      </c>
      <c r="U10" s="40">
        <v>4.5</v>
      </c>
      <c r="V10" s="70">
        <f>U10*($J$48+$J$110)</f>
        <v>4497.255000000001</v>
      </c>
    </row>
    <row r="11" spans="2:39" ht="15" thickBot="1" x14ac:dyDescent="0.4">
      <c r="D11" s="19"/>
      <c r="E11" s="38"/>
      <c r="F11" s="26"/>
      <c r="O11" s="19"/>
      <c r="Q11" t="s">
        <v>178</v>
      </c>
      <c r="R11" s="36">
        <v>5.5E-2</v>
      </c>
    </row>
    <row r="12" spans="2:39" ht="15" thickBot="1" x14ac:dyDescent="0.4">
      <c r="B12" t="s">
        <v>9</v>
      </c>
      <c r="D12" s="19">
        <f>O13-D10</f>
        <v>3385.1235500000012</v>
      </c>
      <c r="E12" s="71">
        <f>D12/($K$48+$K$110)</f>
        <v>3.6060891893391926</v>
      </c>
      <c r="F12" s="26">
        <f>D12/$D$13</f>
        <v>0.44047744033991498</v>
      </c>
      <c r="G12" s="44"/>
      <c r="O12" s="19"/>
      <c r="Q12" t="s">
        <v>179</v>
      </c>
      <c r="R12" s="74">
        <f>F220</f>
        <v>0.27212572468202567</v>
      </c>
    </row>
    <row r="13" spans="2:39" ht="15" thickBot="1" x14ac:dyDescent="0.4">
      <c r="B13" s="5" t="s">
        <v>10</v>
      </c>
      <c r="C13" s="5"/>
      <c r="D13" s="67">
        <f>SUM(D10:D12)</f>
        <v>7685.1235500000012</v>
      </c>
      <c r="E13" s="78">
        <f>D13/($K$48+$K$110)</f>
        <v>8.1867738482960348</v>
      </c>
      <c r="F13" s="68">
        <f>D13/$D$13</f>
        <v>1</v>
      </c>
      <c r="G13" s="5"/>
      <c r="H13" s="5"/>
      <c r="I13" s="5" t="s">
        <v>14</v>
      </c>
      <c r="J13" s="5"/>
      <c r="K13" s="5"/>
      <c r="L13" s="5"/>
      <c r="M13" s="5"/>
      <c r="N13" s="5"/>
      <c r="O13" s="69">
        <f>SUM(O8:O12)</f>
        <v>7685.1235500000012</v>
      </c>
    </row>
    <row r="14" spans="2:39" ht="15.5" thickTop="1" thickBot="1" x14ac:dyDescent="0.4">
      <c r="E14" s="38"/>
      <c r="R14" s="9"/>
      <c r="S14" s="147"/>
      <c r="T14" s="147"/>
      <c r="U14" s="147"/>
      <c r="V14" s="147"/>
      <c r="W14" s="147"/>
      <c r="X14" s="147"/>
      <c r="Y14" s="147"/>
      <c r="Z14" s="147"/>
      <c r="AA14" s="147"/>
      <c r="AB14" s="147"/>
    </row>
    <row r="15" spans="2:39" ht="15" thickTop="1" x14ac:dyDescent="0.35">
      <c r="B15" s="3" t="s">
        <v>112</v>
      </c>
      <c r="C15" s="3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R15" s="138" t="s">
        <v>444</v>
      </c>
      <c r="S15" s="138"/>
      <c r="T15" s="2"/>
      <c r="U15" s="2"/>
      <c r="V15" s="2"/>
      <c r="W15" s="2"/>
      <c r="X15" s="2"/>
      <c r="Y15" s="2"/>
      <c r="Z15" s="2"/>
      <c r="AA15" s="2"/>
      <c r="AB15" s="2"/>
      <c r="AD15" s="3" t="s">
        <v>436</v>
      </c>
      <c r="AE15" s="2"/>
      <c r="AF15" s="2"/>
      <c r="AG15" s="2"/>
      <c r="AH15" s="2"/>
      <c r="AI15" s="2"/>
      <c r="AJ15" s="2"/>
      <c r="AK15" s="2"/>
      <c r="AL15" s="2"/>
      <c r="AM15" s="2"/>
    </row>
    <row r="16" spans="2:39" ht="29.5" thickBot="1" x14ac:dyDescent="0.4">
      <c r="B16" s="165" t="str">
        <f>B3</f>
        <v>Base Case</v>
      </c>
      <c r="C16" s="82"/>
      <c r="D16" s="83" t="s">
        <v>383</v>
      </c>
      <c r="E16" s="53"/>
      <c r="F16" s="53"/>
      <c r="G16" s="57"/>
      <c r="H16" s="58"/>
      <c r="I16" s="58"/>
      <c r="J16" s="58"/>
      <c r="K16" s="53"/>
      <c r="L16" s="53"/>
      <c r="M16" s="53"/>
      <c r="N16" s="53"/>
      <c r="O16" s="53"/>
      <c r="R16" s="141" t="s">
        <v>438</v>
      </c>
      <c r="S16" s="142" t="s">
        <v>437</v>
      </c>
      <c r="T16" s="143">
        <f>AE16</f>
        <v>-0.02</v>
      </c>
      <c r="U16" s="143">
        <f t="shared" ref="U16:AB16" si="0">AF16</f>
        <v>-0.01</v>
      </c>
      <c r="V16" s="143">
        <f t="shared" si="0"/>
        <v>0</v>
      </c>
      <c r="W16" s="143">
        <f t="shared" si="0"/>
        <v>0.01</v>
      </c>
      <c r="X16" s="143">
        <f t="shared" si="0"/>
        <v>0.02</v>
      </c>
      <c r="Y16" s="143">
        <f t="shared" si="0"/>
        <v>0.03</v>
      </c>
      <c r="Z16" s="143">
        <f t="shared" si="0"/>
        <v>0.04</v>
      </c>
      <c r="AA16" s="143">
        <f t="shared" si="0"/>
        <v>0.05</v>
      </c>
      <c r="AB16" s="143">
        <f t="shared" si="0"/>
        <v>6.0000000000000005E-2</v>
      </c>
      <c r="AD16" s="135">
        <f>F220</f>
        <v>0.27212572468202567</v>
      </c>
      <c r="AE16" s="136">
        <v>-0.02</v>
      </c>
      <c r="AF16" s="136">
        <f>+AE16+0.01</f>
        <v>-0.01</v>
      </c>
      <c r="AG16" s="136">
        <f t="shared" ref="AG16:AM16" si="1">+AF16+0.01</f>
        <v>0</v>
      </c>
      <c r="AH16" s="136">
        <f t="shared" si="1"/>
        <v>0.01</v>
      </c>
      <c r="AI16" s="136">
        <f t="shared" si="1"/>
        <v>0.02</v>
      </c>
      <c r="AJ16" s="136">
        <f t="shared" si="1"/>
        <v>0.03</v>
      </c>
      <c r="AK16" s="136">
        <f t="shared" si="1"/>
        <v>0.04</v>
      </c>
      <c r="AL16" s="136">
        <f t="shared" si="1"/>
        <v>0.05</v>
      </c>
      <c r="AM16" s="136">
        <f t="shared" si="1"/>
        <v>6.0000000000000005E-2</v>
      </c>
    </row>
    <row r="17" spans="2:39" ht="15.5" thickTop="1" thickBot="1" x14ac:dyDescent="0.4">
      <c r="B17" s="11" t="s">
        <v>381</v>
      </c>
      <c r="C17" s="9">
        <f>D17-1</f>
        <v>2021</v>
      </c>
      <c r="D17" s="9">
        <f>E17-1</f>
        <v>2022</v>
      </c>
      <c r="E17" s="9">
        <f>F17-1</f>
        <v>2023</v>
      </c>
      <c r="F17" s="9">
        <f>G17-1</f>
        <v>2024</v>
      </c>
      <c r="G17" s="9">
        <v>2025</v>
      </c>
      <c r="H17" s="9"/>
      <c r="I17" s="9"/>
      <c r="J17" s="9">
        <f>G17</f>
        <v>2025</v>
      </c>
      <c r="K17" s="9">
        <f>+J17+1</f>
        <v>2026</v>
      </c>
      <c r="L17" s="9">
        <f>+K17+1</f>
        <v>2027</v>
      </c>
      <c r="M17" s="9">
        <f>+L17+1</f>
        <v>2028</v>
      </c>
      <c r="N17" s="9">
        <f>+M17+1</f>
        <v>2029</v>
      </c>
      <c r="O17" s="9">
        <f>+N17+1</f>
        <v>2030</v>
      </c>
      <c r="R17" s="144">
        <f>AD17</f>
        <v>110</v>
      </c>
      <c r="S17" s="154">
        <f>R17/$K$8-1</f>
        <v>0.17895776372039007</v>
      </c>
      <c r="T17" s="153">
        <f>AE17</f>
        <v>0.26672461367040246</v>
      </c>
      <c r="U17" s="153">
        <f t="shared" ref="U17:AB23" si="2">AF17</f>
        <v>0.280549247354547</v>
      </c>
      <c r="V17" s="153">
        <f t="shared" si="2"/>
        <v>0.2941071550544363</v>
      </c>
      <c r="W17" s="153">
        <f t="shared" si="2"/>
        <v>0.30742032953258414</v>
      </c>
      <c r="X17" s="153">
        <f t="shared" si="2"/>
        <v>0.32050814334760935</v>
      </c>
      <c r="Y17" s="153">
        <f t="shared" si="2"/>
        <v>0.33338775148250299</v>
      </c>
      <c r="Z17" s="153">
        <f t="shared" si="2"/>
        <v>0.34607441885467383</v>
      </c>
      <c r="AA17" s="153">
        <f t="shared" si="2"/>
        <v>0.35858178906359939</v>
      </c>
      <c r="AB17" s="153">
        <f t="shared" si="2"/>
        <v>0.37092210656244107</v>
      </c>
      <c r="AD17" s="137">
        <v>110</v>
      </c>
      <c r="AE17" s="26">
        <f t="dataTable" ref="AE17:AM23" dt2D="1" dtr="1" r1="X183" r2="M8"/>
        <v>0.26672461367040246</v>
      </c>
      <c r="AF17" s="26">
        <v>0.280549247354547</v>
      </c>
      <c r="AG17" s="26">
        <v>0.2941071550544363</v>
      </c>
      <c r="AH17" s="26">
        <v>0.30742032953258414</v>
      </c>
      <c r="AI17" s="26">
        <v>0.32050814334760935</v>
      </c>
      <c r="AJ17" s="26">
        <v>0.33338775148250299</v>
      </c>
      <c r="AK17" s="26">
        <v>0.34607441885467383</v>
      </c>
      <c r="AL17" s="26">
        <v>0.35858178906359939</v>
      </c>
      <c r="AM17" s="26">
        <v>0.37092210656244107</v>
      </c>
    </row>
    <row r="18" spans="2:39" ht="15.5" thickTop="1" thickBot="1" x14ac:dyDescent="0.4">
      <c r="B18" t="s">
        <v>16</v>
      </c>
      <c r="C18" s="23">
        <f>C40</f>
        <v>2313.4160000000002</v>
      </c>
      <c r="D18" s="23">
        <f>D40</f>
        <v>3554.9850000000001</v>
      </c>
      <c r="E18" s="23">
        <f>E40</f>
        <v>3962.3470000000002</v>
      </c>
      <c r="F18" s="23">
        <f>F40</f>
        <v>4102.1080000000002</v>
      </c>
      <c r="G18" s="23">
        <f>G40</f>
        <v>4041</v>
      </c>
      <c r="H18" s="23"/>
      <c r="I18" s="23"/>
      <c r="J18" s="23">
        <f t="shared" ref="J18:O18" si="3">J40</f>
        <v>4041</v>
      </c>
      <c r="K18" s="23">
        <f t="shared" si="3"/>
        <v>4081.41</v>
      </c>
      <c r="L18" s="23">
        <f t="shared" si="3"/>
        <v>4203.8522999999996</v>
      </c>
      <c r="M18" s="23">
        <f t="shared" si="3"/>
        <v>4329.9678690000001</v>
      </c>
      <c r="N18" s="23">
        <f t="shared" si="3"/>
        <v>4459.86690507</v>
      </c>
      <c r="O18" s="23">
        <f t="shared" si="3"/>
        <v>4593.6629122221002</v>
      </c>
      <c r="R18" s="145">
        <f t="shared" ref="R18:R23" si="4">AD18</f>
        <v>115</v>
      </c>
      <c r="S18" s="155">
        <f t="shared" ref="S18:S23" si="5">R18/$K$8-1</f>
        <v>0.23254675298040772</v>
      </c>
      <c r="T18" s="153">
        <f t="shared" ref="T18:T23" si="6">AE18</f>
        <v>0.2344474959027627</v>
      </c>
      <c r="U18" s="153">
        <f t="shared" si="2"/>
        <v>0.2481487015128172</v>
      </c>
      <c r="V18" s="153">
        <f t="shared" si="2"/>
        <v>0.26157957933434428</v>
      </c>
      <c r="W18" s="153">
        <f t="shared" si="2"/>
        <v>0.27476267034876889</v>
      </c>
      <c r="X18" s="153">
        <f t="shared" si="2"/>
        <v>0.28771780130730562</v>
      </c>
      <c r="Y18" s="153">
        <f t="shared" si="2"/>
        <v>0.30046250613677583</v>
      </c>
      <c r="Z18" s="153">
        <f t="shared" si="2"/>
        <v>0.3130123679433594</v>
      </c>
      <c r="AA18" s="153">
        <f t="shared" si="2"/>
        <v>0.32538129903857516</v>
      </c>
      <c r="AB18" s="153">
        <f t="shared" si="2"/>
        <v>0.33758177208497697</v>
      </c>
      <c r="AD18" s="137">
        <f>+AD17+5</f>
        <v>115</v>
      </c>
      <c r="AE18" s="26">
        <v>0.2344474959027627</v>
      </c>
      <c r="AF18" s="26">
        <v>0.2481487015128172</v>
      </c>
      <c r="AG18" s="26">
        <v>0.26157957933434428</v>
      </c>
      <c r="AH18" s="26">
        <v>0.27476267034876889</v>
      </c>
      <c r="AI18" s="26">
        <v>0.28771780130730562</v>
      </c>
      <c r="AJ18" s="26">
        <v>0.30046250613677583</v>
      </c>
      <c r="AK18" s="26">
        <v>0.3130123679433594</v>
      </c>
      <c r="AL18" s="26">
        <v>0.32538129903857516</v>
      </c>
      <c r="AM18" s="26">
        <v>0.33758177208497697</v>
      </c>
    </row>
    <row r="19" spans="2:39" ht="15" thickBot="1" x14ac:dyDescent="0.4">
      <c r="B19" t="s">
        <v>17</v>
      </c>
      <c r="D19" s="26">
        <f>D18/C18-1</f>
        <v>0.53668211856406289</v>
      </c>
      <c r="E19" s="26">
        <f>E18/D18-1</f>
        <v>0.11458895044564188</v>
      </c>
      <c r="F19" s="26">
        <f>F18/E18-1</f>
        <v>3.5272276759203525E-2</v>
      </c>
      <c r="G19" s="26">
        <f>G18/F18-1</f>
        <v>-1.4896731144084963E-2</v>
      </c>
      <c r="H19" s="47"/>
      <c r="J19" s="47">
        <f>G19</f>
        <v>-1.4896731144084963E-2</v>
      </c>
      <c r="K19" s="26">
        <f>K18/J18-1</f>
        <v>1.0000000000000009E-2</v>
      </c>
      <c r="L19" s="26">
        <f>L18/K18-1</f>
        <v>3.0000000000000027E-2</v>
      </c>
      <c r="M19" s="26">
        <f>M18/L18-1</f>
        <v>3.0000000000000027E-2</v>
      </c>
      <c r="N19" s="26">
        <f>N18/M18-1</f>
        <v>3.0000000000000027E-2</v>
      </c>
      <c r="O19" s="26">
        <f>O18/N18-1</f>
        <v>3.0000000000000027E-2</v>
      </c>
      <c r="R19" s="145">
        <f t="shared" si="4"/>
        <v>120</v>
      </c>
      <c r="S19" s="164">
        <f t="shared" si="5"/>
        <v>0.28613574224042537</v>
      </c>
      <c r="T19" s="162">
        <f t="shared" si="6"/>
        <v>0.20676215795493991</v>
      </c>
      <c r="U19" s="153">
        <f t="shared" si="2"/>
        <v>0.22033595602238742</v>
      </c>
      <c r="V19" s="153">
        <f t="shared" si="2"/>
        <v>0.23363769407833535</v>
      </c>
      <c r="W19" s="163">
        <f t="shared" si="2"/>
        <v>0.24669023273154189</v>
      </c>
      <c r="X19" s="153">
        <f t="shared" si="2"/>
        <v>0.25951365998116471</v>
      </c>
      <c r="Y19" s="162">
        <f t="shared" si="2"/>
        <v>0.27212572468202567</v>
      </c>
      <c r="Z19" s="153">
        <f t="shared" si="2"/>
        <v>0.2845421877894565</v>
      </c>
      <c r="AA19" s="162">
        <f t="shared" si="2"/>
        <v>0.29677710954670888</v>
      </c>
      <c r="AB19" s="153">
        <f t="shared" si="2"/>
        <v>0.30884308623402967</v>
      </c>
      <c r="AD19" s="137">
        <f>AD18+5</f>
        <v>120</v>
      </c>
      <c r="AE19" s="26">
        <v>0.20676215795493991</v>
      </c>
      <c r="AF19" s="26">
        <v>0.22033595602238742</v>
      </c>
      <c r="AG19" s="26">
        <v>0.23363769407833535</v>
      </c>
      <c r="AH19" s="26">
        <v>0.24669023273154189</v>
      </c>
      <c r="AI19" s="26">
        <v>0.25951365998116471</v>
      </c>
      <c r="AJ19" s="26">
        <v>0.27212572468202567</v>
      </c>
      <c r="AK19" s="26">
        <v>0.2845421877894565</v>
      </c>
      <c r="AL19" s="26">
        <v>0.29677710954670888</v>
      </c>
      <c r="AM19" s="26">
        <v>0.30884308623402967</v>
      </c>
    </row>
    <row r="20" spans="2:39" x14ac:dyDescent="0.35">
      <c r="R20" s="145">
        <f t="shared" si="4"/>
        <v>125</v>
      </c>
      <c r="S20" s="155">
        <f t="shared" si="5"/>
        <v>0.33972473150044324</v>
      </c>
      <c r="T20" s="153">
        <f t="shared" si="6"/>
        <v>0.18276637198425294</v>
      </c>
      <c r="U20" s="153">
        <f t="shared" si="2"/>
        <v>0.19621033352045858</v>
      </c>
      <c r="V20" s="153">
        <f t="shared" si="2"/>
        <v>0.20938201909494181</v>
      </c>
      <c r="W20" s="153">
        <f t="shared" si="2"/>
        <v>0.22230441881143315</v>
      </c>
      <c r="X20" s="153">
        <f t="shared" si="2"/>
        <v>0.2349977221080517</v>
      </c>
      <c r="Y20" s="153">
        <f t="shared" si="2"/>
        <v>0.24747975742056094</v>
      </c>
      <c r="Z20" s="153">
        <f t="shared" si="2"/>
        <v>0.25976634814439814</v>
      </c>
      <c r="AA20" s="153">
        <f t="shared" si="2"/>
        <v>0.27187160342997729</v>
      </c>
      <c r="AB20" s="153">
        <f t="shared" si="2"/>
        <v>0.28380815771823564</v>
      </c>
      <c r="AD20" s="137">
        <f t="shared" ref="AD20:AD23" si="7">AD19+5</f>
        <v>125</v>
      </c>
      <c r="AE20" s="26">
        <v>0.18276637198425294</v>
      </c>
      <c r="AF20" s="26">
        <v>0.19621033352045858</v>
      </c>
      <c r="AG20" s="26">
        <v>0.20938201909494181</v>
      </c>
      <c r="AH20" s="26">
        <v>0.22230441881143315</v>
      </c>
      <c r="AI20" s="26">
        <v>0.2349977221080517</v>
      </c>
      <c r="AJ20" s="26">
        <v>0.24747975742056094</v>
      </c>
      <c r="AK20" s="26">
        <v>0.25976634814439814</v>
      </c>
      <c r="AL20" s="26">
        <v>0.27187160342997729</v>
      </c>
      <c r="AM20" s="26">
        <v>0.28380815771823564</v>
      </c>
    </row>
    <row r="21" spans="2:39" x14ac:dyDescent="0.35">
      <c r="B21" t="s">
        <v>22</v>
      </c>
      <c r="C21" s="23">
        <f>C48+C110</f>
        <v>715.0400000000003</v>
      </c>
      <c r="D21" s="23">
        <f>D48+D110</f>
        <v>889.98500000000024</v>
      </c>
      <c r="E21" s="23">
        <f>E48+E110</f>
        <v>1091.0870000000002</v>
      </c>
      <c r="F21" s="23">
        <f>F48+F110</f>
        <v>1091.7510000000002</v>
      </c>
      <c r="G21" s="23">
        <f>G48+G110</f>
        <v>999.39000000000021</v>
      </c>
      <c r="H21" s="23"/>
      <c r="I21" s="23"/>
      <c r="J21" s="23">
        <f t="shared" ref="J21:O21" si="8">J48+J110</f>
        <v>999.39000000000021</v>
      </c>
      <c r="K21" s="23">
        <f t="shared" si="8"/>
        <v>938.72429999999997</v>
      </c>
      <c r="L21" s="23">
        <f t="shared" si="8"/>
        <v>1050.9630750000001</v>
      </c>
      <c r="M21" s="23">
        <f t="shared" si="8"/>
        <v>1082.49196725</v>
      </c>
      <c r="N21" s="23">
        <f t="shared" si="8"/>
        <v>1114.9667262675005</v>
      </c>
      <c r="O21" s="23">
        <f t="shared" si="8"/>
        <v>1148.4157280555253</v>
      </c>
      <c r="R21" s="145">
        <f t="shared" si="4"/>
        <v>130</v>
      </c>
      <c r="S21" s="155">
        <f t="shared" si="5"/>
        <v>0.39331372076046089</v>
      </c>
      <c r="T21" s="153">
        <f t="shared" si="6"/>
        <v>0.16178144995871069</v>
      </c>
      <c r="U21" s="153">
        <f t="shared" si="2"/>
        <v>0.17509443252172718</v>
      </c>
      <c r="V21" s="153">
        <f t="shared" si="2"/>
        <v>0.18813614212557606</v>
      </c>
      <c r="W21" s="153">
        <f t="shared" si="2"/>
        <v>0.20092954274452746</v>
      </c>
      <c r="X21" s="153">
        <f t="shared" si="2"/>
        <v>0.21349479477702338</v>
      </c>
      <c r="Y21" s="153">
        <f t="shared" si="2"/>
        <v>0.22584969598897908</v>
      </c>
      <c r="Z21" s="153">
        <f t="shared" si="2"/>
        <v>0.23801003845360635</v>
      </c>
      <c r="AA21" s="153">
        <f t="shared" si="2"/>
        <v>0.24998989995344378</v>
      </c>
      <c r="AB21" s="153">
        <f t="shared" si="2"/>
        <v>0.26180188396227067</v>
      </c>
      <c r="AD21" s="137">
        <f t="shared" si="7"/>
        <v>130</v>
      </c>
      <c r="AE21" s="26">
        <v>0.16178144995871069</v>
      </c>
      <c r="AF21" s="26">
        <v>0.17509443252172718</v>
      </c>
      <c r="AG21" s="26">
        <v>0.18813614212557606</v>
      </c>
      <c r="AH21" s="26">
        <v>0.20092954274452746</v>
      </c>
      <c r="AI21" s="26">
        <v>0.21349479477702338</v>
      </c>
      <c r="AJ21" s="26">
        <v>0.22584969598897908</v>
      </c>
      <c r="AK21" s="26">
        <v>0.23801003845360635</v>
      </c>
      <c r="AL21" s="26">
        <v>0.24998989995344378</v>
      </c>
      <c r="AM21" s="26">
        <v>0.26180188396227067</v>
      </c>
    </row>
    <row r="22" spans="2:39" x14ac:dyDescent="0.35">
      <c r="B22" t="s">
        <v>113</v>
      </c>
      <c r="C22" s="20">
        <f>C21/C18</f>
        <v>0.30908405578590287</v>
      </c>
      <c r="D22" s="20">
        <f>D21/D18</f>
        <v>0.25034845435353459</v>
      </c>
      <c r="E22" s="20">
        <f>E21/E18</f>
        <v>0.27536381846415775</v>
      </c>
      <c r="F22" s="20">
        <f>F21/F18</f>
        <v>0.26614389479750417</v>
      </c>
      <c r="G22" s="20">
        <f>G21/G18</f>
        <v>0.24731254639940614</v>
      </c>
      <c r="H22" s="20"/>
      <c r="I22" s="20"/>
      <c r="J22" s="20">
        <f t="shared" ref="J22:O22" si="9">J21/J18</f>
        <v>0.24731254639940614</v>
      </c>
      <c r="K22" s="20">
        <f t="shared" si="9"/>
        <v>0.23</v>
      </c>
      <c r="L22" s="20">
        <f t="shared" si="9"/>
        <v>0.25000000000000006</v>
      </c>
      <c r="M22" s="20">
        <f t="shared" si="9"/>
        <v>0.25</v>
      </c>
      <c r="N22" s="20">
        <f t="shared" si="9"/>
        <v>0.25000000000000011</v>
      </c>
      <c r="O22" s="20">
        <f t="shared" si="9"/>
        <v>0.25000000000000006</v>
      </c>
      <c r="R22" s="145">
        <f t="shared" si="4"/>
        <v>135</v>
      </c>
      <c r="S22" s="155">
        <f t="shared" si="5"/>
        <v>0.44690271002047854</v>
      </c>
      <c r="T22" s="153">
        <f t="shared" si="6"/>
        <v>0.14328606905950081</v>
      </c>
      <c r="U22" s="153">
        <f t="shared" si="2"/>
        <v>0.15646798594570477</v>
      </c>
      <c r="V22" s="153">
        <f t="shared" si="2"/>
        <v>0.16938060300452018</v>
      </c>
      <c r="W22" s="153">
        <f t="shared" si="2"/>
        <v>0.18204673260127335</v>
      </c>
      <c r="X22" s="153">
        <f t="shared" si="2"/>
        <v>0.19448640104028314</v>
      </c>
      <c r="Y22" s="153">
        <f t="shared" si="2"/>
        <v>0.20671728688404323</v>
      </c>
      <c r="Z22" s="153">
        <f t="shared" si="2"/>
        <v>0.21875507562344088</v>
      </c>
      <c r="AA22" s="153">
        <f t="shared" si="2"/>
        <v>0.23061374935992629</v>
      </c>
      <c r="AB22" s="153">
        <f t="shared" si="2"/>
        <v>0.24230582529212641</v>
      </c>
      <c r="AD22" s="137">
        <f t="shared" si="7"/>
        <v>135</v>
      </c>
      <c r="AE22" s="26">
        <v>0.14328606905950081</v>
      </c>
      <c r="AF22" s="26">
        <v>0.15646798594570477</v>
      </c>
      <c r="AG22" s="26">
        <v>0.16938060300452018</v>
      </c>
      <c r="AH22" s="26">
        <v>0.18204673260127335</v>
      </c>
      <c r="AI22" s="26">
        <v>0.19448640104028314</v>
      </c>
      <c r="AJ22" s="26">
        <v>0.20671728688404323</v>
      </c>
      <c r="AK22" s="26">
        <v>0.21875507562344088</v>
      </c>
      <c r="AL22" s="26">
        <v>0.23061374935992629</v>
      </c>
      <c r="AM22" s="26">
        <v>0.24230582529212641</v>
      </c>
    </row>
    <row r="23" spans="2:39" x14ac:dyDescent="0.35">
      <c r="R23" s="146">
        <f t="shared" si="4"/>
        <v>140</v>
      </c>
      <c r="S23" s="156">
        <f t="shared" si="5"/>
        <v>0.50049169928049642</v>
      </c>
      <c r="T23" s="153">
        <f t="shared" si="6"/>
        <v>0.12687262851651182</v>
      </c>
      <c r="U23" s="153">
        <f t="shared" si="2"/>
        <v>0.13992424796874947</v>
      </c>
      <c r="V23" s="153">
        <f t="shared" si="2"/>
        <v>0.1527093036407674</v>
      </c>
      <c r="W23" s="153">
        <f t="shared" si="2"/>
        <v>0.16525035676456468</v>
      </c>
      <c r="X23" s="153">
        <f t="shared" si="2"/>
        <v>0.17756721632710049</v>
      </c>
      <c r="Y23" s="153">
        <f t="shared" si="2"/>
        <v>0.1896773714910418</v>
      </c>
      <c r="Z23" s="153">
        <f t="shared" si="2"/>
        <v>0.20159634164905449</v>
      </c>
      <c r="AA23" s="153">
        <f t="shared" si="2"/>
        <v>0.21333796234289193</v>
      </c>
      <c r="AB23" s="153">
        <f t="shared" si="2"/>
        <v>0.22491462079017266</v>
      </c>
      <c r="AD23" s="137">
        <f t="shared" si="7"/>
        <v>140</v>
      </c>
      <c r="AE23" s="26">
        <v>0.12687262851651182</v>
      </c>
      <c r="AF23" s="26">
        <v>0.13992424796874947</v>
      </c>
      <c r="AG23" s="26">
        <v>0.1527093036407674</v>
      </c>
      <c r="AH23" s="26">
        <v>0.16525035676456468</v>
      </c>
      <c r="AI23" s="26">
        <v>0.17756721632710049</v>
      </c>
      <c r="AJ23" s="26">
        <v>0.1896773714910418</v>
      </c>
      <c r="AK23" s="26">
        <v>0.20159634164905449</v>
      </c>
      <c r="AL23" s="26">
        <v>0.21333796234289193</v>
      </c>
      <c r="AM23" s="26">
        <v>0.22491462079017266</v>
      </c>
    </row>
    <row r="24" spans="2:39" x14ac:dyDescent="0.35">
      <c r="B24" t="s">
        <v>8</v>
      </c>
      <c r="C24" s="23">
        <f>C89</f>
        <v>771.39</v>
      </c>
      <c r="D24" s="23">
        <f>D89</f>
        <v>2298.027</v>
      </c>
      <c r="E24" s="23">
        <f>E89</f>
        <v>1640.9960000000001</v>
      </c>
      <c r="F24" s="23">
        <f>F89</f>
        <v>1349.3389999999999</v>
      </c>
      <c r="G24" s="23">
        <f>G89</f>
        <v>1230.885</v>
      </c>
      <c r="J24" s="23">
        <f t="shared" ref="J24:O24" si="10">J174</f>
        <v>4300</v>
      </c>
      <c r="K24" s="23">
        <f t="shared" si="10"/>
        <v>4275</v>
      </c>
      <c r="L24" s="23">
        <f t="shared" si="10"/>
        <v>4250</v>
      </c>
      <c r="M24" s="23">
        <f t="shared" si="10"/>
        <v>4225</v>
      </c>
      <c r="N24" s="23">
        <f t="shared" si="10"/>
        <v>4200</v>
      </c>
      <c r="O24" s="23">
        <f t="shared" si="10"/>
        <v>4175</v>
      </c>
      <c r="R24" s="157" t="s">
        <v>443</v>
      </c>
      <c r="S24" s="33"/>
    </row>
    <row r="25" spans="2:39" x14ac:dyDescent="0.35">
      <c r="B25" t="s">
        <v>114</v>
      </c>
      <c r="K25" s="23">
        <f>K176</f>
        <v>387.75</v>
      </c>
      <c r="L25" s="23">
        <f>L176</f>
        <v>394.08749999999998</v>
      </c>
      <c r="M25" s="23">
        <f>M176</f>
        <v>404.17499999999995</v>
      </c>
      <c r="N25" s="23">
        <f>N176</f>
        <v>426.13749999999999</v>
      </c>
      <c r="O25" s="23">
        <f>O176</f>
        <v>423.6</v>
      </c>
    </row>
    <row r="27" spans="2:39" x14ac:dyDescent="0.35">
      <c r="B27" s="5" t="s">
        <v>439</v>
      </c>
      <c r="C27" s="151">
        <f>C24/C21</f>
        <v>1.078806780040277</v>
      </c>
      <c r="D27" s="151">
        <f>D24/D21</f>
        <v>2.5820963274661928</v>
      </c>
      <c r="E27" s="151">
        <f>E24/E21</f>
        <v>1.5040010558278119</v>
      </c>
      <c r="F27" s="151">
        <f>F24/F21</f>
        <v>1.2359402464481366</v>
      </c>
      <c r="G27" s="151">
        <f>G24/G21</f>
        <v>1.2316362981418663</v>
      </c>
      <c r="H27" s="5"/>
      <c r="I27" s="5"/>
      <c r="J27" s="151">
        <f t="shared" ref="J27:O27" si="11">J24/J21</f>
        <v>4.3026246010066131</v>
      </c>
      <c r="K27" s="151">
        <f t="shared" si="11"/>
        <v>4.5540527714047672</v>
      </c>
      <c r="L27" s="151">
        <f t="shared" si="11"/>
        <v>4.0439099156742495</v>
      </c>
      <c r="M27" s="151">
        <f t="shared" si="11"/>
        <v>3.9030312721242044</v>
      </c>
      <c r="N27" s="151">
        <f t="shared" si="11"/>
        <v>3.7669285558503249</v>
      </c>
      <c r="O27" s="151">
        <f t="shared" si="11"/>
        <v>3.6354430699665068</v>
      </c>
    </row>
    <row r="28" spans="2:39" x14ac:dyDescent="0.35">
      <c r="B28" s="149" t="s">
        <v>441</v>
      </c>
      <c r="C28" s="150"/>
      <c r="D28" s="150"/>
      <c r="E28" s="150"/>
      <c r="F28" s="150"/>
      <c r="G28" s="150"/>
      <c r="H28" s="149"/>
      <c r="I28" s="149"/>
      <c r="J28" s="150"/>
      <c r="K28" s="150">
        <v>5</v>
      </c>
      <c r="L28" s="150">
        <f t="shared" ref="L28:O28" si="12">K28-0.25</f>
        <v>4.75</v>
      </c>
      <c r="M28" s="150">
        <f t="shared" si="12"/>
        <v>4.5</v>
      </c>
      <c r="N28" s="150">
        <f t="shared" si="12"/>
        <v>4.25</v>
      </c>
      <c r="O28" s="150">
        <f t="shared" si="12"/>
        <v>4</v>
      </c>
    </row>
    <row r="29" spans="2:39" x14ac:dyDescent="0.35">
      <c r="B29" s="149" t="s">
        <v>442</v>
      </c>
      <c r="C29" s="150"/>
      <c r="D29" s="150"/>
      <c r="E29" s="150"/>
      <c r="F29" s="150"/>
      <c r="G29" s="150"/>
      <c r="H29" s="149"/>
      <c r="I29" s="149"/>
      <c r="J29" s="150"/>
      <c r="K29" s="152">
        <f>K24/K28-K21</f>
        <v>-83.724299999999971</v>
      </c>
      <c r="L29" s="152">
        <f t="shared" ref="L29:O29" si="13">L24/L28-L21</f>
        <v>-156.226232894737</v>
      </c>
      <c r="M29" s="152">
        <f t="shared" si="13"/>
        <v>-143.6030783611111</v>
      </c>
      <c r="N29" s="152">
        <f t="shared" si="13"/>
        <v>-126.73143214985339</v>
      </c>
      <c r="O29" s="152">
        <f t="shared" si="13"/>
        <v>-104.66572805552528</v>
      </c>
    </row>
    <row r="30" spans="2:39" x14ac:dyDescent="0.35">
      <c r="C30" s="38"/>
      <c r="D30" s="38"/>
      <c r="E30" s="38"/>
      <c r="F30" s="38"/>
      <c r="G30" s="38"/>
      <c r="J30" s="38"/>
      <c r="K30" s="38"/>
      <c r="L30" s="38"/>
      <c r="M30" s="38"/>
      <c r="N30" s="38"/>
      <c r="O30" s="38"/>
    </row>
    <row r="31" spans="2:39" x14ac:dyDescent="0.35">
      <c r="B31" s="5" t="s">
        <v>440</v>
      </c>
      <c r="C31" s="151"/>
      <c r="D31" s="151"/>
      <c r="E31" s="151"/>
      <c r="F31" s="151"/>
      <c r="G31" s="151"/>
      <c r="H31" s="5"/>
      <c r="I31" s="5"/>
      <c r="J31" s="5"/>
      <c r="K31" s="151">
        <f>K21/K25</f>
        <v>2.4209524177949708</v>
      </c>
      <c r="L31" s="151">
        <f>L21/L25</f>
        <v>2.6668267199543254</v>
      </c>
      <c r="M31" s="151">
        <f>M21/M25</f>
        <v>2.6782754184449811</v>
      </c>
      <c r="N31" s="151">
        <f>N21/N25</f>
        <v>2.6164482737790045</v>
      </c>
      <c r="O31" s="151">
        <f>O21/O25</f>
        <v>2.7110852881386336</v>
      </c>
    </row>
    <row r="32" spans="2:39" x14ac:dyDescent="0.35">
      <c r="B32" s="149" t="s">
        <v>441</v>
      </c>
      <c r="C32" s="150"/>
      <c r="D32" s="150"/>
      <c r="E32" s="150"/>
      <c r="F32" s="150"/>
      <c r="G32" s="150"/>
      <c r="H32" s="149"/>
      <c r="I32" s="149"/>
      <c r="J32" s="150"/>
      <c r="K32" s="150">
        <v>2</v>
      </c>
      <c r="L32" s="150">
        <f>K32+0.1</f>
        <v>2.1</v>
      </c>
      <c r="M32" s="150">
        <f t="shared" ref="M32:O32" si="14">L32+0.1</f>
        <v>2.2000000000000002</v>
      </c>
      <c r="N32" s="150">
        <f t="shared" si="14"/>
        <v>2.3000000000000003</v>
      </c>
      <c r="O32" s="150">
        <f t="shared" si="14"/>
        <v>2.4000000000000004</v>
      </c>
    </row>
    <row r="33" spans="2:15" x14ac:dyDescent="0.35">
      <c r="B33" s="149" t="s">
        <v>442</v>
      </c>
      <c r="C33" s="150"/>
      <c r="D33" s="150"/>
      <c r="E33" s="150"/>
      <c r="F33" s="150"/>
      <c r="G33" s="150"/>
      <c r="H33" s="149"/>
      <c r="I33" s="149"/>
      <c r="J33" s="150"/>
      <c r="K33" s="152">
        <f>K32*K25-K21</f>
        <v>-163.22429999999997</v>
      </c>
      <c r="L33" s="152">
        <f t="shared" ref="L33:O33" si="15">L32*L25-L21</f>
        <v>-223.37932500000011</v>
      </c>
      <c r="M33" s="152">
        <f t="shared" si="15"/>
        <v>-193.30696725000007</v>
      </c>
      <c r="N33" s="152">
        <f t="shared" si="15"/>
        <v>-134.85047626750043</v>
      </c>
      <c r="O33" s="152">
        <f t="shared" si="15"/>
        <v>-131.77572805552506</v>
      </c>
    </row>
    <row r="34" spans="2:15" x14ac:dyDescent="0.35">
      <c r="C34" s="38"/>
      <c r="D34" s="38"/>
      <c r="E34" s="38"/>
      <c r="F34" s="38"/>
      <c r="G34" s="38"/>
      <c r="K34" s="38"/>
      <c r="L34" s="38"/>
      <c r="M34" s="38"/>
      <c r="N34" s="38"/>
      <c r="O34" s="38"/>
    </row>
    <row r="35" spans="2:15" x14ac:dyDescent="0.35">
      <c r="B35" t="s">
        <v>115</v>
      </c>
      <c r="C35" s="26"/>
      <c r="D35" s="26"/>
      <c r="E35" s="26"/>
      <c r="F35" s="26"/>
      <c r="G35" s="26"/>
      <c r="J35" s="26">
        <f t="shared" ref="J35:O35" si="16">J174/(J174+J102)</f>
        <v>0.55952255966008502</v>
      </c>
      <c r="K35" s="26">
        <f t="shared" si="16"/>
        <v>0.53546086566959405</v>
      </c>
      <c r="L35" s="26">
        <f t="shared" si="16"/>
        <v>0.50843495318386411</v>
      </c>
      <c r="M35" s="26">
        <f t="shared" si="16"/>
        <v>0.4829568908703627</v>
      </c>
      <c r="N35" s="26">
        <f t="shared" si="16"/>
        <v>0.45935488657176043</v>
      </c>
      <c r="O35" s="26">
        <f t="shared" si="16"/>
        <v>0.43657975923229497</v>
      </c>
    </row>
    <row r="37" spans="2:15" x14ac:dyDescent="0.35">
      <c r="B37" s="3" t="s">
        <v>15</v>
      </c>
      <c r="C37" s="3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2:15" x14ac:dyDescent="0.35">
      <c r="B38" s="53" t="str">
        <f>B3</f>
        <v>Base Case</v>
      </c>
      <c r="C38" s="53"/>
      <c r="D38" s="53"/>
      <c r="E38" s="53"/>
      <c r="F38" s="53"/>
      <c r="G38" s="57"/>
      <c r="H38" s="58"/>
      <c r="I38" s="58"/>
      <c r="J38" s="58" t="s">
        <v>447</v>
      </c>
      <c r="K38" s="53"/>
      <c r="L38" s="53"/>
      <c r="M38" s="53"/>
      <c r="N38" s="53"/>
      <c r="O38" s="53"/>
    </row>
    <row r="39" spans="2:15" ht="15" thickBot="1" x14ac:dyDescent="0.4">
      <c r="B39" s="11" t="s">
        <v>381</v>
      </c>
      <c r="C39" s="9">
        <f>C17</f>
        <v>2021</v>
      </c>
      <c r="D39" s="9">
        <f>D17</f>
        <v>2022</v>
      </c>
      <c r="E39" s="9">
        <f>E17</f>
        <v>2023</v>
      </c>
      <c r="F39" s="9">
        <f>F17</f>
        <v>2024</v>
      </c>
      <c r="G39" s="9">
        <f>G17</f>
        <v>2025</v>
      </c>
      <c r="H39" s="9"/>
      <c r="I39" s="9"/>
      <c r="J39" s="9">
        <f>G39</f>
        <v>2025</v>
      </c>
      <c r="K39" s="9">
        <f>+J39+1</f>
        <v>2026</v>
      </c>
      <c r="L39" s="9">
        <f>+K39+1</f>
        <v>2027</v>
      </c>
      <c r="M39" s="9">
        <f>+L39+1</f>
        <v>2028</v>
      </c>
      <c r="N39" s="9">
        <f>+M39+1</f>
        <v>2029</v>
      </c>
      <c r="O39" s="9">
        <f>+N39+1</f>
        <v>2030</v>
      </c>
    </row>
    <row r="40" spans="2:15" ht="15" thickTop="1" x14ac:dyDescent="0.35">
      <c r="B40" t="s">
        <v>16</v>
      </c>
      <c r="C40" s="19">
        <f>IS!B2/1000000</f>
        <v>2313.4160000000002</v>
      </c>
      <c r="D40" s="19">
        <f>IS!C2/1000000</f>
        <v>3554.9850000000001</v>
      </c>
      <c r="E40" s="19">
        <f>IS!D2/1000000</f>
        <v>3962.3470000000002</v>
      </c>
      <c r="F40" s="19">
        <f>IS!E2/1000000</f>
        <v>4102.1080000000002</v>
      </c>
      <c r="G40" s="19">
        <v>4041</v>
      </c>
      <c r="H40" s="19"/>
      <c r="I40" s="19"/>
      <c r="J40" s="19">
        <f>G40</f>
        <v>4041</v>
      </c>
      <c r="K40" s="19">
        <f>J40*(1+K183)</f>
        <v>4081.41</v>
      </c>
      <c r="L40" s="19">
        <f>K40*(1+L183)</f>
        <v>4203.8522999999996</v>
      </c>
      <c r="M40" s="19">
        <f>L40*(1+M183)</f>
        <v>4329.9678690000001</v>
      </c>
      <c r="N40" s="19">
        <f>M40*(1+N183)</f>
        <v>4459.86690507</v>
      </c>
      <c r="O40" s="19">
        <f>N40*(1+O183)</f>
        <v>4593.6629122221002</v>
      </c>
    </row>
    <row r="41" spans="2:15" x14ac:dyDescent="0.35">
      <c r="B41" t="s">
        <v>17</v>
      </c>
      <c r="C41" s="19"/>
      <c r="D41" s="20">
        <f>D40/C40-1</f>
        <v>0.53668211856406289</v>
      </c>
      <c r="E41" s="20">
        <f>E40/D40-1</f>
        <v>0.11458895044564188</v>
      </c>
      <c r="F41" s="20">
        <f>F40/E40-1</f>
        <v>3.5272276759203525E-2</v>
      </c>
      <c r="G41" s="20">
        <f>G40/F40-1</f>
        <v>-1.4896731144084963E-2</v>
      </c>
      <c r="H41" s="19"/>
      <c r="I41" s="19"/>
      <c r="J41" s="26"/>
      <c r="K41" s="26">
        <f>K40/J40-1</f>
        <v>1.0000000000000009E-2</v>
      </c>
      <c r="L41" s="26">
        <f>L40/K40-1</f>
        <v>3.0000000000000027E-2</v>
      </c>
      <c r="M41" s="26">
        <f>M40/L40-1</f>
        <v>3.0000000000000027E-2</v>
      </c>
      <c r="N41" s="26">
        <f>N40/M40-1</f>
        <v>3.0000000000000027E-2</v>
      </c>
      <c r="O41" s="26">
        <f>O40/N40-1</f>
        <v>3.0000000000000027E-2</v>
      </c>
    </row>
    <row r="42" spans="2:15" x14ac:dyDescent="0.35"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</row>
    <row r="43" spans="2:15" x14ac:dyDescent="0.35">
      <c r="B43" t="s">
        <v>18</v>
      </c>
      <c r="C43" s="64">
        <f>IS!B4/1000000</f>
        <v>893.19600000000003</v>
      </c>
      <c r="D43" s="64">
        <f>IS!C4/1000000</f>
        <v>1694.703</v>
      </c>
      <c r="E43" s="64">
        <f>IS!D4/1000000</f>
        <v>1752.337</v>
      </c>
      <c r="F43" s="64">
        <f>IS!E4/1000000</f>
        <v>1691.85</v>
      </c>
      <c r="G43" s="64">
        <f>G40*(1-0.588)</f>
        <v>1664.8920000000001</v>
      </c>
      <c r="H43" s="19"/>
      <c r="I43" s="19"/>
      <c r="J43" s="19">
        <f>G43</f>
        <v>1664.8920000000001</v>
      </c>
      <c r="K43" s="19">
        <f>K40*K184</f>
        <v>1714.1922</v>
      </c>
      <c r="L43" s="19">
        <f>L40*L184</f>
        <v>1765.6179659999998</v>
      </c>
      <c r="M43" s="19">
        <f>M40*M184</f>
        <v>1818.58650498</v>
      </c>
      <c r="N43" s="19">
        <f>N40*N184</f>
        <v>1873.1441001293999</v>
      </c>
      <c r="O43" s="19">
        <f>O40*O184</f>
        <v>1929.338423133282</v>
      </c>
    </row>
    <row r="44" spans="2:15" x14ac:dyDescent="0.35">
      <c r="B44" t="s">
        <v>19</v>
      </c>
      <c r="C44" s="19">
        <f>C40-C43</f>
        <v>1420.2200000000003</v>
      </c>
      <c r="D44" s="19">
        <f>D40-D43</f>
        <v>1860.2820000000002</v>
      </c>
      <c r="E44" s="19">
        <f>E40-E43</f>
        <v>2210.0100000000002</v>
      </c>
      <c r="F44" s="19">
        <f>F40-F43</f>
        <v>2410.2580000000003</v>
      </c>
      <c r="G44" s="19">
        <f>G40-G43</f>
        <v>2376.1080000000002</v>
      </c>
      <c r="H44" s="19"/>
      <c r="I44" s="19"/>
      <c r="J44" s="21">
        <f t="shared" ref="J44:O44" si="17">J40-J43</f>
        <v>2376.1080000000002</v>
      </c>
      <c r="K44" s="21">
        <f t="shared" si="17"/>
        <v>2367.2177999999999</v>
      </c>
      <c r="L44" s="21">
        <f t="shared" si="17"/>
        <v>2438.2343339999998</v>
      </c>
      <c r="M44" s="21">
        <f t="shared" si="17"/>
        <v>2511.3813640200001</v>
      </c>
      <c r="N44" s="21">
        <f t="shared" si="17"/>
        <v>2586.7228049406003</v>
      </c>
      <c r="O44" s="21">
        <f t="shared" si="17"/>
        <v>2664.3244890888182</v>
      </c>
    </row>
    <row r="45" spans="2:15" x14ac:dyDescent="0.35">
      <c r="B45" t="s">
        <v>20</v>
      </c>
      <c r="C45" s="20">
        <f>C44/C40</f>
        <v>0.61390601603862005</v>
      </c>
      <c r="D45" s="20">
        <f>D44/D40</f>
        <v>0.52328828391680982</v>
      </c>
      <c r="E45" s="20">
        <f>E44/E40</f>
        <v>0.55775276622668335</v>
      </c>
      <c r="F45" s="20">
        <f>F44/F40</f>
        <v>0.58756571011782244</v>
      </c>
      <c r="G45" s="20">
        <f>G44/G40</f>
        <v>0.58800000000000008</v>
      </c>
      <c r="H45" s="19"/>
      <c r="I45" s="19"/>
      <c r="J45" s="20">
        <f t="shared" ref="J45:O45" si="18">J44/J40</f>
        <v>0.58800000000000008</v>
      </c>
      <c r="K45" s="20">
        <f t="shared" si="18"/>
        <v>0.57999999999999996</v>
      </c>
      <c r="L45" s="20">
        <f t="shared" si="18"/>
        <v>0.57999999999999996</v>
      </c>
      <c r="M45" s="20">
        <f t="shared" si="18"/>
        <v>0.57999999999999996</v>
      </c>
      <c r="N45" s="20">
        <f t="shared" si="18"/>
        <v>0.58000000000000007</v>
      </c>
      <c r="O45" s="20">
        <f t="shared" si="18"/>
        <v>0.57999999999999996</v>
      </c>
    </row>
    <row r="46" spans="2:15" x14ac:dyDescent="0.35"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</row>
    <row r="47" spans="2:15" x14ac:dyDescent="0.35">
      <c r="B47" t="s">
        <v>21</v>
      </c>
      <c r="C47" s="19">
        <f>IS!B6/1000000</f>
        <v>737.15599999999995</v>
      </c>
      <c r="D47" s="19">
        <f>IS!C6/1000000</f>
        <v>1009.526</v>
      </c>
      <c r="E47" s="19">
        <f>IS!D6/1000000</f>
        <v>1173.2270000000001</v>
      </c>
      <c r="F47" s="19">
        <f>IS!E6/1000000</f>
        <v>1388.347</v>
      </c>
      <c r="G47" s="19">
        <v>1456</v>
      </c>
      <c r="H47" s="19" t="s">
        <v>445</v>
      </c>
      <c r="I47" s="19"/>
      <c r="J47" s="19">
        <f>G47</f>
        <v>1456</v>
      </c>
      <c r="K47" s="19">
        <f>K40*K185</f>
        <v>1510.1216999999999</v>
      </c>
      <c r="L47" s="19">
        <f>L40*L185</f>
        <v>1471.3483049999998</v>
      </c>
      <c r="M47" s="19">
        <f>M40*M185</f>
        <v>1515.48875415</v>
      </c>
      <c r="N47" s="19">
        <f>N40*N185</f>
        <v>1560.9534167744998</v>
      </c>
      <c r="O47" s="19">
        <f>O40*O185</f>
        <v>1607.7820192777349</v>
      </c>
    </row>
    <row r="48" spans="2:15" x14ac:dyDescent="0.35">
      <c r="B48" t="s">
        <v>23</v>
      </c>
      <c r="C48" s="21">
        <f>C44-C47</f>
        <v>683.06400000000031</v>
      </c>
      <c r="D48" s="21">
        <f>D44-D47</f>
        <v>850.7560000000002</v>
      </c>
      <c r="E48" s="21">
        <f>E44-E47</f>
        <v>1036.7830000000001</v>
      </c>
      <c r="F48" s="21">
        <f>F44-F47</f>
        <v>1021.9110000000003</v>
      </c>
      <c r="G48" s="21">
        <f>G44-G47</f>
        <v>920.10800000000017</v>
      </c>
      <c r="H48" s="19"/>
      <c r="I48" s="19"/>
      <c r="J48" s="21">
        <f t="shared" ref="J48:O48" si="19">J44-J47</f>
        <v>920.10800000000017</v>
      </c>
      <c r="K48" s="21">
        <f t="shared" si="19"/>
        <v>857.09609999999998</v>
      </c>
      <c r="L48" s="21">
        <f t="shared" si="19"/>
        <v>966.88602900000001</v>
      </c>
      <c r="M48" s="21">
        <f t="shared" si="19"/>
        <v>995.89260987000011</v>
      </c>
      <c r="N48" s="21">
        <f t="shared" si="19"/>
        <v>1025.7693881661005</v>
      </c>
      <c r="O48" s="21">
        <f t="shared" si="19"/>
        <v>1056.5424698110833</v>
      </c>
    </row>
    <row r="49" spans="2:15" x14ac:dyDescent="0.35">
      <c r="B49" t="s">
        <v>24</v>
      </c>
      <c r="C49" s="20">
        <f>C48/C40</f>
        <v>0.29526207132655791</v>
      </c>
      <c r="D49" s="20">
        <f>D48/D40</f>
        <v>0.23931352734259081</v>
      </c>
      <c r="E49" s="20">
        <f>E48/E40</f>
        <v>0.26165880979126765</v>
      </c>
      <c r="F49" s="20">
        <f>F48/F40</f>
        <v>0.24911850199945984</v>
      </c>
      <c r="G49" s="20">
        <f>G48/G40</f>
        <v>0.22769314526107404</v>
      </c>
      <c r="H49" s="19"/>
      <c r="I49" s="19"/>
      <c r="J49" s="20">
        <f t="shared" ref="J49:O49" si="20">J48/J40</f>
        <v>0.22769314526107404</v>
      </c>
      <c r="K49" s="20">
        <f t="shared" si="20"/>
        <v>0.21</v>
      </c>
      <c r="L49" s="20">
        <f t="shared" si="20"/>
        <v>0.23000000000000004</v>
      </c>
      <c r="M49" s="20">
        <f t="shared" si="20"/>
        <v>0.23</v>
      </c>
      <c r="N49" s="20">
        <f t="shared" si="20"/>
        <v>0.23000000000000012</v>
      </c>
      <c r="O49" s="20">
        <f t="shared" si="20"/>
        <v>0.23000000000000004</v>
      </c>
    </row>
    <row r="50" spans="2:15" x14ac:dyDescent="0.35"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</row>
    <row r="51" spans="2:15" hidden="1" x14ac:dyDescent="0.35">
      <c r="B51" t="s">
        <v>25</v>
      </c>
      <c r="C51" s="19"/>
      <c r="D51" s="19"/>
      <c r="E51" s="19"/>
      <c r="F51" s="19"/>
      <c r="G51" s="19"/>
      <c r="H51" s="19"/>
      <c r="I51" s="19"/>
      <c r="J51" s="19"/>
      <c r="K51" s="19">
        <f>$O$10/7</f>
        <v>31.97693571428572</v>
      </c>
      <c r="L51" s="19">
        <f>$O$10/7</f>
        <v>31.97693571428572</v>
      </c>
      <c r="M51" s="19">
        <f>$O$10/7</f>
        <v>31.97693571428572</v>
      </c>
      <c r="N51" s="19">
        <f>$O$10/7</f>
        <v>31.97693571428572</v>
      </c>
      <c r="O51" s="19">
        <f>$O$10/7</f>
        <v>31.97693571428572</v>
      </c>
    </row>
    <row r="52" spans="2:15" hidden="1" x14ac:dyDescent="0.35">
      <c r="B52" t="s">
        <v>26</v>
      </c>
      <c r="C52" s="19"/>
      <c r="D52" s="19"/>
      <c r="E52" s="19"/>
      <c r="F52" s="19"/>
      <c r="G52" s="19"/>
      <c r="H52" s="19"/>
      <c r="I52" s="19"/>
      <c r="J52" s="19"/>
      <c r="K52" s="21">
        <f>K48-K51</f>
        <v>825.11916428571431</v>
      </c>
      <c r="L52" s="21">
        <f>L48-L51</f>
        <v>934.90909328571433</v>
      </c>
      <c r="M52" s="21">
        <f>M48-M51</f>
        <v>963.91567415571444</v>
      </c>
      <c r="N52" s="21">
        <f>N48-N51</f>
        <v>993.79245245181482</v>
      </c>
      <c r="O52" s="21">
        <f>O48-O51</f>
        <v>1024.5655340967976</v>
      </c>
    </row>
    <row r="53" spans="2:15" hidden="1" x14ac:dyDescent="0.35">
      <c r="B53" t="s">
        <v>27</v>
      </c>
      <c r="C53" s="19"/>
      <c r="D53" s="19"/>
      <c r="E53" s="19"/>
      <c r="F53" s="19"/>
      <c r="G53" s="19"/>
      <c r="H53" s="19"/>
      <c r="I53" s="19"/>
      <c r="J53" s="19"/>
      <c r="K53" s="19">
        <f>K176</f>
        <v>387.75</v>
      </c>
      <c r="L53" s="19">
        <f>L176</f>
        <v>394.08749999999998</v>
      </c>
      <c r="M53" s="19">
        <f>M176</f>
        <v>404.17499999999995</v>
      </c>
      <c r="N53" s="19">
        <f>N176</f>
        <v>426.13749999999999</v>
      </c>
      <c r="O53" s="19">
        <f>O176</f>
        <v>423.6</v>
      </c>
    </row>
    <row r="54" spans="2:15" hidden="1" x14ac:dyDescent="0.35">
      <c r="B54" t="s">
        <v>28</v>
      </c>
      <c r="C54" s="19"/>
      <c r="D54" s="19"/>
      <c r="E54" s="19"/>
      <c r="F54" s="19"/>
      <c r="G54" s="19"/>
      <c r="H54" s="19"/>
      <c r="I54" s="19"/>
      <c r="J54" s="19"/>
      <c r="K54" s="21">
        <f>K52-K53</f>
        <v>437.36916428571431</v>
      </c>
      <c r="L54" s="21">
        <f>L52-L53</f>
        <v>540.82159328571436</v>
      </c>
      <c r="M54" s="21">
        <f>M52-M53</f>
        <v>559.74067415571449</v>
      </c>
      <c r="N54" s="21">
        <f>N52-N53</f>
        <v>567.65495245181478</v>
      </c>
      <c r="O54" s="21">
        <f>O52-O53</f>
        <v>600.96553409679757</v>
      </c>
    </row>
    <row r="55" spans="2:15" hidden="1" x14ac:dyDescent="0.35">
      <c r="B55" t="s">
        <v>29</v>
      </c>
      <c r="C55" s="19"/>
      <c r="D55" s="19"/>
      <c r="E55" s="19"/>
      <c r="F55" s="19"/>
      <c r="G55" s="19"/>
      <c r="H55" s="19"/>
      <c r="I55" s="19"/>
      <c r="J55" s="19"/>
      <c r="K55" s="19">
        <f>K54*K186</f>
        <v>113.71598271428573</v>
      </c>
      <c r="L55" s="19">
        <f>L54*L186</f>
        <v>140.61361425428575</v>
      </c>
      <c r="M55" s="19">
        <f>M54*M186</f>
        <v>145.53257528048576</v>
      </c>
      <c r="N55" s="19">
        <f>N54*N186</f>
        <v>147.59028763747185</v>
      </c>
      <c r="O55" s="19">
        <f>O54*O186</f>
        <v>156.25103886516737</v>
      </c>
    </row>
    <row r="56" spans="2:15" ht="15" hidden="1" thickBot="1" x14ac:dyDescent="0.4">
      <c r="B56" t="s">
        <v>30</v>
      </c>
      <c r="C56" s="19"/>
      <c r="D56" s="19"/>
      <c r="E56" s="19"/>
      <c r="F56" s="19"/>
      <c r="G56" s="19"/>
      <c r="H56" s="19"/>
      <c r="I56" s="19"/>
      <c r="J56" s="19"/>
      <c r="K56" s="22">
        <f>K54-K55</f>
        <v>323.6531815714286</v>
      </c>
      <c r="L56" s="22">
        <f>L54-L55</f>
        <v>400.20797903142864</v>
      </c>
      <c r="M56" s="22">
        <f>M54-M55</f>
        <v>414.20809887522876</v>
      </c>
      <c r="N56" s="22">
        <f>N54-N55</f>
        <v>420.0646648143429</v>
      </c>
      <c r="O56" s="22">
        <f>O54-O55</f>
        <v>444.71449523163017</v>
      </c>
    </row>
    <row r="57" spans="2:15" ht="30" customHeight="1" x14ac:dyDescent="0.35">
      <c r="B57" s="167" t="s">
        <v>446</v>
      </c>
      <c r="C57" s="168"/>
      <c r="D57" s="168"/>
      <c r="E57" s="168"/>
      <c r="F57" s="168"/>
      <c r="G57" s="168"/>
    </row>
    <row r="58" spans="2:15" x14ac:dyDescent="0.35">
      <c r="B58" s="161"/>
      <c r="D58" s="19"/>
      <c r="E58" s="19"/>
      <c r="F58" s="19"/>
    </row>
    <row r="59" spans="2:15" x14ac:dyDescent="0.35">
      <c r="B59" s="3" t="s">
        <v>31</v>
      </c>
      <c r="C59" s="3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2:15" x14ac:dyDescent="0.35">
      <c r="B60" s="54"/>
      <c r="C60" s="54"/>
      <c r="D60" s="55"/>
      <c r="E60" s="55"/>
      <c r="F60" s="55"/>
      <c r="G60" s="56" t="s">
        <v>394</v>
      </c>
      <c r="H60" s="56"/>
      <c r="I60" s="56"/>
      <c r="J60" s="56" t="s">
        <v>395</v>
      </c>
      <c r="K60" s="55"/>
      <c r="L60" s="55"/>
      <c r="M60" s="55"/>
      <c r="N60" s="55"/>
      <c r="O60" s="55"/>
    </row>
    <row r="61" spans="2:15" x14ac:dyDescent="0.35">
      <c r="B61" s="4"/>
      <c r="C61" s="4"/>
      <c r="D61" s="4"/>
      <c r="E61" s="4"/>
      <c r="F61" s="4"/>
      <c r="G61" s="6"/>
      <c r="H61" s="24"/>
      <c r="I61" s="24"/>
      <c r="J61" s="7"/>
      <c r="K61" s="4"/>
      <c r="L61" s="4"/>
      <c r="M61" s="4"/>
      <c r="N61" s="4"/>
      <c r="O61" s="4"/>
    </row>
    <row r="62" spans="2:15" ht="15" thickBot="1" x14ac:dyDescent="0.4">
      <c r="B62" s="11" t="s">
        <v>381</v>
      </c>
      <c r="C62" s="9">
        <f>C39</f>
        <v>2021</v>
      </c>
      <c r="D62" s="9">
        <f>D39</f>
        <v>2022</v>
      </c>
      <c r="E62" s="9">
        <f>E39</f>
        <v>2023</v>
      </c>
      <c r="F62" s="9">
        <f>F39</f>
        <v>2024</v>
      </c>
      <c r="G62" s="9">
        <f>G39</f>
        <v>2025</v>
      </c>
      <c r="H62" s="51" t="s">
        <v>161</v>
      </c>
      <c r="I62" s="51" t="s">
        <v>162</v>
      </c>
      <c r="J62" s="9">
        <f>G62</f>
        <v>2025</v>
      </c>
      <c r="K62" s="9">
        <f>K39</f>
        <v>2026</v>
      </c>
      <c r="L62" s="9">
        <f>L39</f>
        <v>2027</v>
      </c>
      <c r="M62" s="9">
        <f>M39</f>
        <v>2028</v>
      </c>
      <c r="N62" s="9">
        <f>N39</f>
        <v>2029</v>
      </c>
      <c r="O62" s="9">
        <f>O39</f>
        <v>2030</v>
      </c>
    </row>
    <row r="63" spans="2:15" ht="15" thickTop="1" x14ac:dyDescent="0.35">
      <c r="B63" s="8" t="s">
        <v>33</v>
      </c>
      <c r="C63" s="8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</row>
    <row r="64" spans="2:15" x14ac:dyDescent="0.35">
      <c r="B64" t="s">
        <v>34</v>
      </c>
      <c r="C64" s="19">
        <f>BS!B5/1000000</f>
        <v>213.197</v>
      </c>
      <c r="D64" s="19">
        <f>BS!C5/1000000</f>
        <v>191.62899999999999</v>
      </c>
      <c r="E64" s="19">
        <f>BS!D5/1000000</f>
        <v>149.28800000000001</v>
      </c>
      <c r="F64" s="19">
        <f>BS!E5/1000000</f>
        <v>180.48500000000001</v>
      </c>
      <c r="G64" s="19">
        <f>BS!F5/1000000</f>
        <v>130.35400000000001</v>
      </c>
      <c r="H64" s="19"/>
      <c r="I64" s="19"/>
      <c r="J64" s="19">
        <f>G64+H64-I64</f>
        <v>130.35400000000001</v>
      </c>
      <c r="K64" s="19">
        <f>J64+K141</f>
        <v>327.4807304881316</v>
      </c>
      <c r="L64" s="19">
        <f>K64+L141</f>
        <v>706.71250990452188</v>
      </c>
      <c r="M64" s="19">
        <f>L64+M141</f>
        <v>1099.1058151048323</v>
      </c>
      <c r="N64" s="19">
        <f>M64+N141</f>
        <v>1496.4919343625816</v>
      </c>
      <c r="O64" s="19">
        <f>N64+O141</f>
        <v>1917.6382195994913</v>
      </c>
    </row>
    <row r="65" spans="2:15" x14ac:dyDescent="0.35">
      <c r="B65" t="s">
        <v>35</v>
      </c>
      <c r="C65" s="19">
        <f>BS!B8/1000000</f>
        <v>182.62899999999999</v>
      </c>
      <c r="D65" s="19">
        <f>BS!C8/1000000</f>
        <v>295.59399999999999</v>
      </c>
      <c r="E65" s="19">
        <f>BS!D8/1000000</f>
        <v>305.74700000000001</v>
      </c>
      <c r="F65" s="19">
        <f>BS!E8/1000000</f>
        <v>257.65699999999998</v>
      </c>
      <c r="G65" s="19">
        <f>BS!F8/1000000</f>
        <v>278.19099999999997</v>
      </c>
      <c r="H65" s="19"/>
      <c r="I65" s="19"/>
      <c r="J65" s="19">
        <f>G65+H65-I65</f>
        <v>278.19099999999997</v>
      </c>
      <c r="K65" s="19">
        <f>K194/365*K40</f>
        <v>336.02751854261709</v>
      </c>
      <c r="L65" s="19">
        <f>L194/365*L40</f>
        <v>346.10834409889554</v>
      </c>
      <c r="M65" s="19">
        <f>M194/365*M40</f>
        <v>356.49159442186249</v>
      </c>
      <c r="N65" s="19">
        <f>N194/365*N40</f>
        <v>367.18634225451837</v>
      </c>
      <c r="O65" s="19">
        <f>O194/365*O40</f>
        <v>378.20193252215392</v>
      </c>
    </row>
    <row r="66" spans="2:15" x14ac:dyDescent="0.35">
      <c r="B66" t="s">
        <v>36</v>
      </c>
      <c r="C66" s="19">
        <f>BS!B13/1000000</f>
        <v>213.52</v>
      </c>
      <c r="D66" s="19">
        <f>BS!C13/1000000</f>
        <v>471.55099999999999</v>
      </c>
      <c r="E66" s="19">
        <f>BS!D13/1000000</f>
        <v>385.05399999999997</v>
      </c>
      <c r="F66" s="19">
        <f>BS!E13/1000000</f>
        <v>356.25400000000002</v>
      </c>
      <c r="G66" s="19">
        <f>BS!F13/1000000</f>
        <v>368.68700000000001</v>
      </c>
      <c r="H66" s="19"/>
      <c r="I66" s="19"/>
      <c r="J66" s="19">
        <f>G66+H66-I66</f>
        <v>368.68700000000001</v>
      </c>
      <c r="K66" s="19">
        <f>K195/365*K43</f>
        <v>408.44606590289237</v>
      </c>
      <c r="L66" s="19">
        <f>L195/365*L43</f>
        <v>420.69944787997912</v>
      </c>
      <c r="M66" s="19">
        <f>M195/365*M43</f>
        <v>433.32043131637852</v>
      </c>
      <c r="N66" s="19">
        <f>N195/365*N43</f>
        <v>446.32004425586985</v>
      </c>
      <c r="O66" s="19">
        <f>O195/365*O43</f>
        <v>459.70964558354598</v>
      </c>
    </row>
    <row r="67" spans="2:15" x14ac:dyDescent="0.35">
      <c r="B67" t="s">
        <v>37</v>
      </c>
      <c r="C67" s="19">
        <f>C68-SUM(C64:C66)</f>
        <v>57.222999999999956</v>
      </c>
      <c r="D67" s="19">
        <f>D68-SUM(D64:D66)</f>
        <v>67.201000000000022</v>
      </c>
      <c r="E67" s="19">
        <f>E68-SUM(E64:E66)</f>
        <v>70.615000000000009</v>
      </c>
      <c r="F67" s="19">
        <f>F68-SUM(F64:F66)</f>
        <v>77.873000000000047</v>
      </c>
      <c r="G67" s="19">
        <f>G68-SUM(G64:G66)</f>
        <v>108.65100000000007</v>
      </c>
      <c r="H67" s="19"/>
      <c r="I67" s="19"/>
      <c r="J67" s="19">
        <f>G67+H67-I67</f>
        <v>108.65100000000007</v>
      </c>
      <c r="K67" s="19">
        <f>K196*K40</f>
        <v>85.010752289590897</v>
      </c>
      <c r="L67" s="19">
        <f>L196*L40</f>
        <v>87.561074858278616</v>
      </c>
      <c r="M67" s="19">
        <f>M196*M40</f>
        <v>90.187907104026991</v>
      </c>
      <c r="N67" s="19">
        <f>N196*N40</f>
        <v>92.8935443171478</v>
      </c>
      <c r="O67" s="19">
        <f>O196*O40</f>
        <v>95.680350646662234</v>
      </c>
    </row>
    <row r="68" spans="2:15" x14ac:dyDescent="0.35">
      <c r="B68" s="5" t="s">
        <v>38</v>
      </c>
      <c r="C68" s="21">
        <f>BS!B3/1000000</f>
        <v>666.56899999999996</v>
      </c>
      <c r="D68" s="21">
        <f>BS!C3/1000000</f>
        <v>1025.9749999999999</v>
      </c>
      <c r="E68" s="21">
        <f>BS!D3/1000000</f>
        <v>910.70399999999995</v>
      </c>
      <c r="F68" s="21">
        <f>BS!E3/1000000</f>
        <v>872.26900000000001</v>
      </c>
      <c r="G68" s="21">
        <f>BS!F3/1000000</f>
        <v>885.88300000000004</v>
      </c>
      <c r="H68" s="19"/>
      <c r="I68" s="19"/>
      <c r="J68" s="21">
        <f t="shared" ref="J68:O68" si="21">SUM(J64:J67)</f>
        <v>885.88300000000004</v>
      </c>
      <c r="K68" s="21">
        <f t="shared" si="21"/>
        <v>1156.9650672232319</v>
      </c>
      <c r="L68" s="21">
        <f t="shared" si="21"/>
        <v>1561.0813767416751</v>
      </c>
      <c r="M68" s="21">
        <f t="shared" si="21"/>
        <v>1979.1057479471003</v>
      </c>
      <c r="N68" s="21">
        <f t="shared" si="21"/>
        <v>2402.8918651901176</v>
      </c>
      <c r="O68" s="21">
        <f t="shared" si="21"/>
        <v>2851.2301483518531</v>
      </c>
    </row>
    <row r="69" spans="2:15" x14ac:dyDescent="0.35"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</row>
    <row r="70" spans="2:15" x14ac:dyDescent="0.35">
      <c r="B70" t="s">
        <v>39</v>
      </c>
      <c r="C70" s="19">
        <f>BS!B24/1000000</f>
        <v>352.911</v>
      </c>
      <c r="D70" s="19">
        <f>BS!C24/1000000</f>
        <v>518.57000000000005</v>
      </c>
      <c r="E70" s="19">
        <f>BS!D24/1000000</f>
        <v>646.26499999999999</v>
      </c>
      <c r="F70" s="19">
        <f>BS!E24/1000000</f>
        <v>705.01800000000003</v>
      </c>
      <c r="G70" s="19">
        <f>BS!F24/1000000</f>
        <v>786.73299999999995</v>
      </c>
      <c r="H70" s="19"/>
      <c r="I70" s="19"/>
      <c r="J70" s="19">
        <f>G70+H70-I70</f>
        <v>786.73299999999995</v>
      </c>
      <c r="K70" s="19">
        <f>J70-K127</f>
        <v>868.36119999999994</v>
      </c>
      <c r="L70" s="19">
        <f>K70-L127</f>
        <v>934.01832972539637</v>
      </c>
      <c r="M70" s="19">
        <f>L70-M127</f>
        <v>1001.6451733425547</v>
      </c>
      <c r="N70" s="19">
        <f>M70-N127</f>
        <v>1071.3008222682276</v>
      </c>
      <c r="O70" s="19">
        <f>N70-O127</f>
        <v>1143.046140661671</v>
      </c>
    </row>
    <row r="71" spans="2:15" x14ac:dyDescent="0.35">
      <c r="B71" t="s">
        <v>40</v>
      </c>
      <c r="C71" s="19">
        <f>C72-C70</f>
        <v>-83.745000000000005</v>
      </c>
      <c r="D71" s="19">
        <f>D72-D70</f>
        <v>-97.136000000000024</v>
      </c>
      <c r="E71" s="19">
        <f>E72-E70</f>
        <v>-120.50999999999999</v>
      </c>
      <c r="F71" s="19">
        <f>F72-F70</f>
        <v>-153.45500000000004</v>
      </c>
      <c r="G71" s="19">
        <f>G72-G70</f>
        <v>-209.87299999999993</v>
      </c>
      <c r="H71" s="19"/>
      <c r="I71" s="19"/>
      <c r="J71" s="19">
        <f>G71+H71-I71</f>
        <v>-209.87299999999993</v>
      </c>
      <c r="K71" s="19">
        <f>J71-K110</f>
        <v>-291.50119999999993</v>
      </c>
      <c r="L71" s="19">
        <f>K71-L110</f>
        <v>-375.57824599999992</v>
      </c>
      <c r="M71" s="19">
        <f>L71-M110</f>
        <v>-462.17760337999994</v>
      </c>
      <c r="N71" s="19">
        <f>M71-N110</f>
        <v>-551.3749414813999</v>
      </c>
      <c r="O71" s="19">
        <f>N71-O110</f>
        <v>-643.24819972584191</v>
      </c>
    </row>
    <row r="72" spans="2:15" x14ac:dyDescent="0.35">
      <c r="B72" t="s">
        <v>41</v>
      </c>
      <c r="C72" s="21">
        <f>BS!B23/1000000</f>
        <v>269.166</v>
      </c>
      <c r="D72" s="21">
        <f>BS!C23/1000000</f>
        <v>421.43400000000003</v>
      </c>
      <c r="E72" s="21">
        <f>BS!D23/1000000</f>
        <v>525.755</v>
      </c>
      <c r="F72" s="21">
        <f>BS!E23/1000000</f>
        <v>551.56299999999999</v>
      </c>
      <c r="G72" s="21">
        <f>BS!F23/1000000</f>
        <v>576.86</v>
      </c>
      <c r="H72" s="19"/>
      <c r="I72" s="19"/>
      <c r="J72" s="21">
        <f t="shared" ref="J72:O72" si="22">SUM(J70:J71)</f>
        <v>576.86</v>
      </c>
      <c r="K72" s="21">
        <f t="shared" si="22"/>
        <v>576.86</v>
      </c>
      <c r="L72" s="21">
        <f t="shared" si="22"/>
        <v>558.44008372539645</v>
      </c>
      <c r="M72" s="21">
        <f t="shared" si="22"/>
        <v>539.46756996255476</v>
      </c>
      <c r="N72" s="21">
        <f t="shared" si="22"/>
        <v>519.92588078682775</v>
      </c>
      <c r="O72" s="21">
        <f t="shared" si="22"/>
        <v>499.79794093582905</v>
      </c>
    </row>
    <row r="73" spans="2:15" x14ac:dyDescent="0.35"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</row>
    <row r="74" spans="2:15" x14ac:dyDescent="0.35">
      <c r="B74" t="s">
        <v>180</v>
      </c>
      <c r="C74" s="19">
        <f>BS!B33/1000000</f>
        <v>1.6</v>
      </c>
      <c r="D74" s="19">
        <f>BS!C33/1000000</f>
        <v>714.81399999999996</v>
      </c>
      <c r="E74" s="19">
        <f>BS!D33/1000000</f>
        <v>711.58799999999997</v>
      </c>
      <c r="F74" s="19">
        <f>BS!E33/1000000</f>
        <v>711.49099999999999</v>
      </c>
      <c r="G74" s="19">
        <f>BS!F33/1000000</f>
        <v>404.68900000000002</v>
      </c>
      <c r="H74" s="19">
        <f>O8-G102</f>
        <v>4937.1170000000002</v>
      </c>
      <c r="I74" s="19"/>
      <c r="J74" s="19">
        <f>G74+H74-I74</f>
        <v>5341.8060000000005</v>
      </c>
      <c r="K74" s="19">
        <f>J74</f>
        <v>5341.8060000000005</v>
      </c>
      <c r="L74" s="19">
        <f>K74</f>
        <v>5341.8060000000005</v>
      </c>
      <c r="M74" s="19">
        <f>L74</f>
        <v>5341.8060000000005</v>
      </c>
      <c r="N74" s="19">
        <f>M74</f>
        <v>5341.8060000000005</v>
      </c>
      <c r="O74" s="19">
        <f>N74</f>
        <v>5341.8060000000005</v>
      </c>
    </row>
    <row r="75" spans="2:15" x14ac:dyDescent="0.35">
      <c r="B75" t="s">
        <v>181</v>
      </c>
      <c r="C75" s="19"/>
      <c r="D75" s="19"/>
      <c r="E75" s="19"/>
      <c r="F75" s="19"/>
      <c r="G75" s="19"/>
      <c r="H75" s="19">
        <f>O10</f>
        <v>223.83855000000003</v>
      </c>
      <c r="I75" s="19"/>
      <c r="J75" s="19">
        <f>G75+H75-I75</f>
        <v>223.83855000000003</v>
      </c>
      <c r="K75" s="19">
        <f>J75-K51</f>
        <v>191.8616142857143</v>
      </c>
      <c r="L75" s="19">
        <f>K75-L51</f>
        <v>159.88467857142857</v>
      </c>
      <c r="M75" s="19">
        <f>L75-M51</f>
        <v>127.90774285714285</v>
      </c>
      <c r="N75" s="19">
        <f>M75-N51</f>
        <v>95.930807142857134</v>
      </c>
      <c r="O75" s="19">
        <f>N75-O51</f>
        <v>63.953871428571418</v>
      </c>
    </row>
    <row r="76" spans="2:15" x14ac:dyDescent="0.35">
      <c r="B76" t="s">
        <v>42</v>
      </c>
      <c r="C76" s="19">
        <f>C77-C74-C72-C68</f>
        <v>607.73300000000017</v>
      </c>
      <c r="D76" s="19">
        <f>D77-D74-D72-D68</f>
        <v>2339.5739999999996</v>
      </c>
      <c r="E76" s="19">
        <f>E77-E74-E72-E68</f>
        <v>2495.7870000000003</v>
      </c>
      <c r="F76" s="19">
        <f>F77-F74-F72-F68</f>
        <v>2676.83</v>
      </c>
      <c r="G76" s="19">
        <f>G77-G74-G72-G68</f>
        <v>2307.3180000000002</v>
      </c>
      <c r="H76" s="19"/>
      <c r="I76" s="19"/>
      <c r="J76" s="19">
        <f>G76+H76-I76</f>
        <v>2307.3180000000002</v>
      </c>
      <c r="K76" s="19">
        <f>K40*K201</f>
        <v>2343.6014640761341</v>
      </c>
      <c r="L76" s="19">
        <f>L40*L201</f>
        <v>2413.9095079984181</v>
      </c>
      <c r="M76" s="19">
        <f>M40*M201</f>
        <v>2486.326793238371</v>
      </c>
      <c r="N76" s="19">
        <f>N40*N201</f>
        <v>2560.916597035522</v>
      </c>
      <c r="O76" s="19">
        <f>O40*O201</f>
        <v>2637.7440949465877</v>
      </c>
    </row>
    <row r="77" spans="2:15" ht="15" thickBot="1" x14ac:dyDescent="0.4">
      <c r="B77" s="5" t="s">
        <v>43</v>
      </c>
      <c r="C77" s="22">
        <f>BS!B2/1000000</f>
        <v>1545.068</v>
      </c>
      <c r="D77" s="22">
        <f>BS!C2/1000000</f>
        <v>4501.7969999999996</v>
      </c>
      <c r="E77" s="22">
        <f>BS!D2/1000000</f>
        <v>4643.8339999999998</v>
      </c>
      <c r="F77" s="22">
        <f>BS!E2/1000000</f>
        <v>4812.1530000000002</v>
      </c>
      <c r="G77" s="22">
        <f>BS!F2/1000000</f>
        <v>4174.75</v>
      </c>
      <c r="H77" s="19"/>
      <c r="I77" s="19"/>
      <c r="J77" s="22">
        <f t="shared" ref="J77:O77" si="23">J68+SUM(J72:J76)</f>
        <v>9335.7055500000006</v>
      </c>
      <c r="K77" s="22">
        <f t="shared" si="23"/>
        <v>9611.0941455850807</v>
      </c>
      <c r="L77" s="22">
        <f t="shared" si="23"/>
        <v>10035.121647036918</v>
      </c>
      <c r="M77" s="22">
        <f t="shared" si="23"/>
        <v>10474.613854005169</v>
      </c>
      <c r="N77" s="22">
        <f t="shared" si="23"/>
        <v>10921.471150155325</v>
      </c>
      <c r="O77" s="22">
        <f t="shared" si="23"/>
        <v>11394.532055662841</v>
      </c>
    </row>
    <row r="78" spans="2:15" ht="15" thickTop="1" x14ac:dyDescent="0.35"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</row>
    <row r="79" spans="2:15" x14ac:dyDescent="0.35">
      <c r="B79" s="54"/>
      <c r="C79" s="54"/>
      <c r="D79" s="55"/>
      <c r="E79" s="55"/>
      <c r="F79" s="55"/>
      <c r="G79" s="56" t="s">
        <v>394</v>
      </c>
      <c r="H79" s="56"/>
      <c r="I79" s="56"/>
      <c r="J79" s="56" t="s">
        <v>395</v>
      </c>
      <c r="K79" s="55"/>
      <c r="L79" s="55"/>
      <c r="M79" s="55"/>
      <c r="N79" s="55"/>
      <c r="O79" s="55"/>
    </row>
    <row r="80" spans="2:15" x14ac:dyDescent="0.35">
      <c r="B80" s="4"/>
      <c r="C80" s="4"/>
      <c r="D80" s="4"/>
      <c r="E80" s="4"/>
      <c r="F80" s="4"/>
      <c r="G80" s="6"/>
      <c r="H80" s="24"/>
      <c r="I80" s="24"/>
      <c r="J80" s="7"/>
      <c r="K80" s="4"/>
      <c r="L80" s="4"/>
      <c r="M80" s="4"/>
      <c r="N80" s="4"/>
      <c r="O80" s="4"/>
    </row>
    <row r="81" spans="2:15" ht="15" thickBot="1" x14ac:dyDescent="0.4">
      <c r="B81" s="11" t="s">
        <v>381</v>
      </c>
      <c r="C81" s="9">
        <f>C62</f>
        <v>2021</v>
      </c>
      <c r="D81" s="9">
        <f t="shared" ref="D81:G81" si="24">D62</f>
        <v>2022</v>
      </c>
      <c r="E81" s="9">
        <f t="shared" si="24"/>
        <v>2023</v>
      </c>
      <c r="F81" s="9">
        <f t="shared" si="24"/>
        <v>2024</v>
      </c>
      <c r="G81" s="9">
        <f t="shared" si="24"/>
        <v>2025</v>
      </c>
      <c r="H81" s="51" t="s">
        <v>161</v>
      </c>
      <c r="I81" s="51" t="s">
        <v>162</v>
      </c>
      <c r="J81" s="9">
        <f>G81</f>
        <v>2025</v>
      </c>
      <c r="K81" s="9">
        <f>K62</f>
        <v>2026</v>
      </c>
      <c r="L81" s="9">
        <f t="shared" ref="L81:O81" si="25">L62</f>
        <v>2027</v>
      </c>
      <c r="M81" s="9">
        <f t="shared" si="25"/>
        <v>2028</v>
      </c>
      <c r="N81" s="9">
        <f t="shared" si="25"/>
        <v>2029</v>
      </c>
      <c r="O81" s="9">
        <f t="shared" si="25"/>
        <v>2030</v>
      </c>
    </row>
    <row r="82" spans="2:15" ht="15" thickTop="1" x14ac:dyDescent="0.35">
      <c r="B82" s="8" t="s">
        <v>44</v>
      </c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</row>
    <row r="83" spans="2:15" x14ac:dyDescent="0.35">
      <c r="B83" t="s">
        <v>45</v>
      </c>
      <c r="C83" s="19">
        <f>BS!B42/1000000</f>
        <v>162.14500000000001</v>
      </c>
      <c r="D83" s="19">
        <f>BS!C42/1000000</f>
        <v>230.821</v>
      </c>
      <c r="E83" s="19">
        <f>BS!D42/1000000</f>
        <v>260.97800000000001</v>
      </c>
      <c r="F83" s="19">
        <f>BS!E42/1000000</f>
        <v>264.90100000000001</v>
      </c>
      <c r="G83" s="19">
        <f>BS!F42/1000000</f>
        <v>266.08999999999997</v>
      </c>
      <c r="H83" s="19"/>
      <c r="I83" s="19"/>
      <c r="J83" s="19">
        <f>G83-H83+I83</f>
        <v>266.08999999999997</v>
      </c>
      <c r="K83" s="19">
        <f>K197/365*K43</f>
        <v>223.4920739830095</v>
      </c>
      <c r="L83" s="19">
        <f>L197/365*L43</f>
        <v>230.19683620249975</v>
      </c>
      <c r="M83" s="19">
        <f>M197/365*M43</f>
        <v>237.10274128857478</v>
      </c>
      <c r="N83" s="19">
        <f>N197/365*N43</f>
        <v>244.215823527232</v>
      </c>
      <c r="O83" s="19">
        <f>O197/365*O43</f>
        <v>251.542298233049</v>
      </c>
    </row>
    <row r="84" spans="2:15" x14ac:dyDescent="0.35">
      <c r="B84" t="s">
        <v>46</v>
      </c>
      <c r="C84" s="19">
        <f>BS!B47/1000000</f>
        <v>57.057000000000002</v>
      </c>
      <c r="D84" s="19">
        <f>BS!C47/1000000</f>
        <v>98.570999999999998</v>
      </c>
      <c r="E84" s="19">
        <f>BS!D47/1000000</f>
        <v>103.255</v>
      </c>
      <c r="F84" s="19">
        <f>BS!E47/1000000</f>
        <v>103.435</v>
      </c>
      <c r="G84" s="19">
        <f>BS!F47/1000000</f>
        <v>93.051000000000002</v>
      </c>
      <c r="H84" s="19"/>
      <c r="I84" s="19"/>
      <c r="J84" s="19">
        <f>G84-H84+I84</f>
        <v>93.051000000000002</v>
      </c>
      <c r="K84" s="19">
        <f>K40*K198</f>
        <v>93.261197570210015</v>
      </c>
      <c r="L84" s="19">
        <f>L40*L198</f>
        <v>96.059033497316307</v>
      </c>
      <c r="M84" s="19">
        <f>M40*M198</f>
        <v>98.940804502235807</v>
      </c>
      <c r="N84" s="19">
        <f>N40*N198</f>
        <v>101.90902863730288</v>
      </c>
      <c r="O84" s="19">
        <f>O40*O198</f>
        <v>104.96629949642197</v>
      </c>
    </row>
    <row r="85" spans="2:15" x14ac:dyDescent="0.35">
      <c r="B85" t="s">
        <v>47</v>
      </c>
      <c r="C85" s="19">
        <f>C86-C84-C83</f>
        <v>169.04099999999997</v>
      </c>
      <c r="D85" s="19">
        <f>D86-D84-D83</f>
        <v>311.88199999999995</v>
      </c>
      <c r="E85" s="19">
        <f>E86-E84-E83</f>
        <v>334.06300000000005</v>
      </c>
      <c r="F85" s="19">
        <f>F86-F84-F83</f>
        <v>371.8719999999999</v>
      </c>
      <c r="G85" s="19">
        <f>G86-G84-G83</f>
        <v>340.988</v>
      </c>
      <c r="H85" s="19"/>
      <c r="I85" s="19"/>
      <c r="J85" s="19">
        <f>G85-H85+I85</f>
        <v>340.988</v>
      </c>
      <c r="K85" s="19">
        <f>K40*K199</f>
        <v>382.21017015895774</v>
      </c>
      <c r="L85" s="19">
        <f>L40*L199</f>
        <v>393.67647526372645</v>
      </c>
      <c r="M85" s="19">
        <f>M40*M199</f>
        <v>405.48676952163828</v>
      </c>
      <c r="N85" s="19">
        <f>N40*N199</f>
        <v>417.65137260728744</v>
      </c>
      <c r="O85" s="19">
        <f>O40*O199</f>
        <v>430.18091378550611</v>
      </c>
    </row>
    <row r="86" spans="2:15" x14ac:dyDescent="0.35">
      <c r="B86" s="5" t="s">
        <v>48</v>
      </c>
      <c r="C86" s="21">
        <f>BS!B39/1000000</f>
        <v>388.24299999999999</v>
      </c>
      <c r="D86" s="21">
        <f>BS!C39/1000000</f>
        <v>641.274</v>
      </c>
      <c r="E86" s="21">
        <f>BS!D39/1000000</f>
        <v>698.29600000000005</v>
      </c>
      <c r="F86" s="21">
        <f>BS!E39/1000000</f>
        <v>740.20799999999997</v>
      </c>
      <c r="G86" s="21">
        <f>BS!F39/1000000</f>
        <v>700.12900000000002</v>
      </c>
      <c r="H86" s="19"/>
      <c r="I86" s="19"/>
      <c r="J86" s="21">
        <f t="shared" ref="J86:O86" si="26">SUM(J83:J85)</f>
        <v>700.12899999999991</v>
      </c>
      <c r="K86" s="21">
        <f t="shared" si="26"/>
        <v>698.9634417121772</v>
      </c>
      <c r="L86" s="21">
        <f t="shared" si="26"/>
        <v>719.9323449635425</v>
      </c>
      <c r="M86" s="21">
        <f t="shared" si="26"/>
        <v>741.53031531244892</v>
      </c>
      <c r="N86" s="21">
        <f t="shared" si="26"/>
        <v>763.7762247718224</v>
      </c>
      <c r="O86" s="21">
        <f t="shared" si="26"/>
        <v>786.68951151497708</v>
      </c>
    </row>
    <row r="87" spans="2:15" x14ac:dyDescent="0.35"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</row>
    <row r="88" spans="2:15" x14ac:dyDescent="0.35">
      <c r="B88" s="8" t="s">
        <v>49</v>
      </c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</row>
    <row r="89" spans="2:15" x14ac:dyDescent="0.35">
      <c r="B89" t="s">
        <v>50</v>
      </c>
      <c r="C89" s="19">
        <f>BS!B60/1000000</f>
        <v>771.39</v>
      </c>
      <c r="D89" s="19">
        <f>BS!C60/1000000</f>
        <v>2298.027</v>
      </c>
      <c r="E89" s="19">
        <f>BS!D60/1000000</f>
        <v>1640.9960000000001</v>
      </c>
      <c r="F89" s="19">
        <f>BS!E60/1000000</f>
        <v>1349.3389999999999</v>
      </c>
      <c r="G89" s="19">
        <f>BS!F60/1000000</f>
        <v>1230.885</v>
      </c>
      <c r="H89" s="19">
        <f>O9</f>
        <v>1230.885</v>
      </c>
      <c r="I89" s="19"/>
      <c r="J89" s="19">
        <f>G89-H89+I89</f>
        <v>0</v>
      </c>
      <c r="K89" s="19">
        <f>J89</f>
        <v>0</v>
      </c>
      <c r="L89" s="19">
        <f>K89</f>
        <v>0</v>
      </c>
      <c r="M89" s="19">
        <f>L89</f>
        <v>0</v>
      </c>
      <c r="N89" s="19">
        <f>M89</f>
        <v>0</v>
      </c>
      <c r="O89" s="19">
        <f>N89</f>
        <v>0</v>
      </c>
    </row>
    <row r="90" spans="2:15" x14ac:dyDescent="0.35">
      <c r="B90" t="str">
        <f>B7</f>
        <v>Revolving Line</v>
      </c>
      <c r="C90" s="19"/>
      <c r="D90" s="19"/>
      <c r="E90" s="19"/>
      <c r="F90" s="19"/>
      <c r="G90" s="19"/>
      <c r="H90" s="19"/>
      <c r="I90" s="19">
        <f>D7</f>
        <v>0</v>
      </c>
      <c r="J90" s="19">
        <f t="shared" ref="J90:O90" si="27">J156</f>
        <v>0</v>
      </c>
      <c r="K90" s="19">
        <f t="shared" si="27"/>
        <v>0</v>
      </c>
      <c r="L90" s="19">
        <f t="shared" si="27"/>
        <v>0</v>
      </c>
      <c r="M90" s="19">
        <f t="shared" si="27"/>
        <v>0</v>
      </c>
      <c r="N90" s="19">
        <f t="shared" si="27"/>
        <v>0</v>
      </c>
      <c r="O90" s="19">
        <f t="shared" si="27"/>
        <v>0</v>
      </c>
    </row>
    <row r="91" spans="2:15" x14ac:dyDescent="0.35">
      <c r="B91" t="str">
        <f>B8</f>
        <v>Term Loan</v>
      </c>
      <c r="C91" s="19"/>
      <c r="D91" s="19"/>
      <c r="E91" s="19"/>
      <c r="F91" s="19"/>
      <c r="G91" s="19"/>
      <c r="H91" s="19"/>
      <c r="I91" s="19">
        <f>D8</f>
        <v>2500</v>
      </c>
      <c r="J91" s="19">
        <f>G91-H91+I91</f>
        <v>2500</v>
      </c>
      <c r="K91" s="19">
        <f>K163</f>
        <v>2475</v>
      </c>
      <c r="L91" s="19">
        <f>L163</f>
        <v>2450</v>
      </c>
      <c r="M91" s="19">
        <f>M163</f>
        <v>2425</v>
      </c>
      <c r="N91" s="19">
        <f>N163</f>
        <v>2400</v>
      </c>
      <c r="O91" s="19">
        <f>O163</f>
        <v>2375</v>
      </c>
    </row>
    <row r="92" spans="2:15" x14ac:dyDescent="0.35">
      <c r="B92" t="str">
        <f>B9</f>
        <v>Subordinated Notes</v>
      </c>
      <c r="C92" s="19"/>
      <c r="D92" s="19"/>
      <c r="E92" s="19"/>
      <c r="F92" s="19"/>
      <c r="G92" s="19"/>
      <c r="H92" s="19"/>
      <c r="I92" s="19">
        <f>D9</f>
        <v>1800</v>
      </c>
      <c r="J92" s="19">
        <f>G92-H92+I92</f>
        <v>1800</v>
      </c>
      <c r="K92" s="19">
        <f>K169</f>
        <v>1800</v>
      </c>
      <c r="L92" s="19">
        <f>L169</f>
        <v>1800</v>
      </c>
      <c r="M92" s="19">
        <f>M169</f>
        <v>1800</v>
      </c>
      <c r="N92" s="19">
        <f>N169</f>
        <v>1800</v>
      </c>
      <c r="O92" s="19">
        <f>O169</f>
        <v>1800</v>
      </c>
    </row>
    <row r="93" spans="2:15" x14ac:dyDescent="0.35">
      <c r="B93" t="s">
        <v>8</v>
      </c>
      <c r="C93" s="21">
        <f>SUM(C89:C92)</f>
        <v>771.39</v>
      </c>
      <c r="D93" s="21">
        <f>SUM(D89:D92)</f>
        <v>2298.027</v>
      </c>
      <c r="E93" s="21">
        <f>SUM(E89:E92)</f>
        <v>1640.9960000000001</v>
      </c>
      <c r="F93" s="21">
        <f>SUM(F89:F92)</f>
        <v>1349.3389999999999</v>
      </c>
      <c r="G93" s="21">
        <f>SUM(G89:G92)</f>
        <v>1230.885</v>
      </c>
      <c r="H93" s="19"/>
      <c r="I93" s="19"/>
      <c r="J93" s="21">
        <f t="shared" ref="J93:O93" si="28">SUM(J89:J92)</f>
        <v>4300</v>
      </c>
      <c r="K93" s="21">
        <f t="shared" si="28"/>
        <v>4275</v>
      </c>
      <c r="L93" s="21">
        <f t="shared" si="28"/>
        <v>4250</v>
      </c>
      <c r="M93" s="21">
        <f t="shared" si="28"/>
        <v>4225</v>
      </c>
      <c r="N93" s="21">
        <f t="shared" si="28"/>
        <v>4200</v>
      </c>
      <c r="O93" s="21">
        <f t="shared" si="28"/>
        <v>4175</v>
      </c>
    </row>
    <row r="94" spans="2:15" x14ac:dyDescent="0.35"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</row>
    <row r="95" spans="2:15" x14ac:dyDescent="0.35">
      <c r="B95" t="s">
        <v>51</v>
      </c>
      <c r="C95" s="19">
        <f>C96-C93-C86</f>
        <v>371.35300000000012</v>
      </c>
      <c r="D95" s="19">
        <f>D96-D93-D86</f>
        <v>744.56499999999994</v>
      </c>
      <c r="E95" s="19">
        <f>E96-E93-E86</f>
        <v>850.61899999999991</v>
      </c>
      <c r="F95" s="19">
        <f>F96-F93-F86</f>
        <v>886.87399999999991</v>
      </c>
      <c r="G95" s="19">
        <f>G96-G93-G86</f>
        <v>950.45300000000009</v>
      </c>
      <c r="H95" s="19"/>
      <c r="I95" s="19"/>
      <c r="J95" s="19">
        <f>G95-H95+I95</f>
        <v>950.45300000000009</v>
      </c>
      <c r="K95" s="19">
        <f>K40*K202</f>
        <v>928.3539723014743</v>
      </c>
      <c r="L95" s="19">
        <f>L40*L202</f>
        <v>956.20459147051838</v>
      </c>
      <c r="M95" s="19">
        <f>M40*M202</f>
        <v>984.89072921463412</v>
      </c>
      <c r="N95" s="19">
        <f>N40*N202</f>
        <v>1014.4374510910732</v>
      </c>
      <c r="O95" s="19">
        <f>O40*O202</f>
        <v>1044.8705746238054</v>
      </c>
    </row>
    <row r="96" spans="2:15" ht="15" thickBot="1" x14ac:dyDescent="0.4">
      <c r="B96" s="5" t="s">
        <v>52</v>
      </c>
      <c r="C96" s="22">
        <f>BS!B38/1000000</f>
        <v>1530.9860000000001</v>
      </c>
      <c r="D96" s="22">
        <f>BS!C38/1000000</f>
        <v>3683.866</v>
      </c>
      <c r="E96" s="22">
        <f>BS!D38/1000000</f>
        <v>3189.9110000000001</v>
      </c>
      <c r="F96" s="22">
        <f>BS!E38/1000000</f>
        <v>2976.4209999999998</v>
      </c>
      <c r="G96" s="22">
        <f>BS!F38/1000000</f>
        <v>2881.4670000000001</v>
      </c>
      <c r="H96" s="19"/>
      <c r="I96" s="19"/>
      <c r="J96" s="22">
        <f t="shared" ref="J96:O96" si="29">J95+J93+J86</f>
        <v>5950.5820000000003</v>
      </c>
      <c r="K96" s="22">
        <f t="shared" si="29"/>
        <v>5902.3174140136516</v>
      </c>
      <c r="L96" s="22">
        <f t="shared" si="29"/>
        <v>5926.1369364340608</v>
      </c>
      <c r="M96" s="22">
        <f t="shared" si="29"/>
        <v>5951.4210445270828</v>
      </c>
      <c r="N96" s="22">
        <f t="shared" si="29"/>
        <v>5978.2136758628949</v>
      </c>
      <c r="O96" s="22">
        <f t="shared" si="29"/>
        <v>6006.5600861387829</v>
      </c>
    </row>
    <row r="97" spans="2:15" ht="15" thickTop="1" x14ac:dyDescent="0.35"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</row>
    <row r="98" spans="2:15" x14ac:dyDescent="0.35">
      <c r="B98" s="5" t="s">
        <v>53</v>
      </c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</row>
    <row r="99" spans="2:15" x14ac:dyDescent="0.35">
      <c r="B99" t="s">
        <v>54</v>
      </c>
      <c r="C99" s="19">
        <f>BS!B72/1000000</f>
        <v>0.106</v>
      </c>
      <c r="D99" s="19">
        <f>BS!C72/1000000</f>
        <v>0.11</v>
      </c>
      <c r="E99" s="19">
        <f>BS!D72/1000000</f>
        <v>0.11</v>
      </c>
      <c r="F99" s="19">
        <f>BS!E72/1000000</f>
        <v>0.11</v>
      </c>
      <c r="G99" s="19">
        <f>BS!F72/1000000</f>
        <v>0.111</v>
      </c>
      <c r="H99" s="19">
        <f>G99</f>
        <v>0.111</v>
      </c>
      <c r="I99" s="19">
        <f>D12</f>
        <v>3385.1235500000012</v>
      </c>
      <c r="J99" s="19">
        <f>G99-H99+I99</f>
        <v>3385.1235500000012</v>
      </c>
      <c r="K99" s="19">
        <f t="shared" ref="K99:O100" si="30">J99+K137</f>
        <v>3385.1235500000012</v>
      </c>
      <c r="L99" s="19">
        <f t="shared" si="30"/>
        <v>3385.1235500000012</v>
      </c>
      <c r="M99" s="19">
        <f t="shared" si="30"/>
        <v>3385.1235500000012</v>
      </c>
      <c r="N99" s="19">
        <f t="shared" si="30"/>
        <v>3385.1235500000012</v>
      </c>
      <c r="O99" s="19">
        <f t="shared" si="30"/>
        <v>3385.1235500000012</v>
      </c>
    </row>
    <row r="100" spans="2:15" x14ac:dyDescent="0.35">
      <c r="B100" t="s">
        <v>371</v>
      </c>
      <c r="C100" s="19">
        <f>C102-C101-C99</f>
        <v>-1265.0640000000001</v>
      </c>
      <c r="D100" s="19">
        <f>D102-D101-D99</f>
        <v>-1001.3780000000005</v>
      </c>
      <c r="E100" s="19">
        <f>E102-E101-E99</f>
        <v>-1157.952</v>
      </c>
      <c r="F100" s="19">
        <f>F102-F101-F99</f>
        <v>-1726.2139999999993</v>
      </c>
      <c r="G100" s="19">
        <f>G102-G101-G99</f>
        <v>-2187.4659999999999</v>
      </c>
      <c r="H100" s="19">
        <f>G100</f>
        <v>-2187.4659999999999</v>
      </c>
      <c r="I100" s="19"/>
      <c r="J100" s="19">
        <f>G100-H100+I100</f>
        <v>0</v>
      </c>
      <c r="K100" s="19">
        <f t="shared" si="30"/>
        <v>0</v>
      </c>
      <c r="L100" s="19">
        <f t="shared" si="30"/>
        <v>0</v>
      </c>
      <c r="M100" s="19">
        <f t="shared" si="30"/>
        <v>0</v>
      </c>
      <c r="N100" s="19">
        <f t="shared" si="30"/>
        <v>0</v>
      </c>
      <c r="O100" s="19">
        <f t="shared" si="30"/>
        <v>0</v>
      </c>
    </row>
    <row r="101" spans="2:15" x14ac:dyDescent="0.35">
      <c r="B101" t="s">
        <v>56</v>
      </c>
      <c r="C101" s="19">
        <f>BS!B74/1000000</f>
        <v>1279.04</v>
      </c>
      <c r="D101" s="19">
        <f>BS!C74/1000000</f>
        <v>1819.1990000000001</v>
      </c>
      <c r="E101" s="19">
        <f>BS!D74/1000000</f>
        <v>2611.7649999999999</v>
      </c>
      <c r="F101" s="19">
        <f>BS!E74/1000000</f>
        <v>3561.8359999999998</v>
      </c>
      <c r="G101" s="19">
        <f>BS!F74/1000000</f>
        <v>3480.6379999999999</v>
      </c>
      <c r="H101" s="19">
        <f>G101</f>
        <v>3480.6379999999999</v>
      </c>
      <c r="I101" s="19"/>
      <c r="J101" s="19">
        <f>G101-H101+I101</f>
        <v>0</v>
      </c>
      <c r="K101" s="19">
        <f>J101+K56</f>
        <v>323.6531815714286</v>
      </c>
      <c r="L101" s="19">
        <f>K101+L56</f>
        <v>723.86116060285724</v>
      </c>
      <c r="M101" s="19">
        <f>L101+M56</f>
        <v>1138.069259478086</v>
      </c>
      <c r="N101" s="19">
        <f>M101+N56</f>
        <v>1558.1339242924289</v>
      </c>
      <c r="O101" s="19">
        <f>N101+O56</f>
        <v>2002.848419524059</v>
      </c>
    </row>
    <row r="102" spans="2:15" ht="15" thickBot="1" x14ac:dyDescent="0.4">
      <c r="B102" s="5" t="s">
        <v>57</v>
      </c>
      <c r="C102" s="22">
        <f>C77-C96</f>
        <v>14.08199999999988</v>
      </c>
      <c r="D102" s="22">
        <f>D77-D96</f>
        <v>817.93099999999959</v>
      </c>
      <c r="E102" s="22">
        <f>E77-E96</f>
        <v>1453.9229999999998</v>
      </c>
      <c r="F102" s="22">
        <f>F77-F96</f>
        <v>1835.7320000000004</v>
      </c>
      <c r="G102" s="22">
        <f>G77-G96</f>
        <v>1293.2829999999999</v>
      </c>
      <c r="H102" s="19"/>
      <c r="I102" s="19"/>
      <c r="J102" s="22">
        <f t="shared" ref="J102:O102" si="31">SUM(J99:J101)</f>
        <v>3385.1235500000012</v>
      </c>
      <c r="K102" s="22">
        <f t="shared" si="31"/>
        <v>3708.77673157143</v>
      </c>
      <c r="L102" s="22">
        <f t="shared" si="31"/>
        <v>4108.9847106028583</v>
      </c>
      <c r="M102" s="22">
        <f t="shared" si="31"/>
        <v>4523.1928094780869</v>
      </c>
      <c r="N102" s="22">
        <f t="shared" si="31"/>
        <v>4943.2574742924298</v>
      </c>
      <c r="O102" s="22">
        <f t="shared" si="31"/>
        <v>5387.9719695240601</v>
      </c>
    </row>
    <row r="103" spans="2:15" ht="15" thickTop="1" x14ac:dyDescent="0.35"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</row>
    <row r="104" spans="2:15" ht="15" thickBot="1" x14ac:dyDescent="0.4">
      <c r="B104" s="5" t="s">
        <v>58</v>
      </c>
      <c r="C104" s="22">
        <f>C102+C96</f>
        <v>1545.068</v>
      </c>
      <c r="D104" s="22">
        <f>D102+D96</f>
        <v>4501.7969999999996</v>
      </c>
      <c r="E104" s="22">
        <f>E102+E96</f>
        <v>4643.8339999999998</v>
      </c>
      <c r="F104" s="22">
        <f>F102+F96</f>
        <v>4812.1530000000002</v>
      </c>
      <c r="G104" s="22">
        <f>G102+G96</f>
        <v>4174.75</v>
      </c>
      <c r="H104" s="22">
        <f>SUM(H63:H103)</f>
        <v>7685.1235500000012</v>
      </c>
      <c r="I104" s="22">
        <f>SUM(I63:I103)</f>
        <v>7685.1235500000012</v>
      </c>
      <c r="J104" s="22">
        <f t="shared" ref="J104:O104" si="32">J102+J96</f>
        <v>9335.7055500000024</v>
      </c>
      <c r="K104" s="22">
        <f t="shared" si="32"/>
        <v>9611.0941455850807</v>
      </c>
      <c r="L104" s="22">
        <f t="shared" si="32"/>
        <v>10035.121647036918</v>
      </c>
      <c r="M104" s="22">
        <f t="shared" si="32"/>
        <v>10474.613854005169</v>
      </c>
      <c r="N104" s="22">
        <f t="shared" si="32"/>
        <v>10921.471150155325</v>
      </c>
      <c r="O104" s="22">
        <f t="shared" si="32"/>
        <v>11394.532055662843</v>
      </c>
    </row>
    <row r="105" spans="2:15" ht="15" thickTop="1" x14ac:dyDescent="0.35">
      <c r="B105" s="34" t="s">
        <v>172</v>
      </c>
      <c r="C105" s="23">
        <f>C104-C77</f>
        <v>0</v>
      </c>
      <c r="D105" s="23">
        <f>D104-D77</f>
        <v>0</v>
      </c>
      <c r="E105" s="23">
        <f>E104-E77</f>
        <v>0</v>
      </c>
      <c r="F105" s="23">
        <f>F104-F77</f>
        <v>0</v>
      </c>
      <c r="G105" s="23">
        <f>G104-G77</f>
        <v>0</v>
      </c>
      <c r="J105" s="23">
        <f t="shared" ref="J105:O105" si="33">J104-J77</f>
        <v>0</v>
      </c>
      <c r="K105" s="23">
        <f t="shared" si="33"/>
        <v>0</v>
      </c>
      <c r="L105" s="23">
        <f t="shared" si="33"/>
        <v>0</v>
      </c>
      <c r="M105" s="23">
        <f t="shared" si="33"/>
        <v>0</v>
      </c>
      <c r="N105" s="23">
        <f t="shared" si="33"/>
        <v>0</v>
      </c>
      <c r="O105" s="23">
        <f t="shared" si="33"/>
        <v>0</v>
      </c>
    </row>
    <row r="106" spans="2:15" x14ac:dyDescent="0.35">
      <c r="B106" s="3" t="s">
        <v>59</v>
      </c>
      <c r="C106" s="3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2:15" x14ac:dyDescent="0.35">
      <c r="B107" s="53"/>
      <c r="C107" s="53"/>
      <c r="D107" s="53"/>
      <c r="E107" s="53"/>
      <c r="F107" s="53"/>
      <c r="G107" s="166" t="s">
        <v>32</v>
      </c>
      <c r="H107" s="53"/>
      <c r="I107" s="53"/>
      <c r="J107" s="60" t="str">
        <f>G107</f>
        <v>LTM</v>
      </c>
      <c r="K107" s="53"/>
      <c r="L107" s="53"/>
      <c r="M107" s="53"/>
      <c r="N107" s="53"/>
      <c r="O107" s="53"/>
    </row>
    <row r="108" spans="2:15" ht="15" thickBot="1" x14ac:dyDescent="0.4">
      <c r="B108" s="11" t="s">
        <v>381</v>
      </c>
      <c r="C108" s="9">
        <f>C62</f>
        <v>2021</v>
      </c>
      <c r="D108" s="9">
        <f>D62</f>
        <v>2022</v>
      </c>
      <c r="E108" s="9">
        <f>E62</f>
        <v>2023</v>
      </c>
      <c r="F108" s="9">
        <f>F62</f>
        <v>2024</v>
      </c>
      <c r="G108" s="9">
        <f>G62</f>
        <v>2025</v>
      </c>
      <c r="H108" s="9"/>
      <c r="I108" s="9"/>
      <c r="J108" s="9">
        <f t="shared" ref="J108:O108" si="34">J39</f>
        <v>2025</v>
      </c>
      <c r="K108" s="9">
        <f t="shared" si="34"/>
        <v>2026</v>
      </c>
      <c r="L108" s="9">
        <f t="shared" si="34"/>
        <v>2027</v>
      </c>
      <c r="M108" s="9">
        <f t="shared" si="34"/>
        <v>2028</v>
      </c>
      <c r="N108" s="9">
        <f t="shared" si="34"/>
        <v>2029</v>
      </c>
      <c r="O108" s="9">
        <f t="shared" si="34"/>
        <v>2030</v>
      </c>
    </row>
    <row r="109" spans="2:15" ht="15" thickTop="1" x14ac:dyDescent="0.35">
      <c r="B109" t="s">
        <v>30</v>
      </c>
      <c r="E109" s="19"/>
      <c r="F109" s="19"/>
      <c r="G109" s="19"/>
      <c r="H109" s="19"/>
      <c r="I109" s="19"/>
      <c r="J109" s="19"/>
      <c r="K109" s="19">
        <f>K56</f>
        <v>323.6531815714286</v>
      </c>
      <c r="L109" s="19">
        <f>L56</f>
        <v>400.20797903142864</v>
      </c>
      <c r="M109" s="19">
        <f>M56</f>
        <v>414.20809887522876</v>
      </c>
      <c r="N109" s="19">
        <f>N56</f>
        <v>420.0646648143429</v>
      </c>
      <c r="O109" s="19">
        <f>O56</f>
        <v>444.71449523163017</v>
      </c>
    </row>
    <row r="110" spans="2:15" x14ac:dyDescent="0.35">
      <c r="B110" t="s">
        <v>60</v>
      </c>
      <c r="C110" s="19">
        <f>CF!B9/1000000</f>
        <v>31.975999999999999</v>
      </c>
      <c r="D110" s="19">
        <f>CF!C9/1000000</f>
        <v>39.228999999999999</v>
      </c>
      <c r="E110" s="19">
        <f>CF!D9/1000000</f>
        <v>54.304000000000002</v>
      </c>
      <c r="F110" s="19">
        <f>CF!E9/1000000</f>
        <v>69.84</v>
      </c>
      <c r="G110" s="19">
        <f>CF!F9/1000000</f>
        <v>79.281999999999996</v>
      </c>
      <c r="H110" s="19"/>
      <c r="I110" s="19"/>
      <c r="J110" s="19">
        <f>G110</f>
        <v>79.281999999999996</v>
      </c>
      <c r="K110" s="19">
        <f>K40*K189</f>
        <v>81.628199999999993</v>
      </c>
      <c r="L110" s="19">
        <f>L40*L189</f>
        <v>84.077045999999996</v>
      </c>
      <c r="M110" s="19">
        <f>M40*M189</f>
        <v>86.599357380000001</v>
      </c>
      <c r="N110" s="19">
        <f>N40*N189</f>
        <v>89.197338101400007</v>
      </c>
      <c r="O110" s="19">
        <f>O40*O189</f>
        <v>91.873258244441999</v>
      </c>
    </row>
    <row r="111" spans="2:15" x14ac:dyDescent="0.35">
      <c r="B111" t="s">
        <v>61</v>
      </c>
      <c r="C111" s="19"/>
      <c r="D111" s="19"/>
      <c r="E111" s="19"/>
      <c r="F111" s="19"/>
      <c r="G111" s="19"/>
      <c r="H111" s="19"/>
      <c r="I111" s="19"/>
      <c r="J111" s="19"/>
      <c r="K111" s="19">
        <f>K51</f>
        <v>31.97693571428572</v>
      </c>
      <c r="L111" s="19">
        <f>L51</f>
        <v>31.97693571428572</v>
      </c>
      <c r="M111" s="19">
        <f>M51</f>
        <v>31.97693571428572</v>
      </c>
      <c r="N111" s="19">
        <f>N51</f>
        <v>31.97693571428572</v>
      </c>
      <c r="O111" s="19">
        <f>O51</f>
        <v>31.97693571428572</v>
      </c>
    </row>
    <row r="112" spans="2:15" hidden="1" x14ac:dyDescent="0.35">
      <c r="B112" t="s">
        <v>62</v>
      </c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</row>
    <row r="113" spans="2:15" x14ac:dyDescent="0.35">
      <c r="B113" s="5" t="s">
        <v>63</v>
      </c>
      <c r="C113" s="19"/>
      <c r="D113" s="19"/>
      <c r="E113" s="19"/>
      <c r="F113" s="19"/>
      <c r="G113" s="19"/>
      <c r="H113" s="19"/>
      <c r="I113" s="19"/>
      <c r="J113" s="19"/>
      <c r="K113" s="21">
        <f>SUM(K109:K112)</f>
        <v>437.25831728571433</v>
      </c>
      <c r="L113" s="21">
        <f>SUM(L109:L112)</f>
        <v>516.2619607457143</v>
      </c>
      <c r="M113" s="21">
        <f>SUM(M109:M112)</f>
        <v>532.78439196951445</v>
      </c>
      <c r="N113" s="21">
        <f>SUM(N109:N112)</f>
        <v>541.23893863002866</v>
      </c>
      <c r="O113" s="21">
        <f>SUM(O109:O112)</f>
        <v>568.56468919035785</v>
      </c>
    </row>
    <row r="114" spans="2:15" x14ac:dyDescent="0.35"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</row>
    <row r="115" spans="2:15" x14ac:dyDescent="0.35">
      <c r="B115" s="5" t="s">
        <v>64</v>
      </c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</row>
    <row r="116" spans="2:15" x14ac:dyDescent="0.35">
      <c r="B116" t="s">
        <v>65</v>
      </c>
      <c r="C116" s="19">
        <f>CF!B18/1000000</f>
        <v>-35.063000000000002</v>
      </c>
      <c r="D116" s="19">
        <f>CF!C18/1000000</f>
        <v>-56.765999999999998</v>
      </c>
      <c r="E116" s="19">
        <f>CF!D18/1000000</f>
        <v>-13.317</v>
      </c>
      <c r="F116" s="19">
        <f>CF!E18/1000000</f>
        <v>42.587000000000003</v>
      </c>
      <c r="G116" s="19">
        <f>CF!F18/1000000</f>
        <v>-6.1689999999999996</v>
      </c>
      <c r="H116" s="19"/>
      <c r="I116" s="19"/>
      <c r="J116" s="19">
        <f t="shared" ref="J116:J121" si="35">G116</f>
        <v>-6.1689999999999996</v>
      </c>
      <c r="K116" s="19">
        <f t="shared" ref="K116:O118" si="36">J65-K65</f>
        <v>-57.836518542617114</v>
      </c>
      <c r="L116" s="19">
        <f t="shared" si="36"/>
        <v>-10.080825556278455</v>
      </c>
      <c r="M116" s="19">
        <f t="shared" si="36"/>
        <v>-10.383250322966944</v>
      </c>
      <c r="N116" s="19">
        <f t="shared" si="36"/>
        <v>-10.694747832655878</v>
      </c>
      <c r="O116" s="19">
        <f t="shared" si="36"/>
        <v>-11.015590267635559</v>
      </c>
    </row>
    <row r="117" spans="2:15" x14ac:dyDescent="0.35">
      <c r="B117" t="s">
        <v>66</v>
      </c>
      <c r="C117" s="19">
        <f>CF!B20/1000000</f>
        <v>-43.063000000000002</v>
      </c>
      <c r="D117" s="19">
        <f>CF!C20/1000000</f>
        <v>-91.614000000000004</v>
      </c>
      <c r="E117" s="19">
        <f>CF!D20/1000000</f>
        <v>86.35</v>
      </c>
      <c r="F117" s="19">
        <f>CF!E20/1000000</f>
        <v>22.055</v>
      </c>
      <c r="G117" s="19">
        <f>CF!F20/1000000</f>
        <v>-13.842000000000001</v>
      </c>
      <c r="H117" s="19"/>
      <c r="I117" s="19"/>
      <c r="J117" s="19">
        <f t="shared" si="35"/>
        <v>-13.842000000000001</v>
      </c>
      <c r="K117" s="19">
        <f t="shared" si="36"/>
        <v>-39.75906590289236</v>
      </c>
      <c r="L117" s="19">
        <f t="shared" si="36"/>
        <v>-12.253381977086747</v>
      </c>
      <c r="M117" s="19">
        <f t="shared" si="36"/>
        <v>-12.620983436399399</v>
      </c>
      <c r="N117" s="19">
        <f t="shared" si="36"/>
        <v>-12.999612939491328</v>
      </c>
      <c r="O117" s="19">
        <f t="shared" si="36"/>
        <v>-13.389601327676132</v>
      </c>
    </row>
    <row r="118" spans="2:15" x14ac:dyDescent="0.35">
      <c r="B118" t="s">
        <v>67</v>
      </c>
      <c r="C118" s="19">
        <f>CF!B21/1000000</f>
        <v>-6.2119999999999997</v>
      </c>
      <c r="D118" s="19">
        <f>CF!C21/1000000</f>
        <v>-14.435</v>
      </c>
      <c r="E118" s="19">
        <f>CF!D21/1000000</f>
        <v>-31.838999999999999</v>
      </c>
      <c r="F118" s="19">
        <f>CF!E21/1000000</f>
        <v>-13.891999999999999</v>
      </c>
      <c r="G118" s="19">
        <f>CF!F21/1000000</f>
        <v>-22.317</v>
      </c>
      <c r="H118" s="19"/>
      <c r="I118" s="19"/>
      <c r="J118" s="19">
        <f t="shared" si="35"/>
        <v>-22.317</v>
      </c>
      <c r="K118" s="19">
        <f t="shared" si="36"/>
        <v>23.64024771040917</v>
      </c>
      <c r="L118" s="19">
        <f t="shared" si="36"/>
        <v>-2.5503225686877187</v>
      </c>
      <c r="M118" s="19">
        <f t="shared" si="36"/>
        <v>-2.6268322457483748</v>
      </c>
      <c r="N118" s="19">
        <f t="shared" si="36"/>
        <v>-2.7056372131208093</v>
      </c>
      <c r="O118" s="19">
        <f t="shared" si="36"/>
        <v>-2.7868063295144339</v>
      </c>
    </row>
    <row r="119" spans="2:15" x14ac:dyDescent="0.35">
      <c r="B119" t="s">
        <v>68</v>
      </c>
      <c r="C119" s="19">
        <f>CF!B22/1000000</f>
        <v>73.316000000000003</v>
      </c>
      <c r="D119" s="19">
        <f>CF!C22/1000000</f>
        <v>80.33</v>
      </c>
      <c r="E119" s="19">
        <f>CF!D22/1000000</f>
        <v>83.891999999999996</v>
      </c>
      <c r="F119" s="19">
        <f>CF!E22/1000000</f>
        <v>13.922000000000001</v>
      </c>
      <c r="G119" s="19">
        <f>CF!F22/1000000</f>
        <v>1.2330000000000001</v>
      </c>
      <c r="H119" s="19"/>
      <c r="I119" s="19"/>
      <c r="J119" s="19">
        <f t="shared" si="35"/>
        <v>1.2330000000000001</v>
      </c>
      <c r="K119" s="19">
        <f t="shared" ref="K119:O121" si="37">K83-J83</f>
        <v>-42.597926016990471</v>
      </c>
      <c r="L119" s="19">
        <f t="shared" si="37"/>
        <v>6.7047622194902488</v>
      </c>
      <c r="M119" s="19">
        <f t="shared" si="37"/>
        <v>6.9059050860750233</v>
      </c>
      <c r="N119" s="19">
        <f t="shared" si="37"/>
        <v>7.1130822386572277</v>
      </c>
      <c r="O119" s="19">
        <f t="shared" si="37"/>
        <v>7.3264747058169917</v>
      </c>
    </row>
    <row r="120" spans="2:15" x14ac:dyDescent="0.35">
      <c r="B120" t="s">
        <v>69</v>
      </c>
      <c r="C120" s="19">
        <f>CF!B23/1000000</f>
        <v>34.868000000000002</v>
      </c>
      <c r="D120" s="19">
        <f>CF!C23/1000000</f>
        <v>41.701000000000001</v>
      </c>
      <c r="E120" s="19">
        <f>CF!D23/1000000</f>
        <v>37.197000000000003</v>
      </c>
      <c r="F120" s="19">
        <f>CF!E23/1000000</f>
        <v>3.9510000000000001</v>
      </c>
      <c r="G120" s="19">
        <f>CF!F23/1000000</f>
        <v>0.70899999999999996</v>
      </c>
      <c r="H120" s="19"/>
      <c r="I120" s="19"/>
      <c r="J120" s="19">
        <f t="shared" si="35"/>
        <v>0.70899999999999996</v>
      </c>
      <c r="K120" s="19">
        <f t="shared" si="37"/>
        <v>0.2101975702100134</v>
      </c>
      <c r="L120" s="19">
        <f t="shared" si="37"/>
        <v>2.7978359271062914</v>
      </c>
      <c r="M120" s="19">
        <f t="shared" si="37"/>
        <v>2.8817710049195</v>
      </c>
      <c r="N120" s="19">
        <f t="shared" si="37"/>
        <v>2.9682241350670751</v>
      </c>
      <c r="O120" s="19">
        <f t="shared" si="37"/>
        <v>3.057270859119086</v>
      </c>
    </row>
    <row r="121" spans="2:15" x14ac:dyDescent="0.35">
      <c r="B121" t="s">
        <v>70</v>
      </c>
      <c r="C121" s="19">
        <f>C122-SUM(C116:C120)</f>
        <v>-68.372</v>
      </c>
      <c r="D121" s="19">
        <f>D122-SUM(D116:D120)</f>
        <v>-50.898000000000003</v>
      </c>
      <c r="E121" s="19">
        <f>E122-SUM(E116:E120)</f>
        <v>204.24199999999999</v>
      </c>
      <c r="F121" s="19">
        <f>F122-SUM(F116:F120)</f>
        <v>-0.19299999999998363</v>
      </c>
      <c r="G121" s="19">
        <f>G122-SUM(G116:G120)</f>
        <v>-180.101</v>
      </c>
      <c r="H121" s="19"/>
      <c r="I121" s="19"/>
      <c r="J121" s="19">
        <f t="shared" si="35"/>
        <v>-180.101</v>
      </c>
      <c r="K121" s="19">
        <f t="shared" si="37"/>
        <v>41.222170158957738</v>
      </c>
      <c r="L121" s="19">
        <f t="shared" si="37"/>
        <v>11.466305104768708</v>
      </c>
      <c r="M121" s="19">
        <f t="shared" si="37"/>
        <v>11.810294257911835</v>
      </c>
      <c r="N121" s="19">
        <f t="shared" si="37"/>
        <v>12.164603085649162</v>
      </c>
      <c r="O121" s="19">
        <f t="shared" si="37"/>
        <v>12.529541178218665</v>
      </c>
    </row>
    <row r="122" spans="2:15" x14ac:dyDescent="0.35">
      <c r="B122" s="5" t="s">
        <v>71</v>
      </c>
      <c r="C122" s="21">
        <f>CF!B17/1000000</f>
        <v>-44.526000000000003</v>
      </c>
      <c r="D122" s="21">
        <f>CF!C17/1000000</f>
        <v>-91.682000000000002</v>
      </c>
      <c r="E122" s="21">
        <f>CF!D17/1000000</f>
        <v>366.52499999999998</v>
      </c>
      <c r="F122" s="21">
        <f>CF!E17/1000000</f>
        <v>68.430000000000007</v>
      </c>
      <c r="G122" s="21">
        <f>CF!F17/1000000</f>
        <v>-220.48699999999999</v>
      </c>
      <c r="H122" s="19"/>
      <c r="I122" s="19"/>
      <c r="J122" s="21">
        <f>SUM(J115:J121)</f>
        <v>-220.48699999999999</v>
      </c>
      <c r="K122" s="21">
        <f>SUM(K116:K121)</f>
        <v>-75.120895022923023</v>
      </c>
      <c r="L122" s="21">
        <f>SUM(L116:L121)</f>
        <v>-3.9156268506876728</v>
      </c>
      <c r="M122" s="21">
        <f>SUM(M116:M121)</f>
        <v>-4.03309565620836</v>
      </c>
      <c r="N122" s="21">
        <f>SUM(N116:N121)</f>
        <v>-4.1540885258945508</v>
      </c>
      <c r="O122" s="21">
        <f>SUM(O116:O121)</f>
        <v>-4.2787111816713832</v>
      </c>
    </row>
    <row r="123" spans="2:15" x14ac:dyDescent="0.35"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</row>
    <row r="124" spans="2:15" x14ac:dyDescent="0.35">
      <c r="B124" t="s">
        <v>170</v>
      </c>
      <c r="C124" s="19"/>
      <c r="D124" s="19"/>
      <c r="E124" s="19"/>
      <c r="F124" s="19"/>
      <c r="G124" s="19"/>
      <c r="H124" s="19"/>
      <c r="I124" s="19"/>
      <c r="J124" s="19"/>
      <c r="K124" s="19">
        <f>K113+K122</f>
        <v>362.13742226279129</v>
      </c>
      <c r="L124" s="19">
        <f>L113+L122</f>
        <v>512.34633389502665</v>
      </c>
      <c r="M124" s="19">
        <f>M113+M122</f>
        <v>528.75129631330606</v>
      </c>
      <c r="N124" s="19">
        <f>N113+N122</f>
        <v>537.08485010413415</v>
      </c>
      <c r="O124" s="19">
        <f>O113+O122</f>
        <v>564.28597800868647</v>
      </c>
    </row>
    <row r="125" spans="2:15" x14ac:dyDescent="0.35"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</row>
    <row r="126" spans="2:15" x14ac:dyDescent="0.35">
      <c r="B126" s="5" t="s">
        <v>72</v>
      </c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</row>
    <row r="127" spans="2:15" x14ac:dyDescent="0.35">
      <c r="B127" t="s">
        <v>73</v>
      </c>
      <c r="C127" s="19">
        <f>CF!B70/1000000</f>
        <v>-55.915999999999997</v>
      </c>
      <c r="D127" s="19">
        <f>CF!C70/1000000</f>
        <v>-104.19</v>
      </c>
      <c r="E127" s="19">
        <f>CF!D70/1000000</f>
        <v>-115.625</v>
      </c>
      <c r="F127" s="19">
        <f>CF!E70/1000000</f>
        <v>-69.346999999999994</v>
      </c>
      <c r="G127" s="19">
        <f>CF!F70/1000000</f>
        <v>-51.231000000000002</v>
      </c>
      <c r="H127" s="19"/>
      <c r="I127" s="19"/>
      <c r="J127" s="19">
        <f>G127</f>
        <v>-51.231000000000002</v>
      </c>
      <c r="K127" s="19">
        <f>-K40*K190</f>
        <v>-81.628199999999993</v>
      </c>
      <c r="L127" s="19">
        <f>-L40*L190</f>
        <v>-65.657129725396402</v>
      </c>
      <c r="M127" s="19">
        <f>-M40*M190</f>
        <v>-67.626843617158301</v>
      </c>
      <c r="N127" s="19">
        <f>-N40*N190</f>
        <v>-69.655648925673049</v>
      </c>
      <c r="O127" s="19">
        <f>-O40*O190</f>
        <v>-71.745318393443242</v>
      </c>
    </row>
    <row r="128" spans="2:15" x14ac:dyDescent="0.35">
      <c r="B128" t="s">
        <v>74</v>
      </c>
      <c r="C128" s="19"/>
      <c r="D128" s="19"/>
      <c r="E128" s="19"/>
      <c r="F128" s="19"/>
      <c r="G128" s="19"/>
      <c r="H128" s="19"/>
      <c r="I128" s="19"/>
      <c r="J128" s="19"/>
      <c r="K128" s="19">
        <f>J76-K76</f>
        <v>-36.283464076133896</v>
      </c>
      <c r="L128" s="19">
        <f>K76-L76</f>
        <v>-70.308043922284014</v>
      </c>
      <c r="M128" s="19">
        <f>L76-M76</f>
        <v>-72.417285239952889</v>
      </c>
      <c r="N128" s="19">
        <f>M76-N76</f>
        <v>-74.589803797151035</v>
      </c>
      <c r="O128" s="19">
        <f>N76-O76</f>
        <v>-76.82749791106562</v>
      </c>
    </row>
    <row r="129" spans="2:15" x14ac:dyDescent="0.35">
      <c r="B129" s="5" t="s">
        <v>75</v>
      </c>
      <c r="C129" s="19"/>
      <c r="D129" s="19"/>
      <c r="E129" s="19"/>
      <c r="F129" s="19"/>
      <c r="G129" s="19"/>
      <c r="H129" s="19"/>
      <c r="I129" s="19"/>
      <c r="J129" s="19"/>
      <c r="K129" s="21">
        <f>SUM(K127:K128)</f>
        <v>-117.91166407613389</v>
      </c>
      <c r="L129" s="21">
        <f>SUM(L127:L128)</f>
        <v>-135.96517364768042</v>
      </c>
      <c r="M129" s="21">
        <f>SUM(M127:M128)</f>
        <v>-140.04412885711119</v>
      </c>
      <c r="N129" s="21">
        <f>SUM(N127:N128)</f>
        <v>-144.2454527228241</v>
      </c>
      <c r="O129" s="21">
        <f>SUM(O127:O128)</f>
        <v>-148.57281630450888</v>
      </c>
    </row>
    <row r="130" spans="2:15" x14ac:dyDescent="0.35"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</row>
    <row r="131" spans="2:15" x14ac:dyDescent="0.35">
      <c r="B131" s="5" t="s">
        <v>76</v>
      </c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</row>
    <row r="132" spans="2:15" hidden="1" x14ac:dyDescent="0.35">
      <c r="B132" t="s">
        <v>50</v>
      </c>
      <c r="C132" s="19"/>
      <c r="D132" s="19"/>
      <c r="E132" s="19"/>
      <c r="F132" s="19"/>
      <c r="G132" s="19"/>
      <c r="H132" s="19"/>
      <c r="I132" s="19"/>
      <c r="J132" s="19"/>
      <c r="K132" s="19">
        <f>K89-J89</f>
        <v>0</v>
      </c>
      <c r="L132" s="19">
        <f>L89-K89</f>
        <v>0</v>
      </c>
      <c r="M132" s="19">
        <f>M89-L89</f>
        <v>0</v>
      </c>
      <c r="N132" s="19">
        <f>N89-M89</f>
        <v>0</v>
      </c>
      <c r="O132" s="19">
        <f>O89-N89</f>
        <v>0</v>
      </c>
    </row>
    <row r="133" spans="2:15" hidden="1" x14ac:dyDescent="0.35">
      <c r="B133" t="str">
        <f>B7</f>
        <v>Revolving Line</v>
      </c>
      <c r="C133" s="19"/>
      <c r="D133" s="19"/>
      <c r="E133" s="19"/>
      <c r="F133" s="19"/>
      <c r="G133" s="19"/>
      <c r="H133" s="19"/>
      <c r="I133" s="19"/>
      <c r="J133" s="19"/>
      <c r="K133" s="19">
        <f>K157</f>
        <v>0</v>
      </c>
      <c r="L133" s="19">
        <f>L157</f>
        <v>0</v>
      </c>
      <c r="M133" s="19">
        <f>M157</f>
        <v>0</v>
      </c>
      <c r="N133" s="19">
        <f>N157</f>
        <v>0</v>
      </c>
      <c r="O133" s="19">
        <f>O157</f>
        <v>0</v>
      </c>
    </row>
    <row r="134" spans="2:15" x14ac:dyDescent="0.35">
      <c r="B134" t="str">
        <f>B8</f>
        <v>Term Loan</v>
      </c>
      <c r="C134" s="19"/>
      <c r="D134" s="19"/>
      <c r="E134" s="19"/>
      <c r="F134" s="19"/>
      <c r="G134" s="19"/>
      <c r="H134" s="19"/>
      <c r="I134" s="19"/>
      <c r="J134" s="19"/>
      <c r="K134" s="19">
        <f>-K164</f>
        <v>-25</v>
      </c>
      <c r="L134" s="19">
        <f>-L164</f>
        <v>-25</v>
      </c>
      <c r="M134" s="19">
        <f>-M164</f>
        <v>-25</v>
      </c>
      <c r="N134" s="19">
        <f>-N164</f>
        <v>-25</v>
      </c>
      <c r="O134" s="19">
        <f>-O164</f>
        <v>-25</v>
      </c>
    </row>
    <row r="135" spans="2:15" x14ac:dyDescent="0.35">
      <c r="B135" t="str">
        <f>B9</f>
        <v>Subordinated Notes</v>
      </c>
      <c r="C135" s="19"/>
      <c r="D135" s="19"/>
      <c r="E135" s="19"/>
      <c r="F135" s="19"/>
      <c r="G135" s="19"/>
      <c r="H135" s="19"/>
      <c r="I135" s="19"/>
      <c r="J135" s="19"/>
      <c r="K135" s="19">
        <f>-K170</f>
        <v>0</v>
      </c>
      <c r="L135" s="19">
        <f>-L170</f>
        <v>0</v>
      </c>
      <c r="M135" s="19">
        <f>-M170</f>
        <v>0</v>
      </c>
      <c r="N135" s="19">
        <f>-N170</f>
        <v>0</v>
      </c>
      <c r="O135" s="19">
        <f>-O170</f>
        <v>0</v>
      </c>
    </row>
    <row r="136" spans="2:15" x14ac:dyDescent="0.35">
      <c r="B136" t="s">
        <v>51</v>
      </c>
      <c r="C136" s="19"/>
      <c r="D136" s="19"/>
      <c r="E136" s="19"/>
      <c r="F136" s="19"/>
      <c r="G136" s="19"/>
      <c r="H136" s="19"/>
      <c r="I136" s="19"/>
      <c r="J136" s="19"/>
      <c r="K136" s="19">
        <f>K95-J95</f>
        <v>-22.099027698525788</v>
      </c>
      <c r="L136" s="19">
        <f>L95-K95</f>
        <v>27.85061916904408</v>
      </c>
      <c r="M136" s="19">
        <f>M95-L95</f>
        <v>28.68613774411574</v>
      </c>
      <c r="N136" s="19">
        <f>N95-M95</f>
        <v>29.546721876439051</v>
      </c>
      <c r="O136" s="19">
        <f>O95-N95</f>
        <v>30.433123532732225</v>
      </c>
    </row>
    <row r="137" spans="2:15" hidden="1" x14ac:dyDescent="0.35">
      <c r="B137" s="15" t="s">
        <v>171</v>
      </c>
      <c r="C137" s="19"/>
      <c r="D137" s="19"/>
      <c r="E137" s="19"/>
      <c r="F137" s="19"/>
      <c r="G137" s="19"/>
      <c r="H137" s="19"/>
      <c r="I137" s="19"/>
      <c r="J137" s="19"/>
      <c r="K137" s="19">
        <v>0</v>
      </c>
      <c r="L137" s="19">
        <v>0</v>
      </c>
      <c r="M137" s="19">
        <v>0</v>
      </c>
      <c r="N137" s="19">
        <v>0</v>
      </c>
      <c r="O137" s="19">
        <v>0</v>
      </c>
    </row>
    <row r="138" spans="2:15" hidden="1" x14ac:dyDescent="0.35">
      <c r="B138" s="15" t="s">
        <v>55</v>
      </c>
      <c r="C138" s="19"/>
      <c r="D138" s="19"/>
      <c r="E138" s="19"/>
      <c r="F138" s="19"/>
      <c r="G138" s="19"/>
      <c r="H138" s="19"/>
      <c r="I138" s="19"/>
      <c r="J138" s="19"/>
      <c r="K138" s="19">
        <v>0</v>
      </c>
      <c r="L138" s="19">
        <v>0</v>
      </c>
      <c r="M138" s="19">
        <v>0</v>
      </c>
      <c r="N138" s="19">
        <v>0</v>
      </c>
      <c r="O138" s="19">
        <v>0</v>
      </c>
    </row>
    <row r="139" spans="2:15" x14ac:dyDescent="0.35">
      <c r="B139" s="5" t="s">
        <v>77</v>
      </c>
      <c r="C139" s="19"/>
      <c r="D139" s="19"/>
      <c r="E139" s="19"/>
      <c r="F139" s="19"/>
      <c r="G139" s="19"/>
      <c r="H139" s="19"/>
      <c r="I139" s="19"/>
      <c r="J139" s="19"/>
      <c r="K139" s="21">
        <f>SUM(K132:K138)</f>
        <v>-47.099027698525788</v>
      </c>
      <c r="L139" s="21">
        <f>SUM(L132:L138)</f>
        <v>2.8506191690440801</v>
      </c>
      <c r="M139" s="21">
        <f>SUM(M132:M138)</f>
        <v>3.6861377441157401</v>
      </c>
      <c r="N139" s="21">
        <f>SUM(N132:N138)</f>
        <v>4.5467218764390509</v>
      </c>
      <c r="O139" s="21">
        <f>SUM(O132:O138)</f>
        <v>5.4331235327322247</v>
      </c>
    </row>
    <row r="140" spans="2:15" hidden="1" x14ac:dyDescent="0.35"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</row>
    <row r="141" spans="2:15" ht="15" thickBot="1" x14ac:dyDescent="0.4">
      <c r="B141" t="s">
        <v>78</v>
      </c>
      <c r="C141" s="19"/>
      <c r="D141" s="19"/>
      <c r="E141" s="19"/>
      <c r="F141" s="19"/>
      <c r="G141" s="19"/>
      <c r="H141" s="19"/>
      <c r="I141" s="19"/>
      <c r="J141" s="19"/>
      <c r="K141" s="22">
        <f>K124+K129+K139</f>
        <v>197.12673048813161</v>
      </c>
      <c r="L141" s="22">
        <f>L124+L129+L139</f>
        <v>379.23177941639028</v>
      </c>
      <c r="M141" s="22">
        <f>M124+M129+M139</f>
        <v>392.39330520031058</v>
      </c>
      <c r="N141" s="22">
        <f>N124+N129+N139</f>
        <v>397.3861192577491</v>
      </c>
      <c r="O141" s="22">
        <f>O124+O129+O139</f>
        <v>421.14628523690982</v>
      </c>
    </row>
    <row r="142" spans="2:15" ht="15" thickTop="1" x14ac:dyDescent="0.35"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</row>
    <row r="143" spans="2:15" x14ac:dyDescent="0.35">
      <c r="B143" t="s">
        <v>79</v>
      </c>
      <c r="C143" s="19"/>
      <c r="D143" s="19"/>
      <c r="E143" s="19"/>
      <c r="F143" s="19"/>
      <c r="G143" s="19"/>
      <c r="H143" s="19"/>
      <c r="I143" s="19"/>
      <c r="J143" s="19"/>
      <c r="K143" s="19">
        <f>J64</f>
        <v>130.35400000000001</v>
      </c>
      <c r="L143" s="19">
        <f>K64</f>
        <v>327.4807304881316</v>
      </c>
      <c r="M143" s="19">
        <f>L64</f>
        <v>706.71250990452188</v>
      </c>
      <c r="N143" s="19">
        <f>M64</f>
        <v>1099.1058151048323</v>
      </c>
      <c r="O143" s="19">
        <f>N64</f>
        <v>1496.4919343625816</v>
      </c>
    </row>
    <row r="144" spans="2:15" x14ac:dyDescent="0.35">
      <c r="B144" t="s">
        <v>80</v>
      </c>
      <c r="E144" s="19"/>
      <c r="F144" s="19"/>
      <c r="G144" s="19"/>
      <c r="H144" s="19"/>
      <c r="I144" s="19"/>
      <c r="J144" s="19"/>
      <c r="K144" s="19">
        <f>K143+K141</f>
        <v>327.4807304881316</v>
      </c>
      <c r="L144" s="19">
        <f>L143+L141</f>
        <v>706.71250990452188</v>
      </c>
      <c r="M144" s="19">
        <f>M143+M141</f>
        <v>1099.1058151048323</v>
      </c>
      <c r="N144" s="19">
        <f>N143+N141</f>
        <v>1496.4919343625816</v>
      </c>
      <c r="O144" s="19">
        <f>O143+O141</f>
        <v>1917.6382195994913</v>
      </c>
    </row>
    <row r="146" spans="2:21" x14ac:dyDescent="0.35">
      <c r="B146" s="3" t="s">
        <v>81</v>
      </c>
      <c r="C146" s="3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</row>
    <row r="147" spans="2:21" x14ac:dyDescent="0.35">
      <c r="B147" s="4"/>
      <c r="C147" s="4"/>
      <c r="D147" s="4"/>
      <c r="E147" s="4"/>
      <c r="F147" s="4"/>
      <c r="G147" s="65" t="s">
        <v>32</v>
      </c>
      <c r="H147" s="4"/>
      <c r="I147" s="4"/>
      <c r="J147" s="7" t="str">
        <f>G147</f>
        <v>LTM</v>
      </c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</row>
    <row r="148" spans="2:21" ht="15" thickBot="1" x14ac:dyDescent="0.4">
      <c r="B148" s="11" t="s">
        <v>381</v>
      </c>
      <c r="C148" s="9">
        <f>C108</f>
        <v>2021</v>
      </c>
      <c r="D148" s="9">
        <f>D108</f>
        <v>2022</v>
      </c>
      <c r="E148" s="9">
        <f>E108</f>
        <v>2023</v>
      </c>
      <c r="F148" s="9">
        <f>F108</f>
        <v>2024</v>
      </c>
      <c r="G148" s="9">
        <f>G108</f>
        <v>2025</v>
      </c>
      <c r="H148" s="9"/>
      <c r="I148" s="9" t="s">
        <v>179</v>
      </c>
      <c r="J148" s="9">
        <f t="shared" ref="J148:O148" si="38">J39</f>
        <v>2025</v>
      </c>
      <c r="K148" s="9">
        <f t="shared" si="38"/>
        <v>2026</v>
      </c>
      <c r="L148" s="9">
        <f t="shared" si="38"/>
        <v>2027</v>
      </c>
      <c r="M148" s="9">
        <f t="shared" si="38"/>
        <v>2028</v>
      </c>
      <c r="N148" s="9">
        <f t="shared" si="38"/>
        <v>2029</v>
      </c>
      <c r="O148" s="9">
        <f t="shared" si="38"/>
        <v>2030</v>
      </c>
      <c r="P148" s="9">
        <f>O148+1</f>
        <v>2031</v>
      </c>
      <c r="Q148" s="9">
        <f>P148+1</f>
        <v>2032</v>
      </c>
      <c r="R148" s="9">
        <f>Q148+1</f>
        <v>2033</v>
      </c>
      <c r="S148" s="9"/>
      <c r="T148" s="9">
        <f>R148+1</f>
        <v>2034</v>
      </c>
      <c r="U148" s="9">
        <f t="shared" ref="U148" si="39">T148+1</f>
        <v>2035</v>
      </c>
    </row>
    <row r="149" spans="2:21" ht="15" thickTop="1" x14ac:dyDescent="0.35">
      <c r="B149" s="5" t="s">
        <v>82</v>
      </c>
      <c r="C149" s="5"/>
    </row>
    <row r="150" spans="2:21" x14ac:dyDescent="0.35">
      <c r="B150" t="s">
        <v>83</v>
      </c>
      <c r="J150" s="45">
        <v>3.6499999999999998E-2</v>
      </c>
      <c r="K150" s="36">
        <f t="shared" ref="K150:R150" si="40">J150+K151</f>
        <v>4.1499999999999995E-2</v>
      </c>
      <c r="L150" s="36">
        <f t="shared" si="40"/>
        <v>4.6499999999999993E-2</v>
      </c>
      <c r="M150" s="36">
        <f t="shared" si="40"/>
        <v>5.149999999999999E-2</v>
      </c>
      <c r="N150" s="36">
        <f t="shared" si="40"/>
        <v>6.1499999999999992E-2</v>
      </c>
      <c r="O150" s="36">
        <f t="shared" si="40"/>
        <v>6.1499999999999992E-2</v>
      </c>
      <c r="P150" s="36">
        <f t="shared" si="40"/>
        <v>6.1499999999999992E-2</v>
      </c>
      <c r="Q150" s="36">
        <f t="shared" si="40"/>
        <v>6.1499999999999992E-2</v>
      </c>
      <c r="R150" s="36">
        <f t="shared" si="40"/>
        <v>6.1499999999999992E-2</v>
      </c>
      <c r="S150" s="36"/>
      <c r="T150" s="36">
        <f t="shared" ref="T150" si="41">R150+T151</f>
        <v>6.1499999999999992E-2</v>
      </c>
      <c r="U150" s="36">
        <f t="shared" ref="U150" si="42">T150+U151</f>
        <v>6.1499999999999992E-2</v>
      </c>
    </row>
    <row r="151" spans="2:21" x14ac:dyDescent="0.35">
      <c r="B151" t="s">
        <v>84</v>
      </c>
      <c r="K151" s="45">
        <v>5.0000000000000001E-3</v>
      </c>
      <c r="L151" s="45">
        <v>5.0000000000000001E-3</v>
      </c>
      <c r="M151" s="45">
        <v>5.0000000000000001E-3</v>
      </c>
      <c r="N151" s="45">
        <v>0.01</v>
      </c>
      <c r="O151" s="27"/>
      <c r="P151" s="27"/>
      <c r="Q151" s="27"/>
      <c r="R151" s="27"/>
      <c r="S151" s="27"/>
      <c r="T151" s="27"/>
      <c r="U151" s="27"/>
    </row>
    <row r="152" spans="2:21" x14ac:dyDescent="0.35">
      <c r="B152" t="s">
        <v>85</v>
      </c>
      <c r="K152" s="45">
        <v>0.04</v>
      </c>
      <c r="L152" s="45">
        <v>0.04</v>
      </c>
      <c r="M152" s="45">
        <v>0.04</v>
      </c>
      <c r="N152" s="45">
        <v>0.04</v>
      </c>
      <c r="O152" s="45">
        <v>0.04</v>
      </c>
      <c r="P152" s="45">
        <v>0.04</v>
      </c>
      <c r="Q152" s="45">
        <v>0.04</v>
      </c>
      <c r="R152" s="45">
        <v>0.04</v>
      </c>
      <c r="S152" s="45"/>
      <c r="T152" s="45">
        <v>1.04</v>
      </c>
      <c r="U152" s="45">
        <v>2.04</v>
      </c>
    </row>
    <row r="153" spans="2:21" x14ac:dyDescent="0.35">
      <c r="B153" t="s">
        <v>86</v>
      </c>
      <c r="K153" s="36">
        <f t="shared" ref="K153:R153" si="43">K150+K152</f>
        <v>8.1499999999999989E-2</v>
      </c>
      <c r="L153" s="36">
        <f t="shared" si="43"/>
        <v>8.6499999999999994E-2</v>
      </c>
      <c r="M153" s="36">
        <f t="shared" si="43"/>
        <v>9.1499999999999998E-2</v>
      </c>
      <c r="N153" s="36">
        <f t="shared" si="43"/>
        <v>0.10149999999999999</v>
      </c>
      <c r="O153" s="36">
        <f t="shared" si="43"/>
        <v>0.10149999999999999</v>
      </c>
      <c r="P153" s="36">
        <f t="shared" si="43"/>
        <v>0.10149999999999999</v>
      </c>
      <c r="Q153" s="36">
        <f t="shared" si="43"/>
        <v>0.10149999999999999</v>
      </c>
      <c r="R153" s="36">
        <f t="shared" si="43"/>
        <v>0.10149999999999999</v>
      </c>
      <c r="S153" s="36"/>
      <c r="T153" s="36">
        <f t="shared" ref="T153:U153" si="44">T150+T152</f>
        <v>1.1014999999999999</v>
      </c>
      <c r="U153" s="36">
        <f t="shared" si="44"/>
        <v>2.1015000000000001</v>
      </c>
    </row>
    <row r="155" spans="2:21" x14ac:dyDescent="0.35">
      <c r="B155" s="5" t="str">
        <f>B7</f>
        <v>Revolving Line</v>
      </c>
      <c r="C155" s="5"/>
    </row>
    <row r="156" spans="2:21" x14ac:dyDescent="0.35">
      <c r="B156" t="s">
        <v>87</v>
      </c>
      <c r="J156" s="23">
        <f>D7</f>
        <v>0</v>
      </c>
      <c r="K156" s="23">
        <f t="shared" ref="K156:Q156" si="45">J156-K157</f>
        <v>0</v>
      </c>
      <c r="L156" s="23">
        <f t="shared" si="45"/>
        <v>0</v>
      </c>
      <c r="M156" s="23">
        <f t="shared" si="45"/>
        <v>0</v>
      </c>
      <c r="N156" s="23">
        <f t="shared" si="45"/>
        <v>0</v>
      </c>
      <c r="O156" s="23">
        <f t="shared" si="45"/>
        <v>0</v>
      </c>
      <c r="P156" s="23">
        <f t="shared" si="45"/>
        <v>0</v>
      </c>
      <c r="Q156" s="23">
        <f t="shared" si="45"/>
        <v>0</v>
      </c>
    </row>
    <row r="157" spans="2:21" x14ac:dyDescent="0.35">
      <c r="B157" t="s">
        <v>88</v>
      </c>
      <c r="K157" s="23">
        <v>0</v>
      </c>
      <c r="L157" s="23">
        <v>0</v>
      </c>
      <c r="M157" s="23">
        <v>0</v>
      </c>
      <c r="N157" s="23">
        <v>0</v>
      </c>
      <c r="O157" s="23">
        <v>0</v>
      </c>
      <c r="P157" s="23">
        <v>0</v>
      </c>
      <c r="Q157" s="23">
        <v>0</v>
      </c>
    </row>
    <row r="158" spans="2:21" x14ac:dyDescent="0.35">
      <c r="B158" t="s">
        <v>380</v>
      </c>
      <c r="I158" s="45">
        <v>5.0000000000000001E-3</v>
      </c>
      <c r="K158" s="23">
        <f t="shared" ref="K158:R158" si="46">$I$158*$C$7</f>
        <v>4</v>
      </c>
      <c r="L158" s="23">
        <f t="shared" si="46"/>
        <v>4</v>
      </c>
      <c r="M158" s="23">
        <f t="shared" si="46"/>
        <v>4</v>
      </c>
      <c r="N158" s="23">
        <f t="shared" si="46"/>
        <v>4</v>
      </c>
      <c r="O158" s="23">
        <f t="shared" si="46"/>
        <v>4</v>
      </c>
      <c r="P158" s="23">
        <f t="shared" si="46"/>
        <v>4</v>
      </c>
      <c r="Q158" s="23">
        <f t="shared" si="46"/>
        <v>4</v>
      </c>
      <c r="R158" s="23">
        <f t="shared" si="46"/>
        <v>4</v>
      </c>
      <c r="S158" s="23"/>
      <c r="T158" s="23">
        <f>$I$158*$C$7</f>
        <v>4</v>
      </c>
      <c r="U158" s="23">
        <f>$I$158*$C$7</f>
        <v>4</v>
      </c>
    </row>
    <row r="159" spans="2:21" ht="15" thickBot="1" x14ac:dyDescent="0.4">
      <c r="B159" t="s">
        <v>379</v>
      </c>
      <c r="K159" s="23">
        <f>K153*J156+K158</f>
        <v>4</v>
      </c>
      <c r="L159" s="23">
        <f t="shared" ref="L159:Q159" si="47">L153*K156+L158</f>
        <v>4</v>
      </c>
      <c r="M159" s="23">
        <f t="shared" si="47"/>
        <v>4</v>
      </c>
      <c r="N159" s="23">
        <f t="shared" si="47"/>
        <v>4</v>
      </c>
      <c r="O159" s="23">
        <f t="shared" si="47"/>
        <v>4</v>
      </c>
      <c r="P159" s="23">
        <f t="shared" si="47"/>
        <v>4</v>
      </c>
      <c r="Q159" s="23">
        <f t="shared" si="47"/>
        <v>4</v>
      </c>
      <c r="R159" s="23">
        <f t="shared" ref="R159" si="48">R153*Q156+R158</f>
        <v>4</v>
      </c>
      <c r="S159" s="23"/>
      <c r="T159" s="23">
        <f t="shared" ref="T159" si="49">T153*R156+T158</f>
        <v>4</v>
      </c>
      <c r="U159" s="23">
        <f t="shared" ref="U159" si="50">U153*T156+U158</f>
        <v>4</v>
      </c>
    </row>
    <row r="160" spans="2:21" ht="15" thickBot="1" x14ac:dyDescent="0.4">
      <c r="B160" t="s">
        <v>90</v>
      </c>
      <c r="I160" s="43"/>
      <c r="J160" s="46">
        <f>-J156</f>
        <v>0</v>
      </c>
      <c r="K160" s="46">
        <f>K159+K157</f>
        <v>4</v>
      </c>
      <c r="L160" s="46">
        <f t="shared" ref="L160:Q160" si="51">L159+L157</f>
        <v>4</v>
      </c>
      <c r="M160" s="46">
        <f t="shared" si="51"/>
        <v>4</v>
      </c>
      <c r="N160" s="46">
        <f t="shared" si="51"/>
        <v>4</v>
      </c>
      <c r="O160" s="46">
        <f t="shared" si="51"/>
        <v>4</v>
      </c>
      <c r="P160" s="46">
        <f t="shared" si="51"/>
        <v>4</v>
      </c>
      <c r="Q160" s="46">
        <f t="shared" si="51"/>
        <v>4</v>
      </c>
      <c r="R160" s="46">
        <f t="shared" ref="R160:U160" si="52">R159+R157</f>
        <v>4</v>
      </c>
      <c r="S160" s="46"/>
      <c r="T160" s="46">
        <f t="shared" si="52"/>
        <v>4</v>
      </c>
      <c r="U160" s="46">
        <f t="shared" si="52"/>
        <v>4</v>
      </c>
    </row>
    <row r="162" spans="2:21" x14ac:dyDescent="0.35">
      <c r="B162" s="5" t="str">
        <f>B8</f>
        <v>Term Loan</v>
      </c>
      <c r="C162" s="5"/>
    </row>
    <row r="163" spans="2:21" x14ac:dyDescent="0.35">
      <c r="B163" t="s">
        <v>87</v>
      </c>
      <c r="J163" s="23">
        <f>D8</f>
        <v>2500</v>
      </c>
      <c r="K163" s="23">
        <f>J163-K164</f>
        <v>2475</v>
      </c>
      <c r="L163" s="23">
        <f t="shared" ref="L163:R163" si="53">K163-L164</f>
        <v>2450</v>
      </c>
      <c r="M163" s="23">
        <f t="shared" si="53"/>
        <v>2425</v>
      </c>
      <c r="N163" s="23">
        <f t="shared" si="53"/>
        <v>2400</v>
      </c>
      <c r="O163" s="23">
        <f t="shared" si="53"/>
        <v>2375</v>
      </c>
      <c r="P163" s="23">
        <f t="shared" si="53"/>
        <v>2350</v>
      </c>
      <c r="Q163" s="23">
        <f t="shared" si="53"/>
        <v>0</v>
      </c>
      <c r="R163" s="23">
        <f t="shared" si="53"/>
        <v>0</v>
      </c>
      <c r="S163" s="23"/>
      <c r="T163" s="23">
        <f t="shared" ref="T163" si="54">R163-T164</f>
        <v>0</v>
      </c>
      <c r="U163" s="23">
        <f t="shared" ref="U163" si="55">T163-U164</f>
        <v>0</v>
      </c>
    </row>
    <row r="164" spans="2:21" x14ac:dyDescent="0.35">
      <c r="B164" t="s">
        <v>88</v>
      </c>
      <c r="K164" s="23">
        <f t="shared" ref="K164:P164" si="56">0.01*$J$163</f>
        <v>25</v>
      </c>
      <c r="L164" s="23">
        <f t="shared" si="56"/>
        <v>25</v>
      </c>
      <c r="M164" s="23">
        <f t="shared" si="56"/>
        <v>25</v>
      </c>
      <c r="N164" s="23">
        <f t="shared" si="56"/>
        <v>25</v>
      </c>
      <c r="O164" s="23">
        <f t="shared" si="56"/>
        <v>25</v>
      </c>
      <c r="P164" s="23">
        <f t="shared" si="56"/>
        <v>25</v>
      </c>
      <c r="Q164" s="23">
        <f>0.94*J163</f>
        <v>2350</v>
      </c>
      <c r="R164" s="23">
        <v>0</v>
      </c>
      <c r="S164" s="23"/>
      <c r="T164" s="23">
        <v>0</v>
      </c>
      <c r="U164" s="23">
        <v>0</v>
      </c>
    </row>
    <row r="165" spans="2:21" ht="15" thickBot="1" x14ac:dyDescent="0.4">
      <c r="B165" t="s">
        <v>89</v>
      </c>
      <c r="K165" s="23">
        <f t="shared" ref="K165:R165" si="57">K153*J163</f>
        <v>203.74999999999997</v>
      </c>
      <c r="L165" s="23">
        <f t="shared" si="57"/>
        <v>214.08749999999998</v>
      </c>
      <c r="M165" s="23">
        <f t="shared" si="57"/>
        <v>224.17499999999998</v>
      </c>
      <c r="N165" s="23">
        <f t="shared" si="57"/>
        <v>246.13749999999999</v>
      </c>
      <c r="O165" s="23">
        <f t="shared" si="57"/>
        <v>243.6</v>
      </c>
      <c r="P165" s="23">
        <f t="shared" si="57"/>
        <v>241.06249999999997</v>
      </c>
      <c r="Q165" s="23">
        <f t="shared" si="57"/>
        <v>238.52499999999998</v>
      </c>
      <c r="R165" s="23">
        <f t="shared" si="57"/>
        <v>0</v>
      </c>
      <c r="S165" s="23"/>
      <c r="T165" s="23">
        <f t="shared" ref="T165" si="58">T153*R163</f>
        <v>0</v>
      </c>
      <c r="U165" s="23">
        <f t="shared" ref="U165" si="59">U153*T163</f>
        <v>0</v>
      </c>
    </row>
    <row r="166" spans="2:21" ht="15" thickBot="1" x14ac:dyDescent="0.4">
      <c r="B166" t="s">
        <v>90</v>
      </c>
      <c r="I166" s="43">
        <f>IRR(J166:Q166)</f>
        <v>9.3609732510527843E-2</v>
      </c>
      <c r="J166" s="46">
        <f>-J163</f>
        <v>-2500</v>
      </c>
      <c r="K166" s="46">
        <f>K165+K164</f>
        <v>228.74999999999997</v>
      </c>
      <c r="L166" s="46">
        <f t="shared" ref="L166:Q166" si="60">L165+L164</f>
        <v>239.08749999999998</v>
      </c>
      <c r="M166" s="46">
        <f t="shared" si="60"/>
        <v>249.17499999999998</v>
      </c>
      <c r="N166" s="46">
        <f t="shared" si="60"/>
        <v>271.13749999999999</v>
      </c>
      <c r="O166" s="46">
        <f t="shared" si="60"/>
        <v>268.60000000000002</v>
      </c>
      <c r="P166" s="46">
        <f t="shared" si="60"/>
        <v>266.0625</v>
      </c>
      <c r="Q166" s="46">
        <f t="shared" si="60"/>
        <v>2588.5250000000001</v>
      </c>
      <c r="R166" s="46">
        <f>R165+R164</f>
        <v>0</v>
      </c>
      <c r="S166" s="46"/>
      <c r="T166" s="46">
        <f t="shared" ref="T166:U166" si="61">T165+T164</f>
        <v>0</v>
      </c>
      <c r="U166" s="46">
        <f t="shared" si="61"/>
        <v>0</v>
      </c>
    </row>
    <row r="168" spans="2:21" x14ac:dyDescent="0.35">
      <c r="B168" s="5" t="str">
        <f>B9</f>
        <v>Subordinated Notes</v>
      </c>
      <c r="C168" s="5"/>
    </row>
    <row r="169" spans="2:21" x14ac:dyDescent="0.35">
      <c r="B169" t="s">
        <v>87</v>
      </c>
      <c r="J169" s="23">
        <f>D9</f>
        <v>1800</v>
      </c>
      <c r="K169" s="23">
        <f>J169-K170</f>
        <v>1800</v>
      </c>
      <c r="L169" s="23">
        <f t="shared" ref="L169:R169" si="62">K169-L170</f>
        <v>1800</v>
      </c>
      <c r="M169" s="23">
        <f t="shared" si="62"/>
        <v>1800</v>
      </c>
      <c r="N169" s="23">
        <f t="shared" si="62"/>
        <v>1800</v>
      </c>
      <c r="O169" s="23">
        <f t="shared" si="62"/>
        <v>1800</v>
      </c>
      <c r="P169" s="23">
        <f t="shared" si="62"/>
        <v>1800</v>
      </c>
      <c r="Q169" s="23">
        <f t="shared" si="62"/>
        <v>1800</v>
      </c>
      <c r="R169" s="23">
        <f t="shared" si="62"/>
        <v>1800</v>
      </c>
      <c r="S169" s="23"/>
      <c r="T169" s="23">
        <f t="shared" ref="T169" si="63">R169-T170</f>
        <v>1800</v>
      </c>
      <c r="U169" s="23">
        <f t="shared" ref="U169" si="64">T169-U170</f>
        <v>0</v>
      </c>
    </row>
    <row r="170" spans="2:21" x14ac:dyDescent="0.35">
      <c r="B170" t="s">
        <v>88</v>
      </c>
      <c r="K170" s="19">
        <v>0</v>
      </c>
      <c r="L170" s="19">
        <v>0</v>
      </c>
      <c r="M170" s="19">
        <v>0</v>
      </c>
      <c r="N170" s="19">
        <v>0</v>
      </c>
      <c r="O170" s="19">
        <v>0</v>
      </c>
      <c r="P170" s="19">
        <v>0</v>
      </c>
      <c r="Q170" s="19">
        <v>0</v>
      </c>
      <c r="R170" s="19">
        <v>0</v>
      </c>
      <c r="S170" s="19"/>
      <c r="T170" s="19">
        <v>0</v>
      </c>
      <c r="U170" s="19">
        <f>L169</f>
        <v>1800</v>
      </c>
    </row>
    <row r="171" spans="2:21" ht="15" thickBot="1" x14ac:dyDescent="0.4">
      <c r="B171" t="s">
        <v>89</v>
      </c>
      <c r="K171" s="23">
        <f>J169*$G$9</f>
        <v>180</v>
      </c>
      <c r="L171" s="23">
        <f t="shared" ref="L171:R171" si="65">K169*$G$9</f>
        <v>180</v>
      </c>
      <c r="M171" s="23">
        <f t="shared" si="65"/>
        <v>180</v>
      </c>
      <c r="N171" s="23">
        <f t="shared" si="65"/>
        <v>180</v>
      </c>
      <c r="O171" s="23">
        <f t="shared" si="65"/>
        <v>180</v>
      </c>
      <c r="P171" s="23">
        <f t="shared" si="65"/>
        <v>180</v>
      </c>
      <c r="Q171" s="23">
        <f t="shared" si="65"/>
        <v>180</v>
      </c>
      <c r="R171" s="23">
        <f t="shared" si="65"/>
        <v>180</v>
      </c>
      <c r="S171" s="23"/>
      <c r="T171" s="23">
        <f t="shared" ref="T171" si="66">R169*$G$9</f>
        <v>180</v>
      </c>
      <c r="U171" s="23">
        <f t="shared" ref="U171" si="67">T169*$G$9</f>
        <v>180</v>
      </c>
    </row>
    <row r="172" spans="2:21" ht="15" thickBot="1" x14ac:dyDescent="0.4">
      <c r="B172" t="s">
        <v>90</v>
      </c>
      <c r="I172" s="43">
        <f>IRR(J172:U172)</f>
        <v>0.10000000000000009</v>
      </c>
      <c r="J172" s="23">
        <f>-J169</f>
        <v>-1800</v>
      </c>
      <c r="K172" s="46">
        <f>SUM(K170:K171)</f>
        <v>180</v>
      </c>
      <c r="L172" s="46">
        <f t="shared" ref="L172:R172" si="68">SUM(L170:L171)</f>
        <v>180</v>
      </c>
      <c r="M172" s="46">
        <f t="shared" si="68"/>
        <v>180</v>
      </c>
      <c r="N172" s="46">
        <f t="shared" si="68"/>
        <v>180</v>
      </c>
      <c r="O172" s="46">
        <f t="shared" si="68"/>
        <v>180</v>
      </c>
      <c r="P172" s="46">
        <f t="shared" si="68"/>
        <v>180</v>
      </c>
      <c r="Q172" s="46">
        <f t="shared" si="68"/>
        <v>180</v>
      </c>
      <c r="R172" s="46">
        <f t="shared" si="68"/>
        <v>180</v>
      </c>
      <c r="S172" s="46"/>
      <c r="T172" s="46">
        <f t="shared" ref="T172:U172" si="69">SUM(T170:T171)</f>
        <v>180</v>
      </c>
      <c r="U172" s="46">
        <f t="shared" si="69"/>
        <v>1980</v>
      </c>
    </row>
    <row r="174" spans="2:21" x14ac:dyDescent="0.35">
      <c r="B174" t="s">
        <v>93</v>
      </c>
      <c r="J174" s="23">
        <f>J169+J163</f>
        <v>4300</v>
      </c>
      <c r="K174" s="23">
        <f t="shared" ref="K174:R174" si="70">K169+K163</f>
        <v>4275</v>
      </c>
      <c r="L174" s="23">
        <f t="shared" si="70"/>
        <v>4250</v>
      </c>
      <c r="M174" s="23">
        <f t="shared" si="70"/>
        <v>4225</v>
      </c>
      <c r="N174" s="23">
        <f t="shared" si="70"/>
        <v>4200</v>
      </c>
      <c r="O174" s="23">
        <f t="shared" si="70"/>
        <v>4175</v>
      </c>
      <c r="P174" s="23">
        <f t="shared" si="70"/>
        <v>4150</v>
      </c>
      <c r="Q174" s="23">
        <f t="shared" si="70"/>
        <v>1800</v>
      </c>
      <c r="R174" s="23">
        <f t="shared" si="70"/>
        <v>1800</v>
      </c>
      <c r="S174" s="23"/>
      <c r="T174" s="23">
        <f t="shared" ref="T174:U174" si="71">T169+T163</f>
        <v>1800</v>
      </c>
      <c r="U174" s="23">
        <f t="shared" si="71"/>
        <v>0</v>
      </c>
    </row>
    <row r="175" spans="2:21" x14ac:dyDescent="0.35">
      <c r="B175" t="s">
        <v>92</v>
      </c>
      <c r="K175" s="23">
        <f>K170+K164+K157</f>
        <v>25</v>
      </c>
      <c r="L175" s="23">
        <f t="shared" ref="L175:R175" si="72">L170+L164</f>
        <v>25</v>
      </c>
      <c r="M175" s="23">
        <f t="shared" si="72"/>
        <v>25</v>
      </c>
      <c r="N175" s="23">
        <f t="shared" si="72"/>
        <v>25</v>
      </c>
      <c r="O175" s="23">
        <f t="shared" si="72"/>
        <v>25</v>
      </c>
      <c r="P175" s="23">
        <f t="shared" si="72"/>
        <v>25</v>
      </c>
      <c r="Q175" s="23">
        <f t="shared" si="72"/>
        <v>2350</v>
      </c>
      <c r="R175" s="23">
        <f t="shared" si="72"/>
        <v>0</v>
      </c>
      <c r="S175" s="23"/>
      <c r="T175" s="23">
        <f t="shared" ref="T175:U175" si="73">T170+T164</f>
        <v>0</v>
      </c>
      <c r="U175" s="23">
        <f t="shared" si="73"/>
        <v>1800</v>
      </c>
    </row>
    <row r="176" spans="2:21" x14ac:dyDescent="0.35">
      <c r="B176" t="s">
        <v>91</v>
      </c>
      <c r="K176" s="23">
        <f>+K171+K165+K159</f>
        <v>387.75</v>
      </c>
      <c r="L176" s="23">
        <f t="shared" ref="L176:R176" si="74">+L171+L165</f>
        <v>394.08749999999998</v>
      </c>
      <c r="M176" s="23">
        <f t="shared" si="74"/>
        <v>404.17499999999995</v>
      </c>
      <c r="N176" s="23">
        <f t="shared" si="74"/>
        <v>426.13749999999999</v>
      </c>
      <c r="O176" s="23">
        <f t="shared" si="74"/>
        <v>423.6</v>
      </c>
      <c r="P176" s="23">
        <f t="shared" si="74"/>
        <v>421.0625</v>
      </c>
      <c r="Q176" s="23">
        <f t="shared" si="74"/>
        <v>418.52499999999998</v>
      </c>
      <c r="R176" s="23">
        <f t="shared" si="74"/>
        <v>180</v>
      </c>
      <c r="S176" s="23"/>
      <c r="T176" s="23">
        <f t="shared" ref="T176:U176" si="75">+T171+T165</f>
        <v>180</v>
      </c>
      <c r="U176" s="23">
        <f t="shared" si="75"/>
        <v>180</v>
      </c>
    </row>
    <row r="177" spans="2:34" x14ac:dyDescent="0.35">
      <c r="K177" s="23"/>
      <c r="L177" s="23"/>
      <c r="M177" s="23"/>
      <c r="N177" s="23"/>
      <c r="O177" s="23"/>
      <c r="P177" s="23"/>
      <c r="Q177" s="23"/>
      <c r="R177" s="23"/>
      <c r="S177" s="23"/>
    </row>
    <row r="178" spans="2:34" s="5" customFormat="1" x14ac:dyDescent="0.35">
      <c r="Q178" s="5" t="s">
        <v>165</v>
      </c>
      <c r="W178" s="5" t="s">
        <v>164</v>
      </c>
      <c r="AC178" s="5" t="s">
        <v>166</v>
      </c>
    </row>
    <row r="179" spans="2:34" x14ac:dyDescent="0.35">
      <c r="B179" s="3" t="s">
        <v>94</v>
      </c>
      <c r="C179" s="3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Q179" s="2"/>
      <c r="R179" s="2"/>
      <c r="S179" s="2"/>
      <c r="T179" s="2"/>
      <c r="U179" s="2"/>
      <c r="W179" s="2"/>
      <c r="X179" s="2"/>
      <c r="Y179" s="2"/>
      <c r="Z179" s="2"/>
      <c r="AA179" s="2"/>
      <c r="AC179" s="2"/>
      <c r="AD179" s="2"/>
      <c r="AE179" s="2"/>
      <c r="AF179" s="2"/>
      <c r="AG179" s="2"/>
    </row>
    <row r="180" spans="2:34" x14ac:dyDescent="0.35">
      <c r="B180" s="53"/>
      <c r="C180" s="53"/>
      <c r="D180" s="53"/>
      <c r="E180" s="53"/>
      <c r="F180" s="53"/>
      <c r="G180" s="59" t="s">
        <v>32</v>
      </c>
      <c r="H180" s="53"/>
      <c r="I180" s="53"/>
      <c r="J180" s="60" t="str">
        <f>G180</f>
        <v>LTM</v>
      </c>
      <c r="K180" s="53"/>
      <c r="L180" s="53"/>
      <c r="M180" s="53"/>
      <c r="N180" s="53"/>
      <c r="O180" s="53"/>
      <c r="Q180" s="4"/>
      <c r="R180" s="4"/>
      <c r="S180" s="4"/>
      <c r="T180" s="4"/>
      <c r="U180" s="4"/>
      <c r="W180" s="4"/>
      <c r="X180" s="4"/>
      <c r="Y180" s="4"/>
      <c r="Z180" s="4"/>
      <c r="AA180" s="4"/>
      <c r="AC180" s="4"/>
      <c r="AD180" s="4"/>
      <c r="AE180" s="4"/>
      <c r="AF180" s="4"/>
      <c r="AG180" s="4"/>
    </row>
    <row r="181" spans="2:34" ht="15" thickBot="1" x14ac:dyDescent="0.4">
      <c r="B181" s="11" t="s">
        <v>381</v>
      </c>
      <c r="C181" s="4">
        <f>C148</f>
        <v>2021</v>
      </c>
      <c r="D181" s="4">
        <f>D148</f>
        <v>2022</v>
      </c>
      <c r="E181" s="4">
        <f>E148</f>
        <v>2023</v>
      </c>
      <c r="F181" s="4">
        <f>F148</f>
        <v>2024</v>
      </c>
      <c r="G181" s="4">
        <f>G148</f>
        <v>2025</v>
      </c>
      <c r="H181" s="4"/>
      <c r="I181" s="158" t="s">
        <v>194</v>
      </c>
      <c r="J181" s="4">
        <f t="shared" ref="J181:O181" si="76">J39</f>
        <v>2025</v>
      </c>
      <c r="K181" s="4">
        <f t="shared" si="76"/>
        <v>2026</v>
      </c>
      <c r="L181" s="4">
        <f t="shared" si="76"/>
        <v>2027</v>
      </c>
      <c r="M181" s="4">
        <f t="shared" si="76"/>
        <v>2028</v>
      </c>
      <c r="N181" s="4">
        <f t="shared" si="76"/>
        <v>2029</v>
      </c>
      <c r="O181" s="4">
        <f t="shared" si="76"/>
        <v>2030</v>
      </c>
      <c r="Q181" s="4">
        <f>K181</f>
        <v>2026</v>
      </c>
      <c r="R181" s="4">
        <f>L181</f>
        <v>2027</v>
      </c>
      <c r="S181" s="4">
        <f>M181</f>
        <v>2028</v>
      </c>
      <c r="T181" s="4">
        <f>N181</f>
        <v>2029</v>
      </c>
      <c r="U181" s="4">
        <f>O181</f>
        <v>2030</v>
      </c>
      <c r="W181" s="4">
        <f>Q181</f>
        <v>2026</v>
      </c>
      <c r="X181" s="4">
        <f>R181</f>
        <v>2027</v>
      </c>
      <c r="Y181" s="4">
        <f>S181</f>
        <v>2028</v>
      </c>
      <c r="Z181" s="4">
        <f>T181</f>
        <v>2029</v>
      </c>
      <c r="AA181" s="4">
        <f>U181</f>
        <v>2030</v>
      </c>
      <c r="AC181" s="4">
        <f>W181</f>
        <v>2026</v>
      </c>
      <c r="AD181" s="4">
        <f>X181</f>
        <v>2027</v>
      </c>
      <c r="AE181" s="4">
        <f>Y181</f>
        <v>2028</v>
      </c>
      <c r="AF181" s="4">
        <f>Z181</f>
        <v>2029</v>
      </c>
      <c r="AG181" s="4">
        <f>AA181</f>
        <v>2030</v>
      </c>
    </row>
    <row r="182" spans="2:34" ht="15" thickTop="1" x14ac:dyDescent="0.35">
      <c r="B182" s="5" t="s">
        <v>95</v>
      </c>
      <c r="C182" s="5"/>
      <c r="I182" s="159"/>
    </row>
    <row r="183" spans="2:34" x14ac:dyDescent="0.35">
      <c r="B183" t="s">
        <v>96</v>
      </c>
      <c r="D183" s="20">
        <f>D40/C40-1</f>
        <v>0.53668211856406289</v>
      </c>
      <c r="E183" s="20">
        <f>E40/D40-1</f>
        <v>0.11458895044564188</v>
      </c>
      <c r="F183" s="20">
        <f>F40/E40-1</f>
        <v>3.5272276759203525E-2</v>
      </c>
      <c r="G183" s="20">
        <f>G40/F40-1</f>
        <v>-1.4896731144084963E-2</v>
      </c>
      <c r="I183" s="160">
        <f>AVERAGE(C183:G183)</f>
        <v>0.16791165365620583</v>
      </c>
      <c r="J183" s="20">
        <f>G183</f>
        <v>-1.4896731144084963E-2</v>
      </c>
      <c r="K183" s="31">
        <f>IF($Q$1=1,Q183,IF($Q$1=2,W183,AC183))</f>
        <v>0.01</v>
      </c>
      <c r="L183" s="31">
        <f>IF($Q$1=1,R183,IF($Q$1=2,X183,AD183))</f>
        <v>0.03</v>
      </c>
      <c r="M183" s="31">
        <f>IF($Q$1=1,S183,IF($Q$1=2,Y183,AE183))</f>
        <v>0.03</v>
      </c>
      <c r="N183" s="31">
        <f>IF($Q$1=1,T183,IF($Q$1=2,Z183,AF183))</f>
        <v>0.03</v>
      </c>
      <c r="O183" s="31">
        <f>IF($Q$1=1,U183,IF($Q$1=2,AA183,AG183))</f>
        <v>0.03</v>
      </c>
      <c r="Q183" s="28">
        <v>0.01</v>
      </c>
      <c r="R183" s="28">
        <v>0.05</v>
      </c>
      <c r="S183" s="28">
        <v>0.05</v>
      </c>
      <c r="T183" s="28">
        <v>0.05</v>
      </c>
      <c r="U183" s="28">
        <v>0.05</v>
      </c>
      <c r="W183" s="28">
        <v>0.01</v>
      </c>
      <c r="X183" s="28">
        <v>0.03</v>
      </c>
      <c r="Y183" s="28">
        <f t="shared" ref="Y183:AA183" si="77">X183</f>
        <v>0.03</v>
      </c>
      <c r="Z183" s="28">
        <f t="shared" si="77"/>
        <v>0.03</v>
      </c>
      <c r="AA183" s="28">
        <f t="shared" si="77"/>
        <v>0.03</v>
      </c>
      <c r="AC183" s="28">
        <v>0.01</v>
      </c>
      <c r="AD183" s="28">
        <v>-0.04</v>
      </c>
      <c r="AE183" s="28">
        <v>0.02</v>
      </c>
      <c r="AF183" s="28">
        <v>0.03</v>
      </c>
      <c r="AG183" s="28">
        <v>0.03</v>
      </c>
      <c r="AH183" s="28"/>
    </row>
    <row r="184" spans="2:34" x14ac:dyDescent="0.35">
      <c r="B184" t="s">
        <v>98</v>
      </c>
      <c r="C184" s="20">
        <f>C43/C40</f>
        <v>0.38609398396138006</v>
      </c>
      <c r="D184" s="20">
        <f>D43/D40</f>
        <v>0.47671171608319018</v>
      </c>
      <c r="E184" s="20">
        <f>E43/E40</f>
        <v>0.44224723377331665</v>
      </c>
      <c r="F184" s="20">
        <f>F43/F40</f>
        <v>0.41243428988217762</v>
      </c>
      <c r="G184" s="20">
        <f>G43/G40</f>
        <v>0.41200000000000003</v>
      </c>
      <c r="I184" s="160">
        <f t="shared" ref="I184:I185" si="78">AVERAGE(C184:G184)</f>
        <v>0.4258974447400129</v>
      </c>
      <c r="J184" s="20">
        <f t="shared" ref="J184:J202" si="79">G184</f>
        <v>0.41200000000000003</v>
      </c>
      <c r="K184" s="31">
        <f>IF($Q$1=1,Q184,IF($Q$1=2,W184,AC184))</f>
        <v>0.42</v>
      </c>
      <c r="L184" s="31">
        <f>IF($Q$1=1,R184,IF($Q$1=2,X184,AD184))</f>
        <v>0.42</v>
      </c>
      <c r="M184" s="31">
        <f>IF($Q$1=1,S184,IF($Q$1=2,Y184,AE184))</f>
        <v>0.42</v>
      </c>
      <c r="N184" s="31">
        <f>IF($Q$1=1,T184,IF($Q$1=2,Z184,AF184))</f>
        <v>0.42</v>
      </c>
      <c r="O184" s="31">
        <f>IF($Q$1=1,U184,IF($Q$1=2,AA184,AG184))</f>
        <v>0.42</v>
      </c>
      <c r="Q184" s="28">
        <v>0.42</v>
      </c>
      <c r="R184" s="28">
        <v>0.42</v>
      </c>
      <c r="S184" s="28">
        <v>0.42</v>
      </c>
      <c r="T184" s="28">
        <v>0.42</v>
      </c>
      <c r="U184" s="28">
        <v>0.42</v>
      </c>
      <c r="W184" s="28">
        <v>0.42</v>
      </c>
      <c r="X184" s="28">
        <v>0.42</v>
      </c>
      <c r="Y184" s="28">
        <v>0.42</v>
      </c>
      <c r="Z184" s="28">
        <v>0.42</v>
      </c>
      <c r="AA184" s="28">
        <v>0.42</v>
      </c>
      <c r="AC184" s="28">
        <v>0.43</v>
      </c>
      <c r="AD184" s="28">
        <v>0.43</v>
      </c>
      <c r="AE184" s="28">
        <v>0.43</v>
      </c>
      <c r="AF184" s="28">
        <v>0.43</v>
      </c>
      <c r="AG184" s="28">
        <v>0.43</v>
      </c>
    </row>
    <row r="185" spans="2:34" x14ac:dyDescent="0.35">
      <c r="B185" t="s">
        <v>97</v>
      </c>
      <c r="C185" s="20">
        <f>C47/C40</f>
        <v>0.31864394471206214</v>
      </c>
      <c r="D185" s="20">
        <f>D47/D40</f>
        <v>0.283974756574219</v>
      </c>
      <c r="E185" s="20">
        <f>E47/E40</f>
        <v>0.29609395643541569</v>
      </c>
      <c r="F185" s="20">
        <f>F47/F40</f>
        <v>0.33844720811836254</v>
      </c>
      <c r="G185" s="20">
        <f>G47/G40</f>
        <v>0.36030685473892599</v>
      </c>
      <c r="I185" s="160">
        <f t="shared" si="78"/>
        <v>0.31949334411579705</v>
      </c>
      <c r="J185" s="20">
        <f t="shared" si="79"/>
        <v>0.36030685473892599</v>
      </c>
      <c r="K185" s="31">
        <f>IF($Q$1=1,Q185,IF($Q$1=2,W185,AC185))</f>
        <v>0.37</v>
      </c>
      <c r="L185" s="31">
        <f>IF($Q$1=1,R185,IF($Q$1=2,X185,AD185))</f>
        <v>0.35</v>
      </c>
      <c r="M185" s="31">
        <f>IF($Q$1=1,S185,IF($Q$1=2,Y185,AE185))</f>
        <v>0.35</v>
      </c>
      <c r="N185" s="31">
        <f>IF($Q$1=1,T185,IF($Q$1=2,Z185,AF185))</f>
        <v>0.35</v>
      </c>
      <c r="O185" s="31">
        <f>IF($Q$1=1,U185,IF($Q$1=2,AA185,AG185))</f>
        <v>0.35</v>
      </c>
      <c r="Q185" s="28">
        <v>0.4</v>
      </c>
      <c r="R185" s="28">
        <v>0.37</v>
      </c>
      <c r="S185" s="28">
        <v>0.35</v>
      </c>
      <c r="T185" s="28">
        <v>0.35</v>
      </c>
      <c r="U185" s="28">
        <v>0.35</v>
      </c>
      <c r="W185" s="28">
        <v>0.37</v>
      </c>
      <c r="X185" s="28">
        <v>0.35</v>
      </c>
      <c r="Y185" s="28">
        <v>0.35</v>
      </c>
      <c r="Z185" s="28">
        <v>0.35</v>
      </c>
      <c r="AA185" s="28">
        <v>0.35</v>
      </c>
      <c r="AC185" s="28">
        <v>0.37</v>
      </c>
      <c r="AD185" s="28">
        <v>0.37</v>
      </c>
      <c r="AE185" s="28">
        <v>0.37</v>
      </c>
      <c r="AF185" s="28">
        <v>0.37</v>
      </c>
      <c r="AG185" s="28">
        <v>0.37</v>
      </c>
    </row>
    <row r="186" spans="2:34" x14ac:dyDescent="0.35">
      <c r="B186" t="s">
        <v>99</v>
      </c>
      <c r="I186" s="159"/>
      <c r="K186" s="31">
        <f>IF($Q$1=1,Q186,IF($Q$1=2,W186,AC186))</f>
        <v>0.26</v>
      </c>
      <c r="L186" s="31">
        <f>IF($Q$1=1,R186,IF($Q$1=2,X186,AD186))</f>
        <v>0.26</v>
      </c>
      <c r="M186" s="31">
        <f>IF($Q$1=1,S186,IF($Q$1=2,Y186,AE186))</f>
        <v>0.26</v>
      </c>
      <c r="N186" s="31">
        <f>IF($Q$1=1,T186,IF($Q$1=2,Z186,AF186))</f>
        <v>0.26</v>
      </c>
      <c r="O186" s="31">
        <f>IF($Q$1=1,U186,IF($Q$1=2,AA186,AG186))</f>
        <v>0.26</v>
      </c>
      <c r="Q186" s="28">
        <v>0.26</v>
      </c>
      <c r="R186" s="28">
        <v>0.26</v>
      </c>
      <c r="S186" s="28">
        <v>0.26</v>
      </c>
      <c r="T186" s="28">
        <v>0.26</v>
      </c>
      <c r="U186" s="28">
        <v>0.26</v>
      </c>
      <c r="W186" s="28">
        <v>0.26</v>
      </c>
      <c r="X186" s="28">
        <v>0.26</v>
      </c>
      <c r="Y186" s="28">
        <v>0.26</v>
      </c>
      <c r="Z186" s="28">
        <v>0.26</v>
      </c>
      <c r="AA186" s="28">
        <v>0.26</v>
      </c>
      <c r="AC186" s="28">
        <v>0.26</v>
      </c>
      <c r="AD186" s="28">
        <v>0.26</v>
      </c>
      <c r="AE186" s="28">
        <v>0.26</v>
      </c>
      <c r="AF186" s="28">
        <v>0.26</v>
      </c>
      <c r="AG186" s="28">
        <v>0.26</v>
      </c>
    </row>
    <row r="187" spans="2:34" x14ac:dyDescent="0.35">
      <c r="K187" s="15"/>
      <c r="L187" s="15"/>
      <c r="M187" s="15"/>
      <c r="N187" s="15"/>
      <c r="O187" s="15"/>
      <c r="Q187" s="27"/>
      <c r="R187" s="27"/>
      <c r="S187" s="27"/>
      <c r="T187" s="27"/>
      <c r="U187" s="27"/>
      <c r="W187" s="27"/>
      <c r="X187" s="27"/>
      <c r="Y187" s="27"/>
      <c r="Z187" s="27"/>
      <c r="AA187" s="27"/>
      <c r="AC187" s="27"/>
      <c r="AD187" s="27"/>
      <c r="AE187" s="27"/>
      <c r="AF187" s="27"/>
      <c r="AG187" s="27"/>
    </row>
    <row r="188" spans="2:34" x14ac:dyDescent="0.35">
      <c r="B188" s="5" t="s">
        <v>100</v>
      </c>
      <c r="C188" s="5"/>
      <c r="K188" s="15"/>
      <c r="L188" s="15"/>
      <c r="M188" s="15"/>
      <c r="N188" s="15"/>
      <c r="O188" s="15"/>
      <c r="Q188" s="27"/>
      <c r="R188" s="27"/>
      <c r="S188" s="27"/>
      <c r="T188" s="27"/>
      <c r="U188" s="27"/>
      <c r="W188" s="27"/>
      <c r="X188" s="27"/>
      <c r="Y188" s="27"/>
      <c r="Z188" s="27"/>
      <c r="AA188" s="27"/>
      <c r="AC188" s="27"/>
      <c r="AD188" s="27"/>
      <c r="AE188" s="27"/>
      <c r="AF188" s="27"/>
      <c r="AG188" s="27"/>
    </row>
    <row r="189" spans="2:34" x14ac:dyDescent="0.35">
      <c r="B189" t="s">
        <v>101</v>
      </c>
      <c r="C189" s="20">
        <f>C110/C40</f>
        <v>1.3821984459344967E-2</v>
      </c>
      <c r="D189" s="20">
        <f>D110/D40</f>
        <v>1.1034927010943787E-2</v>
      </c>
      <c r="E189" s="20">
        <f>E110/E40</f>
        <v>1.3705008672890082E-2</v>
      </c>
      <c r="F189" s="20">
        <f>F110/F40</f>
        <v>1.7025392798044322E-2</v>
      </c>
      <c r="G189" s="20">
        <f>G110/G40</f>
        <v>1.9619401138332094E-2</v>
      </c>
      <c r="J189" s="20">
        <f t="shared" si="79"/>
        <v>1.9619401138332094E-2</v>
      </c>
      <c r="K189" s="31">
        <f>IF($Q$1=1,Q189,IF($Q$1=2,W189,AC189))</f>
        <v>0.02</v>
      </c>
      <c r="L189" s="31">
        <f>IF($Q$1=1,R189,IF($Q$1=2,X189,AD189))</f>
        <v>0.02</v>
      </c>
      <c r="M189" s="31">
        <f>IF($Q$1=1,S189,IF($Q$1=2,Y189,AE189))</f>
        <v>0.02</v>
      </c>
      <c r="N189" s="31">
        <f>IF($Q$1=1,T189,IF($Q$1=2,Z189,AF189))</f>
        <v>0.02</v>
      </c>
      <c r="O189" s="31">
        <f>IF($Q$1=1,U189,IF($Q$1=2,AA189,AG189))</f>
        <v>0.02</v>
      </c>
      <c r="Q189" s="28">
        <v>0.02</v>
      </c>
      <c r="R189" s="28">
        <v>0.02</v>
      </c>
      <c r="S189" s="28">
        <v>0.02</v>
      </c>
      <c r="T189" s="28">
        <v>0.02</v>
      </c>
      <c r="U189" s="28">
        <v>0.02</v>
      </c>
      <c r="W189" s="28">
        <v>0.02</v>
      </c>
      <c r="X189" s="28">
        <v>0.02</v>
      </c>
      <c r="Y189" s="28">
        <v>0.02</v>
      </c>
      <c r="Z189" s="28">
        <v>0.02</v>
      </c>
      <c r="AA189" s="28">
        <v>0.02</v>
      </c>
      <c r="AC189" s="28">
        <v>0.02</v>
      </c>
      <c r="AD189" s="28">
        <v>0.02</v>
      </c>
      <c r="AE189" s="28">
        <v>0.02</v>
      </c>
      <c r="AF189" s="28">
        <v>0.02</v>
      </c>
      <c r="AG189" s="28">
        <v>0.02</v>
      </c>
    </row>
    <row r="190" spans="2:34" x14ac:dyDescent="0.35">
      <c r="B190" t="s">
        <v>108</v>
      </c>
      <c r="C190" s="26">
        <f>-C127/C40</f>
        <v>2.4170317833022679E-2</v>
      </c>
      <c r="D190" s="26">
        <f>-D127/D40</f>
        <v>2.9308140540677385E-2</v>
      </c>
      <c r="E190" s="26">
        <f>-E127/E40</f>
        <v>2.9180937459541024E-2</v>
      </c>
      <c r="F190" s="26">
        <f>-F127/F40</f>
        <v>1.6905210686798101E-2</v>
      </c>
      <c r="G190" s="26">
        <f>-G127/G40</f>
        <v>1.2677802524127691E-2</v>
      </c>
      <c r="J190" s="26">
        <f>G190</f>
        <v>1.2677802524127691E-2</v>
      </c>
      <c r="K190" s="31">
        <f>IF($Q$1=1,Q190,IF($Q$1=2,W190,AC190))</f>
        <v>0.02</v>
      </c>
      <c r="L190" s="31">
        <f>IF($Q$1=1,R190,IF($Q$1=2,X190,AD190))</f>
        <v>1.561832458419065E-2</v>
      </c>
      <c r="M190" s="31">
        <f>IF($Q$1=1,S190,IF($Q$1=2,Y190,AE190))</f>
        <v>1.561832458419065E-2</v>
      </c>
      <c r="N190" s="31">
        <f>IF($Q$1=1,T190,IF($Q$1=2,Z190,AF190))</f>
        <v>1.561832458419065E-2</v>
      </c>
      <c r="O190" s="31">
        <f>IF($Q$1=1,U190,IF($Q$1=2,AA190,AG190))</f>
        <v>1.561832458419065E-2</v>
      </c>
      <c r="Q190" s="28">
        <f>J190</f>
        <v>1.2677802524127691E-2</v>
      </c>
      <c r="R190" s="28">
        <v>1.561832458419065E-2</v>
      </c>
      <c r="S190" s="28">
        <v>1.561832458419065E-2</v>
      </c>
      <c r="T190" s="28">
        <v>1.561832458419065E-2</v>
      </c>
      <c r="U190" s="28">
        <v>1.561832458419065E-2</v>
      </c>
      <c r="W190" s="28">
        <v>0.02</v>
      </c>
      <c r="X190" s="28">
        <v>1.561832458419065E-2</v>
      </c>
      <c r="Y190" s="28">
        <v>1.561832458419065E-2</v>
      </c>
      <c r="Z190" s="28">
        <v>1.561832458419065E-2</v>
      </c>
      <c r="AA190" s="28">
        <v>1.561832458419065E-2</v>
      </c>
      <c r="AC190" s="28">
        <v>0.02</v>
      </c>
      <c r="AD190" s="28">
        <v>1.561832458419065E-2</v>
      </c>
      <c r="AE190" s="28">
        <v>1.561832458419065E-2</v>
      </c>
      <c r="AF190" s="28">
        <v>1.561832458419065E-2</v>
      </c>
      <c r="AG190" s="28">
        <v>1.561832458419065E-2</v>
      </c>
    </row>
    <row r="191" spans="2:34" x14ac:dyDescent="0.35">
      <c r="B191" t="s">
        <v>111</v>
      </c>
      <c r="K191" s="15"/>
      <c r="L191" s="15"/>
      <c r="M191" s="15"/>
      <c r="N191" s="15"/>
      <c r="O191" s="15"/>
      <c r="Q191" s="27"/>
      <c r="R191" s="27"/>
      <c r="S191" s="27"/>
      <c r="T191" s="27"/>
      <c r="U191" s="27"/>
      <c r="W191" s="27"/>
      <c r="X191" s="27"/>
      <c r="Y191" s="27"/>
      <c r="Z191" s="27"/>
      <c r="AA191" s="27"/>
      <c r="AC191" s="27"/>
      <c r="AD191" s="27"/>
      <c r="AE191" s="27"/>
      <c r="AF191" s="27"/>
      <c r="AG191" s="27"/>
    </row>
    <row r="192" spans="2:34" x14ac:dyDescent="0.35">
      <c r="K192" s="15"/>
      <c r="L192" s="15"/>
      <c r="M192" s="15"/>
      <c r="N192" s="15"/>
      <c r="O192" s="15"/>
      <c r="Q192" s="27"/>
      <c r="R192" s="27"/>
      <c r="S192" s="27"/>
      <c r="T192" s="27"/>
      <c r="U192" s="27"/>
      <c r="W192" s="27"/>
      <c r="X192" s="27"/>
      <c r="Y192" s="27"/>
      <c r="Z192" s="27"/>
      <c r="AA192" s="27"/>
      <c r="AC192" s="27"/>
      <c r="AD192" s="27"/>
      <c r="AE192" s="27"/>
      <c r="AF192" s="27"/>
      <c r="AG192" s="27"/>
    </row>
    <row r="193" spans="2:33" x14ac:dyDescent="0.35">
      <c r="B193" s="5" t="s">
        <v>163</v>
      </c>
      <c r="K193" s="15"/>
      <c r="L193" s="15"/>
      <c r="M193" s="15"/>
      <c r="N193" s="15"/>
      <c r="O193" s="15"/>
      <c r="Q193" s="27"/>
      <c r="R193" s="27"/>
      <c r="S193" s="27"/>
      <c r="T193" s="27"/>
      <c r="U193" s="27"/>
      <c r="W193" s="27"/>
      <c r="X193" s="27"/>
      <c r="Y193" s="27"/>
      <c r="Z193" s="27"/>
      <c r="AA193" s="27"/>
      <c r="AC193" s="27"/>
      <c r="AD193" s="27"/>
      <c r="AE193" s="27"/>
      <c r="AF193" s="27"/>
      <c r="AG193" s="27"/>
    </row>
    <row r="194" spans="2:33" x14ac:dyDescent="0.35">
      <c r="B194" t="s">
        <v>102</v>
      </c>
      <c r="C194" s="25">
        <f>C65/C40*365</f>
        <v>28.814352887677785</v>
      </c>
      <c r="D194" s="25">
        <f>D65/D40*365</f>
        <v>30.349441699472713</v>
      </c>
      <c r="E194" s="25">
        <f>E65/E40*365</f>
        <v>28.1645335453962</v>
      </c>
      <c r="F194" s="25">
        <f>F65/F40*365</f>
        <v>22.925970013466245</v>
      </c>
      <c r="G194" s="25">
        <f>G65/G40*365</f>
        <v>25.127373174956688</v>
      </c>
      <c r="J194" s="25">
        <f t="shared" si="79"/>
        <v>25.127373174956688</v>
      </c>
      <c r="K194" s="66">
        <f>IF($Q$1=1,Q194,IF($Q$1=2,W194,AC194))</f>
        <v>30.050900122275205</v>
      </c>
      <c r="L194" s="66">
        <f>IF($Q$1=1,R194,IF($Q$1=2,X194,AD194))</f>
        <v>30.050900122275205</v>
      </c>
      <c r="M194" s="66">
        <f>IF($Q$1=1,S194,IF($Q$1=2,Y194,AE194))</f>
        <v>30.050900122275205</v>
      </c>
      <c r="N194" s="66">
        <f>IF($Q$1=1,T194,IF($Q$1=2,Z194,AF194))</f>
        <v>30.050900122275205</v>
      </c>
      <c r="O194" s="66">
        <f>IF($Q$1=1,U194,IF($Q$1=2,AA194,AG194))</f>
        <v>30.050900122275205</v>
      </c>
      <c r="Q194" s="132">
        <f t="shared" ref="Q194:Q199" si="80">J194</f>
        <v>25.127373174956688</v>
      </c>
      <c r="R194" s="132">
        <v>30.050900122275205</v>
      </c>
      <c r="S194" s="132">
        <v>30.050900122275205</v>
      </c>
      <c r="T194" s="132">
        <v>30.050900122275205</v>
      </c>
      <c r="U194" s="132">
        <v>30.050900122275205</v>
      </c>
      <c r="V194" s="25"/>
      <c r="W194" s="132">
        <v>30.050900122275205</v>
      </c>
      <c r="X194" s="132">
        <v>30.050900122275205</v>
      </c>
      <c r="Y194" s="132">
        <v>30.050900122275205</v>
      </c>
      <c r="Z194" s="132">
        <v>30.050900122275205</v>
      </c>
      <c r="AA194" s="132">
        <v>30.050900122275205</v>
      </c>
      <c r="AB194" s="25"/>
      <c r="AC194" s="132">
        <v>30.050900122275205</v>
      </c>
      <c r="AD194" s="132">
        <v>30.050900122275205</v>
      </c>
      <c r="AE194" s="132">
        <v>30.050900122275205</v>
      </c>
      <c r="AF194" s="132">
        <v>30.050900122275205</v>
      </c>
      <c r="AG194" s="132">
        <v>30.050900122275205</v>
      </c>
    </row>
    <row r="195" spans="2:33" x14ac:dyDescent="0.35">
      <c r="B195" t="s">
        <v>103</v>
      </c>
      <c r="C195" s="25">
        <f>C66/C43*365</f>
        <v>87.253861414515967</v>
      </c>
      <c r="D195" s="25">
        <f>D66/D43*365</f>
        <v>101.56122636237735</v>
      </c>
      <c r="E195" s="25">
        <f>E66/E43*365</f>
        <v>80.204155935758919</v>
      </c>
      <c r="F195" s="25">
        <f>F66/F43*365</f>
        <v>76.85829713036027</v>
      </c>
      <c r="G195" s="25">
        <f>G66/G43*365</f>
        <v>80.828519207251887</v>
      </c>
      <c r="J195" s="25">
        <f t="shared" si="79"/>
        <v>80.828519207251887</v>
      </c>
      <c r="K195" s="66">
        <f>IF($Q$1=1,Q195,IF($Q$1=2,W195,AC195))</f>
        <v>86.969719063332406</v>
      </c>
      <c r="L195" s="66">
        <f>IF($Q$1=1,R195,IF($Q$1=2,X195,AD195))</f>
        <v>86.969719063332406</v>
      </c>
      <c r="M195" s="66">
        <f>IF($Q$1=1,S195,IF($Q$1=2,Y195,AE195))</f>
        <v>86.969719063332406</v>
      </c>
      <c r="N195" s="66">
        <f>IF($Q$1=1,T195,IF($Q$1=2,Z195,AF195))</f>
        <v>86.969719063332406</v>
      </c>
      <c r="O195" s="66">
        <f>IF($Q$1=1,U195,IF($Q$1=2,AA195,AG195))</f>
        <v>86.969719063332406</v>
      </c>
      <c r="Q195" s="132">
        <f t="shared" si="80"/>
        <v>80.828519207251887</v>
      </c>
      <c r="R195" s="132">
        <v>86.969719063332406</v>
      </c>
      <c r="S195" s="132">
        <v>86.969719063332406</v>
      </c>
      <c r="T195" s="132">
        <v>86.969719063332406</v>
      </c>
      <c r="U195" s="132">
        <v>86.969719063332406</v>
      </c>
      <c r="V195" s="25"/>
      <c r="W195" s="132">
        <v>86.969719063332406</v>
      </c>
      <c r="X195" s="132">
        <v>86.969719063332406</v>
      </c>
      <c r="Y195" s="132">
        <v>86.969719063332406</v>
      </c>
      <c r="Z195" s="132">
        <v>86.969719063332406</v>
      </c>
      <c r="AA195" s="132">
        <v>86.969719063332406</v>
      </c>
      <c r="AB195" s="25"/>
      <c r="AC195" s="132">
        <v>86.969719063332406</v>
      </c>
      <c r="AD195" s="132">
        <v>86.969719063332406</v>
      </c>
      <c r="AE195" s="132">
        <v>86.969719063332406</v>
      </c>
      <c r="AF195" s="132">
        <v>86.969719063332406</v>
      </c>
      <c r="AG195" s="132">
        <v>86.969719063332406</v>
      </c>
    </row>
    <row r="196" spans="2:33" s="26" customFormat="1" x14ac:dyDescent="0.35">
      <c r="B196" s="26" t="s">
        <v>104</v>
      </c>
      <c r="C196" s="26">
        <f>C67/C40</f>
        <v>2.4735283234835391E-2</v>
      </c>
      <c r="D196" s="26">
        <f>D67/D40</f>
        <v>1.8903314641271346E-2</v>
      </c>
      <c r="E196" s="26">
        <f>E67/E40</f>
        <v>1.7821508313128558E-2</v>
      </c>
      <c r="F196" s="26">
        <f>F67/F40</f>
        <v>1.8983654257762116E-2</v>
      </c>
      <c r="G196" s="26">
        <f>G67/G40</f>
        <v>2.6887156644394967E-2</v>
      </c>
      <c r="J196" s="26">
        <f t="shared" si="79"/>
        <v>2.6887156644394967E-2</v>
      </c>
      <c r="K196" s="133">
        <f>IF($Q$1=1,Q196,IF($Q$1=2,W196,AC196))</f>
        <v>2.0828770520381658E-2</v>
      </c>
      <c r="L196" s="133">
        <f>IF($Q$1=1,R196,IF($Q$1=2,X196,AD196))</f>
        <v>2.0828770520381658E-2</v>
      </c>
      <c r="M196" s="133">
        <f>IF($Q$1=1,S196,IF($Q$1=2,Y196,AE196))</f>
        <v>2.0828770520381658E-2</v>
      </c>
      <c r="N196" s="133">
        <f>IF($Q$1=1,T196,IF($Q$1=2,Z196,AF196))</f>
        <v>2.0828770520381658E-2</v>
      </c>
      <c r="O196" s="133">
        <f>IF($Q$1=1,U196,IF($Q$1=2,AA196,AG196))</f>
        <v>2.0828770520381658E-2</v>
      </c>
      <c r="Q196" s="134">
        <f t="shared" si="80"/>
        <v>2.6887156644394967E-2</v>
      </c>
      <c r="R196" s="134">
        <v>2.0828770520381658E-2</v>
      </c>
      <c r="S196" s="134">
        <v>2.0828770520381658E-2</v>
      </c>
      <c r="T196" s="134">
        <v>2.0828770520381658E-2</v>
      </c>
      <c r="U196" s="134">
        <v>2.0828770520381658E-2</v>
      </c>
      <c r="W196" s="134">
        <v>2.0828770520381658E-2</v>
      </c>
      <c r="X196" s="134">
        <v>2.0828770520381658E-2</v>
      </c>
      <c r="Y196" s="134">
        <v>2.0828770520381658E-2</v>
      </c>
      <c r="Z196" s="134">
        <v>2.0828770520381658E-2</v>
      </c>
      <c r="AA196" s="134">
        <v>2.0828770520381658E-2</v>
      </c>
      <c r="AC196" s="134">
        <v>2.0828770520381658E-2</v>
      </c>
      <c r="AD196" s="134">
        <v>2.0828770520381658E-2</v>
      </c>
      <c r="AE196" s="134">
        <v>2.0828770520381658E-2</v>
      </c>
      <c r="AF196" s="134">
        <v>2.0828770520381658E-2</v>
      </c>
      <c r="AG196" s="134">
        <v>2.0828770520381658E-2</v>
      </c>
    </row>
    <row r="197" spans="2:33" x14ac:dyDescent="0.35">
      <c r="B197" t="s">
        <v>105</v>
      </c>
      <c r="C197" s="25">
        <f>C83/C43*365</f>
        <v>66.259729107609076</v>
      </c>
      <c r="D197" s="25">
        <f>D83/D43*365</f>
        <v>49.71352797510832</v>
      </c>
      <c r="E197" s="25">
        <f>E83/E43*365</f>
        <v>54.35996044139911</v>
      </c>
      <c r="F197" s="25">
        <f>F83/F43*365</f>
        <v>57.149785737506285</v>
      </c>
      <c r="G197" s="25">
        <f>G83/G43*365</f>
        <v>58.335825987511491</v>
      </c>
      <c r="J197" s="25">
        <f t="shared" si="79"/>
        <v>58.335825987511491</v>
      </c>
      <c r="K197" s="66">
        <f>IF($Q$1=1,Q197,IF($Q$1=2,W197,AC197))</f>
        <v>47.587783332463225</v>
      </c>
      <c r="L197" s="66">
        <f>IF($Q$1=1,R197,IF($Q$1=2,X197,AD197))</f>
        <v>47.587783332463225</v>
      </c>
      <c r="M197" s="66">
        <f>IF($Q$1=1,S197,IF($Q$1=2,Y197,AE197))</f>
        <v>47.587783332463225</v>
      </c>
      <c r="N197" s="66">
        <f>IF($Q$1=1,T197,IF($Q$1=2,Z197,AF197))</f>
        <v>47.587783332463225</v>
      </c>
      <c r="O197" s="66">
        <f>IF($Q$1=1,U197,IF($Q$1=2,AA197,AG197))</f>
        <v>47.587783332463225</v>
      </c>
      <c r="Q197" s="132">
        <f t="shared" si="80"/>
        <v>58.335825987511491</v>
      </c>
      <c r="R197" s="132">
        <v>47.587783332463225</v>
      </c>
      <c r="S197" s="132">
        <v>47.587783332463225</v>
      </c>
      <c r="T197" s="132">
        <v>47.587783332463225</v>
      </c>
      <c r="U197" s="132">
        <v>47.587783332463225</v>
      </c>
      <c r="V197" s="25"/>
      <c r="W197" s="132">
        <v>47.587783332463225</v>
      </c>
      <c r="X197" s="132">
        <v>47.587783332463225</v>
      </c>
      <c r="Y197" s="132">
        <v>47.587783332463225</v>
      </c>
      <c r="Z197" s="132">
        <v>47.587783332463225</v>
      </c>
      <c r="AA197" s="132">
        <v>47.587783332463225</v>
      </c>
      <c r="AB197" s="25"/>
      <c r="AC197" s="132">
        <v>47.587783332463225</v>
      </c>
      <c r="AD197" s="132">
        <v>47.587783332463225</v>
      </c>
      <c r="AE197" s="132">
        <v>47.587783332463225</v>
      </c>
      <c r="AF197" s="132">
        <v>47.587783332463225</v>
      </c>
      <c r="AG197" s="132">
        <v>47.587783332463225</v>
      </c>
    </row>
    <row r="198" spans="2:33" s="26" customFormat="1" x14ac:dyDescent="0.35">
      <c r="B198" s="26" t="s">
        <v>106</v>
      </c>
      <c r="C198" s="26">
        <f>C84/C40</f>
        <v>2.4663527873931883E-2</v>
      </c>
      <c r="D198" s="26">
        <f>D84/D40</f>
        <v>2.7727543154190522E-2</v>
      </c>
      <c r="E198" s="26">
        <f>E84/E40</f>
        <v>2.6059050355761369E-2</v>
      </c>
      <c r="F198" s="26">
        <f>F84/F40</f>
        <v>2.5215084537023404E-2</v>
      </c>
      <c r="G198" s="26">
        <f>G84/G40</f>
        <v>2.3026726057906458E-2</v>
      </c>
      <c r="J198" s="26">
        <f t="shared" si="79"/>
        <v>2.3026726057906458E-2</v>
      </c>
      <c r="K198" s="133">
        <f>IF($Q$1=1,Q198,IF($Q$1=2,W198,AC198))</f>
        <v>2.2850239885287196E-2</v>
      </c>
      <c r="L198" s="133">
        <f>IF($Q$1=1,R198,IF($Q$1=2,X198,AD198))</f>
        <v>2.2850239885287196E-2</v>
      </c>
      <c r="M198" s="133">
        <f>IF($Q$1=1,S198,IF($Q$1=2,Y198,AE198))</f>
        <v>2.2850239885287196E-2</v>
      </c>
      <c r="N198" s="133">
        <f>IF($Q$1=1,T198,IF($Q$1=2,Z198,AF198))</f>
        <v>2.2850239885287196E-2</v>
      </c>
      <c r="O198" s="133">
        <f>IF($Q$1=1,U198,IF($Q$1=2,AA198,AG198))</f>
        <v>2.2850239885287196E-2</v>
      </c>
      <c r="Q198" s="134">
        <f t="shared" si="80"/>
        <v>2.3026726057906458E-2</v>
      </c>
      <c r="R198" s="134">
        <v>2.2850239885287196E-2</v>
      </c>
      <c r="S198" s="134">
        <v>2.2850239885287196E-2</v>
      </c>
      <c r="T198" s="134">
        <v>2.2850239885287196E-2</v>
      </c>
      <c r="U198" s="134">
        <v>2.2850239885287196E-2</v>
      </c>
      <c r="W198" s="134">
        <v>2.2850239885287196E-2</v>
      </c>
      <c r="X198" s="134">
        <v>2.2850239885287196E-2</v>
      </c>
      <c r="Y198" s="134">
        <v>2.2850239885287196E-2</v>
      </c>
      <c r="Z198" s="134">
        <v>2.2850239885287196E-2</v>
      </c>
      <c r="AA198" s="134">
        <v>2.2850239885287196E-2</v>
      </c>
      <c r="AC198" s="134">
        <v>2.2850239885287196E-2</v>
      </c>
      <c r="AD198" s="134">
        <v>2.2850239885287196E-2</v>
      </c>
      <c r="AE198" s="134">
        <v>2.2850239885287196E-2</v>
      </c>
      <c r="AF198" s="134">
        <v>2.2850239885287196E-2</v>
      </c>
      <c r="AG198" s="134">
        <v>2.2850239885287196E-2</v>
      </c>
    </row>
    <row r="199" spans="2:33" s="26" customFormat="1" x14ac:dyDescent="0.35">
      <c r="B199" s="26" t="s">
        <v>107</v>
      </c>
      <c r="C199" s="26">
        <f>C85/C40</f>
        <v>7.3069867243937089E-2</v>
      </c>
      <c r="D199" s="26">
        <f>D85/D40</f>
        <v>8.7730890566345546E-2</v>
      </c>
      <c r="E199" s="26">
        <f>E85/E40</f>
        <v>8.4309375226349445E-2</v>
      </c>
      <c r="F199" s="26">
        <f>F85/F40</f>
        <v>9.0653878444936081E-2</v>
      </c>
      <c r="G199" s="26">
        <f>G85/G40</f>
        <v>8.4382083642662711E-2</v>
      </c>
      <c r="J199" s="26">
        <f t="shared" si="79"/>
        <v>8.4382083642662711E-2</v>
      </c>
      <c r="K199" s="133">
        <f>IF($Q$1=1,Q199,IF($Q$1=2,W199,AC199))</f>
        <v>9.3646600110980707E-2</v>
      </c>
      <c r="L199" s="133">
        <f>IF($Q$1=1,R199,IF($Q$1=2,X199,AD199))</f>
        <v>9.3646600110980707E-2</v>
      </c>
      <c r="M199" s="133">
        <f>IF($Q$1=1,S199,IF($Q$1=2,Y199,AE199))</f>
        <v>9.3646600110980707E-2</v>
      </c>
      <c r="N199" s="133">
        <f>IF($Q$1=1,T199,IF($Q$1=2,Z199,AF199))</f>
        <v>9.3646600110980707E-2</v>
      </c>
      <c r="O199" s="133">
        <f>IF($Q$1=1,U199,IF($Q$1=2,AA199,AG199))</f>
        <v>9.3646600110980707E-2</v>
      </c>
      <c r="Q199" s="134">
        <f t="shared" si="80"/>
        <v>8.4382083642662711E-2</v>
      </c>
      <c r="R199" s="134">
        <v>9.3646600110980707E-2</v>
      </c>
      <c r="S199" s="134">
        <v>9.3646600110980707E-2</v>
      </c>
      <c r="T199" s="134">
        <v>9.3646600110980707E-2</v>
      </c>
      <c r="U199" s="134">
        <v>9.3646600110980707E-2</v>
      </c>
      <c r="W199" s="134">
        <v>9.3646600110980707E-2</v>
      </c>
      <c r="X199" s="134">
        <v>9.3646600110980707E-2</v>
      </c>
      <c r="Y199" s="134">
        <v>9.3646600110980707E-2</v>
      </c>
      <c r="Z199" s="134">
        <v>9.3646600110980707E-2</v>
      </c>
      <c r="AA199" s="134">
        <v>9.3646600110980707E-2</v>
      </c>
      <c r="AC199" s="134">
        <v>9.3646600110980707E-2</v>
      </c>
      <c r="AD199" s="134">
        <v>9.3646600110980707E-2</v>
      </c>
      <c r="AE199" s="134">
        <v>9.3646600110980707E-2</v>
      </c>
      <c r="AF199" s="134">
        <v>9.3646600110980707E-2</v>
      </c>
      <c r="AG199" s="134">
        <v>9.3646600110980707E-2</v>
      </c>
    </row>
    <row r="200" spans="2:33" x14ac:dyDescent="0.35">
      <c r="K200" s="15"/>
      <c r="L200" s="15"/>
      <c r="M200" s="15"/>
      <c r="N200" s="15"/>
      <c r="O200" s="15"/>
      <c r="Q200" s="27"/>
      <c r="R200" s="27"/>
      <c r="S200" s="27"/>
      <c r="T200" s="27"/>
      <c r="U200" s="27"/>
      <c r="W200" s="27"/>
      <c r="X200" s="27"/>
      <c r="Y200" s="27"/>
      <c r="Z200" s="27"/>
      <c r="AA200" s="27"/>
      <c r="AC200" s="27"/>
      <c r="AD200" s="27"/>
      <c r="AE200" s="27"/>
      <c r="AF200" s="27"/>
      <c r="AG200" s="27"/>
    </row>
    <row r="201" spans="2:33" x14ac:dyDescent="0.35">
      <c r="B201" t="s">
        <v>110</v>
      </c>
      <c r="C201" s="26">
        <f>C76/C40</f>
        <v>0.262699402096294</v>
      </c>
      <c r="D201" s="26">
        <f>D76/D40</f>
        <v>0.658110793716429</v>
      </c>
      <c r="E201" s="26">
        <f>E76/E40</f>
        <v>0.62987592959425309</v>
      </c>
      <c r="F201" s="26">
        <f>F76/F40</f>
        <v>0.65254985973065549</v>
      </c>
      <c r="G201" s="26">
        <f>G76/G40</f>
        <v>0.57097698589458057</v>
      </c>
      <c r="J201" s="26">
        <f t="shared" si="79"/>
        <v>0.57097698589458057</v>
      </c>
      <c r="K201" s="32">
        <f>IF($Q$1=1,Q201,IF($Q$1=2,W201,AC201))</f>
        <v>0.574213682055009</v>
      </c>
      <c r="L201" s="32">
        <f>IF($Q$1=1,R201,IF($Q$1=2,X201,AD201))</f>
        <v>0.574213682055009</v>
      </c>
      <c r="M201" s="32">
        <f>IF($Q$1=1,S201,IF($Q$1=2,Y201,AE201))</f>
        <v>0.574213682055009</v>
      </c>
      <c r="N201" s="32">
        <f>IF($Q$1=1,T201,IF($Q$1=2,Z201,AF201))</f>
        <v>0.574213682055009</v>
      </c>
      <c r="O201" s="32">
        <f>IF($Q$1=1,U201,IF($Q$1=2,AA201,AG201))</f>
        <v>0.574213682055009</v>
      </c>
      <c r="Q201" s="29">
        <f>J201</f>
        <v>0.57097698589458057</v>
      </c>
      <c r="R201" s="29">
        <v>0.574213682055009</v>
      </c>
      <c r="S201" s="29">
        <v>0.574213682055009</v>
      </c>
      <c r="T201" s="29">
        <v>0.574213682055009</v>
      </c>
      <c r="U201" s="29">
        <v>0.574213682055009</v>
      </c>
      <c r="W201" s="29">
        <v>0.574213682055009</v>
      </c>
      <c r="X201" s="29">
        <v>0.574213682055009</v>
      </c>
      <c r="Y201" s="29">
        <v>0.574213682055009</v>
      </c>
      <c r="Z201" s="29">
        <v>0.574213682055009</v>
      </c>
      <c r="AA201" s="29">
        <v>0.574213682055009</v>
      </c>
      <c r="AC201" s="29">
        <v>0.574213682055009</v>
      </c>
      <c r="AD201" s="29">
        <v>0.574213682055009</v>
      </c>
      <c r="AE201" s="29">
        <v>0.574213682055009</v>
      </c>
      <c r="AF201" s="29">
        <v>0.574213682055009</v>
      </c>
      <c r="AG201" s="29">
        <v>0.574213682055009</v>
      </c>
    </row>
    <row r="202" spans="2:33" x14ac:dyDescent="0.35">
      <c r="B202" t="s">
        <v>109</v>
      </c>
      <c r="C202" s="26">
        <f>C95/C40</f>
        <v>0.16052149721450881</v>
      </c>
      <c r="D202" s="26">
        <f>D95/D40</f>
        <v>0.20944251522861557</v>
      </c>
      <c r="E202" s="26">
        <f>E95/E40</f>
        <v>0.2146755445699228</v>
      </c>
      <c r="F202" s="26">
        <f>F95/F40</f>
        <v>0.21619957348758245</v>
      </c>
      <c r="G202" s="26">
        <f>G95/G40</f>
        <v>0.23520242514229153</v>
      </c>
      <c r="J202" s="26">
        <f t="shared" si="79"/>
        <v>0.23520242514229153</v>
      </c>
      <c r="K202" s="32">
        <f>IF($Q$1=1,Q202,IF($Q$1=2,W202,AC202))</f>
        <v>0.22745913110946323</v>
      </c>
      <c r="L202" s="32">
        <f>IF($Q$1=1,R202,IF($Q$1=2,X202,AD202))</f>
        <v>0.22745913110946323</v>
      </c>
      <c r="M202" s="32">
        <f>IF($Q$1=1,S202,IF($Q$1=2,Y202,AE202))</f>
        <v>0.22745913110946323</v>
      </c>
      <c r="N202" s="32">
        <f>IF($Q$1=1,T202,IF($Q$1=2,Z202,AF202))</f>
        <v>0.22745913110946323</v>
      </c>
      <c r="O202" s="32">
        <f>IF($Q$1=1,U202,IF($Q$1=2,AA202,AG202))</f>
        <v>0.22745913110946323</v>
      </c>
      <c r="Q202" s="29">
        <f>J202</f>
        <v>0.23520242514229153</v>
      </c>
      <c r="R202" s="29">
        <v>0.22745913110946323</v>
      </c>
      <c r="S202" s="29">
        <v>0.22745913110946323</v>
      </c>
      <c r="T202" s="29">
        <v>0.22745913110946323</v>
      </c>
      <c r="U202" s="29">
        <v>0.22745913110946323</v>
      </c>
      <c r="W202" s="29">
        <v>0.22745913110946323</v>
      </c>
      <c r="X202" s="29">
        <v>0.22745913110946323</v>
      </c>
      <c r="Y202" s="29">
        <v>0.22745913110946323</v>
      </c>
      <c r="Z202" s="29">
        <v>0.22745913110946323</v>
      </c>
      <c r="AA202" s="29">
        <v>0.22745913110946323</v>
      </c>
      <c r="AC202" s="29">
        <v>0.22745913110946323</v>
      </c>
      <c r="AD202" s="29">
        <v>0.22745913110946323</v>
      </c>
      <c r="AE202" s="29">
        <v>0.22745913110946323</v>
      </c>
      <c r="AF202" s="29">
        <v>0.22745913110946323</v>
      </c>
      <c r="AG202" s="29">
        <v>0.22745913110946323</v>
      </c>
    </row>
    <row r="205" spans="2:33" x14ac:dyDescent="0.35">
      <c r="B205" s="3" t="s">
        <v>433</v>
      </c>
      <c r="C205" s="3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2:33" x14ac:dyDescent="0.35">
      <c r="B206" s="53" t="str">
        <f>B3</f>
        <v>Base Case</v>
      </c>
      <c r="C206" s="53"/>
      <c r="D206" s="53"/>
      <c r="E206" s="53"/>
      <c r="F206" s="53"/>
      <c r="G206" s="59"/>
      <c r="H206" s="53"/>
      <c r="I206" s="53"/>
      <c r="J206" s="60" t="s">
        <v>32</v>
      </c>
      <c r="K206" s="53"/>
      <c r="L206" s="53"/>
      <c r="M206" s="53"/>
      <c r="N206" s="53"/>
      <c r="O206" s="63" t="s">
        <v>188</v>
      </c>
    </row>
    <row r="207" spans="2:33" ht="15" thickBot="1" x14ac:dyDescent="0.4">
      <c r="B207" s="11" t="s">
        <v>381</v>
      </c>
      <c r="C207" s="9"/>
      <c r="D207" s="9"/>
      <c r="E207" s="9"/>
      <c r="F207" s="9"/>
      <c r="G207" s="9"/>
      <c r="H207" s="9"/>
      <c r="I207" s="9"/>
      <c r="J207" s="9">
        <f t="shared" ref="J207:O207" si="81">+J181</f>
        <v>2025</v>
      </c>
      <c r="K207" s="9">
        <f t="shared" si="81"/>
        <v>2026</v>
      </c>
      <c r="L207" s="9">
        <f t="shared" si="81"/>
        <v>2027</v>
      </c>
      <c r="M207" s="9">
        <f t="shared" si="81"/>
        <v>2028</v>
      </c>
      <c r="N207" s="9">
        <f t="shared" si="81"/>
        <v>2029</v>
      </c>
      <c r="O207" s="9">
        <f t="shared" si="81"/>
        <v>2030</v>
      </c>
    </row>
    <row r="208" spans="2:33" ht="15" thickTop="1" x14ac:dyDescent="0.35">
      <c r="B208" t="s">
        <v>22</v>
      </c>
      <c r="K208" s="23">
        <f>K21</f>
        <v>938.72429999999997</v>
      </c>
      <c r="L208" s="23">
        <f>L21</f>
        <v>1050.9630750000001</v>
      </c>
      <c r="M208" s="23">
        <f>M21</f>
        <v>1082.49196725</v>
      </c>
      <c r="N208" s="23">
        <f>N21</f>
        <v>1114.9667262675005</v>
      </c>
      <c r="O208" s="23">
        <f>O21</f>
        <v>1148.4157280555253</v>
      </c>
    </row>
    <row r="209" spans="2:15" x14ac:dyDescent="0.35">
      <c r="B209" t="s">
        <v>29</v>
      </c>
      <c r="K209" s="23">
        <f>-K55</f>
        <v>-113.71598271428573</v>
      </c>
      <c r="L209" s="23">
        <f>-L55</f>
        <v>-140.61361425428575</v>
      </c>
      <c r="M209" s="23">
        <f>-M55</f>
        <v>-145.53257528048576</v>
      </c>
      <c r="N209" s="23">
        <f>-N55</f>
        <v>-147.59028763747185</v>
      </c>
      <c r="O209" s="23">
        <f>-O55</f>
        <v>-156.25103886516737</v>
      </c>
    </row>
    <row r="210" spans="2:15" x14ac:dyDescent="0.35">
      <c r="B210" t="s">
        <v>182</v>
      </c>
      <c r="K210" s="23">
        <f>K122</f>
        <v>-75.120895022923023</v>
      </c>
      <c r="L210" s="23">
        <f>L122</f>
        <v>-3.9156268506876728</v>
      </c>
      <c r="M210" s="23">
        <f>M122</f>
        <v>-4.03309565620836</v>
      </c>
      <c r="N210" s="23">
        <f>N122</f>
        <v>-4.1540885258945508</v>
      </c>
      <c r="O210" s="23">
        <f>O122</f>
        <v>-4.2787111816713832</v>
      </c>
    </row>
    <row r="211" spans="2:15" x14ac:dyDescent="0.35">
      <c r="B211" t="s">
        <v>73</v>
      </c>
      <c r="K211" s="23">
        <f>K127</f>
        <v>-81.628199999999993</v>
      </c>
      <c r="L211" s="23">
        <f>L127</f>
        <v>-65.657129725396402</v>
      </c>
      <c r="M211" s="23">
        <f>M127</f>
        <v>-67.626843617158301</v>
      </c>
      <c r="N211" s="23">
        <f>N127</f>
        <v>-69.655648925673049</v>
      </c>
      <c r="O211" s="23">
        <f>O127</f>
        <v>-71.745318393443242</v>
      </c>
    </row>
    <row r="212" spans="2:15" ht="15" thickBot="1" x14ac:dyDescent="0.4">
      <c r="B212" t="s">
        <v>183</v>
      </c>
      <c r="K212" s="37">
        <f>SUM(K208:K211)</f>
        <v>668.25922226279124</v>
      </c>
      <c r="L212" s="37">
        <f>SUM(L208:L211)</f>
        <v>840.77670416963031</v>
      </c>
      <c r="M212" s="37">
        <f>SUM(M208:M211)</f>
        <v>865.29945269614757</v>
      </c>
      <c r="N212" s="37">
        <f>SUM(N208:N211)</f>
        <v>893.56670117846102</v>
      </c>
      <c r="O212" s="37">
        <f>SUM(O208:O211)</f>
        <v>916.14065961524329</v>
      </c>
    </row>
    <row r="213" spans="2:15" ht="15" thickTop="1" x14ac:dyDescent="0.35"/>
    <row r="214" spans="2:15" ht="15" thickBot="1" x14ac:dyDescent="0.4">
      <c r="B214" s="5" t="s">
        <v>184</v>
      </c>
      <c r="C214" s="5"/>
      <c r="E214" s="77" t="s">
        <v>187</v>
      </c>
      <c r="F214" s="77" t="s">
        <v>189</v>
      </c>
      <c r="G214" s="77" t="s">
        <v>190</v>
      </c>
    </row>
    <row r="215" spans="2:15" ht="15" thickTop="1" x14ac:dyDescent="0.35">
      <c r="B215" t="s">
        <v>185</v>
      </c>
      <c r="E215" s="38">
        <f>D13/K21</f>
        <v>8.1867738482960348</v>
      </c>
      <c r="O215" s="23">
        <f>E215*O208</f>
        <v>9401.8198494168246</v>
      </c>
    </row>
    <row r="216" spans="2:15" x14ac:dyDescent="0.35">
      <c r="B216" t="s">
        <v>186</v>
      </c>
      <c r="F216" s="36">
        <f>H229</f>
        <v>0.14998573349474345</v>
      </c>
      <c r="G216" s="48">
        <v>0.03</v>
      </c>
      <c r="J216" s="1" t="s">
        <v>191</v>
      </c>
      <c r="O216" s="23">
        <f>O212/(F216-G216)</f>
        <v>7635.4132523211956</v>
      </c>
    </row>
    <row r="217" spans="2:15" x14ac:dyDescent="0.35">
      <c r="B217" t="s">
        <v>194</v>
      </c>
      <c r="O217" s="46">
        <f>AVERAGE(O215:O216)</f>
        <v>8518.6165508690101</v>
      </c>
    </row>
    <row r="218" spans="2:15" x14ac:dyDescent="0.35">
      <c r="B218" t="s">
        <v>195</v>
      </c>
      <c r="O218" s="23">
        <f>-O93</f>
        <v>-4175</v>
      </c>
    </row>
    <row r="219" spans="2:15" ht="15" thickBot="1" x14ac:dyDescent="0.4">
      <c r="B219" t="s">
        <v>196</v>
      </c>
      <c r="O219" s="46">
        <f>+O217+O218</f>
        <v>4343.6165508690101</v>
      </c>
    </row>
    <row r="220" spans="2:15" ht="15" thickBot="1" x14ac:dyDescent="0.4">
      <c r="B220" t="s">
        <v>197</v>
      </c>
      <c r="E220" s="75" t="s">
        <v>384</v>
      </c>
      <c r="F220" s="74">
        <f>IRR(J220:O220)</f>
        <v>0.27212572468202567</v>
      </c>
      <c r="J220" s="37">
        <f>-D12</f>
        <v>-3385.1235500000012</v>
      </c>
      <c r="K220" s="37">
        <f>K212</f>
        <v>668.25922226279124</v>
      </c>
      <c r="L220" s="37">
        <f>L212</f>
        <v>840.77670416963031</v>
      </c>
      <c r="M220" s="37">
        <f>M212</f>
        <v>865.29945269614757</v>
      </c>
      <c r="N220" s="37">
        <f>N212</f>
        <v>893.56670117846102</v>
      </c>
      <c r="O220" s="37">
        <f>O212+O219</f>
        <v>5259.7572104842529</v>
      </c>
    </row>
    <row r="221" spans="2:15" ht="15" thickBot="1" x14ac:dyDescent="0.4">
      <c r="E221" s="75" t="s">
        <v>434</v>
      </c>
      <c r="F221" s="128">
        <f>SUM(K220:O220)/-J220</f>
        <v>2.5191574738213851</v>
      </c>
    </row>
    <row r="224" spans="2:15" x14ac:dyDescent="0.35">
      <c r="B224" s="3" t="s">
        <v>385</v>
      </c>
      <c r="C224" s="3"/>
      <c r="D224" s="2"/>
      <c r="E224" s="2"/>
      <c r="F224" s="2"/>
      <c r="G224" s="2"/>
      <c r="H224" s="2"/>
    </row>
    <row r="225" spans="2:8" x14ac:dyDescent="0.35">
      <c r="B225" s="61"/>
      <c r="C225" s="61"/>
      <c r="D225" s="62"/>
      <c r="E225" s="62" t="s">
        <v>192</v>
      </c>
      <c r="F225" s="62" t="s">
        <v>27</v>
      </c>
      <c r="G225" s="62" t="s">
        <v>193</v>
      </c>
      <c r="H225" s="62" t="s">
        <v>189</v>
      </c>
    </row>
    <row r="226" spans="2:8" x14ac:dyDescent="0.35">
      <c r="B226" t="str">
        <f>B8</f>
        <v>Term Loan</v>
      </c>
      <c r="D226" s="23">
        <f>D8</f>
        <v>2500</v>
      </c>
      <c r="E226" s="26">
        <f>D226/$D$229</f>
        <v>0.32530381375586337</v>
      </c>
      <c r="F226" s="36">
        <f>I166</f>
        <v>9.3609732510527843E-2</v>
      </c>
      <c r="G226" s="44">
        <f>F226*(1-$K$186)</f>
        <v>6.927120205779061E-2</v>
      </c>
      <c r="H226" s="44">
        <f>G226*E226</f>
        <v>2.2534186212852296E-2</v>
      </c>
    </row>
    <row r="227" spans="2:8" x14ac:dyDescent="0.35">
      <c r="B227" t="str">
        <f>B9</f>
        <v>Subordinated Notes</v>
      </c>
      <c r="D227" s="23">
        <f>D9</f>
        <v>1800</v>
      </c>
      <c r="E227" s="26">
        <f>D227/$D$229</f>
        <v>0.23421874590422165</v>
      </c>
      <c r="F227" s="36">
        <f>I172</f>
        <v>0.10000000000000009</v>
      </c>
      <c r="G227" s="44">
        <f>F227*(1-$K$186)</f>
        <v>7.4000000000000066E-2</v>
      </c>
      <c r="H227" s="44">
        <f>G227*E227</f>
        <v>1.7332187196912416E-2</v>
      </c>
    </row>
    <row r="228" spans="2:8" x14ac:dyDescent="0.35">
      <c r="B228" t="str">
        <f>B12</f>
        <v>Equity</v>
      </c>
      <c r="D228" s="23">
        <f>D12</f>
        <v>3385.1235500000012</v>
      </c>
      <c r="E228" s="26">
        <f>D228/$D$229</f>
        <v>0.44047744033991498</v>
      </c>
      <c r="F228" s="48">
        <v>0.25</v>
      </c>
      <c r="G228" s="36">
        <f>F228</f>
        <v>0.25</v>
      </c>
      <c r="H228" s="44">
        <f>G228*E228</f>
        <v>0.11011936008497875</v>
      </c>
    </row>
    <row r="229" spans="2:8" ht="15" thickBot="1" x14ac:dyDescent="0.4">
      <c r="D229" s="37">
        <f>SUM(D226:D228)</f>
        <v>7685.1235500000012</v>
      </c>
      <c r="E229" s="41">
        <f>D229/$D$229</f>
        <v>1</v>
      </c>
      <c r="H229" s="49">
        <f>SUM(H226:H228)</f>
        <v>0.14998573349474345</v>
      </c>
    </row>
    <row r="230" spans="2:8" ht="15" thickTop="1" x14ac:dyDescent="0.35"/>
  </sheetData>
  <mergeCells count="1">
    <mergeCell ref="B57:G57"/>
  </mergeCells>
  <conditionalFormatting sqref="T17:AB23">
    <cfRule type="cellIs" dxfId="4" priority="1" operator="greaterThan">
      <formula>0.25</formula>
    </cfRule>
  </conditionalFormatting>
  <pageMargins left="0.7" right="0.7" top="0.75" bottom="0.75" header="0.3" footer="0.3"/>
  <pageSetup scale="87" fitToHeight="0" orientation="landscape" r:id="rId1"/>
  <rowBreaks count="6" manualBreakCount="6">
    <brk id="58" max="16383" man="1"/>
    <brk id="78" max="16383" man="1"/>
    <brk id="105" max="16383" man="1"/>
    <brk id="145" max="16383" man="1"/>
    <brk id="178" max="16383" man="1"/>
    <brk id="20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C4CBC-F5D1-4A1A-86BE-C7B8907F4722}">
  <dimension ref="D6:G11"/>
  <sheetViews>
    <sheetView workbookViewId="0">
      <selection activeCell="G17" sqref="F17:G18"/>
    </sheetView>
  </sheetViews>
  <sheetFormatPr defaultRowHeight="14.5" x14ac:dyDescent="0.35"/>
  <cols>
    <col min="4" max="4" width="9.1796875" bestFit="1" customWidth="1"/>
    <col min="5" max="5" width="9.1796875" customWidth="1"/>
    <col min="6" max="6" width="9.1796875" bestFit="1" customWidth="1"/>
  </cols>
  <sheetData>
    <row r="6" spans="4:7" x14ac:dyDescent="0.35">
      <c r="D6" s="19">
        <f>F6/(1+F10)</f>
        <v>1834.7639484978542</v>
      </c>
      <c r="E6" s="26">
        <f>D6/$D$8</f>
        <v>0.5595651189816826</v>
      </c>
      <c r="F6" s="19">
        <v>1710</v>
      </c>
      <c r="G6" s="26">
        <f>F6/$F$8</f>
        <v>0.51413108839446786</v>
      </c>
    </row>
    <row r="7" spans="4:7" x14ac:dyDescent="0.35">
      <c r="D7" s="19">
        <f>F7/(1+F11)</f>
        <v>1444.1465594280608</v>
      </c>
      <c r="E7" s="26">
        <f t="shared" ref="E7:E8" si="0">D7/$D$8</f>
        <v>0.44043488101831729</v>
      </c>
      <c r="F7" s="19">
        <v>1616</v>
      </c>
      <c r="G7" s="26">
        <f t="shared" ref="G7:G8" si="1">F7/$F$8</f>
        <v>0.48586891160553219</v>
      </c>
    </row>
    <row r="8" spans="4:7" x14ac:dyDescent="0.35">
      <c r="D8" s="23">
        <f>SUM(D6:D7)</f>
        <v>3278.9105079259152</v>
      </c>
      <c r="E8" s="26">
        <f t="shared" si="0"/>
        <v>1</v>
      </c>
      <c r="F8" s="23">
        <f>SUM(F6:F7)</f>
        <v>3326</v>
      </c>
      <c r="G8" s="26">
        <f t="shared" si="1"/>
        <v>1</v>
      </c>
    </row>
    <row r="10" spans="4:7" x14ac:dyDescent="0.35">
      <c r="F10" s="36">
        <v>-6.8000000000000005E-2</v>
      </c>
    </row>
    <row r="11" spans="4:7" x14ac:dyDescent="0.35">
      <c r="F11" s="36">
        <v>0.11899999999999999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4071A-2E7B-4C9C-A573-5E877D5BA41C}">
  <dimension ref="A1:O58"/>
  <sheetViews>
    <sheetView showGridLines="0" topLeftCell="B1" workbookViewId="0">
      <selection activeCell="B25" sqref="B25"/>
    </sheetView>
  </sheetViews>
  <sheetFormatPr defaultRowHeight="14.5" x14ac:dyDescent="0.35"/>
  <cols>
    <col min="1" max="1" width="3.54296875" customWidth="1"/>
    <col min="2" max="2" width="28.1796875" customWidth="1"/>
    <col min="3" max="3" width="10.7265625" customWidth="1"/>
    <col min="4" max="4" width="13" customWidth="1"/>
    <col min="5" max="6" width="10.7265625" customWidth="1"/>
    <col min="7" max="7" width="12.90625" customWidth="1"/>
    <col min="8" max="9" width="10.7265625" customWidth="1"/>
    <col min="10" max="10" width="2.453125" customWidth="1"/>
    <col min="11" max="11" width="14.08984375" customWidth="1"/>
    <col min="12" max="12" width="11.36328125" customWidth="1"/>
    <col min="13" max="13" width="3.1796875" customWidth="1"/>
    <col min="14" max="14" width="10.453125" customWidth="1"/>
    <col min="15" max="15" width="2.26953125" customWidth="1"/>
  </cols>
  <sheetData>
    <row r="1" spans="1:14" ht="18.5" x14ac:dyDescent="0.45">
      <c r="B1" s="84" t="str">
        <f>Model!B1</f>
        <v>Crocs, Inc (CROX)</v>
      </c>
      <c r="C1" s="84"/>
    </row>
    <row r="2" spans="1:14" x14ac:dyDescent="0.35">
      <c r="B2" s="5" t="s">
        <v>396</v>
      </c>
      <c r="C2" s="5"/>
    </row>
    <row r="3" spans="1:14" ht="17.5" customHeight="1" thickBot="1" x14ac:dyDescent="0.4">
      <c r="A3" s="85"/>
      <c r="B3" s="86" t="s">
        <v>420</v>
      </c>
      <c r="C3" s="85"/>
      <c r="D3" s="85"/>
      <c r="E3" s="85"/>
      <c r="F3" s="85"/>
      <c r="G3" s="85"/>
      <c r="H3" s="85"/>
      <c r="I3" s="85"/>
      <c r="J3" s="76"/>
      <c r="K3" s="169" t="s">
        <v>397</v>
      </c>
      <c r="L3" s="169"/>
    </row>
    <row r="4" spans="1:14" ht="53" customHeight="1" x14ac:dyDescent="0.35">
      <c r="A4" s="85"/>
      <c r="B4" s="87" t="s">
        <v>398</v>
      </c>
      <c r="C4" s="87" t="s">
        <v>399</v>
      </c>
      <c r="D4" s="88" t="s">
        <v>400</v>
      </c>
      <c r="E4" s="88" t="s">
        <v>401</v>
      </c>
      <c r="F4" s="88" t="s">
        <v>402</v>
      </c>
      <c r="G4" s="88" t="s">
        <v>403</v>
      </c>
      <c r="H4" s="88" t="s">
        <v>404</v>
      </c>
      <c r="I4" s="88" t="s">
        <v>405</v>
      </c>
      <c r="K4" s="89" t="s">
        <v>406</v>
      </c>
      <c r="L4" s="89" t="s">
        <v>407</v>
      </c>
      <c r="N4" s="90" t="s">
        <v>408</v>
      </c>
    </row>
    <row r="5" spans="1:14" ht="6.4" customHeight="1" x14ac:dyDescent="0.35">
      <c r="A5" s="85"/>
      <c r="B5" s="91"/>
      <c r="C5" s="91"/>
      <c r="D5" s="92"/>
      <c r="E5" s="92"/>
      <c r="F5" s="92"/>
      <c r="G5" s="92"/>
      <c r="H5" s="92"/>
    </row>
    <row r="6" spans="1:14" ht="14" customHeight="1" x14ac:dyDescent="0.35">
      <c r="A6" s="85"/>
      <c r="B6" s="93"/>
      <c r="C6" s="91"/>
      <c r="D6" s="92"/>
      <c r="E6" s="92"/>
      <c r="F6" s="92"/>
      <c r="G6" s="92"/>
      <c r="H6" s="92"/>
    </row>
    <row r="7" spans="1:14" x14ac:dyDescent="0.35">
      <c r="A7" s="85" t="s">
        <v>409</v>
      </c>
      <c r="B7" s="94" t="s">
        <v>419</v>
      </c>
      <c r="C7" s="94" t="s">
        <v>415</v>
      </c>
      <c r="D7" s="95">
        <v>14560</v>
      </c>
      <c r="E7" s="95">
        <v>350.67</v>
      </c>
      <c r="F7" s="95">
        <v>1410</v>
      </c>
      <c r="G7" s="96">
        <f t="shared" ref="G7:G12" si="0">D7+E7-F7</f>
        <v>13500.67</v>
      </c>
      <c r="H7" s="95">
        <v>5240</v>
      </c>
      <c r="I7" s="95">
        <v>1310</v>
      </c>
      <c r="K7" s="97">
        <f>IFERROR($G7 / H7,"N/A ")</f>
        <v>2.5764637404580153</v>
      </c>
      <c r="L7" s="98">
        <f>IFERROR($G7 / I7,"N/A ")</f>
        <v>10.305854961832061</v>
      </c>
      <c r="N7" s="36">
        <v>0.35599999999999998</v>
      </c>
    </row>
    <row r="8" spans="1:14" x14ac:dyDescent="0.35">
      <c r="A8" s="85"/>
      <c r="B8" s="94" t="s">
        <v>421</v>
      </c>
      <c r="C8" s="94" t="s">
        <v>416</v>
      </c>
      <c r="D8" s="95">
        <v>14860</v>
      </c>
      <c r="E8" s="95">
        <v>503.9</v>
      </c>
      <c r="F8" s="95">
        <v>1020</v>
      </c>
      <c r="G8" s="96">
        <f t="shared" si="0"/>
        <v>14343.9</v>
      </c>
      <c r="H8" s="95">
        <v>2880</v>
      </c>
      <c r="I8" s="95">
        <v>401.8</v>
      </c>
      <c r="K8" s="97">
        <f>IFERROR($G8 / H8,"N/A ")</f>
        <v>4.9805208333333333</v>
      </c>
      <c r="L8" s="98">
        <f>IF(I8&lt;0,"N/A",IFERROR($G8/I8,"N/A "))</f>
        <v>35.699104031856642</v>
      </c>
      <c r="N8" s="36">
        <v>0.28499999999999998</v>
      </c>
    </row>
    <row r="9" spans="1:14" x14ac:dyDescent="0.35">
      <c r="A9" s="85"/>
      <c r="B9" s="94" t="s">
        <v>422</v>
      </c>
      <c r="C9" s="94" t="s">
        <v>417</v>
      </c>
      <c r="D9" s="95">
        <v>6940</v>
      </c>
      <c r="E9" s="95">
        <v>1340</v>
      </c>
      <c r="F9" s="95">
        <v>329.07</v>
      </c>
      <c r="G9" s="96">
        <f t="shared" si="0"/>
        <v>7950.93</v>
      </c>
      <c r="H9" s="95">
        <v>2100</v>
      </c>
      <c r="I9" s="95">
        <v>619.25</v>
      </c>
      <c r="K9" s="97">
        <f>IFERROR($G9 / H9,"N/A ")</f>
        <v>3.7861571428571428</v>
      </c>
      <c r="L9" s="98">
        <f>IF(I9&lt;0,"N/A",IFERROR($G9/I9,"N/A "))</f>
        <v>12.839612434396448</v>
      </c>
    </row>
    <row r="10" spans="1:14" x14ac:dyDescent="0.35">
      <c r="A10" s="85"/>
      <c r="B10" s="94" t="s">
        <v>423</v>
      </c>
      <c r="C10" s="94" t="s">
        <v>418</v>
      </c>
      <c r="D10" s="95">
        <v>1430</v>
      </c>
      <c r="E10" s="95">
        <v>822.1</v>
      </c>
      <c r="F10" s="95">
        <v>133.9</v>
      </c>
      <c r="G10" s="96">
        <f t="shared" si="0"/>
        <v>2118.1999999999998</v>
      </c>
      <c r="H10" s="95">
        <v>1850</v>
      </c>
      <c r="I10" s="95">
        <v>171.7</v>
      </c>
      <c r="K10" s="97">
        <f>IFERROR($G10 / H10,"N/A ")</f>
        <v>1.144972972972973</v>
      </c>
      <c r="L10" s="98">
        <f>IF(I10&lt;0,"N/A",IFERROR($G10/I10,"N/A "))</f>
        <v>12.336633663366337</v>
      </c>
    </row>
    <row r="11" spans="1:14" x14ac:dyDescent="0.35">
      <c r="A11" s="85"/>
      <c r="B11" s="119" t="s">
        <v>425</v>
      </c>
      <c r="C11" s="119" t="s">
        <v>424</v>
      </c>
      <c r="D11" s="120">
        <v>240.47</v>
      </c>
      <c r="E11" s="120">
        <v>141.22999999999999</v>
      </c>
      <c r="F11" s="120">
        <v>3.32</v>
      </c>
      <c r="G11" s="96">
        <f t="shared" si="0"/>
        <v>378.38</v>
      </c>
      <c r="H11" s="120">
        <v>470.31</v>
      </c>
      <c r="I11" s="120">
        <v>49.8</v>
      </c>
      <c r="K11" s="112">
        <f>IFERROR($G11 / H11,"N/A ")</f>
        <v>0.8045331802428185</v>
      </c>
      <c r="L11" s="98">
        <f>IF(I11&lt;0,"N/A",IFERROR($G11/I11,"N/A "))</f>
        <v>7.5979919678714865</v>
      </c>
    </row>
    <row r="12" spans="1:14" x14ac:dyDescent="0.35">
      <c r="A12" s="85"/>
      <c r="B12" s="119" t="s">
        <v>426</v>
      </c>
      <c r="C12" s="119" t="s">
        <v>427</v>
      </c>
      <c r="D12" s="120">
        <v>295.33</v>
      </c>
      <c r="E12" s="120">
        <v>11.49</v>
      </c>
      <c r="F12" s="120">
        <v>73.66</v>
      </c>
      <c r="G12" s="121">
        <f t="shared" si="0"/>
        <v>233.16</v>
      </c>
      <c r="H12" s="120">
        <v>279.83999999999997</v>
      </c>
      <c r="I12" s="120">
        <v>33.36</v>
      </c>
      <c r="K12" s="112">
        <f>IFERROR($G12 / H12,"N/A ")</f>
        <v>0.83319039451114929</v>
      </c>
      <c r="L12" s="122">
        <f>IF(I12&lt;0,"N/A",IFERROR($G12/I12,"N/A "))</f>
        <v>6.9892086330935248</v>
      </c>
    </row>
    <row r="13" spans="1:14" x14ac:dyDescent="0.35">
      <c r="A13" s="85"/>
      <c r="B13" s="99"/>
      <c r="C13" s="99"/>
      <c r="D13" s="100"/>
      <c r="E13" s="100"/>
      <c r="F13" s="100"/>
      <c r="G13" s="101"/>
      <c r="H13" s="100"/>
      <c r="I13" s="100"/>
      <c r="K13" s="102"/>
      <c r="L13" s="103"/>
    </row>
    <row r="14" spans="1:14" x14ac:dyDescent="0.35">
      <c r="A14" s="85"/>
      <c r="B14" s="104" t="str">
        <f>B1</f>
        <v>Crocs, Inc (CROX)</v>
      </c>
      <c r="C14" s="104" t="s">
        <v>428</v>
      </c>
      <c r="D14" s="123">
        <v>4280</v>
      </c>
      <c r="E14" s="123">
        <f>Model!G89</f>
        <v>1230.885</v>
      </c>
      <c r="F14" s="123">
        <f>Model!G64</f>
        <v>130.35400000000001</v>
      </c>
      <c r="G14" s="124">
        <f>D14+E14-F14</f>
        <v>5380.5309999999999</v>
      </c>
      <c r="H14" s="125">
        <f>Model!G40</f>
        <v>4041</v>
      </c>
      <c r="I14" s="126">
        <f>Model!G48+Model!G110</f>
        <v>999.39000000000021</v>
      </c>
      <c r="K14" s="105">
        <f>IFERROR($G14 / H14,"N/A ")</f>
        <v>1.3314850284583024</v>
      </c>
      <c r="L14" s="106">
        <f>IF(I14&lt;0,"N/A",IFERROR($G14/I14,"N/A "))</f>
        <v>5.3838151272276074</v>
      </c>
    </row>
    <row r="15" spans="1:14" x14ac:dyDescent="0.35">
      <c r="A15" s="85"/>
      <c r="B15" s="107"/>
      <c r="C15" s="107"/>
      <c r="D15" s="101"/>
      <c r="E15" s="101"/>
      <c r="F15" s="101"/>
      <c r="G15" s="101"/>
      <c r="H15" s="101"/>
      <c r="I15" s="101"/>
      <c r="J15" s="101"/>
      <c r="K15" s="101"/>
      <c r="L15" s="101"/>
    </row>
    <row r="16" spans="1:14" ht="4.1500000000000004" customHeight="1" x14ac:dyDescent="0.35">
      <c r="A16" s="85"/>
      <c r="D16" s="109"/>
      <c r="E16" s="109"/>
      <c r="F16" s="109"/>
      <c r="G16" s="109"/>
      <c r="H16" s="109"/>
      <c r="I16" s="109"/>
      <c r="K16" s="110"/>
      <c r="L16" s="111"/>
    </row>
    <row r="17" spans="1:14" x14ac:dyDescent="0.35">
      <c r="A17" s="85"/>
      <c r="C17" t="s">
        <v>410</v>
      </c>
      <c r="D17" s="108">
        <f>MIN(D$7:D$10)</f>
        <v>1430</v>
      </c>
      <c r="E17" s="108">
        <f>MIN(E$7:E$10)</f>
        <v>350.67</v>
      </c>
      <c r="F17" s="108"/>
      <c r="G17" s="108">
        <f>MIN(G$7:G$10)</f>
        <v>2118.1999999999998</v>
      </c>
      <c r="H17" s="108">
        <f>MIN(H$7:H$10)</f>
        <v>1850</v>
      </c>
      <c r="I17" s="108">
        <f>MIN(I$7:I$10)</f>
        <v>171.7</v>
      </c>
      <c r="K17" s="112">
        <f>MIN(K$7:K$10)</f>
        <v>1.144972972972973</v>
      </c>
      <c r="L17" s="113">
        <f>MIN(L$7:L$10)</f>
        <v>10.305854961832061</v>
      </c>
      <c r="N17" s="36"/>
    </row>
    <row r="18" spans="1:14" x14ac:dyDescent="0.35">
      <c r="A18" s="85"/>
      <c r="C18" t="s">
        <v>411</v>
      </c>
      <c r="D18" s="108">
        <f>MEDIAN(D$7:D$10)</f>
        <v>10750</v>
      </c>
      <c r="E18" s="108">
        <f>MEDIAN(E$7:E$10)</f>
        <v>663</v>
      </c>
      <c r="F18" s="108"/>
      <c r="G18" s="108">
        <f>MEDIAN(G$7:G$10)</f>
        <v>10725.8</v>
      </c>
      <c r="H18" s="108">
        <f>MEDIAN(H$7:H$10)</f>
        <v>2490</v>
      </c>
      <c r="I18" s="108">
        <f>MEDIAN(I$7:I$10)</f>
        <v>510.52499999999998</v>
      </c>
      <c r="K18" s="112">
        <f>MEDIAN(K$7:K$10)</f>
        <v>3.1813104416575788</v>
      </c>
      <c r="L18" s="113">
        <f>MEDIAN(L$7:L$10)</f>
        <v>12.588123048881393</v>
      </c>
    </row>
    <row r="19" spans="1:14" x14ac:dyDescent="0.35">
      <c r="A19" s="85"/>
      <c r="C19" t="s">
        <v>194</v>
      </c>
      <c r="D19" s="108">
        <f>AVERAGE(D$7:D$10)</f>
        <v>9447.5</v>
      </c>
      <c r="E19" s="108">
        <f>AVERAGE(E$7:E$10)</f>
        <v>754.1674999999999</v>
      </c>
      <c r="F19" s="108"/>
      <c r="G19" s="108">
        <f>AVERAGE(G$7:G$10)</f>
        <v>9478.4249999999993</v>
      </c>
      <c r="H19" s="108">
        <f>AVERAGE(H$7:H$10)</f>
        <v>3017.5</v>
      </c>
      <c r="I19" s="108">
        <f>AVERAGE(I$7:I$10)</f>
        <v>625.6875</v>
      </c>
      <c r="K19" s="112">
        <f>AVERAGEIF(K$7:K$10,"&lt;&gt;0")</f>
        <v>3.1220286724053659</v>
      </c>
      <c r="L19" s="113">
        <f>AVERAGEIF(L$7:L$10,"&lt;&gt;0")</f>
        <v>17.795301272862872</v>
      </c>
    </row>
    <row r="20" spans="1:14" x14ac:dyDescent="0.35">
      <c r="A20" s="85" t="s">
        <v>409</v>
      </c>
      <c r="C20" t="s">
        <v>412</v>
      </c>
      <c r="D20" s="108">
        <f>MAX(D$7:D$10)</f>
        <v>14860</v>
      </c>
      <c r="E20" s="108">
        <f>MAX(E$7:E$10)</f>
        <v>1340</v>
      </c>
      <c r="F20" s="108"/>
      <c r="G20" s="108">
        <f>MAX(G$7:G$10)</f>
        <v>14343.9</v>
      </c>
      <c r="H20" s="108">
        <f>MAX(H$7:H$10)</f>
        <v>5240</v>
      </c>
      <c r="I20" s="108">
        <f>MAX(I$7:I$10)</f>
        <v>1310</v>
      </c>
      <c r="K20" s="112">
        <f>MAX(K$7:K$10)</f>
        <v>4.9805208333333333</v>
      </c>
      <c r="L20" s="113">
        <f>MAX(L$7:L$10)</f>
        <v>35.699104031856642</v>
      </c>
    </row>
    <row r="21" spans="1:14" ht="4.1500000000000004" customHeight="1" x14ac:dyDescent="0.35">
      <c r="A21" s="85"/>
      <c r="D21" s="114"/>
      <c r="E21" s="114"/>
      <c r="F21" s="114"/>
      <c r="G21" s="114"/>
      <c r="H21" s="114"/>
      <c r="I21" s="114"/>
      <c r="K21" s="115"/>
      <c r="L21" s="116"/>
    </row>
    <row r="22" spans="1:14" x14ac:dyDescent="0.35">
      <c r="A22" s="85"/>
    </row>
    <row r="23" spans="1:14" x14ac:dyDescent="0.35">
      <c r="A23" s="85"/>
      <c r="K23" t="s">
        <v>22</v>
      </c>
      <c r="L23" s="23">
        <f>+I14</f>
        <v>999.39000000000021</v>
      </c>
    </row>
    <row r="24" spans="1:14" x14ac:dyDescent="0.35">
      <c r="A24" s="85"/>
      <c r="K24" t="s">
        <v>429</v>
      </c>
      <c r="L24" s="23">
        <f>L23*L18</f>
        <v>12580.444293821578</v>
      </c>
    </row>
    <row r="25" spans="1:14" x14ac:dyDescent="0.35">
      <c r="A25" s="85"/>
      <c r="K25" t="s">
        <v>413</v>
      </c>
      <c r="L25" s="23">
        <f>-E14</f>
        <v>-1230.885</v>
      </c>
    </row>
    <row r="26" spans="1:14" x14ac:dyDescent="0.35">
      <c r="A26" s="85"/>
      <c r="K26" t="s">
        <v>414</v>
      </c>
      <c r="L26" s="23">
        <f>+F14</f>
        <v>130.35400000000001</v>
      </c>
    </row>
    <row r="27" spans="1:14" x14ac:dyDescent="0.35">
      <c r="A27" s="85"/>
      <c r="K27" t="s">
        <v>9</v>
      </c>
      <c r="L27" s="23">
        <f>SUM(L24:L26)</f>
        <v>11479.913293821577</v>
      </c>
    </row>
    <row r="28" spans="1:14" ht="15" thickBot="1" x14ac:dyDescent="0.4">
      <c r="A28" s="85"/>
      <c r="K28" t="s">
        <v>431</v>
      </c>
      <c r="L28">
        <f>Model!N8</f>
        <v>51.92</v>
      </c>
      <c r="M28" t="s">
        <v>430</v>
      </c>
    </row>
    <row r="29" spans="1:14" ht="15" thickBot="1" x14ac:dyDescent="0.4">
      <c r="A29" s="85"/>
      <c r="K29" t="s">
        <v>432</v>
      </c>
      <c r="L29" s="127">
        <f>L27/L28</f>
        <v>221.10772907976843</v>
      </c>
    </row>
    <row r="30" spans="1:14" x14ac:dyDescent="0.35">
      <c r="A30" s="85"/>
    </row>
    <row r="31" spans="1:14" ht="20.5" customHeight="1" x14ac:dyDescent="0.35">
      <c r="A31" s="85"/>
    </row>
    <row r="34" spans="15:15" ht="16.5" customHeight="1" x14ac:dyDescent="0.35"/>
    <row r="35" spans="15:15" ht="16.5" customHeight="1" x14ac:dyDescent="0.35">
      <c r="O35" s="117"/>
    </row>
    <row r="36" spans="15:15" ht="15.5" x14ac:dyDescent="0.35">
      <c r="O36" s="117"/>
    </row>
    <row r="37" spans="15:15" ht="15.5" x14ac:dyDescent="0.35">
      <c r="O37" s="117"/>
    </row>
    <row r="38" spans="15:15" ht="15.5" x14ac:dyDescent="0.35">
      <c r="O38" s="117"/>
    </row>
    <row r="39" spans="15:15" ht="15.5" x14ac:dyDescent="0.35">
      <c r="O39" s="117"/>
    </row>
    <row r="40" spans="15:15" ht="15.5" x14ac:dyDescent="0.35">
      <c r="O40" s="118"/>
    </row>
    <row r="41" spans="15:15" ht="15.5" x14ac:dyDescent="0.35">
      <c r="O41" s="118"/>
    </row>
    <row r="42" spans="15:15" ht="15.5" x14ac:dyDescent="0.35">
      <c r="O42" s="117"/>
    </row>
    <row r="43" spans="15:15" ht="15.5" x14ac:dyDescent="0.35">
      <c r="O43" s="117"/>
    </row>
    <row r="44" spans="15:15" ht="15.5" x14ac:dyDescent="0.35">
      <c r="O44" s="117"/>
    </row>
    <row r="45" spans="15:15" ht="15.5" x14ac:dyDescent="0.35">
      <c r="O45" s="117"/>
    </row>
    <row r="46" spans="15:15" ht="15.5" x14ac:dyDescent="0.35">
      <c r="O46" s="117"/>
    </row>
    <row r="47" spans="15:15" ht="15.5" x14ac:dyDescent="0.35">
      <c r="O47" s="117"/>
    </row>
    <row r="48" spans="15:15" ht="15.5" x14ac:dyDescent="0.35">
      <c r="O48" s="117"/>
    </row>
    <row r="49" spans="15:15" ht="15.5" x14ac:dyDescent="0.35">
      <c r="O49" s="117"/>
    </row>
    <row r="50" spans="15:15" ht="15.5" x14ac:dyDescent="0.35">
      <c r="O50" s="118"/>
    </row>
    <row r="51" spans="15:15" ht="15.5" x14ac:dyDescent="0.35">
      <c r="O51" s="117"/>
    </row>
    <row r="52" spans="15:15" ht="15.5" x14ac:dyDescent="0.35">
      <c r="O52" s="117"/>
    </row>
    <row r="53" spans="15:15" ht="15.5" x14ac:dyDescent="0.35">
      <c r="O53" s="117"/>
    </row>
    <row r="54" spans="15:15" ht="15.5" x14ac:dyDescent="0.35">
      <c r="O54" s="117"/>
    </row>
    <row r="55" spans="15:15" ht="15.5" x14ac:dyDescent="0.35">
      <c r="O55" s="118"/>
    </row>
    <row r="56" spans="15:15" ht="15.5" x14ac:dyDescent="0.35">
      <c r="O56" s="117"/>
    </row>
    <row r="57" spans="15:15" ht="15.5" x14ac:dyDescent="0.35">
      <c r="O57" s="117"/>
    </row>
    <row r="58" spans="15:15" ht="15.5" x14ac:dyDescent="0.35">
      <c r="O58" s="117"/>
    </row>
  </sheetData>
  <mergeCells count="1">
    <mergeCell ref="K3:L3"/>
  </mergeCells>
  <conditionalFormatting sqref="B14:F14 H14:I14">
    <cfRule type="expression" dxfId="3" priority="5">
      <formula>#REF!=0</formula>
    </cfRule>
  </conditionalFormatting>
  <conditionalFormatting sqref="B7:I12 K7:L12 D16:I21 K16:L21">
    <cfRule type="expression" dxfId="2" priority="3">
      <formula>#REF!=0</formula>
    </cfRule>
  </conditionalFormatting>
  <conditionalFormatting sqref="G14 K14:L14">
    <cfRule type="expression" dxfId="1" priority="4">
      <formula>#REF!=1</formula>
    </cfRule>
  </conditionalFormatting>
  <conditionalFormatting sqref="O35:O58">
    <cfRule type="expression" dxfId="0" priority="2">
      <formula>#REF!=0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F5AE1-F243-40C6-A343-386765C14548}">
  <dimension ref="A1:AA54"/>
  <sheetViews>
    <sheetView workbookViewId="0">
      <selection activeCell="H9" sqref="H9"/>
    </sheetView>
  </sheetViews>
  <sheetFormatPr defaultRowHeight="14.5" x14ac:dyDescent="0.35"/>
  <cols>
    <col min="1" max="1" width="47.1796875" bestFit="1" customWidth="1"/>
    <col min="2" max="6" width="12.453125" bestFit="1" customWidth="1"/>
    <col min="7" max="8" width="6.36328125" customWidth="1"/>
    <col min="9" max="18" width="12.453125" bestFit="1" customWidth="1"/>
    <col min="19" max="19" width="10.90625" bestFit="1" customWidth="1"/>
    <col min="20" max="20" width="13.1796875" bestFit="1" customWidth="1"/>
    <col min="21" max="21" width="14.1796875" bestFit="1" customWidth="1"/>
    <col min="22" max="22" width="13.54296875" bestFit="1" customWidth="1"/>
    <col min="23" max="24" width="12.453125" bestFit="1" customWidth="1"/>
    <col min="25" max="25" width="12.08984375" bestFit="1" customWidth="1"/>
    <col min="26" max="27" width="10.08984375" bestFit="1" customWidth="1"/>
  </cols>
  <sheetData>
    <row r="1" spans="1:27" x14ac:dyDescent="0.35">
      <c r="A1" s="61" t="str">
        <f>Model!B1</f>
        <v>Crocs, Inc (CROX)</v>
      </c>
      <c r="B1" s="73">
        <v>44561</v>
      </c>
      <c r="C1" s="73">
        <v>44926</v>
      </c>
      <c r="D1" s="73">
        <v>45291</v>
      </c>
      <c r="E1" s="73">
        <v>45657</v>
      </c>
      <c r="F1" s="73">
        <v>46022</v>
      </c>
      <c r="I1" s="16">
        <v>44196</v>
      </c>
      <c r="J1" s="16">
        <v>43830</v>
      </c>
      <c r="K1" s="16">
        <v>43465</v>
      </c>
      <c r="L1" s="16">
        <v>43100</v>
      </c>
      <c r="M1" s="16">
        <v>42735</v>
      </c>
      <c r="N1" s="16">
        <v>42369</v>
      </c>
      <c r="O1" s="16">
        <v>42004</v>
      </c>
      <c r="P1" s="16">
        <v>41639</v>
      </c>
      <c r="Q1" s="16">
        <v>41274</v>
      </c>
      <c r="R1" s="16">
        <v>40908</v>
      </c>
      <c r="S1" s="16">
        <v>40543</v>
      </c>
      <c r="T1" s="16">
        <v>40178</v>
      </c>
      <c r="U1" s="16">
        <v>39813</v>
      </c>
      <c r="V1" s="16">
        <v>39447</v>
      </c>
      <c r="W1" s="16">
        <v>39082</v>
      </c>
      <c r="X1" s="16">
        <v>38717</v>
      </c>
      <c r="Y1" s="16">
        <v>38352</v>
      </c>
      <c r="Z1" s="16">
        <v>37986</v>
      </c>
      <c r="AA1" s="16">
        <v>37621</v>
      </c>
    </row>
    <row r="2" spans="1:27" x14ac:dyDescent="0.35">
      <c r="A2" t="s">
        <v>118</v>
      </c>
      <c r="B2" s="17">
        <v>2313416000</v>
      </c>
      <c r="C2" s="17">
        <v>3554985000</v>
      </c>
      <c r="D2" s="17">
        <v>3962347000</v>
      </c>
      <c r="E2" s="17">
        <v>4102108000</v>
      </c>
      <c r="F2" s="17">
        <v>4040647000</v>
      </c>
      <c r="G2" s="17"/>
      <c r="H2" s="17"/>
      <c r="I2" s="17">
        <v>1385951000</v>
      </c>
      <c r="J2" s="17">
        <v>1230593000</v>
      </c>
      <c r="K2" s="17">
        <v>1088205000</v>
      </c>
      <c r="L2" s="17">
        <v>1023513000</v>
      </c>
      <c r="M2" s="17">
        <v>1036273000</v>
      </c>
      <c r="N2" s="17">
        <v>1090630000</v>
      </c>
      <c r="O2" s="17">
        <v>1198223000</v>
      </c>
      <c r="P2" s="17">
        <v>1192680000</v>
      </c>
      <c r="Q2" s="17">
        <v>1123301000</v>
      </c>
      <c r="R2" s="17">
        <v>1000903000</v>
      </c>
      <c r="S2" s="17">
        <v>789695000</v>
      </c>
      <c r="T2" s="17">
        <v>645767000</v>
      </c>
      <c r="U2" s="17">
        <v>721589000</v>
      </c>
      <c r="V2" s="17">
        <v>847350000</v>
      </c>
      <c r="W2" s="17">
        <v>354728000</v>
      </c>
      <c r="X2" s="17">
        <v>108581000</v>
      </c>
      <c r="Y2" s="17">
        <v>13520000</v>
      </c>
      <c r="Z2" s="17">
        <v>1165000</v>
      </c>
      <c r="AA2" s="17">
        <v>24000</v>
      </c>
    </row>
    <row r="3" spans="1:27" x14ac:dyDescent="0.35">
      <c r="A3" t="s">
        <v>119</v>
      </c>
      <c r="B3" s="17">
        <v>2313416000</v>
      </c>
      <c r="C3" s="17">
        <v>3554985000</v>
      </c>
      <c r="D3" s="17">
        <v>3962347000</v>
      </c>
      <c r="E3" s="17">
        <v>4102108000</v>
      </c>
      <c r="F3" s="17">
        <v>4040647000</v>
      </c>
      <c r="G3" s="17"/>
      <c r="H3" s="17"/>
      <c r="I3" s="17">
        <v>1385951000</v>
      </c>
      <c r="J3" s="17">
        <v>1230593000</v>
      </c>
      <c r="K3" s="17">
        <v>1088205000</v>
      </c>
      <c r="L3" s="17">
        <v>1023513000</v>
      </c>
      <c r="M3" s="17">
        <v>1036273000</v>
      </c>
      <c r="N3" s="17">
        <v>1090630000</v>
      </c>
      <c r="O3" s="17">
        <v>1198223000</v>
      </c>
      <c r="P3" s="17">
        <v>1192680000</v>
      </c>
      <c r="Q3" s="17">
        <v>1123301000</v>
      </c>
      <c r="R3" s="17">
        <v>1000903000</v>
      </c>
      <c r="S3" s="17">
        <v>789695000</v>
      </c>
      <c r="T3" s="17">
        <v>645767000</v>
      </c>
      <c r="U3" s="17">
        <v>721589000</v>
      </c>
      <c r="V3" s="17">
        <v>847350000</v>
      </c>
      <c r="W3" s="17">
        <v>354728000</v>
      </c>
      <c r="X3" s="17">
        <v>108581000</v>
      </c>
      <c r="Y3" s="17">
        <v>13520000</v>
      </c>
      <c r="Z3" s="17">
        <v>1165000</v>
      </c>
      <c r="AA3" s="17">
        <v>24000</v>
      </c>
    </row>
    <row r="4" spans="1:27" x14ac:dyDescent="0.35">
      <c r="A4" t="s">
        <v>120</v>
      </c>
      <c r="B4" s="17">
        <v>893196000</v>
      </c>
      <c r="C4" s="17">
        <v>1694703000</v>
      </c>
      <c r="D4" s="17">
        <v>1752337000</v>
      </c>
      <c r="E4" s="17">
        <v>1691850000</v>
      </c>
      <c r="F4" s="17">
        <v>1683592000</v>
      </c>
      <c r="G4" s="17"/>
      <c r="H4" s="17"/>
      <c r="I4" s="17">
        <v>636003000</v>
      </c>
      <c r="J4" s="17">
        <v>613537000</v>
      </c>
      <c r="K4" s="17">
        <v>528051000</v>
      </c>
      <c r="L4" s="17">
        <v>506292000</v>
      </c>
      <c r="M4" s="17">
        <v>536109000</v>
      </c>
      <c r="N4" s="17">
        <v>579825000</v>
      </c>
      <c r="O4" s="17">
        <v>607878000</v>
      </c>
      <c r="P4" s="17">
        <v>569482000</v>
      </c>
      <c r="Q4" s="17">
        <v>515324000</v>
      </c>
      <c r="R4" s="17">
        <v>464493000</v>
      </c>
      <c r="S4" s="17">
        <v>365931000</v>
      </c>
      <c r="T4" s="17">
        <v>337720000</v>
      </c>
      <c r="U4" s="17">
        <v>486722000</v>
      </c>
      <c r="V4" s="17">
        <v>349701000</v>
      </c>
      <c r="W4" s="17">
        <v>154158000</v>
      </c>
      <c r="X4" s="17">
        <v>47773000</v>
      </c>
      <c r="Y4" s="17">
        <v>7162000</v>
      </c>
      <c r="Z4" s="17">
        <v>891000</v>
      </c>
      <c r="AA4" s="17">
        <v>16000</v>
      </c>
    </row>
    <row r="5" spans="1:27" x14ac:dyDescent="0.35">
      <c r="A5" t="s">
        <v>121</v>
      </c>
      <c r="B5" s="17">
        <v>1420220000</v>
      </c>
      <c r="C5" s="17">
        <v>1860282000</v>
      </c>
      <c r="D5" s="17">
        <v>2210010000</v>
      </c>
      <c r="E5" s="17">
        <v>2410258000</v>
      </c>
      <c r="F5" s="17">
        <v>2357055000</v>
      </c>
      <c r="G5" s="17"/>
      <c r="H5" s="17"/>
      <c r="I5" s="17">
        <v>749948000</v>
      </c>
      <c r="J5" s="17">
        <v>617056000</v>
      </c>
      <c r="K5" s="17">
        <v>560154000</v>
      </c>
      <c r="L5" s="17">
        <v>517221000</v>
      </c>
      <c r="M5" s="17">
        <v>500164000</v>
      </c>
      <c r="N5" s="17">
        <v>510805000</v>
      </c>
      <c r="O5" s="17">
        <v>590345000</v>
      </c>
      <c r="P5" s="17">
        <v>623198000</v>
      </c>
      <c r="Q5" s="17">
        <v>607977000</v>
      </c>
      <c r="R5" s="17">
        <v>536410000</v>
      </c>
      <c r="S5" s="17">
        <v>423764000</v>
      </c>
      <c r="T5" s="17">
        <v>308047000</v>
      </c>
      <c r="U5" s="17">
        <v>234867000</v>
      </c>
      <c r="V5" s="17">
        <v>497649000</v>
      </c>
      <c r="W5" s="17">
        <v>200570000</v>
      </c>
      <c r="X5" s="17">
        <v>60808000</v>
      </c>
      <c r="Y5" s="17">
        <v>6358000</v>
      </c>
      <c r="Z5" s="17">
        <v>274000</v>
      </c>
      <c r="AA5" s="17">
        <v>8000</v>
      </c>
    </row>
    <row r="6" spans="1:27" x14ac:dyDescent="0.35">
      <c r="A6" t="s">
        <v>122</v>
      </c>
      <c r="B6" s="17">
        <v>737156000</v>
      </c>
      <c r="C6" s="17">
        <v>1009526000</v>
      </c>
      <c r="D6" s="17">
        <v>1173227000</v>
      </c>
      <c r="E6" s="17">
        <v>1388347000</v>
      </c>
      <c r="F6" s="17">
        <v>1469425000</v>
      </c>
      <c r="G6" s="17"/>
      <c r="H6" s="17"/>
      <c r="I6" s="17">
        <v>514753000</v>
      </c>
      <c r="J6" s="17">
        <v>488407000</v>
      </c>
      <c r="K6" s="17">
        <v>495028000</v>
      </c>
      <c r="L6" s="17">
        <v>494601000</v>
      </c>
      <c r="M6" s="17">
        <v>503174000</v>
      </c>
      <c r="N6" s="17">
        <v>567823000</v>
      </c>
      <c r="O6" s="17">
        <v>565712000</v>
      </c>
      <c r="P6" s="17">
        <v>549154000</v>
      </c>
      <c r="Q6" s="17">
        <v>460393000</v>
      </c>
      <c r="R6" s="17">
        <v>404803000</v>
      </c>
      <c r="S6" s="17">
        <v>342961000</v>
      </c>
      <c r="T6" s="17">
        <v>318437000</v>
      </c>
      <c r="U6" s="17">
        <v>368800000</v>
      </c>
      <c r="V6" s="17">
        <v>259882000</v>
      </c>
      <c r="W6" s="17">
        <v>105224000</v>
      </c>
      <c r="X6" s="17">
        <v>33916000</v>
      </c>
      <c r="Y6" s="17">
        <v>7929000</v>
      </c>
      <c r="Z6" s="17">
        <v>1471000</v>
      </c>
      <c r="AA6" s="17">
        <v>453000</v>
      </c>
    </row>
    <row r="7" spans="1:27" x14ac:dyDescent="0.35">
      <c r="A7" t="s">
        <v>123</v>
      </c>
      <c r="B7" s="17">
        <v>737156000</v>
      </c>
      <c r="C7" s="17">
        <v>982706000</v>
      </c>
      <c r="D7" s="17">
        <v>1140812000</v>
      </c>
      <c r="E7" s="17">
        <v>1341575000</v>
      </c>
      <c r="F7" s="17">
        <v>1435580000</v>
      </c>
      <c r="G7" s="17"/>
      <c r="H7" s="17"/>
      <c r="I7" s="17">
        <v>514753000</v>
      </c>
      <c r="J7" s="17">
        <v>488407000</v>
      </c>
      <c r="K7" s="17">
        <v>495028000</v>
      </c>
      <c r="L7" s="17">
        <v>494601000</v>
      </c>
      <c r="M7" s="17">
        <v>503174000</v>
      </c>
      <c r="N7" s="17">
        <v>567823000</v>
      </c>
      <c r="O7" s="17">
        <v>565712000</v>
      </c>
      <c r="P7" s="17">
        <v>549154000</v>
      </c>
      <c r="Q7" s="17">
        <v>460393000</v>
      </c>
      <c r="R7" s="17">
        <v>404803000</v>
      </c>
      <c r="S7" s="17">
        <v>342961000</v>
      </c>
      <c r="T7" s="17">
        <v>311592000</v>
      </c>
      <c r="U7" s="17">
        <v>341518000</v>
      </c>
      <c r="V7" s="17">
        <v>259882000</v>
      </c>
      <c r="W7" s="17">
        <v>105224000</v>
      </c>
      <c r="X7" s="17">
        <v>33916000</v>
      </c>
      <c r="Y7" s="17">
        <v>7929000</v>
      </c>
      <c r="Z7" s="17">
        <v>1471000</v>
      </c>
      <c r="AA7" s="17">
        <v>453000</v>
      </c>
    </row>
    <row r="8" spans="1:27" x14ac:dyDescent="0.35">
      <c r="A8" t="s">
        <v>124</v>
      </c>
      <c r="C8" s="17">
        <v>26820000</v>
      </c>
      <c r="D8" s="17">
        <v>32415000</v>
      </c>
      <c r="E8" s="17">
        <v>46772000</v>
      </c>
      <c r="F8" s="17">
        <v>33845000</v>
      </c>
    </row>
    <row r="9" spans="1:27" x14ac:dyDescent="0.35">
      <c r="A9" t="s">
        <v>125</v>
      </c>
      <c r="C9" s="17">
        <v>26820000</v>
      </c>
      <c r="D9" s="17">
        <v>32415000</v>
      </c>
      <c r="E9" s="17">
        <v>46772000</v>
      </c>
      <c r="F9" s="17">
        <v>33845000</v>
      </c>
    </row>
    <row r="10" spans="1:27" x14ac:dyDescent="0.35">
      <c r="A10" t="s">
        <v>198</v>
      </c>
      <c r="C10" s="17">
        <v>9599000</v>
      </c>
      <c r="D10" s="17">
        <v>12876000</v>
      </c>
      <c r="E10" s="17">
        <v>26233000</v>
      </c>
      <c r="F10" s="17">
        <v>33845000</v>
      </c>
    </row>
    <row r="11" spans="1:27" x14ac:dyDescent="0.35">
      <c r="A11" t="s">
        <v>199</v>
      </c>
      <c r="C11" s="17">
        <v>17221000</v>
      </c>
      <c r="D11" s="17">
        <v>19539000</v>
      </c>
      <c r="E11" s="17">
        <v>20539000</v>
      </c>
    </row>
    <row r="12" spans="1:27" x14ac:dyDescent="0.35">
      <c r="A12" t="s">
        <v>200</v>
      </c>
      <c r="C12" s="17">
        <v>17221000</v>
      </c>
      <c r="D12" s="17">
        <v>19539000</v>
      </c>
      <c r="E12" s="17">
        <v>20539000</v>
      </c>
    </row>
    <row r="13" spans="1:27" x14ac:dyDescent="0.35">
      <c r="A13" t="s">
        <v>201</v>
      </c>
      <c r="R13" s="17">
        <v>-5426000</v>
      </c>
      <c r="S13" s="17">
        <v>-2072000</v>
      </c>
      <c r="T13" s="17">
        <v>6845000</v>
      </c>
      <c r="U13" s="17">
        <v>27282000</v>
      </c>
    </row>
    <row r="14" spans="1:27" x14ac:dyDescent="0.35">
      <c r="A14" t="s">
        <v>126</v>
      </c>
      <c r="B14" s="17">
        <v>683064000</v>
      </c>
      <c r="C14" s="17">
        <v>850756000</v>
      </c>
      <c r="D14" s="17">
        <v>1036783000</v>
      </c>
      <c r="E14" s="17">
        <v>1021911000</v>
      </c>
      <c r="F14" s="17">
        <v>887630000</v>
      </c>
      <c r="G14" s="17"/>
      <c r="H14" s="17"/>
      <c r="I14" s="17">
        <v>235195000</v>
      </c>
      <c r="J14" s="17">
        <v>128649000</v>
      </c>
      <c r="K14" s="17">
        <v>65126000</v>
      </c>
      <c r="L14" s="17">
        <v>22620000</v>
      </c>
      <c r="M14" s="17">
        <v>-3010000</v>
      </c>
      <c r="N14" s="17">
        <v>-57018000</v>
      </c>
      <c r="O14" s="17">
        <v>24633000</v>
      </c>
      <c r="P14" s="17">
        <v>74044000</v>
      </c>
      <c r="Q14" s="17">
        <v>147584000</v>
      </c>
      <c r="R14" s="17">
        <v>131607000</v>
      </c>
      <c r="S14" s="17">
        <v>80803000</v>
      </c>
      <c r="T14" s="17">
        <v>-10390000</v>
      </c>
      <c r="U14" s="17">
        <v>-133933000</v>
      </c>
      <c r="V14" s="17">
        <v>237767000</v>
      </c>
      <c r="W14" s="17">
        <v>95346000</v>
      </c>
      <c r="X14" s="17">
        <v>26892000</v>
      </c>
      <c r="Y14" s="17">
        <v>-1571000</v>
      </c>
      <c r="Z14" s="17">
        <v>-1197000</v>
      </c>
      <c r="AA14" s="17">
        <v>-445000</v>
      </c>
    </row>
    <row r="15" spans="1:27" x14ac:dyDescent="0.35">
      <c r="A15" t="s">
        <v>127</v>
      </c>
      <c r="B15" s="17">
        <v>-20872000</v>
      </c>
      <c r="C15" s="17">
        <v>-135138000</v>
      </c>
      <c r="D15" s="17">
        <v>-158945000</v>
      </c>
      <c r="E15" s="17">
        <v>-105780000</v>
      </c>
      <c r="F15" s="17">
        <v>-86443000</v>
      </c>
      <c r="G15" s="17"/>
      <c r="H15" s="17"/>
      <c r="I15" s="17">
        <v>-6527000</v>
      </c>
      <c r="J15" s="17">
        <v>-8035000</v>
      </c>
      <c r="K15" s="17">
        <v>326000</v>
      </c>
      <c r="L15" s="17">
        <v>1000</v>
      </c>
      <c r="M15" s="17">
        <v>-144000</v>
      </c>
      <c r="N15" s="17">
        <v>-2000</v>
      </c>
      <c r="O15" s="17">
        <v>858000</v>
      </c>
      <c r="P15" s="17">
        <v>1416000</v>
      </c>
      <c r="Q15" s="17">
        <v>860000</v>
      </c>
      <c r="R15" s="17">
        <v>104000</v>
      </c>
      <c r="S15" s="17">
        <v>-657000</v>
      </c>
      <c r="T15" s="17">
        <v>-1495000</v>
      </c>
      <c r="U15" s="17">
        <v>-1793000</v>
      </c>
    </row>
    <row r="16" spans="1:27" x14ac:dyDescent="0.35">
      <c r="A16" t="s">
        <v>128</v>
      </c>
      <c r="B16" s="17">
        <v>775000</v>
      </c>
      <c r="C16" s="17">
        <v>1020000</v>
      </c>
      <c r="D16" s="17">
        <v>2406000</v>
      </c>
      <c r="E16" s="17">
        <v>3484000</v>
      </c>
      <c r="F16" s="17">
        <v>1844000</v>
      </c>
      <c r="G16" s="17"/>
      <c r="H16" s="17"/>
      <c r="I16" s="17">
        <v>215000</v>
      </c>
      <c r="J16" s="17">
        <v>601000</v>
      </c>
      <c r="K16" s="17">
        <v>1281000</v>
      </c>
      <c r="L16" s="17">
        <v>870000</v>
      </c>
      <c r="M16" s="17">
        <v>692000</v>
      </c>
      <c r="N16" s="17">
        <v>967000</v>
      </c>
      <c r="O16" s="17">
        <v>1664000</v>
      </c>
      <c r="P16" s="17">
        <v>2432000</v>
      </c>
      <c r="Q16" s="17">
        <v>1697000</v>
      </c>
      <c r="R16" s="17">
        <v>957000</v>
      </c>
    </row>
    <row r="17" spans="1:27" x14ac:dyDescent="0.35">
      <c r="A17" t="s">
        <v>129</v>
      </c>
      <c r="B17" s="17">
        <v>21647000</v>
      </c>
      <c r="C17" s="17">
        <v>136158000</v>
      </c>
      <c r="D17" s="17">
        <v>161351000</v>
      </c>
      <c r="E17" s="17">
        <v>109264000</v>
      </c>
      <c r="F17" s="17">
        <v>88287000</v>
      </c>
      <c r="G17" s="17"/>
      <c r="H17" s="17"/>
      <c r="I17" s="17">
        <v>6742000</v>
      </c>
      <c r="J17" s="17">
        <v>8636000</v>
      </c>
      <c r="K17" s="17">
        <v>955000</v>
      </c>
      <c r="L17" s="17">
        <v>869000</v>
      </c>
      <c r="M17" s="17">
        <v>836000</v>
      </c>
      <c r="N17" s="17">
        <v>969000</v>
      </c>
      <c r="O17" s="17">
        <v>806000</v>
      </c>
      <c r="P17" s="17">
        <v>1016000</v>
      </c>
      <c r="Q17" s="17">
        <v>837000</v>
      </c>
      <c r="R17" s="17">
        <v>853000</v>
      </c>
      <c r="S17" s="17">
        <v>657000</v>
      </c>
      <c r="T17" s="17">
        <v>1495000</v>
      </c>
      <c r="U17" s="17">
        <v>1793000</v>
      </c>
    </row>
    <row r="18" spans="1:27" x14ac:dyDescent="0.35">
      <c r="A18" t="s">
        <v>130</v>
      </c>
      <c r="B18" s="17">
        <v>1657000</v>
      </c>
      <c r="C18" s="17">
        <v>2890000</v>
      </c>
      <c r="D18" s="17">
        <v>-1566000</v>
      </c>
      <c r="E18" s="17">
        <v>-5546000</v>
      </c>
      <c r="F18" s="17">
        <v>-728209000</v>
      </c>
      <c r="G18" s="17"/>
      <c r="H18" s="17"/>
      <c r="I18" s="17">
        <v>-21689000</v>
      </c>
      <c r="J18" s="17">
        <v>-1292000</v>
      </c>
      <c r="K18" s="17">
        <v>-295000</v>
      </c>
      <c r="L18" s="17">
        <v>-4441000</v>
      </c>
      <c r="M18" s="17">
        <v>-4059000</v>
      </c>
      <c r="N18" s="17">
        <v>-17724000</v>
      </c>
      <c r="O18" s="17">
        <v>-34040000</v>
      </c>
      <c r="P18" s="17">
        <v>-15501000</v>
      </c>
      <c r="Q18" s="17">
        <v>-2896000</v>
      </c>
      <c r="R18" s="17">
        <v>4979000</v>
      </c>
      <c r="S18" s="17">
        <v>646000</v>
      </c>
      <c r="T18" s="17">
        <v>-29650000</v>
      </c>
      <c r="U18" s="17">
        <v>-52883000</v>
      </c>
      <c r="V18" s="17">
        <v>2997000</v>
      </c>
      <c r="W18" s="17">
        <v>1847000</v>
      </c>
      <c r="X18" s="17">
        <v>8000</v>
      </c>
      <c r="Y18" s="17">
        <v>-19000</v>
      </c>
    </row>
    <row r="19" spans="1:27" x14ac:dyDescent="0.35">
      <c r="A19" t="s">
        <v>131</v>
      </c>
      <c r="B19" s="17">
        <v>-140000</v>
      </c>
      <c r="C19" s="17">
        <v>3228000</v>
      </c>
      <c r="D19" s="17">
        <v>-1240000</v>
      </c>
      <c r="E19" s="17">
        <v>-6777000</v>
      </c>
      <c r="F19" s="17">
        <v>9843000</v>
      </c>
      <c r="G19" s="17"/>
      <c r="H19" s="17"/>
      <c r="I19" s="17">
        <v>-1128000</v>
      </c>
      <c r="J19" s="17">
        <v>-1323000</v>
      </c>
      <c r="K19" s="17">
        <v>1318000</v>
      </c>
      <c r="L19" s="17">
        <v>563000</v>
      </c>
      <c r="M19" s="17">
        <v>-2454000</v>
      </c>
      <c r="N19" s="17">
        <v>-3332000</v>
      </c>
      <c r="O19" s="17">
        <v>-4885000</v>
      </c>
      <c r="P19" s="17">
        <v>-4678000</v>
      </c>
      <c r="Q19" s="17">
        <v>-2500000</v>
      </c>
      <c r="R19" s="17">
        <v>4886000</v>
      </c>
      <c r="S19" s="17">
        <v>2325000</v>
      </c>
    </row>
    <row r="20" spans="1:27" x14ac:dyDescent="0.35">
      <c r="A20" t="s">
        <v>132</v>
      </c>
      <c r="B20">
        <v>0</v>
      </c>
      <c r="C20">
        <v>0</v>
      </c>
      <c r="D20" s="17">
        <v>-9287000</v>
      </c>
      <c r="F20" s="17">
        <v>-738115000</v>
      </c>
      <c r="I20" s="17">
        <v>-21071000</v>
      </c>
      <c r="J20">
        <v>0</v>
      </c>
      <c r="K20" s="17">
        <v>-2182000</v>
      </c>
      <c r="L20" s="17">
        <v>-5284000</v>
      </c>
      <c r="M20" s="17">
        <v>-3144000</v>
      </c>
      <c r="N20" s="17">
        <v>-15306000</v>
      </c>
      <c r="O20" s="17">
        <v>-29359000</v>
      </c>
      <c r="P20" s="17">
        <v>-10949000</v>
      </c>
      <c r="Q20" s="17">
        <v>-1410000</v>
      </c>
      <c r="R20" s="17">
        <v>-528000</v>
      </c>
      <c r="S20" s="17">
        <v>-2680000</v>
      </c>
      <c r="T20" s="17">
        <v>-29650000</v>
      </c>
      <c r="U20" s="17">
        <v>-52883000</v>
      </c>
      <c r="V20" s="17">
        <v>2997000</v>
      </c>
      <c r="W20" s="17">
        <v>1847000</v>
      </c>
      <c r="X20" s="17">
        <v>8000</v>
      </c>
      <c r="Y20" s="17">
        <v>-19000</v>
      </c>
      <c r="AA20">
        <v>0</v>
      </c>
    </row>
    <row r="21" spans="1:27" x14ac:dyDescent="0.35">
      <c r="A21" t="s">
        <v>202</v>
      </c>
      <c r="M21">
        <v>0</v>
      </c>
      <c r="N21" s="17">
        <v>8728000</v>
      </c>
      <c r="O21" s="17">
        <v>20532000</v>
      </c>
      <c r="Q21">
        <v>0</v>
      </c>
      <c r="R21">
        <v>0</v>
      </c>
      <c r="S21" s="17">
        <v>2539000</v>
      </c>
      <c r="T21" s="17">
        <v>7623000</v>
      </c>
      <c r="U21" s="17">
        <v>7664000</v>
      </c>
    </row>
    <row r="22" spans="1:27" x14ac:dyDescent="0.35">
      <c r="A22" t="s">
        <v>203</v>
      </c>
      <c r="B22">
        <v>0</v>
      </c>
      <c r="C22">
        <v>0</v>
      </c>
      <c r="D22" s="17">
        <v>9287000</v>
      </c>
      <c r="F22" s="17">
        <v>738115000</v>
      </c>
      <c r="I22" s="17">
        <v>21071000</v>
      </c>
      <c r="J22">
        <v>0</v>
      </c>
      <c r="K22" s="17">
        <v>2182000</v>
      </c>
      <c r="L22" s="17">
        <v>5284000</v>
      </c>
      <c r="M22" s="17">
        <v>3144000</v>
      </c>
      <c r="N22" s="17">
        <v>15306000</v>
      </c>
      <c r="O22" s="17">
        <v>8827000</v>
      </c>
      <c r="P22" s="17">
        <v>10949000</v>
      </c>
      <c r="Q22" s="17">
        <v>1410000</v>
      </c>
      <c r="R22" s="17">
        <v>528000</v>
      </c>
      <c r="S22" s="17">
        <v>141000</v>
      </c>
      <c r="T22" s="17">
        <v>26085000</v>
      </c>
      <c r="U22" s="17">
        <v>45784000</v>
      </c>
    </row>
    <row r="23" spans="1:27" x14ac:dyDescent="0.35">
      <c r="A23" t="s">
        <v>133</v>
      </c>
      <c r="R23" s="17">
        <v>-1038000</v>
      </c>
      <c r="S23" s="17">
        <v>-414000</v>
      </c>
      <c r="T23" s="17">
        <v>-4058000</v>
      </c>
      <c r="U23" s="17">
        <v>-565000</v>
      </c>
    </row>
    <row r="24" spans="1:27" x14ac:dyDescent="0.35">
      <c r="A24" t="s">
        <v>134</v>
      </c>
      <c r="B24" s="17">
        <v>1797000</v>
      </c>
      <c r="C24" s="17">
        <v>-338000</v>
      </c>
      <c r="D24" s="17">
        <v>-326000</v>
      </c>
      <c r="E24" s="17">
        <v>1231000</v>
      </c>
      <c r="F24" s="17">
        <v>63000</v>
      </c>
      <c r="G24" s="17"/>
      <c r="H24" s="17"/>
      <c r="I24" s="17">
        <v>510000</v>
      </c>
      <c r="J24" s="17">
        <v>31000</v>
      </c>
      <c r="K24" s="17">
        <v>569000</v>
      </c>
      <c r="L24" s="17">
        <v>280000</v>
      </c>
      <c r="M24" s="17">
        <v>1539000</v>
      </c>
      <c r="N24" s="17">
        <v>914000</v>
      </c>
      <c r="O24" s="17">
        <v>204000</v>
      </c>
      <c r="P24" s="17">
        <v>126000</v>
      </c>
      <c r="Q24" s="17">
        <v>1014000</v>
      </c>
      <c r="R24" s="17">
        <v>621000</v>
      </c>
      <c r="S24" s="17">
        <v>1001000</v>
      </c>
    </row>
    <row r="25" spans="1:27" x14ac:dyDescent="0.35">
      <c r="A25" t="s">
        <v>135</v>
      </c>
      <c r="B25" s="17">
        <v>663849000</v>
      </c>
      <c r="C25" s="17">
        <v>718508000</v>
      </c>
      <c r="D25" s="17">
        <v>876272000</v>
      </c>
      <c r="E25" s="17">
        <v>910585000</v>
      </c>
      <c r="F25" s="17">
        <v>72978000</v>
      </c>
      <c r="G25" s="17"/>
      <c r="H25" s="17"/>
      <c r="I25" s="17">
        <v>206979000</v>
      </c>
      <c r="J25" s="17">
        <v>119322000</v>
      </c>
      <c r="K25" s="17">
        <v>65157000</v>
      </c>
      <c r="L25" s="17">
        <v>18180000</v>
      </c>
      <c r="M25" s="17">
        <v>-7213000</v>
      </c>
      <c r="N25" s="17">
        <v>-74744000</v>
      </c>
      <c r="O25" s="17">
        <v>-8549000</v>
      </c>
      <c r="P25" s="17">
        <v>59959000</v>
      </c>
      <c r="Q25" s="17">
        <v>145548000</v>
      </c>
      <c r="R25" s="17">
        <v>136690000</v>
      </c>
      <c r="S25" s="17">
        <v>80792000</v>
      </c>
      <c r="T25" s="17">
        <v>-48621000</v>
      </c>
      <c r="U25" s="17">
        <v>-189510000</v>
      </c>
      <c r="V25" s="17">
        <v>240326000</v>
      </c>
      <c r="W25" s="17">
        <v>96626000</v>
      </c>
      <c r="X25" s="17">
        <v>26289000</v>
      </c>
      <c r="Y25" s="17">
        <v>-1637000</v>
      </c>
      <c r="Z25" s="17">
        <v>-1200000</v>
      </c>
      <c r="AA25" s="17">
        <v>-445000</v>
      </c>
    </row>
    <row r="26" spans="1:27" x14ac:dyDescent="0.35">
      <c r="A26" t="s">
        <v>136</v>
      </c>
      <c r="B26" s="17">
        <v>-61845000</v>
      </c>
      <c r="C26" s="17">
        <v>178349000</v>
      </c>
      <c r="D26" s="17">
        <v>83706000</v>
      </c>
      <c r="E26" s="17">
        <v>-39486000</v>
      </c>
      <c r="F26" s="17">
        <v>154176000</v>
      </c>
      <c r="G26" s="17"/>
      <c r="H26" s="17"/>
      <c r="I26" s="17">
        <v>-105882000</v>
      </c>
      <c r="J26" s="17">
        <v>-175000</v>
      </c>
      <c r="K26" s="17">
        <v>14720000</v>
      </c>
      <c r="L26" s="17">
        <v>7942000</v>
      </c>
      <c r="M26" s="17">
        <v>9281000</v>
      </c>
      <c r="N26" s="17">
        <v>8452000</v>
      </c>
      <c r="O26" s="17">
        <v>-3623000</v>
      </c>
      <c r="P26" s="17">
        <v>49539000</v>
      </c>
      <c r="Q26" s="17">
        <v>14205000</v>
      </c>
      <c r="R26" s="17">
        <v>23902000</v>
      </c>
      <c r="S26" s="17">
        <v>13066000</v>
      </c>
      <c r="T26" s="17">
        <v>-6543000</v>
      </c>
      <c r="U26" s="17">
        <v>-4434000</v>
      </c>
      <c r="V26" s="17">
        <v>72098000</v>
      </c>
      <c r="W26" s="17">
        <v>32209000</v>
      </c>
      <c r="X26" s="17">
        <v>9317000</v>
      </c>
      <c r="Y26" s="17">
        <v>-143000</v>
      </c>
      <c r="AA26">
        <v>0</v>
      </c>
    </row>
    <row r="27" spans="1:27" x14ac:dyDescent="0.35">
      <c r="A27" t="s">
        <v>137</v>
      </c>
      <c r="B27" s="17">
        <v>725694000</v>
      </c>
      <c r="C27" s="17">
        <v>540159000</v>
      </c>
      <c r="D27" s="17">
        <v>792566000</v>
      </c>
      <c r="E27" s="17">
        <v>950071000</v>
      </c>
      <c r="F27" s="17">
        <v>-81198000</v>
      </c>
      <c r="G27" s="17"/>
      <c r="H27" s="17"/>
      <c r="I27" s="17">
        <v>312861000</v>
      </c>
      <c r="J27" s="17">
        <v>119497000</v>
      </c>
      <c r="K27" s="17">
        <v>-69216000</v>
      </c>
      <c r="L27" s="17">
        <v>-5294000</v>
      </c>
      <c r="M27" s="17">
        <v>-31738000</v>
      </c>
      <c r="N27" s="17">
        <v>-98007000</v>
      </c>
      <c r="O27" s="17">
        <v>-18962000</v>
      </c>
      <c r="P27" s="17">
        <v>10420000</v>
      </c>
      <c r="Q27" s="17">
        <v>131343000</v>
      </c>
      <c r="R27" s="17">
        <v>112788000</v>
      </c>
      <c r="S27" s="17">
        <v>67726000</v>
      </c>
      <c r="T27" s="17">
        <v>-42078000</v>
      </c>
      <c r="U27" s="17">
        <v>-185076000</v>
      </c>
      <c r="V27" s="17">
        <v>168228000</v>
      </c>
      <c r="W27" s="17">
        <v>64384000</v>
      </c>
      <c r="X27" s="17">
        <v>16697000</v>
      </c>
      <c r="Y27" s="17">
        <v>-1636000</v>
      </c>
      <c r="Z27" s="17">
        <v>-1200000</v>
      </c>
      <c r="AA27" s="17">
        <v>-445000</v>
      </c>
    </row>
    <row r="28" spans="1:27" x14ac:dyDescent="0.35">
      <c r="A28" t="s">
        <v>138</v>
      </c>
      <c r="B28" s="17">
        <v>725694000</v>
      </c>
      <c r="C28" s="17">
        <v>540159000</v>
      </c>
      <c r="D28" s="17">
        <v>792566000</v>
      </c>
      <c r="E28" s="17">
        <v>950071000</v>
      </c>
      <c r="F28" s="17">
        <v>-81198000</v>
      </c>
      <c r="G28" s="17"/>
      <c r="H28" s="17"/>
      <c r="I28" s="17">
        <v>312861000</v>
      </c>
      <c r="J28" s="17">
        <v>119497000</v>
      </c>
      <c r="K28" s="17">
        <v>50437000</v>
      </c>
      <c r="L28" s="17">
        <v>10238000</v>
      </c>
      <c r="M28" s="17">
        <v>-16494000</v>
      </c>
      <c r="N28" s="17">
        <v>-83196000</v>
      </c>
      <c r="O28" s="17">
        <v>-4926000</v>
      </c>
      <c r="P28" s="17">
        <v>10420000</v>
      </c>
      <c r="Q28" s="17">
        <v>131343000</v>
      </c>
      <c r="R28" s="17">
        <v>112788000</v>
      </c>
      <c r="S28" s="17">
        <v>67726000</v>
      </c>
      <c r="T28" s="17">
        <v>-42078000</v>
      </c>
      <c r="U28" s="17">
        <v>-185076000</v>
      </c>
      <c r="V28" s="17">
        <v>168228000</v>
      </c>
      <c r="W28" s="17">
        <v>64417000</v>
      </c>
      <c r="X28" s="17">
        <v>16972000</v>
      </c>
      <c r="Y28" s="17">
        <v>-1494000</v>
      </c>
      <c r="Z28" s="17">
        <v>-1200000</v>
      </c>
      <c r="AA28" s="17">
        <v>-445000</v>
      </c>
    </row>
    <row r="29" spans="1:27" x14ac:dyDescent="0.35">
      <c r="A29" t="s">
        <v>139</v>
      </c>
      <c r="B29" s="17">
        <v>725694000</v>
      </c>
      <c r="C29" s="17">
        <v>540159000</v>
      </c>
      <c r="D29" s="17">
        <v>792566000</v>
      </c>
      <c r="E29" s="17">
        <v>950071000</v>
      </c>
      <c r="F29" s="17">
        <v>-81198000</v>
      </c>
      <c r="G29" s="17"/>
      <c r="H29" s="17"/>
      <c r="I29" s="17">
        <v>312861000</v>
      </c>
      <c r="J29" s="17">
        <v>119497000</v>
      </c>
      <c r="K29" s="17">
        <v>50437000</v>
      </c>
      <c r="L29" s="17">
        <v>10238000</v>
      </c>
      <c r="M29" s="17">
        <v>-16494000</v>
      </c>
      <c r="N29" s="17">
        <v>-83196000</v>
      </c>
      <c r="O29" s="17">
        <v>-4926000</v>
      </c>
      <c r="P29" s="17">
        <v>10420000</v>
      </c>
      <c r="Q29" s="17">
        <v>131343000</v>
      </c>
      <c r="R29" s="17">
        <v>112788000</v>
      </c>
      <c r="S29" s="17">
        <v>67726000</v>
      </c>
      <c r="T29" s="17">
        <v>-42078000</v>
      </c>
      <c r="U29" s="17">
        <v>-185076000</v>
      </c>
      <c r="V29" s="17">
        <v>168228000</v>
      </c>
      <c r="W29" s="17">
        <v>64417000</v>
      </c>
      <c r="X29" s="17">
        <v>16972000</v>
      </c>
      <c r="Y29" s="17">
        <v>-1494000</v>
      </c>
      <c r="Z29" s="17">
        <v>-1200000</v>
      </c>
      <c r="AA29" s="17">
        <v>-445000</v>
      </c>
    </row>
    <row r="30" spans="1:27" x14ac:dyDescent="0.35">
      <c r="A30" t="s">
        <v>140</v>
      </c>
      <c r="B30" s="17">
        <v>725694000</v>
      </c>
      <c r="C30" s="17">
        <v>540159000</v>
      </c>
      <c r="D30" s="17">
        <v>792566000</v>
      </c>
      <c r="E30" s="17">
        <v>950071000</v>
      </c>
      <c r="F30" s="17">
        <v>-81198000</v>
      </c>
      <c r="G30" s="17"/>
      <c r="H30" s="17"/>
      <c r="I30" s="17">
        <v>312861000</v>
      </c>
      <c r="J30" s="17">
        <v>119497000</v>
      </c>
      <c r="K30" s="17">
        <v>50437000</v>
      </c>
      <c r="L30" s="17">
        <v>10238000</v>
      </c>
      <c r="M30" s="17">
        <v>-16494000</v>
      </c>
      <c r="N30" s="17">
        <v>-83196000</v>
      </c>
      <c r="O30" s="17">
        <v>-4926000</v>
      </c>
      <c r="P30" s="17">
        <v>10420000</v>
      </c>
      <c r="Q30" s="17">
        <v>131343000</v>
      </c>
      <c r="R30" s="17">
        <v>112788000</v>
      </c>
      <c r="S30" s="17">
        <v>67726000</v>
      </c>
      <c r="T30" s="17">
        <v>-42078000</v>
      </c>
      <c r="U30" s="17">
        <v>-185076000</v>
      </c>
      <c r="V30" s="17">
        <v>168228000</v>
      </c>
      <c r="W30" s="17">
        <v>64417000</v>
      </c>
      <c r="X30" s="17">
        <v>16972000</v>
      </c>
      <c r="Y30" s="17">
        <v>-1494000</v>
      </c>
      <c r="Z30" s="17">
        <v>-1200000</v>
      </c>
      <c r="AA30" s="17">
        <v>-445000</v>
      </c>
    </row>
    <row r="31" spans="1:27" x14ac:dyDescent="0.35">
      <c r="A31" t="s">
        <v>204</v>
      </c>
      <c r="K31" s="17">
        <v>119653000</v>
      </c>
      <c r="L31" s="17">
        <v>15532000</v>
      </c>
      <c r="M31" s="17">
        <v>15244000</v>
      </c>
      <c r="N31" s="17">
        <v>14811000</v>
      </c>
      <c r="O31" s="17">
        <v>14036000</v>
      </c>
      <c r="W31" s="17">
        <v>33000</v>
      </c>
      <c r="X31" s="17">
        <v>275000</v>
      </c>
      <c r="Y31" s="17">
        <v>142000</v>
      </c>
    </row>
    <row r="32" spans="1:27" x14ac:dyDescent="0.35">
      <c r="A32" t="s">
        <v>205</v>
      </c>
      <c r="O32">
        <v>0</v>
      </c>
      <c r="P32" s="17">
        <v>-36000</v>
      </c>
      <c r="Q32" s="17">
        <v>-645000</v>
      </c>
      <c r="R32" s="17">
        <v>-1014000</v>
      </c>
      <c r="S32" s="17">
        <v>-863000</v>
      </c>
    </row>
    <row r="33" spans="1:27" x14ac:dyDescent="0.35">
      <c r="A33" t="s">
        <v>141</v>
      </c>
      <c r="B33" s="17">
        <v>725694000</v>
      </c>
      <c r="C33" s="17">
        <v>540159000</v>
      </c>
      <c r="D33" s="17">
        <v>792566000</v>
      </c>
      <c r="E33" s="17">
        <v>950071000</v>
      </c>
      <c r="F33" s="17">
        <v>-81198000</v>
      </c>
      <c r="G33" s="17"/>
      <c r="H33" s="17"/>
      <c r="I33" s="17">
        <v>312861000</v>
      </c>
      <c r="J33" s="17">
        <v>119497000</v>
      </c>
      <c r="K33" s="17">
        <v>-69216000</v>
      </c>
      <c r="L33" s="17">
        <v>-5294000</v>
      </c>
      <c r="M33" s="17">
        <v>-31738000</v>
      </c>
      <c r="N33" s="17">
        <v>-98007000</v>
      </c>
      <c r="O33" s="17">
        <v>-18962000</v>
      </c>
      <c r="P33" s="17">
        <v>10384000</v>
      </c>
      <c r="Q33" s="17">
        <v>130698000</v>
      </c>
      <c r="R33" s="17">
        <v>111774000</v>
      </c>
      <c r="S33" s="17">
        <v>66863000</v>
      </c>
      <c r="T33" s="17">
        <v>-42078000</v>
      </c>
      <c r="U33" s="17">
        <v>-185076000</v>
      </c>
      <c r="V33" s="17">
        <v>168228000</v>
      </c>
      <c r="W33" s="17">
        <v>64384000</v>
      </c>
      <c r="X33" s="17">
        <v>16697000</v>
      </c>
      <c r="Y33" s="17">
        <v>-1636000</v>
      </c>
      <c r="Z33" s="17">
        <v>-1200000</v>
      </c>
      <c r="AA33" s="17">
        <v>-445000</v>
      </c>
    </row>
    <row r="34" spans="1:27" x14ac:dyDescent="0.35">
      <c r="A34" t="s">
        <v>142</v>
      </c>
      <c r="B34">
        <v>11.62</v>
      </c>
      <c r="C34">
        <v>8.82</v>
      </c>
      <c r="D34">
        <v>12.91</v>
      </c>
      <c r="E34">
        <v>16</v>
      </c>
      <c r="F34">
        <v>2.93</v>
      </c>
      <c r="I34">
        <v>4.6399999999999997</v>
      </c>
      <c r="J34">
        <v>1.7</v>
      </c>
      <c r="K34">
        <v>-1.01</v>
      </c>
      <c r="L34">
        <v>-7.0000000000000007E-2</v>
      </c>
      <c r="M34">
        <v>-0.43</v>
      </c>
      <c r="N34">
        <v>-1.3</v>
      </c>
      <c r="O34">
        <v>-0.22</v>
      </c>
      <c r="P34">
        <v>0.12</v>
      </c>
      <c r="Q34">
        <v>1.46</v>
      </c>
      <c r="R34">
        <v>1.27</v>
      </c>
      <c r="S34">
        <v>0.78</v>
      </c>
      <c r="T34">
        <v>-0.49</v>
      </c>
      <c r="U34">
        <v>-2.2400000000000002</v>
      </c>
      <c r="V34">
        <v>2.08</v>
      </c>
      <c r="W34">
        <v>0.435</v>
      </c>
      <c r="X34">
        <v>0.255</v>
      </c>
      <c r="Y34">
        <v>-3.5000000000000003E-2</v>
      </c>
      <c r="Z34">
        <v>-1.4999999999999999E-2</v>
      </c>
      <c r="AA34">
        <v>-2.5000000000000001E-2</v>
      </c>
    </row>
    <row r="35" spans="1:27" x14ac:dyDescent="0.35">
      <c r="A35" t="s">
        <v>143</v>
      </c>
      <c r="B35">
        <v>11.39</v>
      </c>
      <c r="C35">
        <v>8.7100000000000009</v>
      </c>
      <c r="D35">
        <v>12.79</v>
      </c>
      <c r="E35">
        <v>15.88</v>
      </c>
      <c r="F35">
        <v>2.88</v>
      </c>
      <c r="I35">
        <v>4.5599999999999996</v>
      </c>
      <c r="J35">
        <v>1.66</v>
      </c>
      <c r="K35">
        <v>-1.01</v>
      </c>
      <c r="L35">
        <v>-7.0000000000000007E-2</v>
      </c>
      <c r="M35">
        <v>-0.43</v>
      </c>
      <c r="N35">
        <v>-1.3</v>
      </c>
      <c r="O35">
        <v>-0.22</v>
      </c>
      <c r="P35">
        <v>0.12</v>
      </c>
      <c r="Q35">
        <v>1.44</v>
      </c>
      <c r="R35">
        <v>1.24</v>
      </c>
      <c r="S35">
        <v>0.76</v>
      </c>
      <c r="T35">
        <v>-0.49</v>
      </c>
      <c r="U35">
        <v>-2.2400000000000002</v>
      </c>
      <c r="V35">
        <v>2</v>
      </c>
      <c r="W35">
        <v>0.40500000000000003</v>
      </c>
      <c r="X35">
        <v>0.255</v>
      </c>
      <c r="Y35">
        <v>-3.5000000000000003E-2</v>
      </c>
      <c r="Z35">
        <v>-1.4999999999999999E-2</v>
      </c>
      <c r="AA35">
        <v>-2.5000000000000001E-2</v>
      </c>
    </row>
    <row r="36" spans="1:27" x14ac:dyDescent="0.35">
      <c r="A36" t="s">
        <v>144</v>
      </c>
      <c r="B36" s="17">
        <v>62464000</v>
      </c>
      <c r="C36" s="17">
        <v>61220000</v>
      </c>
      <c r="D36" s="17">
        <v>61386000</v>
      </c>
      <c r="E36" s="17">
        <v>59381000</v>
      </c>
      <c r="F36" s="17">
        <v>55778000</v>
      </c>
      <c r="G36" s="17"/>
      <c r="H36" s="17"/>
      <c r="I36" s="17">
        <v>67386000</v>
      </c>
      <c r="J36" s="17">
        <v>70357000</v>
      </c>
      <c r="K36" s="17">
        <v>68421000</v>
      </c>
      <c r="L36" s="17">
        <v>72255000</v>
      </c>
      <c r="M36" s="17">
        <v>73809302</v>
      </c>
      <c r="N36" s="17">
        <v>75390000</v>
      </c>
      <c r="O36" s="17">
        <v>86190909</v>
      </c>
      <c r="P36" s="17">
        <v>86833333</v>
      </c>
      <c r="Q36" s="17">
        <v>89960959</v>
      </c>
      <c r="R36" s="17">
        <v>88809449</v>
      </c>
      <c r="S36" s="17">
        <v>85482055</v>
      </c>
      <c r="T36" s="17">
        <v>85112461</v>
      </c>
      <c r="U36" s="17">
        <v>82767540</v>
      </c>
      <c r="V36" s="17">
        <v>80759077</v>
      </c>
      <c r="W36" s="17">
        <v>149196800</v>
      </c>
      <c r="X36" s="17">
        <v>50987154</v>
      </c>
      <c r="Y36" s="17">
        <v>49283906</v>
      </c>
      <c r="Z36" s="17">
        <v>83421540</v>
      </c>
      <c r="AA36" s="17">
        <v>16577420</v>
      </c>
    </row>
    <row r="37" spans="1:27" x14ac:dyDescent="0.35">
      <c r="A37" t="s">
        <v>145</v>
      </c>
      <c r="B37" s="17">
        <v>63718000</v>
      </c>
      <c r="C37" s="17">
        <v>62006000</v>
      </c>
      <c r="D37" s="17">
        <v>61952000</v>
      </c>
      <c r="E37" s="17">
        <v>59832000</v>
      </c>
      <c r="F37" s="17">
        <v>55881000</v>
      </c>
      <c r="G37" s="17"/>
      <c r="H37" s="17"/>
      <c r="I37" s="17">
        <v>68544000</v>
      </c>
      <c r="J37" s="17">
        <v>71771000</v>
      </c>
      <c r="K37" s="17">
        <v>68421000</v>
      </c>
      <c r="L37" s="17">
        <v>72255000</v>
      </c>
      <c r="M37" s="17">
        <v>73809302</v>
      </c>
      <c r="N37" s="17">
        <v>75390000</v>
      </c>
      <c r="O37" s="17">
        <v>86190909</v>
      </c>
      <c r="P37" s="17">
        <v>86833333</v>
      </c>
      <c r="Q37" s="17">
        <v>91210417</v>
      </c>
      <c r="R37" s="17">
        <v>90958065</v>
      </c>
      <c r="S37" s="17">
        <v>87595618</v>
      </c>
      <c r="T37" s="17">
        <v>85112461</v>
      </c>
      <c r="U37" s="17">
        <v>82767540</v>
      </c>
      <c r="V37" s="17">
        <v>84194883</v>
      </c>
      <c r="W37" s="17">
        <v>160341024</v>
      </c>
      <c r="X37" s="17">
        <v>67140000</v>
      </c>
      <c r="Y37" s="17">
        <v>49283906</v>
      </c>
      <c r="Z37" s="17">
        <v>83421540</v>
      </c>
      <c r="AA37" s="17">
        <v>16577420</v>
      </c>
    </row>
    <row r="38" spans="1:27" x14ac:dyDescent="0.35">
      <c r="A38" t="s">
        <v>146</v>
      </c>
      <c r="B38" s="17">
        <v>683064000</v>
      </c>
      <c r="C38" s="17">
        <v>850756000</v>
      </c>
      <c r="D38" s="17">
        <v>1036783000</v>
      </c>
      <c r="E38" s="17">
        <v>1021911000</v>
      </c>
      <c r="F38" s="17">
        <v>149515000</v>
      </c>
      <c r="G38" s="17"/>
      <c r="H38" s="17"/>
      <c r="I38" s="17">
        <v>214124000</v>
      </c>
      <c r="J38" s="17">
        <v>128649000</v>
      </c>
      <c r="K38" s="17">
        <v>62944000</v>
      </c>
      <c r="L38" s="17">
        <v>17336000</v>
      </c>
      <c r="M38" s="17">
        <v>-6154000</v>
      </c>
      <c r="N38" s="17">
        <v>-72324000</v>
      </c>
      <c r="O38" s="17">
        <v>-4726000</v>
      </c>
      <c r="P38" s="17">
        <v>63095000</v>
      </c>
      <c r="Q38" s="17">
        <v>146174000</v>
      </c>
      <c r="R38" s="17">
        <v>131079000</v>
      </c>
      <c r="S38" s="17">
        <v>78123000</v>
      </c>
      <c r="T38" s="17">
        <v>-51184000</v>
      </c>
      <c r="U38" s="17">
        <v>-188282000</v>
      </c>
      <c r="V38" s="17">
        <v>237767000</v>
      </c>
      <c r="W38" s="17">
        <v>95346000</v>
      </c>
      <c r="X38" s="17">
        <v>26892000</v>
      </c>
      <c r="Y38" s="17">
        <v>-1571000</v>
      </c>
      <c r="Z38" s="17">
        <v>-1197000</v>
      </c>
      <c r="AA38" s="17">
        <v>-445000</v>
      </c>
    </row>
    <row r="39" spans="1:27" x14ac:dyDescent="0.35">
      <c r="A39" t="s">
        <v>147</v>
      </c>
      <c r="B39" s="17">
        <v>1630352000</v>
      </c>
      <c r="C39" s="17">
        <v>2704229000</v>
      </c>
      <c r="D39" s="17">
        <v>2925564000</v>
      </c>
      <c r="E39" s="17">
        <v>3080197000</v>
      </c>
      <c r="F39" s="17">
        <v>3153017000</v>
      </c>
      <c r="G39" s="17"/>
      <c r="H39" s="17"/>
      <c r="I39" s="17">
        <v>1150756000</v>
      </c>
      <c r="J39" s="17">
        <v>1101944000</v>
      </c>
      <c r="K39" s="17">
        <v>1023079000</v>
      </c>
      <c r="L39" s="17">
        <v>1000893000</v>
      </c>
      <c r="M39" s="17">
        <v>1039283000</v>
      </c>
      <c r="N39" s="17">
        <v>1147648000</v>
      </c>
      <c r="O39" s="17">
        <v>1173590000</v>
      </c>
      <c r="P39" s="17">
        <v>1118636000</v>
      </c>
      <c r="Q39" s="17">
        <v>975717000</v>
      </c>
      <c r="R39" s="17">
        <v>869296000</v>
      </c>
      <c r="S39" s="17">
        <v>708892000</v>
      </c>
      <c r="T39" s="17">
        <v>656157000</v>
      </c>
      <c r="U39" s="17">
        <v>855522000</v>
      </c>
      <c r="V39" s="17">
        <v>609583000</v>
      </c>
      <c r="W39" s="17">
        <v>259382000</v>
      </c>
      <c r="X39" s="17">
        <v>81689000</v>
      </c>
      <c r="Y39" s="17">
        <v>15091000</v>
      </c>
      <c r="Z39" s="17">
        <v>2362000</v>
      </c>
      <c r="AA39" s="17">
        <v>469000</v>
      </c>
    </row>
    <row r="40" spans="1:27" x14ac:dyDescent="0.35">
      <c r="A40" t="s">
        <v>148</v>
      </c>
      <c r="B40" s="17">
        <v>725694000</v>
      </c>
      <c r="C40" s="17">
        <v>540159000</v>
      </c>
      <c r="D40" s="17">
        <v>792566000</v>
      </c>
      <c r="E40" s="17">
        <v>950071000</v>
      </c>
      <c r="F40" s="17">
        <v>-81198000</v>
      </c>
      <c r="G40" s="17"/>
      <c r="H40" s="17"/>
      <c r="I40" s="17">
        <v>312861000</v>
      </c>
      <c r="J40" s="17">
        <v>119497000</v>
      </c>
      <c r="K40" s="17">
        <v>50437000</v>
      </c>
      <c r="L40" s="17">
        <v>10238000</v>
      </c>
      <c r="M40" s="17">
        <v>-16494000</v>
      </c>
      <c r="N40" s="17">
        <v>-83196000</v>
      </c>
      <c r="O40" s="17">
        <v>-4926000</v>
      </c>
      <c r="P40" s="17">
        <v>10420000</v>
      </c>
      <c r="Q40" s="17">
        <v>131343000</v>
      </c>
      <c r="R40" s="17">
        <v>112788000</v>
      </c>
      <c r="S40" s="17">
        <v>67726000</v>
      </c>
      <c r="T40" s="17">
        <v>-42078000</v>
      </c>
      <c r="U40" s="17">
        <v>-185076000</v>
      </c>
      <c r="V40" s="17">
        <v>168228000</v>
      </c>
      <c r="W40" s="17">
        <v>64417000</v>
      </c>
      <c r="X40" s="17">
        <v>16972000</v>
      </c>
      <c r="Y40" s="17">
        <v>-1494000</v>
      </c>
      <c r="Z40" s="17">
        <v>-1200000</v>
      </c>
      <c r="AA40" s="17">
        <v>-445000</v>
      </c>
    </row>
    <row r="41" spans="1:27" x14ac:dyDescent="0.35">
      <c r="A41" t="s">
        <v>149</v>
      </c>
      <c r="B41" s="17">
        <v>725796200</v>
      </c>
      <c r="C41" s="17">
        <v>537731544</v>
      </c>
      <c r="D41" s="17">
        <v>793686960</v>
      </c>
      <c r="E41" s="17">
        <v>955424830</v>
      </c>
      <c r="F41" s="17">
        <v>494136880</v>
      </c>
      <c r="G41" s="17"/>
      <c r="H41" s="17"/>
      <c r="I41" s="17">
        <v>329066270</v>
      </c>
      <c r="J41" s="17">
        <v>120462790</v>
      </c>
      <c r="K41" s="17">
        <v>51105736</v>
      </c>
      <c r="L41" s="17">
        <v>13070600</v>
      </c>
      <c r="M41" s="17">
        <v>-13135200</v>
      </c>
      <c r="N41" s="17">
        <v>-72013200</v>
      </c>
      <c r="O41" s="17">
        <v>17332600</v>
      </c>
      <c r="P41" s="17">
        <v>20577550</v>
      </c>
      <c r="Q41" s="17">
        <v>134869820</v>
      </c>
      <c r="R41" s="17">
        <v>109192650</v>
      </c>
      <c r="S41" s="17">
        <v>68023490</v>
      </c>
      <c r="T41" s="18">
        <v>-16418044.425000001</v>
      </c>
      <c r="U41" s="18">
        <v>-133430313.18700001</v>
      </c>
      <c r="V41" s="18">
        <v>166130102.49399999</v>
      </c>
      <c r="W41" s="18">
        <v>63185673.038000003</v>
      </c>
      <c r="X41" s="18">
        <v>16966835.254000001</v>
      </c>
      <c r="Y41" s="18">
        <v>-1476659.743</v>
      </c>
      <c r="Z41" s="17">
        <v>-1200000</v>
      </c>
      <c r="AA41" s="17">
        <v>-445000</v>
      </c>
    </row>
    <row r="42" spans="1:27" x14ac:dyDescent="0.35">
      <c r="A42" t="s">
        <v>150</v>
      </c>
      <c r="B42" s="17">
        <v>775000</v>
      </c>
      <c r="C42" s="17">
        <v>1020000</v>
      </c>
      <c r="D42" s="17">
        <v>2406000</v>
      </c>
      <c r="E42" s="17">
        <v>3484000</v>
      </c>
      <c r="F42" s="17">
        <v>1844000</v>
      </c>
      <c r="G42" s="17"/>
      <c r="H42" s="17"/>
      <c r="I42" s="17">
        <v>215000</v>
      </c>
      <c r="J42" s="17">
        <v>601000</v>
      </c>
      <c r="K42" s="17">
        <v>1281000</v>
      </c>
      <c r="L42" s="17">
        <v>870000</v>
      </c>
      <c r="M42" s="17">
        <v>692000</v>
      </c>
      <c r="N42" s="17">
        <v>967000</v>
      </c>
      <c r="O42" s="17">
        <v>1664000</v>
      </c>
      <c r="P42" s="17">
        <v>2432000</v>
      </c>
      <c r="Q42" s="17">
        <v>1697000</v>
      </c>
      <c r="R42" s="17">
        <v>957000</v>
      </c>
    </row>
    <row r="43" spans="1:27" x14ac:dyDescent="0.35">
      <c r="A43" t="s">
        <v>151</v>
      </c>
      <c r="B43" s="17">
        <v>21647000</v>
      </c>
      <c r="C43" s="17">
        <v>136158000</v>
      </c>
      <c r="D43" s="17">
        <v>161351000</v>
      </c>
      <c r="E43" s="17">
        <v>109264000</v>
      </c>
      <c r="F43" s="17">
        <v>88287000</v>
      </c>
      <c r="G43" s="17"/>
      <c r="H43" s="17"/>
      <c r="I43" s="17">
        <v>6742000</v>
      </c>
      <c r="J43" s="17">
        <v>8636000</v>
      </c>
      <c r="K43" s="17">
        <v>955000</v>
      </c>
      <c r="L43" s="17">
        <v>869000</v>
      </c>
      <c r="M43" s="17">
        <v>836000</v>
      </c>
      <c r="N43" s="17">
        <v>969000</v>
      </c>
      <c r="O43" s="17">
        <v>806000</v>
      </c>
      <c r="P43" s="17">
        <v>1016000</v>
      </c>
      <c r="Q43" s="17">
        <v>837000</v>
      </c>
      <c r="R43" s="17">
        <v>853000</v>
      </c>
      <c r="S43" s="17">
        <v>657000</v>
      </c>
      <c r="T43" s="17">
        <v>1495000</v>
      </c>
      <c r="U43" s="17">
        <v>1793000</v>
      </c>
    </row>
    <row r="44" spans="1:27" x14ac:dyDescent="0.35">
      <c r="A44" t="s">
        <v>152</v>
      </c>
      <c r="B44" s="17">
        <v>-20872000</v>
      </c>
      <c r="C44" s="17">
        <v>-135138000</v>
      </c>
      <c r="D44" s="17">
        <v>-158945000</v>
      </c>
      <c r="E44" s="17">
        <v>-105780000</v>
      </c>
      <c r="F44" s="17">
        <v>-86443000</v>
      </c>
      <c r="G44" s="17"/>
      <c r="H44" s="17"/>
      <c r="I44" s="17">
        <v>-6527000</v>
      </c>
      <c r="J44" s="17">
        <v>-8035000</v>
      </c>
      <c r="K44" s="17">
        <v>326000</v>
      </c>
      <c r="L44" s="17">
        <v>1000</v>
      </c>
      <c r="M44" s="17">
        <v>-144000</v>
      </c>
      <c r="N44" s="17">
        <v>-2000</v>
      </c>
      <c r="O44" s="17">
        <v>858000</v>
      </c>
      <c r="P44" s="17">
        <v>1416000</v>
      </c>
      <c r="Q44" s="17">
        <v>860000</v>
      </c>
      <c r="R44" s="17">
        <v>104000</v>
      </c>
      <c r="S44" s="17">
        <v>-657000</v>
      </c>
      <c r="T44" s="17">
        <v>-1495000</v>
      </c>
      <c r="U44" s="17">
        <v>-1793000</v>
      </c>
    </row>
    <row r="45" spans="1:27" x14ac:dyDescent="0.35">
      <c r="A45" t="s">
        <v>26</v>
      </c>
      <c r="B45" s="17">
        <v>685496000</v>
      </c>
      <c r="C45" s="17">
        <v>854666000</v>
      </c>
      <c r="D45" s="17">
        <v>1037623000</v>
      </c>
      <c r="E45" s="17">
        <v>1019849000</v>
      </c>
      <c r="F45" s="17">
        <v>161265000</v>
      </c>
      <c r="G45" s="17"/>
      <c r="H45" s="17"/>
      <c r="I45" s="17">
        <v>213721000</v>
      </c>
      <c r="J45" s="17">
        <v>127958000</v>
      </c>
      <c r="K45" s="17">
        <v>66112000</v>
      </c>
      <c r="L45" s="17">
        <v>19049000</v>
      </c>
      <c r="M45" s="17">
        <v>-6377000</v>
      </c>
      <c r="N45" s="17">
        <v>-73775000</v>
      </c>
      <c r="O45" s="17">
        <v>-7743000</v>
      </c>
      <c r="P45" s="17">
        <v>60975000</v>
      </c>
      <c r="Q45" s="17">
        <v>146385000</v>
      </c>
      <c r="R45" s="17">
        <v>137543000</v>
      </c>
      <c r="S45" s="17">
        <v>81449000</v>
      </c>
      <c r="T45" s="17">
        <v>-47126000</v>
      </c>
      <c r="U45" s="17">
        <v>-187717000</v>
      </c>
      <c r="V45" s="17">
        <v>237767000</v>
      </c>
      <c r="W45" s="17">
        <v>95346000</v>
      </c>
      <c r="X45" s="17">
        <v>26892000</v>
      </c>
      <c r="Y45" s="17">
        <v>-1571000</v>
      </c>
      <c r="Z45" s="17">
        <v>-1197000</v>
      </c>
      <c r="AA45" s="17">
        <v>-445000</v>
      </c>
    </row>
    <row r="46" spans="1:27" x14ac:dyDescent="0.35">
      <c r="A46" t="s">
        <v>22</v>
      </c>
      <c r="B46" s="17">
        <v>717472000</v>
      </c>
      <c r="C46" s="17">
        <v>893895000</v>
      </c>
      <c r="D46" s="17">
        <v>1091927000</v>
      </c>
      <c r="E46" s="17">
        <v>1089689000</v>
      </c>
      <c r="F46" s="17">
        <v>240547000</v>
      </c>
      <c r="G46" s="17"/>
      <c r="H46" s="17"/>
      <c r="I46" s="17">
        <v>241340000</v>
      </c>
      <c r="J46" s="17">
        <v>152171000</v>
      </c>
      <c r="K46" s="17">
        <v>95362000</v>
      </c>
      <c r="L46" s="17">
        <v>52179000</v>
      </c>
      <c r="M46" s="17">
        <v>27666000</v>
      </c>
      <c r="N46" s="17">
        <v>-37782000</v>
      </c>
      <c r="O46" s="17">
        <v>29670000</v>
      </c>
      <c r="P46" s="17">
        <v>102481000</v>
      </c>
      <c r="Q46" s="17">
        <v>183079000</v>
      </c>
      <c r="R46" s="17">
        <v>174806000</v>
      </c>
      <c r="S46" s="17">
        <v>118508000</v>
      </c>
      <c r="T46" s="17">
        <v>-10455000</v>
      </c>
      <c r="U46" s="17">
        <v>-150267000</v>
      </c>
      <c r="V46" s="17">
        <v>258716000</v>
      </c>
      <c r="W46" s="17">
        <v>103399000</v>
      </c>
      <c r="X46" s="17">
        <v>30226000</v>
      </c>
      <c r="Y46" s="17">
        <v>-871000</v>
      </c>
      <c r="Z46" s="17">
        <v>-1122000</v>
      </c>
      <c r="AA46" s="17">
        <v>-445000</v>
      </c>
    </row>
    <row r="47" spans="1:27" x14ac:dyDescent="0.35">
      <c r="A47" t="s">
        <v>153</v>
      </c>
      <c r="B47" s="17">
        <v>893196000</v>
      </c>
      <c r="C47" s="17">
        <v>1682294000</v>
      </c>
      <c r="D47" s="17">
        <v>1730448000</v>
      </c>
      <c r="E47" s="17">
        <v>1668782000</v>
      </c>
      <c r="F47" s="17">
        <v>1638155000</v>
      </c>
      <c r="G47" s="17"/>
      <c r="H47" s="17"/>
      <c r="I47" s="17">
        <v>636003000</v>
      </c>
      <c r="J47" s="17">
        <v>613537000</v>
      </c>
      <c r="K47" s="17">
        <v>528051000</v>
      </c>
      <c r="L47" s="17">
        <v>506292000</v>
      </c>
      <c r="M47" s="17">
        <v>536109000</v>
      </c>
      <c r="N47" s="17">
        <v>579825000</v>
      </c>
      <c r="O47" s="17">
        <v>607878000</v>
      </c>
      <c r="P47" s="17">
        <v>569482000</v>
      </c>
      <c r="Q47" s="17">
        <v>515324000</v>
      </c>
      <c r="R47" s="17">
        <v>464493000</v>
      </c>
      <c r="S47" s="17">
        <v>365931000</v>
      </c>
      <c r="T47" s="17">
        <v>337720000</v>
      </c>
      <c r="U47" s="17">
        <v>486722000</v>
      </c>
      <c r="V47" s="17">
        <v>349701000</v>
      </c>
      <c r="W47" s="17">
        <v>154158000</v>
      </c>
      <c r="X47" s="17">
        <v>47773000</v>
      </c>
      <c r="Y47" s="17">
        <v>7162000</v>
      </c>
      <c r="Z47" s="17">
        <v>891000</v>
      </c>
      <c r="AA47" s="17">
        <v>16000</v>
      </c>
    </row>
    <row r="48" spans="1:27" x14ac:dyDescent="0.35">
      <c r="A48" t="s">
        <v>154</v>
      </c>
      <c r="B48" s="17">
        <v>31976000</v>
      </c>
      <c r="C48" s="17">
        <v>39229000</v>
      </c>
      <c r="D48" s="17">
        <v>54304000</v>
      </c>
      <c r="E48" s="17">
        <v>69840000</v>
      </c>
      <c r="F48" s="17">
        <v>79282000</v>
      </c>
      <c r="G48" s="17"/>
      <c r="H48" s="17"/>
      <c r="I48" s="17">
        <v>27619000</v>
      </c>
      <c r="J48" s="17">
        <v>24213000</v>
      </c>
      <c r="K48" s="17">
        <v>29250000</v>
      </c>
      <c r="L48" s="17">
        <v>33130000</v>
      </c>
      <c r="M48" s="17">
        <v>34043000</v>
      </c>
      <c r="N48" s="17">
        <v>35993000</v>
      </c>
      <c r="O48" s="17">
        <v>37413000</v>
      </c>
      <c r="P48" s="17">
        <v>41506000</v>
      </c>
      <c r="Q48" s="17">
        <v>36694000</v>
      </c>
      <c r="R48" s="17">
        <v>37263000</v>
      </c>
      <c r="S48" s="17">
        <v>37059000</v>
      </c>
      <c r="T48" s="17">
        <v>36671000</v>
      </c>
      <c r="U48" s="17">
        <v>37450000</v>
      </c>
      <c r="V48" s="17">
        <v>20949000</v>
      </c>
      <c r="W48" s="17">
        <v>8053000</v>
      </c>
      <c r="X48" s="17">
        <v>3334000</v>
      </c>
      <c r="Y48" s="17">
        <v>700000</v>
      </c>
      <c r="Z48" s="17">
        <v>75000</v>
      </c>
    </row>
    <row r="49" spans="1:27" x14ac:dyDescent="0.35">
      <c r="A49" t="s">
        <v>155</v>
      </c>
      <c r="B49" s="17">
        <v>725694000</v>
      </c>
      <c r="C49" s="17">
        <v>540159000</v>
      </c>
      <c r="D49" s="17">
        <v>792566000</v>
      </c>
      <c r="E49" s="17">
        <v>950071000</v>
      </c>
      <c r="F49" s="17">
        <v>-81198000</v>
      </c>
      <c r="G49" s="17"/>
      <c r="H49" s="17"/>
      <c r="I49" s="17">
        <v>312861000</v>
      </c>
      <c r="J49" s="17">
        <v>119497000</v>
      </c>
      <c r="K49" s="17">
        <v>50437000</v>
      </c>
      <c r="L49" s="17">
        <v>10238000</v>
      </c>
      <c r="M49" s="17">
        <v>-16494000</v>
      </c>
      <c r="N49" s="17">
        <v>-83196000</v>
      </c>
      <c r="O49" s="17">
        <v>-4926000</v>
      </c>
      <c r="P49" s="17">
        <v>10420000</v>
      </c>
      <c r="Q49" s="17">
        <v>131343000</v>
      </c>
      <c r="R49" s="17">
        <v>112788000</v>
      </c>
      <c r="S49" s="17">
        <v>67726000</v>
      </c>
      <c r="T49" s="17">
        <v>-42078000</v>
      </c>
      <c r="U49" s="17">
        <v>-185076000</v>
      </c>
      <c r="V49" s="17">
        <v>168228000</v>
      </c>
      <c r="W49" s="17">
        <v>64417000</v>
      </c>
      <c r="X49" s="17">
        <v>16972000</v>
      </c>
      <c r="Y49" s="17">
        <v>-1494000</v>
      </c>
      <c r="Z49" s="17">
        <v>-1200000</v>
      </c>
      <c r="AA49" s="17">
        <v>-445000</v>
      </c>
    </row>
    <row r="50" spans="1:27" x14ac:dyDescent="0.35">
      <c r="A50" t="s">
        <v>156</v>
      </c>
      <c r="B50" s="17">
        <v>-140000</v>
      </c>
      <c r="C50" s="17">
        <v>3228000</v>
      </c>
      <c r="D50" s="17">
        <v>-1240000</v>
      </c>
      <c r="E50" s="17">
        <v>-6777000</v>
      </c>
      <c r="F50" s="17">
        <v>-728272000</v>
      </c>
      <c r="G50" s="17"/>
      <c r="H50" s="17"/>
      <c r="I50" s="17">
        <v>-22199000</v>
      </c>
      <c r="J50" s="17">
        <v>-1323000</v>
      </c>
      <c r="K50" s="17">
        <v>-864000</v>
      </c>
      <c r="L50" s="17">
        <v>-4721000</v>
      </c>
      <c r="M50" s="17">
        <v>-5598000</v>
      </c>
      <c r="N50" s="17">
        <v>-18638000</v>
      </c>
      <c r="O50" s="17">
        <v>-34244000</v>
      </c>
      <c r="P50" s="17">
        <v>-15627000</v>
      </c>
      <c r="Q50" s="17">
        <v>-3910000</v>
      </c>
      <c r="R50" s="17">
        <v>4358000</v>
      </c>
      <c r="S50" s="17">
        <v>-355000</v>
      </c>
      <c r="T50" s="17">
        <v>-29650000</v>
      </c>
      <c r="U50" s="17">
        <v>-52883000</v>
      </c>
      <c r="V50" s="17">
        <v>2997000</v>
      </c>
      <c r="W50" s="17">
        <v>1847000</v>
      </c>
      <c r="X50" s="17">
        <v>8000</v>
      </c>
      <c r="Y50" s="17">
        <v>-19000</v>
      </c>
      <c r="AA50">
        <v>0</v>
      </c>
    </row>
    <row r="51" spans="1:27" x14ac:dyDescent="0.35">
      <c r="A51" t="s">
        <v>157</v>
      </c>
      <c r="B51" s="17">
        <v>-140000</v>
      </c>
      <c r="C51" s="17">
        <v>3228000</v>
      </c>
      <c r="D51" s="17">
        <v>-1240000</v>
      </c>
      <c r="E51" s="17">
        <v>-6777000</v>
      </c>
      <c r="F51" s="17">
        <v>-728272000</v>
      </c>
      <c r="G51" s="17"/>
      <c r="H51" s="17"/>
      <c r="I51" s="17">
        <v>-22199000</v>
      </c>
      <c r="J51" s="17">
        <v>-1323000</v>
      </c>
      <c r="K51" s="17">
        <v>-864000</v>
      </c>
      <c r="L51" s="17">
        <v>-4721000</v>
      </c>
      <c r="M51" s="17">
        <v>-5598000</v>
      </c>
      <c r="N51" s="17">
        <v>-18638000</v>
      </c>
      <c r="O51" s="17">
        <v>-34244000</v>
      </c>
      <c r="P51" s="17">
        <v>-15627000</v>
      </c>
      <c r="Q51" s="17">
        <v>-3910000</v>
      </c>
      <c r="R51" s="17">
        <v>4358000</v>
      </c>
      <c r="S51" s="17">
        <v>-355000</v>
      </c>
      <c r="T51" s="17">
        <v>-29650000</v>
      </c>
      <c r="U51" s="17">
        <v>-52883000</v>
      </c>
      <c r="V51" s="17">
        <v>2997000</v>
      </c>
      <c r="W51" s="17">
        <v>1847000</v>
      </c>
      <c r="X51" s="17">
        <v>8000</v>
      </c>
      <c r="Y51" s="17">
        <v>-19000</v>
      </c>
      <c r="AA51">
        <v>0</v>
      </c>
    </row>
    <row r="52" spans="1:27" x14ac:dyDescent="0.35">
      <c r="A52" t="s">
        <v>158</v>
      </c>
      <c r="B52" s="17">
        <v>717612000</v>
      </c>
      <c r="C52" s="17">
        <v>890667000</v>
      </c>
      <c r="D52" s="17">
        <v>1093167000</v>
      </c>
      <c r="E52" s="17">
        <v>1096466000</v>
      </c>
      <c r="F52" s="17">
        <v>968819000</v>
      </c>
      <c r="G52" s="17"/>
      <c r="H52" s="17"/>
      <c r="I52" s="17">
        <v>263539000</v>
      </c>
      <c r="J52" s="17">
        <v>153494000</v>
      </c>
      <c r="K52" s="17">
        <v>96226000</v>
      </c>
      <c r="L52" s="17">
        <v>56900000</v>
      </c>
      <c r="M52" s="17">
        <v>33264000</v>
      </c>
      <c r="N52" s="17">
        <v>-19144000</v>
      </c>
      <c r="O52" s="17">
        <v>63914000</v>
      </c>
      <c r="P52" s="17">
        <v>118108000</v>
      </c>
      <c r="Q52" s="17">
        <v>186989000</v>
      </c>
      <c r="R52" s="17">
        <v>170448000</v>
      </c>
      <c r="S52" s="17">
        <v>118863000</v>
      </c>
      <c r="T52" s="17">
        <v>19195000</v>
      </c>
      <c r="U52" s="17">
        <v>-97384000</v>
      </c>
      <c r="V52" s="17">
        <v>255719000</v>
      </c>
      <c r="W52" s="17">
        <v>101552000</v>
      </c>
      <c r="X52" s="17">
        <v>30218000</v>
      </c>
      <c r="Y52" s="17">
        <v>-852000</v>
      </c>
      <c r="Z52" s="17">
        <v>-1122000</v>
      </c>
      <c r="AA52" s="17">
        <v>-445000</v>
      </c>
    </row>
    <row r="53" spans="1:27" x14ac:dyDescent="0.35">
      <c r="A53" t="s">
        <v>159</v>
      </c>
      <c r="B53">
        <v>0.27</v>
      </c>
      <c r="C53">
        <v>0.248</v>
      </c>
      <c r="D53">
        <v>9.6000000000000002E-2</v>
      </c>
      <c r="E53">
        <v>0.21</v>
      </c>
      <c r="F53">
        <v>0.21</v>
      </c>
      <c r="I53">
        <v>0.27</v>
      </c>
      <c r="J53">
        <v>0.27</v>
      </c>
      <c r="K53">
        <v>0.22600000000000001</v>
      </c>
      <c r="L53">
        <v>0.4</v>
      </c>
      <c r="M53">
        <v>0.4</v>
      </c>
      <c r="N53">
        <v>0.4</v>
      </c>
      <c r="O53">
        <v>0.35</v>
      </c>
      <c r="P53">
        <v>0.35</v>
      </c>
      <c r="Q53">
        <v>9.8000000000000004E-2</v>
      </c>
      <c r="R53">
        <v>0.17499999999999999</v>
      </c>
      <c r="S53">
        <v>0.16200000000000001</v>
      </c>
      <c r="T53">
        <v>0.13500000000000001</v>
      </c>
      <c r="U53">
        <v>2.3E-2</v>
      </c>
      <c r="V53">
        <v>0.3</v>
      </c>
      <c r="W53">
        <v>0.33300000000000002</v>
      </c>
      <c r="X53">
        <v>0.35399999999999998</v>
      </c>
      <c r="Y53">
        <v>8.6999999999999994E-2</v>
      </c>
      <c r="Z53">
        <v>0</v>
      </c>
      <c r="AA53">
        <v>0</v>
      </c>
    </row>
    <row r="54" spans="1:27" x14ac:dyDescent="0.35">
      <c r="A54" t="s">
        <v>160</v>
      </c>
      <c r="B54" s="17">
        <v>-37800</v>
      </c>
      <c r="C54" s="17">
        <v>800544</v>
      </c>
      <c r="D54" s="17">
        <v>-119040</v>
      </c>
      <c r="E54" s="17">
        <v>-1423170</v>
      </c>
      <c r="F54" s="17">
        <v>-152937120</v>
      </c>
      <c r="G54" s="17"/>
      <c r="H54" s="17"/>
      <c r="I54" s="17">
        <v>-5993730</v>
      </c>
      <c r="J54" s="17">
        <v>-357210</v>
      </c>
      <c r="K54" s="17">
        <v>-195264</v>
      </c>
      <c r="L54" s="17">
        <v>-1888400</v>
      </c>
      <c r="M54" s="17">
        <v>-2239200</v>
      </c>
      <c r="N54" s="17">
        <v>-7455200</v>
      </c>
      <c r="O54" s="17">
        <v>-11985400</v>
      </c>
      <c r="P54" s="17">
        <v>-5469450</v>
      </c>
      <c r="Q54" s="17">
        <v>-383180</v>
      </c>
      <c r="R54" s="17">
        <v>762650</v>
      </c>
      <c r="S54" s="17">
        <v>-57510</v>
      </c>
      <c r="T54" s="18">
        <v>-3990044.4249999998</v>
      </c>
      <c r="U54" s="18">
        <v>-1237313.1869999999</v>
      </c>
      <c r="V54" s="18">
        <v>899102.49399999995</v>
      </c>
      <c r="W54" s="18">
        <v>615673.03799999994</v>
      </c>
      <c r="X54" s="18">
        <v>2835.2539999999999</v>
      </c>
      <c r="Y54" s="18">
        <v>-1659.7429999999999</v>
      </c>
      <c r="Z54">
        <v>0</v>
      </c>
      <c r="AA54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36B1E-2842-4B31-BD64-C78301D4CFFD}">
  <dimension ref="A1:AA92"/>
  <sheetViews>
    <sheetView topLeftCell="A67" workbookViewId="0">
      <selection activeCell="C94" sqref="C94"/>
    </sheetView>
  </sheetViews>
  <sheetFormatPr defaultRowHeight="14.5" x14ac:dyDescent="0.35"/>
  <cols>
    <col min="1" max="1" width="46.36328125" bestFit="1" customWidth="1"/>
    <col min="2" max="2" width="12.453125" bestFit="1" customWidth="1"/>
    <col min="3" max="4" width="13.1796875" bestFit="1" customWidth="1"/>
    <col min="5" max="5" width="12.453125" bestFit="1" customWidth="1"/>
    <col min="6" max="6" width="14.54296875" customWidth="1"/>
    <col min="7" max="8" width="8" customWidth="1"/>
    <col min="9" max="9" width="12.453125" bestFit="1" customWidth="1"/>
    <col min="10" max="16" width="10.90625" bestFit="1" customWidth="1"/>
    <col min="17" max="17" width="11.54296875" bestFit="1" customWidth="1"/>
    <col min="18" max="23" width="10.90625" bestFit="1" customWidth="1"/>
    <col min="24" max="24" width="10.54296875" bestFit="1" customWidth="1"/>
    <col min="25" max="27" width="10.08984375" bestFit="1" customWidth="1"/>
  </cols>
  <sheetData>
    <row r="1" spans="1:27" x14ac:dyDescent="0.35">
      <c r="A1" t="s">
        <v>117</v>
      </c>
      <c r="B1" s="16">
        <v>44561</v>
      </c>
      <c r="C1" s="16">
        <v>44926</v>
      </c>
      <c r="D1" s="16">
        <v>45291</v>
      </c>
      <c r="E1" s="16">
        <v>45657</v>
      </c>
      <c r="F1" s="16">
        <v>46022</v>
      </c>
      <c r="G1" s="16"/>
      <c r="H1" s="16"/>
      <c r="I1" s="16">
        <v>44196</v>
      </c>
      <c r="J1" s="16">
        <v>43830</v>
      </c>
      <c r="K1" s="16">
        <v>43465</v>
      </c>
      <c r="L1" s="16">
        <v>43100</v>
      </c>
      <c r="M1" s="16">
        <v>42735</v>
      </c>
      <c r="N1" s="16">
        <v>42369</v>
      </c>
      <c r="O1" s="16">
        <v>42004</v>
      </c>
      <c r="P1" s="16">
        <v>41639</v>
      </c>
      <c r="Q1" s="16">
        <v>41274</v>
      </c>
      <c r="R1" s="16">
        <v>40908</v>
      </c>
      <c r="S1" s="16">
        <v>40543</v>
      </c>
      <c r="T1" s="16">
        <v>40178</v>
      </c>
      <c r="U1" s="16">
        <v>39813</v>
      </c>
      <c r="V1" s="16">
        <v>39447</v>
      </c>
      <c r="W1" s="16">
        <v>39082</v>
      </c>
      <c r="X1" s="16">
        <v>38717</v>
      </c>
      <c r="Y1" s="16">
        <v>38352</v>
      </c>
      <c r="Z1" s="16">
        <v>37986</v>
      </c>
      <c r="AA1" s="16">
        <v>37621</v>
      </c>
    </row>
    <row r="2" spans="1:27" x14ac:dyDescent="0.35">
      <c r="A2" t="s">
        <v>206</v>
      </c>
      <c r="B2" s="17">
        <v>1545068000</v>
      </c>
      <c r="C2" s="17">
        <v>4501797000</v>
      </c>
      <c r="D2" s="17">
        <v>4643834000</v>
      </c>
      <c r="E2" s="17">
        <v>4812153000</v>
      </c>
      <c r="F2" s="17">
        <v>4174750000</v>
      </c>
      <c r="G2" s="17"/>
      <c r="H2" s="17"/>
      <c r="I2" s="17">
        <v>1118723000</v>
      </c>
      <c r="J2" s="17">
        <v>738802000</v>
      </c>
      <c r="K2" s="17">
        <v>468901000</v>
      </c>
      <c r="L2" s="17">
        <v>543695000</v>
      </c>
      <c r="M2" s="17">
        <v>566390000</v>
      </c>
      <c r="N2" s="17">
        <v>608020000</v>
      </c>
      <c r="O2" s="17">
        <v>806931000</v>
      </c>
      <c r="P2" s="17">
        <v>875159000</v>
      </c>
      <c r="Q2" s="17">
        <v>829638000</v>
      </c>
      <c r="R2" s="17">
        <v>695453000</v>
      </c>
      <c r="S2" s="17">
        <v>549481000</v>
      </c>
      <c r="T2" s="17">
        <v>409738000</v>
      </c>
      <c r="U2" s="17">
        <v>455999000</v>
      </c>
      <c r="V2" s="17">
        <v>627425000</v>
      </c>
      <c r="W2" s="17">
        <v>299457000</v>
      </c>
      <c r="X2" s="17">
        <v>78032000</v>
      </c>
      <c r="Y2" s="17">
        <v>16224000</v>
      </c>
      <c r="Z2" s="17">
        <v>1304000</v>
      </c>
      <c r="AA2" s="17">
        <v>454000</v>
      </c>
    </row>
    <row r="3" spans="1:27" x14ac:dyDescent="0.35">
      <c r="A3" t="s">
        <v>207</v>
      </c>
      <c r="B3" s="17">
        <v>666569000</v>
      </c>
      <c r="C3" s="17">
        <v>1025975000</v>
      </c>
      <c r="D3" s="17">
        <v>910704000</v>
      </c>
      <c r="E3" s="17">
        <v>872269000</v>
      </c>
      <c r="F3" s="17">
        <v>885883000</v>
      </c>
      <c r="G3" s="17"/>
      <c r="H3" s="17"/>
      <c r="I3" s="17">
        <v>492841000</v>
      </c>
      <c r="J3" s="17">
        <v>425382000</v>
      </c>
      <c r="K3" s="17">
        <v>380298000</v>
      </c>
      <c r="L3" s="17">
        <v>425049000</v>
      </c>
      <c r="M3" s="17">
        <v>425475000</v>
      </c>
      <c r="N3" s="17">
        <v>445949000</v>
      </c>
      <c r="O3" s="17">
        <v>595408000</v>
      </c>
      <c r="P3" s="17">
        <v>640077000</v>
      </c>
      <c r="Q3" s="17">
        <v>613115000</v>
      </c>
      <c r="R3" s="17">
        <v>525343000</v>
      </c>
      <c r="S3" s="17">
        <v>381014000</v>
      </c>
      <c r="T3" s="17">
        <v>267254000</v>
      </c>
      <c r="U3" s="17">
        <v>279371000</v>
      </c>
      <c r="V3" s="17">
        <v>467950000</v>
      </c>
      <c r="W3" s="17">
        <v>237691000</v>
      </c>
      <c r="X3" s="17">
        <v>56353000</v>
      </c>
      <c r="Y3" s="17">
        <v>7070000</v>
      </c>
      <c r="Z3" s="17">
        <v>961000</v>
      </c>
    </row>
    <row r="4" spans="1:27" x14ac:dyDescent="0.35">
      <c r="A4" t="s">
        <v>208</v>
      </c>
      <c r="B4" s="17">
        <v>213197000</v>
      </c>
      <c r="C4" s="17">
        <v>191629000</v>
      </c>
      <c r="D4" s="17">
        <v>149288000</v>
      </c>
      <c r="E4" s="17">
        <v>180485000</v>
      </c>
      <c r="F4" s="17">
        <v>130354000</v>
      </c>
      <c r="G4" s="17"/>
      <c r="H4" s="17"/>
      <c r="I4" s="17">
        <v>135802000</v>
      </c>
      <c r="J4" s="17">
        <v>108253000</v>
      </c>
      <c r="K4" s="17">
        <v>123367000</v>
      </c>
      <c r="L4" s="17">
        <v>172128000</v>
      </c>
      <c r="M4" s="17">
        <v>147565000</v>
      </c>
      <c r="N4" s="17">
        <v>143341000</v>
      </c>
      <c r="O4" s="17">
        <v>267512000</v>
      </c>
      <c r="P4" s="17">
        <v>317144000</v>
      </c>
      <c r="Q4" s="17">
        <v>294348000</v>
      </c>
      <c r="R4" s="17">
        <v>257587000</v>
      </c>
      <c r="S4" s="17">
        <v>145583000</v>
      </c>
      <c r="T4" s="17">
        <v>77343000</v>
      </c>
      <c r="U4" s="17">
        <v>51665000</v>
      </c>
      <c r="V4" s="17">
        <v>36335000</v>
      </c>
      <c r="W4" s="17">
        <v>64981000</v>
      </c>
      <c r="X4" s="17">
        <v>4787000</v>
      </c>
      <c r="Y4" s="17">
        <v>1054000</v>
      </c>
      <c r="Z4" s="17">
        <v>326000</v>
      </c>
    </row>
    <row r="5" spans="1:27" x14ac:dyDescent="0.35">
      <c r="A5" t="s">
        <v>209</v>
      </c>
      <c r="B5" s="17">
        <v>213197000</v>
      </c>
      <c r="C5" s="17">
        <v>191629000</v>
      </c>
      <c r="D5" s="17">
        <v>149288000</v>
      </c>
      <c r="E5" s="17">
        <v>180485000</v>
      </c>
      <c r="F5" s="17">
        <v>130354000</v>
      </c>
      <c r="G5" s="17"/>
      <c r="H5" s="17"/>
      <c r="I5" s="17">
        <v>135802000</v>
      </c>
      <c r="J5" s="17">
        <v>108253000</v>
      </c>
      <c r="K5" s="17">
        <v>123367000</v>
      </c>
      <c r="L5" s="17">
        <v>172128000</v>
      </c>
      <c r="M5" s="17">
        <v>147565000</v>
      </c>
      <c r="N5" s="17">
        <v>143341000</v>
      </c>
      <c r="O5" s="17">
        <v>267512000</v>
      </c>
      <c r="P5" s="17">
        <v>317144000</v>
      </c>
      <c r="Q5" s="17">
        <v>294348000</v>
      </c>
      <c r="R5" s="17">
        <v>257587000</v>
      </c>
      <c r="S5" s="17">
        <v>145583000</v>
      </c>
      <c r="T5" s="17">
        <v>77343000</v>
      </c>
      <c r="U5" s="17">
        <v>51665000</v>
      </c>
      <c r="V5" s="17">
        <v>36335000</v>
      </c>
      <c r="W5" s="17">
        <v>42656000</v>
      </c>
      <c r="X5" s="17">
        <v>4787000</v>
      </c>
      <c r="Y5" s="17">
        <v>1054000</v>
      </c>
      <c r="Z5" s="17">
        <v>326000</v>
      </c>
    </row>
    <row r="6" spans="1:27" x14ac:dyDescent="0.35">
      <c r="A6" t="s">
        <v>210</v>
      </c>
      <c r="W6" s="17">
        <v>22325000</v>
      </c>
    </row>
    <row r="7" spans="1:27" x14ac:dyDescent="0.35">
      <c r="A7" t="s">
        <v>211</v>
      </c>
      <c r="B7" s="17">
        <v>217182000</v>
      </c>
      <c r="C7" s="17">
        <v>329188000</v>
      </c>
      <c r="D7" s="17">
        <v>331231000</v>
      </c>
      <c r="E7" s="17">
        <v>283907000</v>
      </c>
      <c r="F7" s="17">
        <v>333055000</v>
      </c>
      <c r="G7" s="17"/>
      <c r="H7" s="17"/>
      <c r="I7" s="17">
        <v>162520000</v>
      </c>
      <c r="J7" s="17">
        <v>118251000</v>
      </c>
      <c r="K7" s="17">
        <v>108371000</v>
      </c>
      <c r="L7" s="17">
        <v>97834000</v>
      </c>
      <c r="M7" s="17">
        <v>95934000</v>
      </c>
      <c r="N7" s="17">
        <v>108082000</v>
      </c>
      <c r="O7" s="17">
        <v>122538000</v>
      </c>
      <c r="P7" s="17">
        <v>126977000</v>
      </c>
      <c r="Q7" s="17">
        <v>122712000</v>
      </c>
      <c r="R7" s="17">
        <v>110883000</v>
      </c>
      <c r="S7" s="17">
        <v>84959000</v>
      </c>
      <c r="T7" s="17">
        <v>75209000</v>
      </c>
      <c r="U7" s="17">
        <v>64364000</v>
      </c>
      <c r="V7" s="17">
        <v>152919000</v>
      </c>
      <c r="W7" s="17">
        <v>65588000</v>
      </c>
      <c r="X7" s="17">
        <v>18030000</v>
      </c>
      <c r="Y7" s="17">
        <v>3252000</v>
      </c>
      <c r="Z7" s="17">
        <v>178000</v>
      </c>
    </row>
    <row r="8" spans="1:27" x14ac:dyDescent="0.35">
      <c r="A8" t="s">
        <v>212</v>
      </c>
      <c r="B8" s="17">
        <v>182629000</v>
      </c>
      <c r="C8" s="17">
        <v>295594000</v>
      </c>
      <c r="D8" s="17">
        <v>305747000</v>
      </c>
      <c r="E8" s="17">
        <v>257657000</v>
      </c>
      <c r="F8" s="17">
        <v>278191000</v>
      </c>
      <c r="G8" s="17"/>
      <c r="H8" s="17"/>
      <c r="I8" s="17">
        <v>149847000</v>
      </c>
      <c r="J8" s="17">
        <v>108199000</v>
      </c>
      <c r="K8" s="17">
        <v>97627000</v>
      </c>
      <c r="L8" s="17">
        <v>83518000</v>
      </c>
      <c r="M8" s="17">
        <v>78297000</v>
      </c>
      <c r="N8" s="17">
        <v>83616000</v>
      </c>
      <c r="O8" s="17">
        <v>101217000</v>
      </c>
      <c r="P8" s="17">
        <v>104405000</v>
      </c>
      <c r="Q8" s="17">
        <v>92278000</v>
      </c>
      <c r="R8" s="17">
        <v>84760000</v>
      </c>
      <c r="S8" s="17">
        <v>64260000</v>
      </c>
      <c r="T8" s="17">
        <v>50458000</v>
      </c>
      <c r="U8" s="17">
        <v>35305000</v>
      </c>
      <c r="V8" s="17">
        <v>152919000</v>
      </c>
      <c r="W8" s="17">
        <v>65588000</v>
      </c>
      <c r="X8" s="17">
        <v>18030000</v>
      </c>
      <c r="Y8" s="17">
        <v>3252000</v>
      </c>
      <c r="Z8" s="17">
        <v>178000</v>
      </c>
    </row>
    <row r="9" spans="1:27" x14ac:dyDescent="0.35">
      <c r="A9" t="s">
        <v>213</v>
      </c>
      <c r="B9" s="17">
        <v>203344000</v>
      </c>
      <c r="C9" s="17">
        <v>320087000</v>
      </c>
      <c r="D9" s="17">
        <v>333338000</v>
      </c>
      <c r="E9" s="17">
        <v>289236000</v>
      </c>
      <c r="F9" s="17">
        <v>306327000</v>
      </c>
      <c r="G9" s="17"/>
      <c r="H9" s="17"/>
      <c r="I9" s="17">
        <v>170940000</v>
      </c>
      <c r="J9" s="17">
        <v>126996000</v>
      </c>
      <c r="K9" s="17">
        <v>118104000</v>
      </c>
      <c r="L9" s="17">
        <v>114907000</v>
      </c>
      <c r="M9" s="17">
        <v>126435000</v>
      </c>
      <c r="N9" s="17">
        <v>132980000</v>
      </c>
      <c r="O9" s="17">
        <v>133609000</v>
      </c>
      <c r="P9" s="17">
        <v>114918000</v>
      </c>
      <c r="Q9" s="17">
        <v>105593000</v>
      </c>
      <c r="R9" s="17">
        <v>100268000</v>
      </c>
    </row>
    <row r="10" spans="1:27" x14ac:dyDescent="0.35">
      <c r="A10" t="s">
        <v>214</v>
      </c>
      <c r="B10" s="17">
        <v>-20715000</v>
      </c>
      <c r="C10" s="17">
        <v>-24493000</v>
      </c>
      <c r="D10" s="17">
        <v>-27591000</v>
      </c>
      <c r="E10" s="17">
        <v>-31579000</v>
      </c>
      <c r="F10" s="17">
        <v>-28136000</v>
      </c>
      <c r="G10" s="17"/>
      <c r="H10" s="17"/>
      <c r="I10" s="17">
        <v>-21093000</v>
      </c>
      <c r="J10" s="17">
        <v>-18797000</v>
      </c>
      <c r="K10" s="17">
        <v>-20477000</v>
      </c>
      <c r="L10" s="17">
        <v>-31389000</v>
      </c>
      <c r="M10" s="17">
        <v>-48138000</v>
      </c>
      <c r="N10" s="17">
        <v>-49364000</v>
      </c>
      <c r="O10" s="17">
        <v>-32392000</v>
      </c>
      <c r="P10" s="17">
        <v>-10513000</v>
      </c>
      <c r="Q10" s="17">
        <v>-13315000</v>
      </c>
      <c r="R10" s="17">
        <v>-15508000</v>
      </c>
    </row>
    <row r="11" spans="1:27" x14ac:dyDescent="0.35">
      <c r="A11" t="s">
        <v>215</v>
      </c>
      <c r="B11" s="17">
        <v>22301000</v>
      </c>
      <c r="C11" s="17">
        <v>14752000</v>
      </c>
      <c r="D11" s="17">
        <v>4413000</v>
      </c>
      <c r="E11" s="17">
        <v>4046000</v>
      </c>
      <c r="F11" s="17">
        <v>32782000</v>
      </c>
      <c r="G11" s="17"/>
      <c r="H11" s="17"/>
      <c r="I11" s="17">
        <v>1857000</v>
      </c>
      <c r="J11" s="17">
        <v>1341000</v>
      </c>
      <c r="K11" s="17">
        <v>3041000</v>
      </c>
      <c r="L11" s="17">
        <v>3652000</v>
      </c>
      <c r="M11" s="17">
        <v>2995000</v>
      </c>
      <c r="N11" s="17">
        <v>10233000</v>
      </c>
      <c r="O11" s="17">
        <v>9332000</v>
      </c>
      <c r="P11" s="17">
        <v>10630000</v>
      </c>
      <c r="Q11" s="17">
        <v>5613000</v>
      </c>
      <c r="R11" s="17">
        <v>5828000</v>
      </c>
      <c r="S11" s="17">
        <v>9062000</v>
      </c>
      <c r="T11" s="17">
        <v>8611000</v>
      </c>
      <c r="U11" s="17">
        <v>24417000</v>
      </c>
    </row>
    <row r="12" spans="1:27" x14ac:dyDescent="0.35">
      <c r="A12" t="s">
        <v>216</v>
      </c>
      <c r="B12" s="17">
        <v>12252000</v>
      </c>
      <c r="C12" s="17">
        <v>18842000</v>
      </c>
      <c r="D12" s="17">
        <v>21071000</v>
      </c>
      <c r="E12" s="17">
        <v>22204000</v>
      </c>
      <c r="F12" s="17">
        <v>22082000</v>
      </c>
      <c r="G12" s="17"/>
      <c r="H12" s="17"/>
      <c r="I12" s="17">
        <v>10816000</v>
      </c>
      <c r="J12" s="17">
        <v>8711000</v>
      </c>
      <c r="K12" s="17">
        <v>7703000</v>
      </c>
      <c r="L12" s="17">
        <v>10664000</v>
      </c>
      <c r="M12" s="17">
        <v>14642000</v>
      </c>
      <c r="N12" s="17">
        <v>14233000</v>
      </c>
      <c r="O12" s="17">
        <v>11989000</v>
      </c>
      <c r="P12" s="17">
        <v>11942000</v>
      </c>
      <c r="Q12" s="17">
        <v>24821000</v>
      </c>
      <c r="R12" s="17">
        <v>20295000</v>
      </c>
      <c r="S12" s="17">
        <v>11637000</v>
      </c>
      <c r="T12" s="17">
        <v>16140000</v>
      </c>
      <c r="U12" s="17">
        <v>4642000</v>
      </c>
    </row>
    <row r="13" spans="1:27" x14ac:dyDescent="0.35">
      <c r="A13" t="s">
        <v>217</v>
      </c>
      <c r="B13" s="17">
        <v>213520000</v>
      </c>
      <c r="C13" s="17">
        <v>471551000</v>
      </c>
      <c r="D13" s="17">
        <v>385054000</v>
      </c>
      <c r="E13" s="17">
        <v>356254000</v>
      </c>
      <c r="F13" s="17">
        <v>368687000</v>
      </c>
      <c r="G13" s="17"/>
      <c r="H13" s="17"/>
      <c r="I13" s="17">
        <v>175121000</v>
      </c>
      <c r="J13" s="17">
        <v>172028000</v>
      </c>
      <c r="K13" s="17">
        <v>124491000</v>
      </c>
      <c r="L13" s="17">
        <v>130347000</v>
      </c>
      <c r="M13" s="17">
        <v>147029000</v>
      </c>
      <c r="N13" s="17">
        <v>168192000</v>
      </c>
      <c r="O13" s="17">
        <v>171012000</v>
      </c>
      <c r="P13" s="17">
        <v>162341000</v>
      </c>
      <c r="Q13" s="17">
        <v>164804000</v>
      </c>
      <c r="R13" s="17">
        <v>129627000</v>
      </c>
      <c r="S13" s="17">
        <v>121155000</v>
      </c>
      <c r="T13" s="17">
        <v>93329000</v>
      </c>
      <c r="U13" s="17">
        <v>143205000</v>
      </c>
      <c r="V13" s="17">
        <v>248391000</v>
      </c>
      <c r="W13" s="17">
        <v>86210000</v>
      </c>
      <c r="X13" s="17">
        <v>28494000</v>
      </c>
      <c r="Y13" s="17">
        <v>2414000</v>
      </c>
      <c r="Z13" s="17">
        <v>448000</v>
      </c>
    </row>
    <row r="14" spans="1:27" x14ac:dyDescent="0.35">
      <c r="A14" t="s">
        <v>218</v>
      </c>
      <c r="M14" s="17">
        <v>4042000</v>
      </c>
      <c r="N14" s="17">
        <v>4933000</v>
      </c>
      <c r="O14" s="17">
        <v>2794000</v>
      </c>
      <c r="P14" s="17">
        <v>7384000</v>
      </c>
      <c r="Q14" s="17">
        <v>8060000</v>
      </c>
      <c r="R14" s="17">
        <v>5133000</v>
      </c>
      <c r="S14" s="17">
        <v>9773000</v>
      </c>
      <c r="T14" s="17">
        <v>4334000</v>
      </c>
      <c r="U14" s="17">
        <v>16943000</v>
      </c>
      <c r="V14" s="17">
        <v>20387000</v>
      </c>
      <c r="W14" s="17">
        <v>6827000</v>
      </c>
      <c r="X14" s="17">
        <v>3039000</v>
      </c>
      <c r="Y14" s="17">
        <v>1120000</v>
      </c>
    </row>
    <row r="15" spans="1:27" x14ac:dyDescent="0.35">
      <c r="A15" t="s">
        <v>219</v>
      </c>
      <c r="M15" s="17">
        <v>654000</v>
      </c>
      <c r="N15" s="17">
        <v>918000</v>
      </c>
      <c r="O15" s="17">
        <v>703000</v>
      </c>
      <c r="P15" s="17">
        <v>685000</v>
      </c>
      <c r="Q15" s="17">
        <v>911000</v>
      </c>
      <c r="R15" s="17">
        <v>291000</v>
      </c>
      <c r="S15" s="17">
        <v>248000</v>
      </c>
      <c r="T15" s="17">
        <v>220000</v>
      </c>
      <c r="U15" s="17">
        <v>184000</v>
      </c>
      <c r="V15" s="17">
        <v>3346000</v>
      </c>
      <c r="W15" s="17">
        <v>445000</v>
      </c>
      <c r="X15" s="17">
        <v>6000</v>
      </c>
      <c r="Y15" s="17">
        <v>35000</v>
      </c>
    </row>
    <row r="16" spans="1:27" x14ac:dyDescent="0.35">
      <c r="A16" t="s">
        <v>220</v>
      </c>
      <c r="B16" s="17">
        <v>213520000</v>
      </c>
      <c r="C16" s="17">
        <v>471551000</v>
      </c>
      <c r="D16" s="17">
        <v>385054000</v>
      </c>
      <c r="E16" s="17">
        <v>356254000</v>
      </c>
      <c r="F16" s="17">
        <v>368687000</v>
      </c>
      <c r="J16" s="17">
        <v>172028000</v>
      </c>
      <c r="K16" s="17">
        <v>124491000</v>
      </c>
      <c r="M16" s="17">
        <v>142333000</v>
      </c>
      <c r="N16" s="17">
        <v>162341000</v>
      </c>
      <c r="O16" s="17">
        <v>167515000</v>
      </c>
      <c r="P16" s="17">
        <v>154272000</v>
      </c>
      <c r="Q16" s="17">
        <v>155833000</v>
      </c>
      <c r="R16" s="17">
        <v>124203000</v>
      </c>
      <c r="S16" s="17">
        <v>111134000</v>
      </c>
      <c r="T16" s="17">
        <v>88775000</v>
      </c>
      <c r="U16" s="17">
        <v>126078000</v>
      </c>
      <c r="V16" s="17">
        <v>224658000</v>
      </c>
      <c r="W16" s="17">
        <v>78938000</v>
      </c>
      <c r="X16" s="17">
        <v>25449000</v>
      </c>
      <c r="Y16" s="17">
        <v>1259000</v>
      </c>
      <c r="Z16" s="17">
        <v>448000</v>
      </c>
    </row>
    <row r="17" spans="1:26" x14ac:dyDescent="0.35">
      <c r="A17" t="s">
        <v>221</v>
      </c>
      <c r="B17" s="17">
        <v>22605000</v>
      </c>
      <c r="I17" s="17">
        <v>17856000</v>
      </c>
      <c r="J17" s="17">
        <v>25350000</v>
      </c>
      <c r="K17" s="17">
        <v>22123000</v>
      </c>
      <c r="L17" s="17">
        <v>22596000</v>
      </c>
      <c r="M17" s="17">
        <v>32413000</v>
      </c>
      <c r="N17" s="17">
        <v>23780000</v>
      </c>
      <c r="O17" s="17">
        <v>30156000</v>
      </c>
      <c r="P17" s="17">
        <v>29175000</v>
      </c>
      <c r="Q17" s="17">
        <v>24967000</v>
      </c>
      <c r="R17" s="17">
        <v>20199000</v>
      </c>
      <c r="S17" s="17">
        <v>13429000</v>
      </c>
      <c r="T17" s="17">
        <v>14015000</v>
      </c>
      <c r="U17" s="17">
        <v>8773000</v>
      </c>
      <c r="V17" s="17">
        <v>17865000</v>
      </c>
      <c r="W17" s="17">
        <v>14332000</v>
      </c>
      <c r="X17" s="17">
        <v>3103000</v>
      </c>
      <c r="Y17" s="17">
        <v>350000</v>
      </c>
      <c r="Z17" s="17">
        <v>9000</v>
      </c>
    </row>
    <row r="18" spans="1:26" x14ac:dyDescent="0.35">
      <c r="A18" t="s">
        <v>222</v>
      </c>
      <c r="B18" s="17">
        <v>65000</v>
      </c>
      <c r="C18" s="17">
        <v>2000</v>
      </c>
      <c r="D18" s="17">
        <v>2000</v>
      </c>
      <c r="E18">
        <v>0</v>
      </c>
      <c r="I18" s="17">
        <v>1542000</v>
      </c>
      <c r="J18" s="17">
        <v>1500000</v>
      </c>
      <c r="K18" s="17">
        <v>1946000</v>
      </c>
      <c r="L18" s="17">
        <v>2144000</v>
      </c>
      <c r="M18" s="17">
        <v>2534000</v>
      </c>
      <c r="N18" s="17">
        <v>2554000</v>
      </c>
      <c r="T18" s="17">
        <v>1144000</v>
      </c>
      <c r="U18">
        <v>0</v>
      </c>
      <c r="V18" s="17">
        <v>300000</v>
      </c>
      <c r="W18" s="17">
        <v>2890000</v>
      </c>
    </row>
    <row r="19" spans="1:26" x14ac:dyDescent="0.35">
      <c r="A19" t="s">
        <v>223</v>
      </c>
      <c r="O19" s="17">
        <v>4190000</v>
      </c>
      <c r="P19" s="17">
        <v>4440000</v>
      </c>
      <c r="Q19" s="17">
        <v>6284000</v>
      </c>
      <c r="R19" s="17">
        <v>7047000</v>
      </c>
      <c r="S19" s="17">
        <v>15888000</v>
      </c>
      <c r="T19" s="17">
        <v>7358000</v>
      </c>
      <c r="U19" s="17">
        <v>11364000</v>
      </c>
      <c r="V19" s="17">
        <v>12140000</v>
      </c>
      <c r="W19" s="17">
        <v>3690000</v>
      </c>
      <c r="X19" s="17">
        <v>1939000</v>
      </c>
    </row>
    <row r="20" spans="1:26" x14ac:dyDescent="0.35">
      <c r="A20" t="s">
        <v>224</v>
      </c>
      <c r="O20" s="17">
        <v>4190000</v>
      </c>
      <c r="P20" s="17">
        <v>4440000</v>
      </c>
      <c r="Q20" s="17">
        <v>6284000</v>
      </c>
      <c r="R20" s="17">
        <v>7047000</v>
      </c>
      <c r="S20" s="17">
        <v>15888000</v>
      </c>
      <c r="T20" s="17">
        <v>7358000</v>
      </c>
      <c r="U20" s="17">
        <v>11364000</v>
      </c>
      <c r="V20" s="17">
        <v>12140000</v>
      </c>
      <c r="W20" s="17">
        <v>3690000</v>
      </c>
      <c r="X20" s="17">
        <v>1939000</v>
      </c>
    </row>
    <row r="21" spans="1:26" x14ac:dyDescent="0.35">
      <c r="A21" t="s">
        <v>225</v>
      </c>
      <c r="B21" s="17">
        <v>22605000</v>
      </c>
      <c r="C21" s="17">
        <v>33605000</v>
      </c>
      <c r="D21" s="17">
        <v>45129000</v>
      </c>
      <c r="E21" s="17">
        <v>51623000</v>
      </c>
      <c r="F21" s="17">
        <v>53787000</v>
      </c>
      <c r="G21" s="17"/>
      <c r="H21" s="17"/>
      <c r="I21" s="17">
        <v>17856000</v>
      </c>
      <c r="J21" s="17">
        <v>25350000</v>
      </c>
      <c r="K21" s="17">
        <v>22123000</v>
      </c>
      <c r="L21" s="17">
        <v>22596000</v>
      </c>
      <c r="M21" s="17">
        <v>32413000</v>
      </c>
      <c r="N21" s="17">
        <v>23780000</v>
      </c>
      <c r="O21" s="17">
        <v>30156000</v>
      </c>
      <c r="P21" s="17">
        <v>29175000</v>
      </c>
      <c r="Q21" s="17">
        <v>24967000</v>
      </c>
      <c r="R21" s="17">
        <v>20199000</v>
      </c>
    </row>
    <row r="22" spans="1:26" x14ac:dyDescent="0.35">
      <c r="A22" t="s">
        <v>226</v>
      </c>
      <c r="B22" s="17">
        <v>878499000</v>
      </c>
      <c r="C22" s="17">
        <v>3475822000</v>
      </c>
      <c r="D22" s="17">
        <v>3733130000</v>
      </c>
      <c r="E22" s="17">
        <v>3939884000</v>
      </c>
      <c r="F22" s="17">
        <v>3288867000</v>
      </c>
      <c r="G22" s="17"/>
      <c r="H22" s="17"/>
      <c r="I22" s="17">
        <v>625882000</v>
      </c>
      <c r="J22" s="17">
        <v>313420000</v>
      </c>
      <c r="K22" s="17">
        <v>88603000</v>
      </c>
      <c r="L22" s="17">
        <v>118646000</v>
      </c>
      <c r="M22" s="17">
        <v>140915000</v>
      </c>
      <c r="N22" s="17">
        <v>162071000</v>
      </c>
      <c r="O22" s="17">
        <v>211523000</v>
      </c>
      <c r="P22" s="17">
        <v>235082000</v>
      </c>
      <c r="Q22" s="17">
        <v>216523000</v>
      </c>
      <c r="R22" s="17">
        <v>170110000</v>
      </c>
      <c r="S22" s="17">
        <v>168467000</v>
      </c>
      <c r="T22" s="17">
        <v>142484000</v>
      </c>
      <c r="U22" s="17">
        <v>176628000</v>
      </c>
      <c r="V22" s="17">
        <v>159475000</v>
      </c>
      <c r="W22" s="17">
        <v>61766000</v>
      </c>
      <c r="X22" s="17">
        <v>21679000</v>
      </c>
      <c r="Y22" s="17">
        <v>9154000</v>
      </c>
      <c r="Z22" s="17">
        <v>343000</v>
      </c>
    </row>
    <row r="23" spans="1:26" x14ac:dyDescent="0.35">
      <c r="A23" t="s">
        <v>227</v>
      </c>
      <c r="B23" s="17">
        <v>269166000</v>
      </c>
      <c r="C23" s="17">
        <v>421434000</v>
      </c>
      <c r="D23" s="17">
        <v>525755000</v>
      </c>
      <c r="E23" s="17">
        <v>551563000</v>
      </c>
      <c r="F23" s="17">
        <v>576860000</v>
      </c>
      <c r="G23" s="17"/>
      <c r="H23" s="17"/>
      <c r="I23" s="17">
        <v>224888000</v>
      </c>
      <c r="J23" s="17">
        <v>229633000</v>
      </c>
      <c r="K23" s="17">
        <v>22211000</v>
      </c>
      <c r="L23" s="17">
        <v>35032000</v>
      </c>
      <c r="M23" s="17">
        <v>44090000</v>
      </c>
      <c r="N23" s="17">
        <v>49490000</v>
      </c>
      <c r="O23" s="17">
        <v>68288000</v>
      </c>
      <c r="P23" s="17">
        <v>86971000</v>
      </c>
      <c r="Q23" s="17">
        <v>82241000</v>
      </c>
      <c r="R23" s="17">
        <v>67684000</v>
      </c>
      <c r="S23" s="17">
        <v>70014000</v>
      </c>
      <c r="T23" s="17">
        <v>71084000</v>
      </c>
      <c r="U23" s="17">
        <v>95892000</v>
      </c>
      <c r="V23" s="17">
        <v>88184000</v>
      </c>
      <c r="W23" s="17">
        <v>34849000</v>
      </c>
      <c r="X23" s="17">
        <v>14765000</v>
      </c>
      <c r="Y23" s="17">
        <v>3726000</v>
      </c>
      <c r="Z23" s="17">
        <v>318000</v>
      </c>
    </row>
    <row r="24" spans="1:26" x14ac:dyDescent="0.35">
      <c r="A24" t="s">
        <v>228</v>
      </c>
      <c r="B24" s="17">
        <v>352911000</v>
      </c>
      <c r="C24" s="17">
        <v>518570000</v>
      </c>
      <c r="D24" s="17">
        <v>646265000</v>
      </c>
      <c r="E24" s="17">
        <v>705018000</v>
      </c>
      <c r="F24" s="17">
        <v>786733000</v>
      </c>
      <c r="G24" s="17"/>
      <c r="H24" s="17"/>
      <c r="I24" s="17">
        <v>311193000</v>
      </c>
      <c r="J24" s="17">
        <v>309237000</v>
      </c>
      <c r="K24" s="17">
        <v>103167000</v>
      </c>
      <c r="L24" s="17">
        <v>126838000</v>
      </c>
      <c r="M24" s="17">
        <v>132693000</v>
      </c>
      <c r="N24" s="17">
        <v>147140000</v>
      </c>
      <c r="O24" s="17">
        <v>168087000</v>
      </c>
      <c r="P24" s="17">
        <v>185122000</v>
      </c>
      <c r="Q24" s="17">
        <v>186959000</v>
      </c>
      <c r="R24" s="17">
        <v>157441000</v>
      </c>
      <c r="S24" s="17">
        <v>144970000</v>
      </c>
      <c r="T24" s="17">
        <v>121169000</v>
      </c>
      <c r="U24" s="17">
        <v>141323000</v>
      </c>
      <c r="V24" s="17">
        <v>115371000</v>
      </c>
      <c r="W24" s="17">
        <v>43724000</v>
      </c>
      <c r="X24" s="17">
        <v>17454000</v>
      </c>
      <c r="Y24" s="17">
        <v>4261000</v>
      </c>
      <c r="Z24" s="17">
        <v>401000</v>
      </c>
    </row>
    <row r="25" spans="1:26" x14ac:dyDescent="0.35">
      <c r="A25" t="s">
        <v>229</v>
      </c>
      <c r="B25">
        <v>0</v>
      </c>
      <c r="C25">
        <v>0</v>
      </c>
      <c r="D25">
        <v>0</v>
      </c>
      <c r="E25">
        <v>0</v>
      </c>
      <c r="F25">
        <v>0</v>
      </c>
      <c r="I25">
        <v>0</v>
      </c>
      <c r="J25">
        <v>0</v>
      </c>
      <c r="K25">
        <v>0</v>
      </c>
      <c r="L25">
        <v>0</v>
      </c>
      <c r="M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</row>
    <row r="26" spans="1:26" x14ac:dyDescent="0.35">
      <c r="A26" t="s">
        <v>230</v>
      </c>
      <c r="U26" s="17">
        <v>32771000</v>
      </c>
      <c r="V26" s="17">
        <v>12322000</v>
      </c>
      <c r="W26" s="17">
        <v>3529000</v>
      </c>
      <c r="X26" s="17">
        <v>664000</v>
      </c>
      <c r="Y26" s="17">
        <v>26000</v>
      </c>
    </row>
    <row r="27" spans="1:26" x14ac:dyDescent="0.35">
      <c r="A27" t="s">
        <v>231</v>
      </c>
      <c r="B27" s="17">
        <v>74186000</v>
      </c>
      <c r="C27" s="17">
        <v>173603000</v>
      </c>
      <c r="D27" s="17">
        <v>196275000</v>
      </c>
      <c r="E27" s="17">
        <v>230836000</v>
      </c>
      <c r="F27" s="17">
        <v>254467000</v>
      </c>
      <c r="I27" s="17">
        <v>68924000</v>
      </c>
      <c r="J27" s="17">
        <v>58772000</v>
      </c>
      <c r="K27" s="17">
        <v>36833000</v>
      </c>
      <c r="L27" s="17">
        <v>52885000</v>
      </c>
      <c r="M27" s="17">
        <v>52521000</v>
      </c>
      <c r="O27" s="17">
        <v>72807000</v>
      </c>
      <c r="P27" s="17">
        <v>75656000</v>
      </c>
      <c r="Q27" s="17">
        <v>89540000</v>
      </c>
      <c r="R27" s="17">
        <v>84201000</v>
      </c>
      <c r="S27" s="17">
        <v>87549000</v>
      </c>
      <c r="T27" s="17">
        <v>77988000</v>
      </c>
      <c r="U27" s="17">
        <v>108552000</v>
      </c>
      <c r="V27" s="17">
        <v>103049000</v>
      </c>
      <c r="W27" s="17">
        <v>40195000</v>
      </c>
      <c r="X27" s="17">
        <v>16790000</v>
      </c>
      <c r="Y27" s="17">
        <v>4235000</v>
      </c>
      <c r="Z27" s="17">
        <v>401000</v>
      </c>
    </row>
    <row r="28" spans="1:26" x14ac:dyDescent="0.35">
      <c r="A28" t="s">
        <v>232</v>
      </c>
      <c r="B28" s="17">
        <v>160768000</v>
      </c>
      <c r="C28" s="17">
        <v>239905000</v>
      </c>
      <c r="D28" s="17">
        <v>287440000</v>
      </c>
      <c r="E28" s="17">
        <v>307228000</v>
      </c>
      <c r="F28" s="17">
        <v>338669000</v>
      </c>
      <c r="G28" s="17"/>
      <c r="H28" s="17"/>
      <c r="I28" s="17">
        <v>167421000</v>
      </c>
      <c r="J28" s="17">
        <v>182228000</v>
      </c>
      <c r="N28" s="17">
        <v>147140000</v>
      </c>
    </row>
    <row r="29" spans="1:26" x14ac:dyDescent="0.35">
      <c r="A29" t="s">
        <v>233</v>
      </c>
      <c r="B29" s="17">
        <v>53332000</v>
      </c>
      <c r="C29" s="17">
        <v>28699000</v>
      </c>
      <c r="D29" s="17">
        <v>13418000</v>
      </c>
      <c r="E29" s="17">
        <v>10863000</v>
      </c>
      <c r="F29" s="17">
        <v>3161000</v>
      </c>
      <c r="I29" s="17">
        <v>8187000</v>
      </c>
      <c r="J29" s="17">
        <v>3697000</v>
      </c>
      <c r="K29" s="17">
        <v>2632000</v>
      </c>
      <c r="L29" s="17">
        <v>992000</v>
      </c>
      <c r="M29" s="17">
        <v>6809000</v>
      </c>
      <c r="O29" s="17">
        <v>3318000</v>
      </c>
      <c r="P29" s="17">
        <v>16231000</v>
      </c>
      <c r="Q29" s="17">
        <v>8766000</v>
      </c>
      <c r="R29" s="17">
        <v>7902000</v>
      </c>
      <c r="S29" s="17">
        <v>7902000</v>
      </c>
      <c r="T29" s="17">
        <v>8422000</v>
      </c>
    </row>
    <row r="30" spans="1:26" x14ac:dyDescent="0.35">
      <c r="A30" t="s">
        <v>234</v>
      </c>
      <c r="B30" s="17">
        <v>64625000</v>
      </c>
      <c r="C30" s="17">
        <v>76363000</v>
      </c>
      <c r="D30" s="17">
        <v>149132000</v>
      </c>
      <c r="E30" s="17">
        <v>156091000</v>
      </c>
      <c r="F30" s="17">
        <v>190436000</v>
      </c>
      <c r="I30" s="17">
        <v>66661000</v>
      </c>
      <c r="J30" s="17">
        <v>64540000</v>
      </c>
      <c r="K30" s="17">
        <v>63702000</v>
      </c>
      <c r="L30" s="17">
        <v>72961000</v>
      </c>
      <c r="M30" s="17">
        <v>73363000</v>
      </c>
      <c r="O30" s="17">
        <v>91962000</v>
      </c>
      <c r="P30" s="17">
        <v>93235000</v>
      </c>
      <c r="Q30" s="17">
        <v>88653000</v>
      </c>
      <c r="R30" s="17">
        <v>65338000</v>
      </c>
      <c r="S30" s="17">
        <v>49519000</v>
      </c>
      <c r="T30" s="17">
        <v>34759000</v>
      </c>
      <c r="U30" s="17">
        <v>32771000</v>
      </c>
    </row>
    <row r="31" spans="1:26" x14ac:dyDescent="0.35">
      <c r="A31" t="s">
        <v>235</v>
      </c>
      <c r="B31" s="17">
        <v>-83745000</v>
      </c>
      <c r="C31" s="17">
        <v>-97136000</v>
      </c>
      <c r="D31" s="17">
        <v>-120510000</v>
      </c>
      <c r="E31" s="17">
        <v>-153455000</v>
      </c>
      <c r="F31" s="17">
        <v>-209873000</v>
      </c>
      <c r="G31" s="17"/>
      <c r="H31" s="17"/>
      <c r="I31" s="17">
        <v>-86305000</v>
      </c>
      <c r="J31" s="17">
        <v>-79604000</v>
      </c>
      <c r="K31" s="17">
        <v>-80956000</v>
      </c>
      <c r="L31" s="17">
        <v>-91806000</v>
      </c>
      <c r="M31" s="17">
        <v>-88603000</v>
      </c>
      <c r="N31" s="17">
        <v>-97650000</v>
      </c>
      <c r="O31" s="17">
        <v>-99799000</v>
      </c>
      <c r="P31" s="17">
        <v>-98151000</v>
      </c>
      <c r="Q31" s="17">
        <v>-104718000</v>
      </c>
      <c r="R31" s="17">
        <v>-89757000</v>
      </c>
      <c r="S31" s="17">
        <v>-74956000</v>
      </c>
      <c r="T31" s="17">
        <v>-50085000</v>
      </c>
      <c r="U31" s="17">
        <v>-45431000</v>
      </c>
      <c r="V31" s="17">
        <v>-27187000</v>
      </c>
      <c r="W31" s="17">
        <v>-8875000</v>
      </c>
      <c r="X31" s="17">
        <v>-2689000</v>
      </c>
      <c r="Y31" s="17">
        <v>-535000</v>
      </c>
      <c r="Z31" s="17">
        <v>-83000</v>
      </c>
    </row>
    <row r="32" spans="1:26" x14ac:dyDescent="0.35">
      <c r="A32" t="s">
        <v>236</v>
      </c>
      <c r="B32" s="17">
        <v>30402000</v>
      </c>
      <c r="C32" s="17">
        <v>2514981000</v>
      </c>
      <c r="D32" s="17">
        <v>2504150000</v>
      </c>
      <c r="E32" s="17">
        <v>2488571000</v>
      </c>
      <c r="F32" s="17">
        <v>1729369000</v>
      </c>
      <c r="G32" s="17"/>
      <c r="H32" s="17"/>
      <c r="I32" s="17">
        <v>39355000</v>
      </c>
      <c r="J32" s="17">
        <v>48673000</v>
      </c>
      <c r="K32" s="17">
        <v>47304000</v>
      </c>
      <c r="L32" s="17">
        <v>58115000</v>
      </c>
      <c r="M32" s="17">
        <v>74180000</v>
      </c>
      <c r="N32" s="17">
        <v>84270000</v>
      </c>
      <c r="O32" s="17">
        <v>99381000</v>
      </c>
      <c r="P32" s="17">
        <v>74822000</v>
      </c>
      <c r="Q32" s="17">
        <v>59931000</v>
      </c>
      <c r="R32" s="17">
        <v>48641000</v>
      </c>
      <c r="S32" s="17">
        <v>45461000</v>
      </c>
      <c r="T32" s="17">
        <v>35984000</v>
      </c>
      <c r="U32" s="17">
        <v>40892000</v>
      </c>
      <c r="V32" s="17">
        <v>55393000</v>
      </c>
      <c r="W32" s="17">
        <v>23762000</v>
      </c>
      <c r="X32" s="17">
        <v>5647000</v>
      </c>
      <c r="Y32" s="17">
        <v>5428000</v>
      </c>
      <c r="Z32" s="17">
        <v>10000</v>
      </c>
    </row>
    <row r="33" spans="1:27" x14ac:dyDescent="0.35">
      <c r="A33" t="s">
        <v>237</v>
      </c>
      <c r="B33" s="17">
        <v>1600000</v>
      </c>
      <c r="C33" s="17">
        <v>714814000</v>
      </c>
      <c r="D33" s="17">
        <v>711588000</v>
      </c>
      <c r="E33" s="17">
        <v>711491000</v>
      </c>
      <c r="F33" s="17">
        <v>404689000</v>
      </c>
      <c r="G33" s="17"/>
      <c r="H33" s="17"/>
      <c r="I33" s="17">
        <v>1719000</v>
      </c>
      <c r="J33" s="17">
        <v>1578000</v>
      </c>
      <c r="K33" s="17">
        <v>1614000</v>
      </c>
      <c r="L33" s="17">
        <v>1688000</v>
      </c>
      <c r="M33" s="17">
        <v>1480000</v>
      </c>
      <c r="N33" s="17">
        <v>1973000</v>
      </c>
      <c r="O33" s="17">
        <v>2044000</v>
      </c>
      <c r="P33" s="17">
        <v>2508000</v>
      </c>
      <c r="Q33" s="17">
        <v>2729000</v>
      </c>
      <c r="R33">
        <v>0</v>
      </c>
      <c r="V33" s="17">
        <v>23759000</v>
      </c>
      <c r="W33" s="17">
        <v>11552000</v>
      </c>
    </row>
    <row r="34" spans="1:27" x14ac:dyDescent="0.35">
      <c r="A34" t="s">
        <v>238</v>
      </c>
      <c r="B34" s="17">
        <v>28802000</v>
      </c>
      <c r="C34" s="17">
        <v>1800167000</v>
      </c>
      <c r="D34" s="17">
        <v>1792562000</v>
      </c>
      <c r="E34" s="17">
        <v>1777080000</v>
      </c>
      <c r="F34" s="17">
        <v>1324680000</v>
      </c>
      <c r="G34" s="17"/>
      <c r="H34" s="17"/>
      <c r="I34" s="17">
        <v>37636000</v>
      </c>
      <c r="J34" s="17">
        <v>47095000</v>
      </c>
      <c r="K34" s="17">
        <v>45690000</v>
      </c>
      <c r="L34" s="17">
        <v>56427000</v>
      </c>
      <c r="M34" s="17">
        <v>72700000</v>
      </c>
      <c r="N34" s="17">
        <v>82297000</v>
      </c>
      <c r="O34" s="17">
        <v>97337000</v>
      </c>
      <c r="P34" s="17">
        <v>72314000</v>
      </c>
      <c r="Q34" s="17">
        <v>57202000</v>
      </c>
      <c r="R34" s="17">
        <v>48641000</v>
      </c>
      <c r="S34" s="17">
        <v>45461000</v>
      </c>
      <c r="T34" s="17">
        <v>35984000</v>
      </c>
      <c r="U34" s="17">
        <v>40892000</v>
      </c>
      <c r="V34" s="17">
        <v>31634000</v>
      </c>
      <c r="W34" s="17">
        <v>12210000</v>
      </c>
      <c r="X34" s="17">
        <v>5647000</v>
      </c>
      <c r="Y34" s="17">
        <v>5428000</v>
      </c>
      <c r="Z34" s="17">
        <v>10000</v>
      </c>
    </row>
    <row r="35" spans="1:27" x14ac:dyDescent="0.35">
      <c r="A35" t="s">
        <v>239</v>
      </c>
      <c r="B35" s="17">
        <v>567201000</v>
      </c>
      <c r="C35" s="17">
        <v>528278000</v>
      </c>
      <c r="D35" s="17">
        <v>667972000</v>
      </c>
      <c r="E35" s="17">
        <v>872350000</v>
      </c>
      <c r="F35" s="17">
        <v>935054000</v>
      </c>
      <c r="G35" s="17"/>
      <c r="H35" s="17"/>
      <c r="I35" s="17">
        <v>350784000</v>
      </c>
      <c r="J35" s="17">
        <v>24747000</v>
      </c>
      <c r="K35" s="17">
        <v>8663000</v>
      </c>
      <c r="L35" s="17">
        <v>10174000</v>
      </c>
      <c r="M35" s="17">
        <v>6825000</v>
      </c>
      <c r="N35" s="17">
        <v>6608000</v>
      </c>
      <c r="O35" s="17">
        <v>17886000</v>
      </c>
      <c r="P35" s="17">
        <v>19628000</v>
      </c>
      <c r="Q35" s="17">
        <v>34112000</v>
      </c>
      <c r="R35" s="17">
        <v>30375000</v>
      </c>
      <c r="S35" s="17">
        <v>34711000</v>
      </c>
      <c r="T35" s="17">
        <v>18479000</v>
      </c>
      <c r="U35" s="17">
        <v>21231000</v>
      </c>
      <c r="V35" s="17">
        <v>8051000</v>
      </c>
      <c r="W35" s="17">
        <v>1280000</v>
      </c>
      <c r="X35" s="17">
        <v>1084000</v>
      </c>
    </row>
    <row r="36" spans="1:27" x14ac:dyDescent="0.35">
      <c r="A36" t="s">
        <v>240</v>
      </c>
      <c r="B36" s="17">
        <v>567201000</v>
      </c>
      <c r="C36" s="17">
        <v>528278000</v>
      </c>
      <c r="D36" s="17">
        <v>667972000</v>
      </c>
      <c r="E36" s="17">
        <v>872350000</v>
      </c>
      <c r="F36" s="17">
        <v>935054000</v>
      </c>
      <c r="G36" s="17"/>
      <c r="H36" s="17"/>
      <c r="I36" s="17">
        <v>350784000</v>
      </c>
      <c r="J36" s="17">
        <v>24747000</v>
      </c>
      <c r="K36" s="17">
        <v>8663000</v>
      </c>
      <c r="L36" s="17">
        <v>10174000</v>
      </c>
      <c r="M36" s="17">
        <v>6825000</v>
      </c>
      <c r="N36" s="17">
        <v>6608000</v>
      </c>
      <c r="O36" s="17">
        <v>17886000</v>
      </c>
      <c r="P36" s="17">
        <v>19628000</v>
      </c>
      <c r="Q36" s="17">
        <v>34112000</v>
      </c>
      <c r="R36" s="17">
        <v>30375000</v>
      </c>
      <c r="S36" s="17">
        <v>34711000</v>
      </c>
      <c r="T36" s="17">
        <v>18479000</v>
      </c>
      <c r="U36" s="17">
        <v>21231000</v>
      </c>
      <c r="V36" s="17">
        <v>8051000</v>
      </c>
      <c r="W36" s="17">
        <v>1280000</v>
      </c>
      <c r="X36" s="17">
        <v>1084000</v>
      </c>
    </row>
    <row r="37" spans="1:27" x14ac:dyDescent="0.35">
      <c r="A37" t="s">
        <v>241</v>
      </c>
      <c r="B37" s="17">
        <v>11730000</v>
      </c>
      <c r="C37" s="17">
        <v>11129000</v>
      </c>
      <c r="D37" s="17">
        <v>35253000</v>
      </c>
      <c r="E37" s="17">
        <v>27400000</v>
      </c>
      <c r="F37" s="17">
        <v>47584000</v>
      </c>
      <c r="G37" s="17"/>
      <c r="H37" s="17"/>
      <c r="I37" s="17">
        <v>10855000</v>
      </c>
      <c r="J37" s="17">
        <v>10367000</v>
      </c>
      <c r="K37" s="17">
        <v>10425000</v>
      </c>
      <c r="L37" s="17">
        <v>15325000</v>
      </c>
      <c r="M37" s="17">
        <v>15820000</v>
      </c>
      <c r="N37" s="17">
        <v>21703000</v>
      </c>
      <c r="O37" s="17">
        <v>25968000</v>
      </c>
      <c r="P37" s="17">
        <v>53661000</v>
      </c>
      <c r="Q37" s="17">
        <v>40239000</v>
      </c>
      <c r="R37" s="17">
        <v>23410000</v>
      </c>
      <c r="S37" s="17">
        <v>18281000</v>
      </c>
      <c r="T37" s="17">
        <v>16937000</v>
      </c>
      <c r="U37" s="17">
        <v>18613000</v>
      </c>
      <c r="V37" s="17">
        <v>7847000</v>
      </c>
      <c r="W37" s="17">
        <v>1875000</v>
      </c>
      <c r="X37" s="17">
        <v>183000</v>
      </c>
      <c r="Z37" s="17">
        <v>15000</v>
      </c>
    </row>
    <row r="38" spans="1:27" x14ac:dyDescent="0.35">
      <c r="A38" t="s">
        <v>242</v>
      </c>
      <c r="B38" s="17">
        <v>1530986000</v>
      </c>
      <c r="C38" s="17">
        <v>3683866000</v>
      </c>
      <c r="D38" s="17">
        <v>3189911000</v>
      </c>
      <c r="E38" s="17">
        <v>2976421000</v>
      </c>
      <c r="F38" s="17">
        <v>2881467000</v>
      </c>
      <c r="G38" s="17"/>
      <c r="H38" s="17"/>
      <c r="I38" s="17">
        <v>828090000</v>
      </c>
      <c r="J38" s="17">
        <v>606897000</v>
      </c>
      <c r="K38" s="17">
        <v>318593000</v>
      </c>
      <c r="L38" s="17">
        <v>175397000</v>
      </c>
      <c r="M38" s="17">
        <v>167106000</v>
      </c>
      <c r="N38" s="17">
        <v>186391000</v>
      </c>
      <c r="O38" s="17">
        <v>181734000</v>
      </c>
      <c r="P38" s="17">
        <v>250415000</v>
      </c>
      <c r="Q38" s="17">
        <v>212238000</v>
      </c>
      <c r="R38" s="17">
        <v>203673000</v>
      </c>
      <c r="S38" s="17">
        <v>173375000</v>
      </c>
      <c r="T38" s="17">
        <v>122118000</v>
      </c>
      <c r="U38" s="17">
        <v>168836000</v>
      </c>
      <c r="V38" s="17">
        <v>183312000</v>
      </c>
      <c r="W38" s="17">
        <v>91199000</v>
      </c>
      <c r="X38" s="17">
        <v>59118000</v>
      </c>
      <c r="Y38" s="17">
        <v>19815000</v>
      </c>
      <c r="Z38" s="17">
        <v>2946000</v>
      </c>
      <c r="AA38" s="17">
        <v>65000</v>
      </c>
    </row>
    <row r="39" spans="1:27" x14ac:dyDescent="0.35">
      <c r="A39" t="s">
        <v>243</v>
      </c>
      <c r="B39" s="17">
        <v>388243000</v>
      </c>
      <c r="C39" s="17">
        <v>641274000</v>
      </c>
      <c r="D39" s="17">
        <v>698296000</v>
      </c>
      <c r="E39" s="17">
        <v>740208000</v>
      </c>
      <c r="F39" s="17">
        <v>700129000</v>
      </c>
      <c r="G39" s="17"/>
      <c r="H39" s="17"/>
      <c r="I39" s="17">
        <v>291584000</v>
      </c>
      <c r="J39" s="17">
        <v>257223000</v>
      </c>
      <c r="K39" s="17">
        <v>184491000</v>
      </c>
      <c r="L39" s="17">
        <v>157018000</v>
      </c>
      <c r="M39" s="17">
        <v>149140000</v>
      </c>
      <c r="N39" s="17">
        <v>167097000</v>
      </c>
      <c r="O39" s="17">
        <v>153885000</v>
      </c>
      <c r="P39" s="17">
        <v>186928000</v>
      </c>
      <c r="Q39" s="17">
        <v>157938000</v>
      </c>
      <c r="R39" s="17">
        <v>155303000</v>
      </c>
      <c r="S39" s="17">
        <v>137762000</v>
      </c>
      <c r="T39" s="17">
        <v>86656000</v>
      </c>
      <c r="U39" s="17">
        <v>133533000</v>
      </c>
      <c r="V39" s="17">
        <v>167448000</v>
      </c>
      <c r="W39" s="17">
        <v>87909000</v>
      </c>
      <c r="X39" s="17">
        <v>46305000</v>
      </c>
      <c r="Y39" s="17">
        <v>8855000</v>
      </c>
      <c r="Z39" s="17">
        <v>746000</v>
      </c>
    </row>
    <row r="40" spans="1:27" x14ac:dyDescent="0.35">
      <c r="A40" t="s">
        <v>244</v>
      </c>
      <c r="B40" s="17">
        <v>255955000</v>
      </c>
      <c r="C40" s="17">
        <v>456380000</v>
      </c>
      <c r="D40" s="17">
        <v>453953000</v>
      </c>
      <c r="E40" s="17">
        <v>494354000</v>
      </c>
      <c r="F40" s="17">
        <v>429517000</v>
      </c>
      <c r="G40" s="17"/>
      <c r="H40" s="17"/>
      <c r="I40" s="17">
        <v>176714000</v>
      </c>
      <c r="J40" s="17">
        <v>148697000</v>
      </c>
      <c r="K40" s="17">
        <v>121591000</v>
      </c>
      <c r="L40" s="17">
        <v>107889000</v>
      </c>
      <c r="M40" s="17">
        <v>113780000</v>
      </c>
      <c r="N40" s="17">
        <v>122377000</v>
      </c>
      <c r="O40" s="17">
        <v>107827000</v>
      </c>
      <c r="P40" s="17">
        <v>130197000</v>
      </c>
      <c r="Q40" s="17">
        <v>117002000</v>
      </c>
      <c r="R40" s="17">
        <v>105488000</v>
      </c>
      <c r="S40" s="17">
        <v>118241000</v>
      </c>
      <c r="T40" s="17">
        <v>86007000</v>
      </c>
      <c r="U40" s="17">
        <v>111072000</v>
      </c>
      <c r="V40" s="17">
        <v>108824000</v>
      </c>
      <c r="W40" s="17">
        <v>65948000</v>
      </c>
      <c r="X40" s="17">
        <v>29105000</v>
      </c>
      <c r="Y40" s="17">
        <v>4877000</v>
      </c>
      <c r="Z40" s="17">
        <v>746000</v>
      </c>
    </row>
    <row r="41" spans="1:27" x14ac:dyDescent="0.35">
      <c r="A41" t="s">
        <v>245</v>
      </c>
      <c r="B41" s="17">
        <v>198898000</v>
      </c>
      <c r="C41" s="17">
        <v>357809000</v>
      </c>
      <c r="D41" s="17">
        <v>350698000</v>
      </c>
      <c r="E41" s="17">
        <v>390919000</v>
      </c>
      <c r="F41" s="17">
        <v>336466000</v>
      </c>
      <c r="G41" s="17"/>
      <c r="H41" s="17"/>
      <c r="I41" s="17">
        <v>136550000</v>
      </c>
      <c r="J41" s="17">
        <v>110544000</v>
      </c>
      <c r="K41" s="17">
        <v>91277000</v>
      </c>
      <c r="L41" s="17">
        <v>81598000</v>
      </c>
      <c r="M41" s="17">
        <v>80973000</v>
      </c>
      <c r="N41" s="17">
        <v>78200000</v>
      </c>
      <c r="O41" s="17">
        <v>62970000</v>
      </c>
      <c r="P41" s="17">
        <v>82584000</v>
      </c>
      <c r="Q41" s="17">
        <v>84567000</v>
      </c>
      <c r="R41" s="17">
        <v>84432000</v>
      </c>
      <c r="S41" s="17">
        <v>58753000</v>
      </c>
      <c r="T41" s="17">
        <v>29811000</v>
      </c>
      <c r="U41" s="17">
        <v>59557000</v>
      </c>
      <c r="V41" s="17">
        <v>82979000</v>
      </c>
      <c r="W41" s="17">
        <v>43794000</v>
      </c>
      <c r="X41" s="17">
        <v>20829000</v>
      </c>
      <c r="Y41" s="17">
        <v>3048000</v>
      </c>
      <c r="Z41" s="17">
        <v>431000</v>
      </c>
    </row>
    <row r="42" spans="1:27" x14ac:dyDescent="0.35">
      <c r="A42" t="s">
        <v>246</v>
      </c>
      <c r="B42" s="17">
        <v>162145000</v>
      </c>
      <c r="C42" s="17">
        <v>230821000</v>
      </c>
      <c r="D42" s="17">
        <v>260978000</v>
      </c>
      <c r="E42" s="17">
        <v>264901000</v>
      </c>
      <c r="F42" s="17">
        <v>266090000</v>
      </c>
      <c r="G42" s="17"/>
      <c r="H42" s="17"/>
      <c r="I42" s="17">
        <v>112778000</v>
      </c>
      <c r="J42" s="17">
        <v>95754000</v>
      </c>
      <c r="K42" s="17">
        <v>77231000</v>
      </c>
      <c r="L42" s="17">
        <v>66381000</v>
      </c>
      <c r="M42" s="17">
        <v>61927000</v>
      </c>
      <c r="N42" s="17">
        <v>63336000</v>
      </c>
      <c r="O42" s="17">
        <v>42923000</v>
      </c>
      <c r="P42" s="17">
        <v>57450000</v>
      </c>
      <c r="Q42" s="17">
        <v>63976000</v>
      </c>
      <c r="R42" s="17">
        <v>66517000</v>
      </c>
      <c r="S42" s="17">
        <v>35669000</v>
      </c>
      <c r="T42" s="17">
        <v>23434000</v>
      </c>
      <c r="U42" s="17">
        <v>35137000</v>
      </c>
      <c r="V42" s="17">
        <v>82979000</v>
      </c>
      <c r="W42" s="17">
        <v>43794000</v>
      </c>
      <c r="X42" s="17">
        <v>20829000</v>
      </c>
      <c r="Y42" s="17">
        <v>3048000</v>
      </c>
      <c r="Z42" s="17">
        <v>431000</v>
      </c>
    </row>
    <row r="43" spans="1:27" x14ac:dyDescent="0.35">
      <c r="A43" t="s">
        <v>247</v>
      </c>
      <c r="B43" s="17">
        <v>29328000</v>
      </c>
      <c r="C43" s="17">
        <v>116460000</v>
      </c>
      <c r="D43" s="17">
        <v>89720000</v>
      </c>
      <c r="E43" s="17">
        <v>126018000</v>
      </c>
      <c r="F43" s="17">
        <v>70376000</v>
      </c>
      <c r="G43" s="17"/>
      <c r="H43" s="17"/>
      <c r="I43" s="17">
        <v>17518000</v>
      </c>
      <c r="J43" s="17">
        <v>11050000</v>
      </c>
      <c r="K43" s="17">
        <v>10690000</v>
      </c>
      <c r="L43" s="17">
        <v>9024000</v>
      </c>
      <c r="M43" s="17">
        <v>11571000</v>
      </c>
      <c r="N43" s="17">
        <v>13434000</v>
      </c>
      <c r="O43" s="17">
        <v>14975000</v>
      </c>
      <c r="P43" s="17">
        <v>25134000</v>
      </c>
      <c r="Q43" s="17">
        <v>20591000</v>
      </c>
      <c r="R43" s="17">
        <v>17915000</v>
      </c>
      <c r="S43" s="17">
        <v>23084000</v>
      </c>
      <c r="T43" s="17">
        <v>6377000</v>
      </c>
      <c r="U43" s="17">
        <v>24420000</v>
      </c>
    </row>
    <row r="44" spans="1:27" x14ac:dyDescent="0.35">
      <c r="A44" t="s">
        <v>248</v>
      </c>
      <c r="B44" s="17">
        <v>16279000</v>
      </c>
      <c r="C44" s="17">
        <v>89211000</v>
      </c>
      <c r="D44" s="17">
        <v>65952000</v>
      </c>
      <c r="E44" s="17">
        <v>108688000</v>
      </c>
      <c r="F44" s="17">
        <v>47308000</v>
      </c>
      <c r="G44" s="17"/>
      <c r="H44" s="17"/>
      <c r="I44" s="17">
        <v>5038000</v>
      </c>
      <c r="J44" s="17">
        <v>4207000</v>
      </c>
      <c r="K44" s="17">
        <v>5089000</v>
      </c>
      <c r="L44" s="17">
        <v>5515000</v>
      </c>
      <c r="M44" s="17">
        <v>6593000</v>
      </c>
      <c r="N44" s="17">
        <v>6416000</v>
      </c>
      <c r="O44" s="17">
        <v>9078000</v>
      </c>
      <c r="P44" s="17">
        <v>15992000</v>
      </c>
      <c r="Q44" s="17">
        <v>8147000</v>
      </c>
      <c r="R44" s="17">
        <v>8273000</v>
      </c>
      <c r="S44" s="17">
        <v>23084000</v>
      </c>
      <c r="T44" s="17">
        <v>6377000</v>
      </c>
      <c r="U44" s="17">
        <v>24420000</v>
      </c>
    </row>
    <row r="45" spans="1:27" x14ac:dyDescent="0.35">
      <c r="A45" t="s">
        <v>249</v>
      </c>
      <c r="N45" s="17">
        <v>3000000</v>
      </c>
      <c r="O45" s="17">
        <v>3067000</v>
      </c>
      <c r="P45">
        <v>0</v>
      </c>
    </row>
    <row r="46" spans="1:27" x14ac:dyDescent="0.35">
      <c r="A46" t="s">
        <v>250</v>
      </c>
      <c r="B46" s="17">
        <v>7425000</v>
      </c>
      <c r="C46" s="17">
        <v>10528000</v>
      </c>
      <c r="D46" s="17">
        <v>15053000</v>
      </c>
      <c r="I46" s="17">
        <v>6254000</v>
      </c>
      <c r="J46" s="17">
        <v>3740000</v>
      </c>
      <c r="K46" s="17">
        <v>3356000</v>
      </c>
      <c r="L46" s="17">
        <v>6193000</v>
      </c>
      <c r="M46" s="17">
        <v>7475000</v>
      </c>
      <c r="N46" s="17">
        <v>1430000</v>
      </c>
      <c r="O46" s="17">
        <v>2005000</v>
      </c>
    </row>
    <row r="47" spans="1:27" x14ac:dyDescent="0.35">
      <c r="A47" t="s">
        <v>251</v>
      </c>
      <c r="B47" s="17">
        <v>57057000</v>
      </c>
      <c r="C47" s="17">
        <v>98571000</v>
      </c>
      <c r="D47" s="17">
        <v>103255000</v>
      </c>
      <c r="E47" s="17">
        <v>103435000</v>
      </c>
      <c r="F47" s="17">
        <v>93051000</v>
      </c>
      <c r="G47" s="17"/>
      <c r="H47" s="17"/>
      <c r="I47" s="17">
        <v>40164000</v>
      </c>
      <c r="J47" s="17">
        <v>38153000</v>
      </c>
      <c r="K47" s="17">
        <v>30314000</v>
      </c>
      <c r="L47" s="17">
        <v>26291000</v>
      </c>
      <c r="M47" s="17">
        <v>32807000</v>
      </c>
      <c r="N47" s="17">
        <v>44177000</v>
      </c>
      <c r="O47" s="17">
        <v>44857000</v>
      </c>
      <c r="P47" s="17">
        <v>47613000</v>
      </c>
      <c r="Q47" s="17">
        <v>32435000</v>
      </c>
      <c r="R47" s="17">
        <v>21056000</v>
      </c>
      <c r="S47" s="17">
        <v>59488000</v>
      </c>
      <c r="T47" s="17">
        <v>56196000</v>
      </c>
      <c r="U47" s="17">
        <v>51515000</v>
      </c>
      <c r="V47" s="17">
        <v>25845000</v>
      </c>
      <c r="W47" s="17">
        <v>22154000</v>
      </c>
      <c r="X47" s="17">
        <v>8276000</v>
      </c>
      <c r="Y47" s="17">
        <v>1829000</v>
      </c>
      <c r="Z47" s="17">
        <v>315000</v>
      </c>
    </row>
    <row r="48" spans="1:27" x14ac:dyDescent="0.35">
      <c r="A48" t="s">
        <v>252</v>
      </c>
      <c r="B48" s="17">
        <v>62945000</v>
      </c>
      <c r="C48" s="17">
        <v>55474000</v>
      </c>
      <c r="D48" s="17">
        <v>70245000</v>
      </c>
      <c r="E48" s="17">
        <v>81265000</v>
      </c>
      <c r="F48" s="17">
        <v>88242000</v>
      </c>
      <c r="G48" s="17"/>
      <c r="H48" s="17"/>
      <c r="I48" s="17">
        <v>48870000</v>
      </c>
      <c r="J48" s="17">
        <v>42460000</v>
      </c>
      <c r="K48" s="17">
        <v>43970000</v>
      </c>
      <c r="L48" s="17">
        <v>34955000</v>
      </c>
      <c r="M48" s="17">
        <v>20898000</v>
      </c>
      <c r="N48" s="17">
        <v>20973000</v>
      </c>
      <c r="O48" s="17">
        <v>23824000</v>
      </c>
      <c r="P48" s="17">
        <v>26903000</v>
      </c>
      <c r="Q48" s="17">
        <v>19714000</v>
      </c>
      <c r="R48" s="17">
        <v>28680000</v>
      </c>
    </row>
    <row r="49" spans="1:26" x14ac:dyDescent="0.35">
      <c r="A49" t="s">
        <v>253</v>
      </c>
      <c r="B49" s="17">
        <v>42932000</v>
      </c>
      <c r="C49" s="17">
        <v>81818000</v>
      </c>
      <c r="D49" s="17">
        <v>85595000</v>
      </c>
      <c r="E49" s="17">
        <v>68551000</v>
      </c>
      <c r="F49" s="17">
        <v>85772000</v>
      </c>
      <c r="G49" s="17"/>
      <c r="H49" s="17"/>
      <c r="I49" s="17">
        <v>47064000</v>
      </c>
      <c r="J49" s="17">
        <v>48585000</v>
      </c>
      <c r="L49" s="17">
        <v>662000</v>
      </c>
      <c r="M49" s="17">
        <v>2338000</v>
      </c>
      <c r="N49" s="17">
        <v>4772000</v>
      </c>
      <c r="O49" s="17">
        <v>5288000</v>
      </c>
      <c r="P49" s="17">
        <v>5176000</v>
      </c>
      <c r="Q49" s="17">
        <v>9982000</v>
      </c>
      <c r="R49" s="17">
        <v>10251000</v>
      </c>
      <c r="S49" s="17">
        <v>1901000</v>
      </c>
      <c r="T49" s="17">
        <v>640000</v>
      </c>
      <c r="U49" s="17">
        <v>22431000</v>
      </c>
      <c r="V49" s="17">
        <v>7107000</v>
      </c>
      <c r="W49" s="17">
        <v>541000</v>
      </c>
      <c r="X49" s="17">
        <v>8503000</v>
      </c>
      <c r="Y49" s="17">
        <v>978000</v>
      </c>
    </row>
    <row r="50" spans="1:26" x14ac:dyDescent="0.35">
      <c r="A50" t="s">
        <v>254</v>
      </c>
      <c r="C50" s="17">
        <v>24362000</v>
      </c>
      <c r="D50" s="17">
        <v>23328000</v>
      </c>
      <c r="L50" s="17">
        <v>662000</v>
      </c>
      <c r="M50" s="17">
        <v>2338000</v>
      </c>
      <c r="N50" s="17">
        <v>4772000</v>
      </c>
      <c r="O50" s="17">
        <v>5288000</v>
      </c>
      <c r="P50" s="17">
        <v>5176000</v>
      </c>
      <c r="Q50" s="17">
        <v>9982000</v>
      </c>
      <c r="R50" s="17">
        <v>10251000</v>
      </c>
      <c r="S50" s="17">
        <v>1901000</v>
      </c>
      <c r="T50" s="17">
        <v>640000</v>
      </c>
      <c r="U50" s="17">
        <v>22431000</v>
      </c>
      <c r="V50" s="17">
        <v>7107000</v>
      </c>
      <c r="W50" s="17">
        <v>541000</v>
      </c>
      <c r="X50" s="17">
        <v>8503000</v>
      </c>
      <c r="Y50" s="17">
        <v>978000</v>
      </c>
    </row>
    <row r="51" spans="1:26" x14ac:dyDescent="0.35">
      <c r="A51" t="s">
        <v>255</v>
      </c>
      <c r="U51" s="17">
        <v>22431000</v>
      </c>
      <c r="V51" s="17">
        <v>7107000</v>
      </c>
      <c r="W51" s="17">
        <v>541000</v>
      </c>
      <c r="X51" s="17">
        <v>8503000</v>
      </c>
      <c r="Y51" s="17">
        <v>978000</v>
      </c>
    </row>
    <row r="52" spans="1:26" x14ac:dyDescent="0.35">
      <c r="A52" t="s">
        <v>256</v>
      </c>
      <c r="C52" s="17">
        <v>24362000</v>
      </c>
      <c r="D52" s="17">
        <v>23328000</v>
      </c>
      <c r="P52" s="17">
        <v>5176000</v>
      </c>
      <c r="Q52" s="17">
        <v>9982000</v>
      </c>
      <c r="R52" s="17">
        <v>10251000</v>
      </c>
    </row>
    <row r="53" spans="1:26" x14ac:dyDescent="0.35">
      <c r="A53" t="s">
        <v>257</v>
      </c>
      <c r="B53" s="17">
        <v>42932000</v>
      </c>
      <c r="C53" s="17">
        <v>57456000</v>
      </c>
      <c r="D53" s="17">
        <v>62267000</v>
      </c>
      <c r="E53" s="17">
        <v>68551000</v>
      </c>
      <c r="F53" s="17">
        <v>85772000</v>
      </c>
      <c r="G53" s="17"/>
      <c r="H53" s="17"/>
      <c r="I53" s="17">
        <v>47064000</v>
      </c>
      <c r="J53" s="17">
        <v>48585000</v>
      </c>
      <c r="K53">
        <v>0</v>
      </c>
      <c r="R53" s="17">
        <v>1118000</v>
      </c>
    </row>
    <row r="54" spans="1:26" x14ac:dyDescent="0.35">
      <c r="A54" t="s">
        <v>258</v>
      </c>
      <c r="J54" s="17">
        <v>3740000</v>
      </c>
      <c r="K54" s="17">
        <v>3356000</v>
      </c>
      <c r="L54" s="17">
        <v>6193000</v>
      </c>
      <c r="M54" s="17">
        <v>7475000</v>
      </c>
      <c r="N54" s="17">
        <v>1430000</v>
      </c>
      <c r="O54" s="17">
        <v>14944000</v>
      </c>
      <c r="P54" s="17">
        <v>18139000</v>
      </c>
      <c r="Q54" s="17">
        <v>4998000</v>
      </c>
      <c r="R54" s="17">
        <v>2889000</v>
      </c>
      <c r="S54" s="17">
        <v>17620000</v>
      </c>
      <c r="T54" s="17">
        <v>9000</v>
      </c>
      <c r="U54" s="17">
        <v>30000</v>
      </c>
      <c r="V54" s="17">
        <v>265000</v>
      </c>
    </row>
    <row r="55" spans="1:26" x14ac:dyDescent="0.35">
      <c r="A55" t="s">
        <v>259</v>
      </c>
      <c r="O55" s="17">
        <v>11869000</v>
      </c>
      <c r="P55" s="17">
        <v>11199000</v>
      </c>
      <c r="Q55" s="17">
        <v>2405000</v>
      </c>
      <c r="R55" s="17">
        <v>2889000</v>
      </c>
      <c r="S55" s="17">
        <v>17620000</v>
      </c>
      <c r="T55" s="17">
        <v>9000</v>
      </c>
      <c r="U55" s="17">
        <v>30000</v>
      </c>
      <c r="V55" s="17">
        <v>265000</v>
      </c>
    </row>
    <row r="56" spans="1:26" x14ac:dyDescent="0.35">
      <c r="A56" t="s">
        <v>260</v>
      </c>
      <c r="J56" s="17">
        <v>3740000</v>
      </c>
      <c r="K56" s="17">
        <v>3356000</v>
      </c>
      <c r="L56" s="17">
        <v>6193000</v>
      </c>
      <c r="M56" s="17">
        <v>7475000</v>
      </c>
      <c r="N56" s="17">
        <v>1430000</v>
      </c>
      <c r="O56" s="17">
        <v>3075000</v>
      </c>
      <c r="P56" s="17">
        <v>6940000</v>
      </c>
      <c r="Q56" s="17">
        <v>2593000</v>
      </c>
    </row>
    <row r="57" spans="1:26" x14ac:dyDescent="0.35">
      <c r="A57" t="s">
        <v>261</v>
      </c>
      <c r="B57" s="17">
        <v>26411000</v>
      </c>
      <c r="C57" s="17">
        <v>47602000</v>
      </c>
      <c r="D57" s="17">
        <v>88503000</v>
      </c>
      <c r="E57" s="17">
        <v>96038000</v>
      </c>
      <c r="F57" s="17">
        <v>96598000</v>
      </c>
      <c r="G57" s="17"/>
      <c r="H57" s="17"/>
      <c r="I57" s="17">
        <v>18936000</v>
      </c>
      <c r="J57" s="17">
        <v>17481000</v>
      </c>
      <c r="K57" s="17">
        <v>18930000</v>
      </c>
      <c r="L57" s="17">
        <v>13512000</v>
      </c>
      <c r="M57" s="17">
        <v>12124000</v>
      </c>
      <c r="N57" s="17">
        <v>18975000</v>
      </c>
      <c r="O57" s="17">
        <v>2002000</v>
      </c>
      <c r="P57" s="17">
        <v>6513000</v>
      </c>
      <c r="Q57" s="17">
        <v>6242000</v>
      </c>
      <c r="R57" s="17">
        <v>7995000</v>
      </c>
      <c r="U57" s="17">
        <v>24420000</v>
      </c>
      <c r="V57" s="17">
        <v>51252000</v>
      </c>
      <c r="W57" s="17">
        <v>21420000</v>
      </c>
      <c r="X57" s="17">
        <v>8697000</v>
      </c>
      <c r="Y57" s="17">
        <v>3000000</v>
      </c>
    </row>
    <row r="58" spans="1:26" x14ac:dyDescent="0.35">
      <c r="A58" t="s">
        <v>262</v>
      </c>
      <c r="B58" s="17">
        <v>1142743000</v>
      </c>
      <c r="C58" s="17">
        <v>3042592000</v>
      </c>
      <c r="D58" s="17">
        <v>2491615000</v>
      </c>
      <c r="E58" s="17">
        <v>2236213000</v>
      </c>
      <c r="F58" s="17">
        <v>2181338000</v>
      </c>
      <c r="G58" s="17"/>
      <c r="H58" s="17"/>
      <c r="I58" s="17">
        <v>536506000</v>
      </c>
      <c r="J58" s="17">
        <v>349674000</v>
      </c>
      <c r="K58" s="17">
        <v>134102000</v>
      </c>
      <c r="L58" s="17">
        <v>18379000</v>
      </c>
      <c r="M58" s="17">
        <v>17966000</v>
      </c>
      <c r="N58" s="17">
        <v>19294000</v>
      </c>
      <c r="O58" s="17">
        <v>27849000</v>
      </c>
      <c r="P58" s="17">
        <v>63487000</v>
      </c>
      <c r="Q58" s="17">
        <v>54300000</v>
      </c>
      <c r="R58" s="17">
        <v>48370000</v>
      </c>
      <c r="S58" s="17">
        <v>35613000</v>
      </c>
      <c r="T58" s="17">
        <v>35462000</v>
      </c>
      <c r="U58" s="17">
        <v>35303000</v>
      </c>
      <c r="V58" s="17">
        <v>15864000</v>
      </c>
      <c r="W58" s="17">
        <v>3290000</v>
      </c>
      <c r="X58" s="17">
        <v>12813000</v>
      </c>
      <c r="Y58" s="17">
        <v>10960000</v>
      </c>
      <c r="Z58" s="17">
        <v>2200000</v>
      </c>
    </row>
    <row r="59" spans="1:26" x14ac:dyDescent="0.35">
      <c r="A59" t="s">
        <v>263</v>
      </c>
      <c r="B59" s="17">
        <v>920627000</v>
      </c>
      <c r="C59" s="17">
        <v>2513146000</v>
      </c>
      <c r="D59" s="17">
        <v>1910765000</v>
      </c>
      <c r="E59" s="17">
        <v>1632745000</v>
      </c>
      <c r="F59" s="17">
        <v>1528077000</v>
      </c>
      <c r="G59" s="17"/>
      <c r="H59" s="17"/>
      <c r="I59" s="17">
        <v>326401000</v>
      </c>
      <c r="J59" s="17">
        <v>345148000</v>
      </c>
      <c r="K59" s="17">
        <v>120000000</v>
      </c>
      <c r="M59" s="17">
        <v>40000</v>
      </c>
      <c r="N59" s="17">
        <v>1627000</v>
      </c>
      <c r="O59" s="17">
        <v>6381000</v>
      </c>
      <c r="P59" s="17">
        <v>11670000</v>
      </c>
      <c r="Q59" s="17">
        <v>4596000</v>
      </c>
      <c r="T59" s="17">
        <v>912000</v>
      </c>
      <c r="V59" s="17">
        <v>9000</v>
      </c>
      <c r="W59" s="17">
        <v>116000</v>
      </c>
      <c r="X59" s="17">
        <v>3422000</v>
      </c>
      <c r="Y59" s="17">
        <v>1409000</v>
      </c>
    </row>
    <row r="60" spans="1:26" x14ac:dyDescent="0.35">
      <c r="A60" t="s">
        <v>264</v>
      </c>
      <c r="B60" s="17">
        <v>771390000</v>
      </c>
      <c r="C60" s="17">
        <v>2298027000</v>
      </c>
      <c r="D60" s="17">
        <v>1640996000</v>
      </c>
      <c r="E60" s="17">
        <v>1349339000</v>
      </c>
      <c r="F60" s="17">
        <v>1230885000</v>
      </c>
      <c r="G60" s="17"/>
      <c r="H60" s="17"/>
      <c r="I60" s="17">
        <v>180000000</v>
      </c>
      <c r="J60" s="17">
        <v>205000000</v>
      </c>
      <c r="K60" s="17">
        <v>120000000</v>
      </c>
      <c r="M60" s="17">
        <v>40000</v>
      </c>
      <c r="N60" s="17">
        <v>1627000</v>
      </c>
      <c r="O60" s="17">
        <v>6381000</v>
      </c>
      <c r="P60" s="17">
        <v>11670000</v>
      </c>
      <c r="Q60" s="17">
        <v>4596000</v>
      </c>
      <c r="T60" s="17">
        <v>912000</v>
      </c>
      <c r="V60" s="17">
        <v>9000</v>
      </c>
      <c r="X60" s="17">
        <v>3422000</v>
      </c>
      <c r="Y60" s="17">
        <v>1409000</v>
      </c>
    </row>
    <row r="61" spans="1:26" x14ac:dyDescent="0.35">
      <c r="A61" t="s">
        <v>265</v>
      </c>
      <c r="B61" s="17">
        <v>149237000</v>
      </c>
      <c r="C61" s="17">
        <v>215119000</v>
      </c>
      <c r="D61" s="17">
        <v>269769000</v>
      </c>
      <c r="E61" s="17">
        <v>283406000</v>
      </c>
      <c r="F61" s="17">
        <v>297192000</v>
      </c>
      <c r="G61" s="17"/>
      <c r="H61" s="17"/>
      <c r="I61" s="17">
        <v>146401000</v>
      </c>
      <c r="J61" s="17">
        <v>140148000</v>
      </c>
      <c r="K61">
        <v>0</v>
      </c>
      <c r="W61" s="17">
        <v>116000</v>
      </c>
    </row>
    <row r="62" spans="1:26" x14ac:dyDescent="0.35">
      <c r="A62" t="s">
        <v>266</v>
      </c>
      <c r="B62" s="17">
        <v>176000</v>
      </c>
      <c r="C62" s="17">
        <v>302030000</v>
      </c>
      <c r="D62" s="17">
        <v>12912000</v>
      </c>
      <c r="E62" s="17">
        <v>4086000</v>
      </c>
      <c r="F62" s="17">
        <v>882000</v>
      </c>
      <c r="G62" s="17"/>
      <c r="H62" s="17"/>
      <c r="S62" s="17">
        <v>847000</v>
      </c>
      <c r="T62" s="17">
        <v>2192000</v>
      </c>
      <c r="U62" s="17">
        <v>2917000</v>
      </c>
      <c r="V62" s="17">
        <v>1858000</v>
      </c>
      <c r="W62" s="17">
        <v>1688000</v>
      </c>
      <c r="X62" s="17">
        <v>1772000</v>
      </c>
      <c r="Y62" s="17">
        <v>1783000</v>
      </c>
    </row>
    <row r="63" spans="1:26" x14ac:dyDescent="0.35">
      <c r="A63" t="s">
        <v>267</v>
      </c>
      <c r="B63" s="17">
        <v>176000</v>
      </c>
      <c r="C63" s="17">
        <v>302030000</v>
      </c>
      <c r="D63" s="17">
        <v>12912000</v>
      </c>
      <c r="E63" s="17">
        <v>4086000</v>
      </c>
      <c r="F63" s="17">
        <v>882000</v>
      </c>
      <c r="G63" s="17"/>
      <c r="H63" s="17"/>
      <c r="S63" s="17">
        <v>847000</v>
      </c>
      <c r="T63" s="17">
        <v>2192000</v>
      </c>
      <c r="U63" s="17">
        <v>2917000</v>
      </c>
      <c r="V63" s="17">
        <v>1858000</v>
      </c>
      <c r="W63" s="17">
        <v>1688000</v>
      </c>
      <c r="X63" s="17">
        <v>1772000</v>
      </c>
      <c r="Y63" s="17">
        <v>1783000</v>
      </c>
    </row>
    <row r="64" spans="1:26" x14ac:dyDescent="0.35">
      <c r="A64" t="s">
        <v>268</v>
      </c>
      <c r="B64" s="17">
        <v>219568000</v>
      </c>
      <c r="C64" s="17">
        <v>224837000</v>
      </c>
      <c r="D64" s="17">
        <v>565171000</v>
      </c>
      <c r="E64" s="17">
        <v>595434000</v>
      </c>
      <c r="F64" s="17">
        <v>649057000</v>
      </c>
      <c r="G64" s="17"/>
      <c r="H64" s="17"/>
      <c r="I64" s="17">
        <v>205974000</v>
      </c>
      <c r="J64" s="17">
        <v>4522000</v>
      </c>
      <c r="K64" s="17">
        <v>4656000</v>
      </c>
      <c r="L64" s="17">
        <v>6081000</v>
      </c>
      <c r="M64" s="17">
        <v>4464000</v>
      </c>
      <c r="N64" s="17">
        <v>4547000</v>
      </c>
      <c r="O64" s="17">
        <v>8843000</v>
      </c>
      <c r="P64" s="17">
        <v>36616000</v>
      </c>
      <c r="Q64" s="17">
        <v>36343000</v>
      </c>
      <c r="R64" s="17">
        <v>41665000</v>
      </c>
    </row>
    <row r="65" spans="1:27" x14ac:dyDescent="0.35">
      <c r="A65" t="s">
        <v>269</v>
      </c>
      <c r="N65" s="17">
        <v>230000</v>
      </c>
      <c r="O65" s="17">
        <v>348000</v>
      </c>
      <c r="P65">
        <v>0</v>
      </c>
    </row>
    <row r="66" spans="1:27" x14ac:dyDescent="0.35">
      <c r="A66" t="s">
        <v>270</v>
      </c>
      <c r="X66" s="17">
        <v>5500000</v>
      </c>
      <c r="Y66" s="17">
        <v>5500000</v>
      </c>
    </row>
    <row r="67" spans="1:27" x14ac:dyDescent="0.35">
      <c r="A67" t="s">
        <v>271</v>
      </c>
      <c r="B67" s="17">
        <v>2372000</v>
      </c>
      <c r="C67" s="17">
        <v>2579000</v>
      </c>
      <c r="D67" s="17">
        <v>2767000</v>
      </c>
      <c r="E67" s="17">
        <v>3948000</v>
      </c>
      <c r="F67" s="17">
        <v>3322000</v>
      </c>
      <c r="G67" s="17"/>
      <c r="H67" s="17"/>
      <c r="I67" s="17">
        <v>4131000</v>
      </c>
      <c r="J67" s="17">
        <v>4000</v>
      </c>
      <c r="K67" s="17">
        <v>9446000</v>
      </c>
      <c r="L67" s="17">
        <v>12298000</v>
      </c>
      <c r="M67" s="17">
        <v>13502000</v>
      </c>
      <c r="N67" s="17">
        <v>13120000</v>
      </c>
      <c r="O67" s="17">
        <v>12277000</v>
      </c>
      <c r="P67" s="17">
        <v>15201000</v>
      </c>
      <c r="Q67" s="17">
        <v>13361000</v>
      </c>
      <c r="R67" s="17">
        <v>6705000</v>
      </c>
      <c r="S67" s="17">
        <v>34766000</v>
      </c>
      <c r="T67" s="17">
        <v>33270000</v>
      </c>
      <c r="U67" s="17">
        <v>32386000</v>
      </c>
      <c r="V67" s="17">
        <v>13997000</v>
      </c>
      <c r="W67" s="17">
        <v>1486000</v>
      </c>
      <c r="X67" s="17">
        <v>2119000</v>
      </c>
      <c r="Y67" s="17">
        <v>2268000</v>
      </c>
    </row>
    <row r="68" spans="1:27" x14ac:dyDescent="0.35">
      <c r="A68" t="s">
        <v>272</v>
      </c>
      <c r="B68" s="17">
        <v>14082000</v>
      </c>
      <c r="C68" s="17">
        <v>817931000</v>
      </c>
      <c r="D68" s="17">
        <v>1453923000</v>
      </c>
      <c r="E68" s="17">
        <v>1835732000</v>
      </c>
      <c r="F68" s="17">
        <v>1293283000</v>
      </c>
      <c r="G68" s="17"/>
      <c r="H68" s="17"/>
      <c r="I68" s="17">
        <v>290633000</v>
      </c>
      <c r="J68" s="17">
        <v>131905000</v>
      </c>
      <c r="K68" s="17">
        <v>150308000</v>
      </c>
      <c r="L68" s="17">
        <v>368298000</v>
      </c>
      <c r="M68" s="17">
        <v>399284000</v>
      </c>
      <c r="N68" s="17">
        <v>421629000</v>
      </c>
      <c r="O68" s="17">
        <v>625197000</v>
      </c>
      <c r="P68" s="17">
        <v>624744000</v>
      </c>
      <c r="Q68" s="17">
        <v>617400000</v>
      </c>
      <c r="R68" s="17">
        <v>491780000</v>
      </c>
      <c r="S68" s="17">
        <v>376106000</v>
      </c>
      <c r="T68" s="17">
        <v>287620000</v>
      </c>
      <c r="U68" s="17">
        <v>287163000</v>
      </c>
      <c r="V68" s="17">
        <v>444113000</v>
      </c>
      <c r="W68" s="17">
        <v>208258000</v>
      </c>
      <c r="X68" s="17">
        <v>18914000</v>
      </c>
      <c r="Y68" s="17">
        <v>-3591000</v>
      </c>
      <c r="Z68" s="17">
        <v>-1642000</v>
      </c>
      <c r="AA68" s="17">
        <v>389000</v>
      </c>
    </row>
    <row r="69" spans="1:27" x14ac:dyDescent="0.35">
      <c r="A69" t="s">
        <v>273</v>
      </c>
      <c r="B69" s="17">
        <v>14082000</v>
      </c>
      <c r="C69" s="17">
        <v>817931000</v>
      </c>
      <c r="D69" s="17">
        <v>1453923000</v>
      </c>
      <c r="E69" s="17">
        <v>1835732000</v>
      </c>
      <c r="F69" s="17">
        <v>1293283000</v>
      </c>
      <c r="G69" s="17"/>
      <c r="H69" s="17"/>
      <c r="I69" s="17">
        <v>290633000</v>
      </c>
      <c r="J69" s="17">
        <v>131905000</v>
      </c>
      <c r="K69" s="17">
        <v>150308000</v>
      </c>
      <c r="L69" s="17">
        <v>368298000</v>
      </c>
      <c r="M69" s="17">
        <v>399284000</v>
      </c>
      <c r="N69" s="17">
        <v>421629000</v>
      </c>
      <c r="O69" s="17">
        <v>625197000</v>
      </c>
      <c r="P69" s="17">
        <v>624744000</v>
      </c>
      <c r="Q69" s="17">
        <v>617400000</v>
      </c>
      <c r="R69" s="17">
        <v>491780000</v>
      </c>
      <c r="S69" s="17">
        <v>376106000</v>
      </c>
      <c r="T69" s="17">
        <v>287620000</v>
      </c>
      <c r="U69" s="17">
        <v>287163000</v>
      </c>
      <c r="V69" s="17">
        <v>444113000</v>
      </c>
      <c r="W69" s="17">
        <v>208258000</v>
      </c>
      <c r="X69" s="17">
        <v>18914000</v>
      </c>
      <c r="Y69" s="17">
        <v>-3591000</v>
      </c>
      <c r="Z69" s="17">
        <v>-1642000</v>
      </c>
      <c r="AA69" s="17">
        <v>389000</v>
      </c>
    </row>
    <row r="70" spans="1:27" x14ac:dyDescent="0.35">
      <c r="A70" t="s">
        <v>274</v>
      </c>
      <c r="B70" s="17">
        <v>106000</v>
      </c>
      <c r="C70" s="17">
        <v>110000</v>
      </c>
      <c r="D70" s="17">
        <v>110000</v>
      </c>
      <c r="E70" s="17">
        <v>110000</v>
      </c>
      <c r="F70" s="17">
        <v>111000</v>
      </c>
      <c r="G70" s="17"/>
      <c r="H70" s="17"/>
      <c r="I70" s="17">
        <v>105000</v>
      </c>
      <c r="J70" s="17">
        <v>104000</v>
      </c>
      <c r="K70" s="17">
        <v>103000</v>
      </c>
      <c r="L70" s="17">
        <v>182528000</v>
      </c>
      <c r="M70" s="17">
        <v>178995000</v>
      </c>
      <c r="N70" s="17">
        <v>175751000</v>
      </c>
      <c r="O70" s="17">
        <v>172771000</v>
      </c>
      <c r="P70" s="17">
        <v>92000</v>
      </c>
      <c r="Q70" s="17">
        <v>91000</v>
      </c>
      <c r="R70" s="17">
        <v>90000</v>
      </c>
      <c r="S70" s="17">
        <v>88000</v>
      </c>
      <c r="T70" s="17">
        <v>85000</v>
      </c>
      <c r="U70" s="17">
        <v>84000</v>
      </c>
      <c r="V70" s="17">
        <v>83000</v>
      </c>
      <c r="W70" s="17">
        <v>77000</v>
      </c>
      <c r="X70" s="17">
        <v>17000</v>
      </c>
      <c r="Y70" s="17">
        <v>1919000</v>
      </c>
      <c r="Z70" s="17">
        <v>394000</v>
      </c>
    </row>
    <row r="71" spans="1:27" x14ac:dyDescent="0.35">
      <c r="A71" t="s">
        <v>275</v>
      </c>
      <c r="K71">
        <v>0</v>
      </c>
      <c r="L71" s="17">
        <v>182433000</v>
      </c>
      <c r="M71" s="17">
        <v>178901000</v>
      </c>
      <c r="N71" s="17">
        <v>175657000</v>
      </c>
      <c r="O71" s="17">
        <v>172679000</v>
      </c>
      <c r="P71">
        <v>0</v>
      </c>
      <c r="Q71">
        <v>0</v>
      </c>
      <c r="R71">
        <v>0</v>
      </c>
      <c r="S71">
        <v>0</v>
      </c>
      <c r="T71">
        <v>0</v>
      </c>
    </row>
    <row r="72" spans="1:27" x14ac:dyDescent="0.35">
      <c r="A72" t="s">
        <v>276</v>
      </c>
      <c r="B72" s="17">
        <v>106000</v>
      </c>
      <c r="C72" s="17">
        <v>110000</v>
      </c>
      <c r="D72" s="17">
        <v>110000</v>
      </c>
      <c r="E72" s="17">
        <v>110000</v>
      </c>
      <c r="F72" s="17">
        <v>111000</v>
      </c>
      <c r="G72" s="17"/>
      <c r="H72" s="17"/>
      <c r="I72" s="17">
        <v>105000</v>
      </c>
      <c r="J72" s="17">
        <v>104000</v>
      </c>
      <c r="K72" s="17">
        <v>103000</v>
      </c>
      <c r="L72" s="17">
        <v>95000</v>
      </c>
      <c r="M72" s="17">
        <v>94000</v>
      </c>
      <c r="N72" s="17">
        <v>94000</v>
      </c>
      <c r="O72" s="17">
        <v>92000</v>
      </c>
      <c r="P72" s="17">
        <v>92000</v>
      </c>
      <c r="Q72" s="17">
        <v>91000</v>
      </c>
      <c r="R72" s="17">
        <v>90000</v>
      </c>
      <c r="S72" s="17">
        <v>88000</v>
      </c>
      <c r="T72" s="17">
        <v>85000</v>
      </c>
      <c r="U72" s="17">
        <v>84000</v>
      </c>
      <c r="V72" s="17">
        <v>83000</v>
      </c>
      <c r="W72" s="17">
        <v>77000</v>
      </c>
      <c r="X72" s="17">
        <v>17000</v>
      </c>
      <c r="Y72" s="17">
        <v>1919000</v>
      </c>
      <c r="Z72" s="17">
        <v>394000</v>
      </c>
    </row>
    <row r="73" spans="1:27" x14ac:dyDescent="0.35">
      <c r="A73" t="s">
        <v>277</v>
      </c>
      <c r="B73" s="17">
        <v>496036000</v>
      </c>
      <c r="C73" s="17">
        <v>797614000</v>
      </c>
      <c r="D73" s="17">
        <v>826685000</v>
      </c>
      <c r="E73" s="17">
        <v>859904000</v>
      </c>
      <c r="F73" s="17">
        <v>896605000</v>
      </c>
      <c r="G73" s="17"/>
      <c r="H73" s="17"/>
      <c r="I73" s="17">
        <v>482385000</v>
      </c>
      <c r="J73" s="17">
        <v>495903000</v>
      </c>
      <c r="K73" s="17">
        <v>481133000</v>
      </c>
      <c r="L73" s="17">
        <v>373045000</v>
      </c>
      <c r="M73" s="17">
        <v>364397000</v>
      </c>
      <c r="N73" s="17">
        <v>353241000</v>
      </c>
      <c r="O73" s="17">
        <v>345732000</v>
      </c>
      <c r="P73" s="17">
        <v>321532000</v>
      </c>
      <c r="Q73" s="17">
        <v>307823000</v>
      </c>
      <c r="R73" s="17">
        <v>293959000</v>
      </c>
      <c r="S73" s="17">
        <v>277293000</v>
      </c>
      <c r="T73" s="17">
        <v>266472000</v>
      </c>
      <c r="U73" s="17">
        <v>232037000</v>
      </c>
      <c r="V73" s="17">
        <v>211936000</v>
      </c>
      <c r="W73" s="17">
        <v>131796000</v>
      </c>
      <c r="X73" s="17">
        <v>13976000</v>
      </c>
    </row>
    <row r="74" spans="1:27" x14ac:dyDescent="0.35">
      <c r="A74" t="s">
        <v>278</v>
      </c>
      <c r="B74" s="17">
        <v>1279040000</v>
      </c>
      <c r="C74" s="17">
        <v>1819199000</v>
      </c>
      <c r="D74" s="17">
        <v>2611765000</v>
      </c>
      <c r="E74" s="17">
        <v>3561836000</v>
      </c>
      <c r="F74" s="17">
        <v>3480638000</v>
      </c>
      <c r="G74" s="17"/>
      <c r="H74" s="17"/>
      <c r="I74" s="17">
        <v>553346000</v>
      </c>
      <c r="J74" s="17">
        <v>240485000</v>
      </c>
      <c r="K74" s="17">
        <v>121215000</v>
      </c>
      <c r="L74" s="17">
        <v>190431000</v>
      </c>
      <c r="M74" s="17">
        <v>195725000</v>
      </c>
      <c r="N74" s="17">
        <v>227463000</v>
      </c>
      <c r="O74" s="17">
        <v>325470000</v>
      </c>
      <c r="P74" s="17">
        <v>344432000</v>
      </c>
      <c r="Q74" s="17">
        <v>334012000</v>
      </c>
      <c r="R74" s="17">
        <v>202669000</v>
      </c>
      <c r="S74" s="17">
        <v>89881000</v>
      </c>
      <c r="T74" s="17">
        <v>22155000</v>
      </c>
      <c r="U74" s="17">
        <v>64233000</v>
      </c>
      <c r="V74" s="17">
        <v>249309000</v>
      </c>
      <c r="W74" s="17">
        <v>81081000</v>
      </c>
      <c r="X74" s="17">
        <v>16697000</v>
      </c>
      <c r="Y74" s="17">
        <v>-3672000</v>
      </c>
      <c r="Z74" s="17">
        <v>-2036000</v>
      </c>
    </row>
    <row r="75" spans="1:27" x14ac:dyDescent="0.35">
      <c r="A75" t="s">
        <v>279</v>
      </c>
      <c r="B75" s="17">
        <v>1684262000</v>
      </c>
      <c r="C75" s="17">
        <v>1695501000</v>
      </c>
      <c r="D75" s="17">
        <v>1888869000</v>
      </c>
      <c r="E75" s="17">
        <v>2453473000</v>
      </c>
      <c r="F75" s="17">
        <v>3040416000</v>
      </c>
      <c r="G75" s="17"/>
      <c r="H75" s="17"/>
      <c r="I75" s="17">
        <v>688849000</v>
      </c>
      <c r="J75" s="17">
        <v>546208000</v>
      </c>
      <c r="K75" s="17">
        <v>397491000</v>
      </c>
      <c r="L75" s="17">
        <v>334312000</v>
      </c>
      <c r="M75" s="17">
        <v>284237000</v>
      </c>
      <c r="N75" s="17">
        <v>283913000</v>
      </c>
      <c r="O75" s="17">
        <v>200424000</v>
      </c>
      <c r="P75" s="17">
        <v>55964000</v>
      </c>
      <c r="Q75" s="17">
        <v>44214000</v>
      </c>
      <c r="R75" s="17">
        <v>19759000</v>
      </c>
      <c r="S75" s="17">
        <v>22008000</v>
      </c>
      <c r="T75" s="17">
        <v>25260000</v>
      </c>
      <c r="U75" s="17">
        <v>25022000</v>
      </c>
      <c r="V75" s="17">
        <v>25022000</v>
      </c>
    </row>
    <row r="76" spans="1:27" x14ac:dyDescent="0.35">
      <c r="A76" t="s">
        <v>280</v>
      </c>
      <c r="B76" s="17">
        <v>-76838000</v>
      </c>
      <c r="C76" s="17">
        <v>-103491000</v>
      </c>
      <c r="D76" s="17">
        <v>-95768000</v>
      </c>
      <c r="E76" s="17">
        <v>-132645000</v>
      </c>
      <c r="F76" s="17">
        <v>-43655000</v>
      </c>
      <c r="G76" s="17"/>
      <c r="H76" s="17"/>
      <c r="I76" s="17">
        <v>-56354000</v>
      </c>
      <c r="J76" s="17">
        <v>-58379000</v>
      </c>
      <c r="K76" s="17">
        <v>-54652000</v>
      </c>
      <c r="L76" s="17">
        <v>-43394000</v>
      </c>
      <c r="M76" s="17">
        <v>-55596000</v>
      </c>
      <c r="N76" s="17">
        <v>-50913000</v>
      </c>
      <c r="O76" s="17">
        <v>-18352000</v>
      </c>
      <c r="P76" s="17">
        <v>14652000</v>
      </c>
      <c r="Q76" s="17">
        <v>19688000</v>
      </c>
      <c r="R76" s="17">
        <v>14821000</v>
      </c>
      <c r="S76" s="17">
        <v>30852000</v>
      </c>
      <c r="T76" s="17">
        <v>24168000</v>
      </c>
      <c r="U76" s="17">
        <v>16077000</v>
      </c>
      <c r="V76" s="17">
        <v>7807000</v>
      </c>
      <c r="W76" s="17">
        <v>-4696000</v>
      </c>
      <c r="X76" s="17">
        <v>-11776000</v>
      </c>
      <c r="Y76" s="17">
        <v>-1838000</v>
      </c>
    </row>
    <row r="77" spans="1:27" x14ac:dyDescent="0.35">
      <c r="A77" t="s">
        <v>281</v>
      </c>
      <c r="B77" s="17">
        <v>-76838000</v>
      </c>
      <c r="C77" s="17">
        <v>-103491000</v>
      </c>
      <c r="D77" s="17">
        <v>-95768000</v>
      </c>
      <c r="E77" s="17">
        <v>-132645000</v>
      </c>
      <c r="F77" s="17">
        <v>-43655000</v>
      </c>
      <c r="G77" s="17"/>
      <c r="H77" s="17"/>
      <c r="I77" s="17">
        <v>-56354000</v>
      </c>
      <c r="J77" s="17">
        <v>-58379000</v>
      </c>
      <c r="K77" s="17">
        <v>-54652000</v>
      </c>
      <c r="L77" s="17">
        <v>-43394000</v>
      </c>
      <c r="M77" s="17">
        <v>-55596000</v>
      </c>
      <c r="N77" s="17">
        <v>-50913000</v>
      </c>
      <c r="O77" s="17">
        <v>-18352000</v>
      </c>
      <c r="P77" s="17">
        <v>14652000</v>
      </c>
      <c r="Q77" s="17">
        <v>19688000</v>
      </c>
      <c r="R77" s="17">
        <v>14821000</v>
      </c>
    </row>
    <row r="78" spans="1:27" x14ac:dyDescent="0.35">
      <c r="A78" t="s">
        <v>282</v>
      </c>
      <c r="U78" s="17">
        <v>-246000</v>
      </c>
    </row>
    <row r="79" spans="1:27" x14ac:dyDescent="0.35">
      <c r="A79" t="s">
        <v>283</v>
      </c>
      <c r="B79" s="17">
        <v>785472000</v>
      </c>
      <c r="C79" s="17">
        <v>3115958000</v>
      </c>
      <c r="D79" s="17">
        <v>3094919000</v>
      </c>
      <c r="E79" s="17">
        <v>3185071000</v>
      </c>
      <c r="F79" s="17">
        <v>2524168000</v>
      </c>
      <c r="G79" s="17"/>
      <c r="H79" s="17"/>
      <c r="I79" s="17">
        <v>470633000</v>
      </c>
      <c r="J79" s="17">
        <v>336905000</v>
      </c>
      <c r="K79" s="17">
        <v>270308000</v>
      </c>
      <c r="L79" s="17">
        <v>368298000</v>
      </c>
      <c r="M79" s="17">
        <v>399284000</v>
      </c>
      <c r="N79" s="17">
        <v>423256000</v>
      </c>
      <c r="O79" s="17">
        <v>631578000</v>
      </c>
      <c r="P79" s="17">
        <v>636414000</v>
      </c>
      <c r="Q79" s="17">
        <v>621996000</v>
      </c>
      <c r="R79" s="17">
        <v>491780000</v>
      </c>
      <c r="S79" s="17">
        <v>376106000</v>
      </c>
      <c r="T79" s="17">
        <v>287620000</v>
      </c>
      <c r="U79" s="17">
        <v>287163000</v>
      </c>
      <c r="V79" s="17">
        <v>444122000</v>
      </c>
      <c r="W79" s="17">
        <v>208258000</v>
      </c>
      <c r="X79" s="17">
        <v>22336000</v>
      </c>
      <c r="Y79" s="17">
        <v>-2182000</v>
      </c>
      <c r="Z79" s="17">
        <v>-1642000</v>
      </c>
      <c r="AA79" s="17">
        <v>389000</v>
      </c>
    </row>
    <row r="80" spans="1:27" x14ac:dyDescent="0.35">
      <c r="A80" t="s">
        <v>284</v>
      </c>
      <c r="L80" s="17">
        <v>182433000</v>
      </c>
      <c r="M80" s="17">
        <v>178901000</v>
      </c>
      <c r="N80" s="17">
        <v>175657000</v>
      </c>
      <c r="O80" s="17">
        <v>172679000</v>
      </c>
    </row>
    <row r="81" spans="1:27" x14ac:dyDescent="0.35">
      <c r="A81" t="s">
        <v>285</v>
      </c>
      <c r="B81" s="17">
        <v>14082000</v>
      </c>
      <c r="C81" s="17">
        <v>817931000</v>
      </c>
      <c r="D81" s="17">
        <v>1453923000</v>
      </c>
      <c r="E81" s="17">
        <v>1835732000</v>
      </c>
      <c r="F81" s="17">
        <v>1293283000</v>
      </c>
      <c r="G81" s="17"/>
      <c r="H81" s="17"/>
      <c r="I81" s="17">
        <v>290633000</v>
      </c>
      <c r="J81" s="17">
        <v>131905000</v>
      </c>
      <c r="K81" s="17">
        <v>150308000</v>
      </c>
      <c r="L81" s="17">
        <v>185865000</v>
      </c>
      <c r="M81" s="17">
        <v>220383000</v>
      </c>
      <c r="N81" s="17">
        <v>245972000</v>
      </c>
      <c r="O81" s="17">
        <v>452518000</v>
      </c>
      <c r="P81" s="17">
        <v>624744000</v>
      </c>
      <c r="Q81" s="17">
        <v>617400000</v>
      </c>
      <c r="R81" s="17">
        <v>491780000</v>
      </c>
      <c r="S81" s="17">
        <v>376106000</v>
      </c>
      <c r="T81" s="17">
        <v>287620000</v>
      </c>
      <c r="U81" s="17">
        <v>287163000</v>
      </c>
      <c r="V81" s="17">
        <v>444113000</v>
      </c>
      <c r="W81" s="17">
        <v>208258000</v>
      </c>
      <c r="X81" s="17">
        <v>18914000</v>
      </c>
      <c r="Y81" s="17">
        <v>-3591000</v>
      </c>
      <c r="Z81" s="17">
        <v>-1642000</v>
      </c>
      <c r="AA81" s="17">
        <v>389000</v>
      </c>
    </row>
    <row r="82" spans="1:27" x14ac:dyDescent="0.35">
      <c r="A82" t="s">
        <v>286</v>
      </c>
      <c r="B82" s="17">
        <v>192169000</v>
      </c>
      <c r="C82" s="17">
        <v>272575000</v>
      </c>
      <c r="D82" s="17">
        <v>332036000</v>
      </c>
      <c r="E82" s="17">
        <v>351957000</v>
      </c>
      <c r="F82" s="17">
        <v>382964000</v>
      </c>
      <c r="G82" s="17"/>
      <c r="H82" s="17"/>
      <c r="I82" s="17">
        <v>193465000</v>
      </c>
      <c r="J82" s="17">
        <v>188733000</v>
      </c>
      <c r="K82">
        <v>0</v>
      </c>
      <c r="R82" s="17">
        <v>1118000</v>
      </c>
      <c r="W82" s="17">
        <v>116000</v>
      </c>
    </row>
    <row r="83" spans="1:27" x14ac:dyDescent="0.35">
      <c r="A83" t="s">
        <v>287</v>
      </c>
      <c r="B83" s="17">
        <v>-16320000</v>
      </c>
      <c r="C83" s="17">
        <v>-1697050000</v>
      </c>
      <c r="D83" s="17">
        <v>-1050227000</v>
      </c>
      <c r="E83" s="17">
        <v>-652839000</v>
      </c>
      <c r="F83" s="17">
        <v>-436086000</v>
      </c>
      <c r="G83" s="17"/>
      <c r="H83" s="17"/>
      <c r="I83" s="17">
        <v>251278000</v>
      </c>
      <c r="J83" s="17">
        <v>83232000</v>
      </c>
      <c r="K83" s="17">
        <v>103004000</v>
      </c>
      <c r="L83" s="17">
        <v>310183000</v>
      </c>
      <c r="M83" s="17">
        <v>325104000</v>
      </c>
      <c r="N83" s="17">
        <v>337359000</v>
      </c>
      <c r="O83" s="17">
        <v>525816000</v>
      </c>
      <c r="P83" s="17">
        <v>549922000</v>
      </c>
      <c r="Q83" s="17">
        <v>557469000</v>
      </c>
      <c r="R83" s="17">
        <v>443139000</v>
      </c>
      <c r="S83" s="17">
        <v>330645000</v>
      </c>
      <c r="T83" s="17">
        <v>251636000</v>
      </c>
      <c r="U83" s="17">
        <v>246271000</v>
      </c>
      <c r="V83" s="17">
        <v>388720000</v>
      </c>
      <c r="W83" s="17">
        <v>184496000</v>
      </c>
      <c r="X83" s="17">
        <v>13267000</v>
      </c>
      <c r="Y83" s="17">
        <v>-9019000</v>
      </c>
      <c r="Z83" s="17">
        <v>-1652000</v>
      </c>
      <c r="AA83" s="17">
        <v>389000</v>
      </c>
    </row>
    <row r="84" spans="1:27" x14ac:dyDescent="0.35">
      <c r="A84" t="s">
        <v>288</v>
      </c>
      <c r="B84" s="17">
        <v>278326000</v>
      </c>
      <c r="C84" s="17">
        <v>384701000</v>
      </c>
      <c r="D84" s="17">
        <v>212408000</v>
      </c>
      <c r="E84" s="17">
        <v>132061000</v>
      </c>
      <c r="F84" s="17">
        <v>185754000</v>
      </c>
      <c r="G84" s="17"/>
      <c r="H84" s="17"/>
      <c r="I84" s="17">
        <v>201257000</v>
      </c>
      <c r="J84" s="17">
        <v>168159000</v>
      </c>
      <c r="K84" s="17">
        <v>195807000</v>
      </c>
      <c r="L84" s="17">
        <v>268031000</v>
      </c>
      <c r="M84" s="17">
        <v>276335000</v>
      </c>
      <c r="N84" s="17">
        <v>278852000</v>
      </c>
      <c r="O84" s="17">
        <v>441523000</v>
      </c>
      <c r="P84" s="17">
        <v>453149000</v>
      </c>
      <c r="Q84" s="17">
        <v>455177000</v>
      </c>
      <c r="R84" s="17">
        <v>370040000</v>
      </c>
      <c r="S84" s="17">
        <v>243252000</v>
      </c>
      <c r="T84" s="17">
        <v>180598000</v>
      </c>
      <c r="U84" s="17">
        <v>145838000</v>
      </c>
      <c r="V84" s="17">
        <v>300502000</v>
      </c>
      <c r="W84" s="17">
        <v>149782000</v>
      </c>
      <c r="X84" s="17">
        <v>10048000</v>
      </c>
      <c r="Y84" s="17">
        <v>-1785000</v>
      </c>
      <c r="Z84" s="17">
        <v>215000</v>
      </c>
    </row>
    <row r="85" spans="1:27" x14ac:dyDescent="0.35">
      <c r="A85" t="s">
        <v>289</v>
      </c>
      <c r="B85" s="17">
        <v>785472000</v>
      </c>
      <c r="C85" s="17">
        <v>3140320000</v>
      </c>
      <c r="D85" s="17">
        <v>3118247000</v>
      </c>
      <c r="E85" s="17">
        <v>3185071000</v>
      </c>
      <c r="F85" s="17">
        <v>2524168000</v>
      </c>
      <c r="G85" s="17"/>
      <c r="H85" s="17"/>
      <c r="I85" s="17">
        <v>470633000</v>
      </c>
      <c r="J85" s="17">
        <v>336905000</v>
      </c>
      <c r="K85" s="17">
        <v>270308000</v>
      </c>
      <c r="L85" s="17">
        <v>186527000</v>
      </c>
      <c r="M85" s="17">
        <v>222721000</v>
      </c>
      <c r="N85" s="17">
        <v>252371000</v>
      </c>
      <c r="O85" s="17">
        <v>464187000</v>
      </c>
      <c r="P85" s="17">
        <v>641590000</v>
      </c>
      <c r="Q85" s="17">
        <v>631978000</v>
      </c>
      <c r="R85" s="17">
        <v>502031000</v>
      </c>
      <c r="S85" s="17">
        <v>378007000</v>
      </c>
      <c r="T85" s="17">
        <v>288260000</v>
      </c>
      <c r="U85" s="17">
        <v>309594000</v>
      </c>
      <c r="V85" s="17">
        <v>451229000</v>
      </c>
      <c r="W85" s="17">
        <v>208799000</v>
      </c>
      <c r="X85" s="17">
        <v>30839000</v>
      </c>
      <c r="Y85" s="17">
        <v>-1204000</v>
      </c>
      <c r="Z85" s="17">
        <v>-1642000</v>
      </c>
      <c r="AA85" s="17">
        <v>389000</v>
      </c>
    </row>
    <row r="86" spans="1:27" x14ac:dyDescent="0.35">
      <c r="A86" t="s">
        <v>290</v>
      </c>
      <c r="B86" s="17">
        <v>-16320000</v>
      </c>
      <c r="C86" s="17">
        <v>-1697050000</v>
      </c>
      <c r="D86" s="17">
        <v>-1050227000</v>
      </c>
      <c r="E86" s="17">
        <v>-652839000</v>
      </c>
      <c r="F86" s="17">
        <v>-436086000</v>
      </c>
      <c r="G86" s="17"/>
      <c r="H86" s="17"/>
      <c r="I86" s="17">
        <v>251278000</v>
      </c>
      <c r="J86" s="17">
        <v>83232000</v>
      </c>
      <c r="K86" s="17">
        <v>103004000</v>
      </c>
      <c r="L86" s="17">
        <v>127750000</v>
      </c>
      <c r="M86" s="17">
        <v>146203000</v>
      </c>
      <c r="N86" s="17">
        <v>161702000</v>
      </c>
      <c r="O86" s="17">
        <v>353137000</v>
      </c>
      <c r="P86" s="17">
        <v>549922000</v>
      </c>
      <c r="Q86" s="17">
        <v>557469000</v>
      </c>
      <c r="R86" s="17">
        <v>443139000</v>
      </c>
      <c r="S86" s="17">
        <v>330645000</v>
      </c>
      <c r="T86" s="17">
        <v>251636000</v>
      </c>
      <c r="U86" s="17">
        <v>246271000</v>
      </c>
      <c r="V86" s="17">
        <v>388720000</v>
      </c>
      <c r="W86" s="17">
        <v>184496000</v>
      </c>
      <c r="X86" s="17">
        <v>13267000</v>
      </c>
      <c r="Y86" s="17">
        <v>-9019000</v>
      </c>
      <c r="Z86" s="17">
        <v>-1652000</v>
      </c>
      <c r="AA86" s="17">
        <v>389000</v>
      </c>
    </row>
    <row r="87" spans="1:27" x14ac:dyDescent="0.35">
      <c r="A87" t="s">
        <v>291</v>
      </c>
      <c r="B87" s="17">
        <v>963559000</v>
      </c>
      <c r="C87" s="17">
        <v>2594964000</v>
      </c>
      <c r="D87" s="17">
        <v>1996360000</v>
      </c>
      <c r="E87" s="17">
        <v>1701296000</v>
      </c>
      <c r="F87" s="17">
        <v>1613849000</v>
      </c>
      <c r="G87" s="17"/>
      <c r="H87" s="17"/>
      <c r="I87" s="17">
        <v>373465000</v>
      </c>
      <c r="J87" s="17">
        <v>393733000</v>
      </c>
      <c r="K87" s="17">
        <v>120000000</v>
      </c>
      <c r="L87" s="17">
        <v>662000</v>
      </c>
      <c r="M87" s="17">
        <v>2338000</v>
      </c>
      <c r="N87" s="17">
        <v>6399000</v>
      </c>
      <c r="O87" s="17">
        <v>11669000</v>
      </c>
      <c r="P87" s="17">
        <v>16846000</v>
      </c>
      <c r="Q87" s="17">
        <v>14578000</v>
      </c>
      <c r="R87" s="17">
        <v>10251000</v>
      </c>
      <c r="S87" s="17">
        <v>1901000</v>
      </c>
      <c r="T87" s="17">
        <v>640000</v>
      </c>
      <c r="U87" s="17">
        <v>22431000</v>
      </c>
      <c r="V87" s="17">
        <v>7116000</v>
      </c>
      <c r="W87" s="17">
        <v>657000</v>
      </c>
      <c r="X87" s="17">
        <v>11925000</v>
      </c>
      <c r="Y87" s="17">
        <v>2387000</v>
      </c>
    </row>
    <row r="88" spans="1:27" x14ac:dyDescent="0.35">
      <c r="A88" t="s">
        <v>292</v>
      </c>
      <c r="B88" s="17">
        <v>558193000</v>
      </c>
      <c r="C88" s="17">
        <v>2130760000</v>
      </c>
      <c r="D88" s="17">
        <v>1515036000</v>
      </c>
      <c r="E88" s="17">
        <v>1168854000</v>
      </c>
      <c r="F88" s="17">
        <v>1100531000</v>
      </c>
      <c r="G88" s="17"/>
      <c r="H88" s="17"/>
      <c r="I88" s="17">
        <v>44198000</v>
      </c>
      <c r="J88" s="17">
        <v>96747000</v>
      </c>
      <c r="X88" s="17">
        <v>7138000</v>
      </c>
      <c r="Y88" s="17">
        <v>1333000</v>
      </c>
    </row>
    <row r="89" spans="1:27" x14ac:dyDescent="0.35">
      <c r="A89" t="s">
        <v>293</v>
      </c>
      <c r="B89" s="17">
        <v>105900000</v>
      </c>
      <c r="C89" s="17">
        <v>109400000</v>
      </c>
      <c r="D89" s="17">
        <v>110100000</v>
      </c>
      <c r="E89" s="17">
        <v>110400000</v>
      </c>
      <c r="F89" s="17">
        <v>110700000</v>
      </c>
      <c r="G89" s="17"/>
      <c r="H89" s="17"/>
      <c r="I89" s="17">
        <v>105000000</v>
      </c>
      <c r="J89" s="17">
        <v>104000000</v>
      </c>
      <c r="K89" s="17">
        <v>103000000</v>
      </c>
      <c r="L89" s="17">
        <v>94800000</v>
      </c>
      <c r="M89" s="17">
        <v>93900000</v>
      </c>
      <c r="N89" s="17">
        <v>93101007</v>
      </c>
      <c r="O89" s="17">
        <v>92325201</v>
      </c>
      <c r="P89" s="17">
        <v>91662656</v>
      </c>
      <c r="Q89" s="17">
        <v>91047297</v>
      </c>
      <c r="R89" s="17">
        <v>90306432</v>
      </c>
      <c r="S89" s="17">
        <v>88600860</v>
      </c>
      <c r="T89" s="17">
        <v>86224760</v>
      </c>
      <c r="U89" s="17">
        <v>84304065</v>
      </c>
      <c r="V89" s="17">
        <v>82198426</v>
      </c>
      <c r="W89" s="17">
        <v>78681418</v>
      </c>
      <c r="X89" s="17">
        <v>76544494</v>
      </c>
      <c r="Y89" s="17">
        <v>76544494</v>
      </c>
      <c r="Z89" s="17">
        <v>76544494</v>
      </c>
      <c r="AA89" s="17">
        <v>76544494</v>
      </c>
    </row>
    <row r="90" spans="1:27" x14ac:dyDescent="0.35">
      <c r="A90" t="s">
        <v>294</v>
      </c>
      <c r="B90" s="17">
        <v>58300000</v>
      </c>
      <c r="C90" s="17">
        <v>61700000</v>
      </c>
      <c r="D90" s="17">
        <v>60500000</v>
      </c>
      <c r="E90" s="17">
        <v>56500000</v>
      </c>
      <c r="F90" s="17">
        <v>50200000</v>
      </c>
      <c r="G90" s="17"/>
      <c r="H90" s="17"/>
      <c r="I90" s="17">
        <v>65900000</v>
      </c>
      <c r="J90" s="17">
        <v>68200000</v>
      </c>
      <c r="K90" s="17">
        <v>73300000</v>
      </c>
      <c r="L90" s="17">
        <v>68800000</v>
      </c>
      <c r="M90" s="17">
        <v>73600000</v>
      </c>
      <c r="N90" s="17">
        <v>72851418</v>
      </c>
      <c r="O90" s="17">
        <v>78516566</v>
      </c>
      <c r="P90" s="17">
        <v>88450203</v>
      </c>
      <c r="Q90" s="17">
        <v>88662845</v>
      </c>
      <c r="R90" s="17">
        <v>89807146</v>
      </c>
      <c r="S90" s="17">
        <v>88065859</v>
      </c>
      <c r="T90" s="17">
        <v>85659581</v>
      </c>
      <c r="U90" s="17">
        <v>83780065</v>
      </c>
      <c r="V90" s="17">
        <v>82198426</v>
      </c>
      <c r="W90" s="17">
        <v>78681418</v>
      </c>
      <c r="X90" s="17">
        <v>76544494</v>
      </c>
      <c r="Y90" s="17">
        <v>76544494</v>
      </c>
      <c r="Z90" s="17">
        <v>76544494</v>
      </c>
      <c r="AA90" s="17">
        <v>76544494</v>
      </c>
    </row>
    <row r="91" spans="1:27" x14ac:dyDescent="0.35">
      <c r="A91" t="s">
        <v>295</v>
      </c>
      <c r="N91" s="17">
        <v>200000</v>
      </c>
    </row>
    <row r="92" spans="1:27" x14ac:dyDescent="0.35">
      <c r="A92" t="s">
        <v>296</v>
      </c>
      <c r="B92" s="17">
        <v>47600000</v>
      </c>
      <c r="C92" s="17">
        <v>47700000</v>
      </c>
      <c r="D92" s="17">
        <v>49600000</v>
      </c>
      <c r="E92" s="17">
        <v>53900000</v>
      </c>
      <c r="F92" s="17">
        <v>60500000</v>
      </c>
      <c r="G92" s="17"/>
      <c r="H92" s="17"/>
      <c r="I92" s="17">
        <v>39100000</v>
      </c>
      <c r="J92" s="17">
        <v>35800000</v>
      </c>
      <c r="K92" s="17">
        <v>29700000</v>
      </c>
      <c r="L92" s="17">
        <v>26000000</v>
      </c>
      <c r="M92" s="17">
        <v>20300000</v>
      </c>
      <c r="N92" s="17">
        <v>20249589</v>
      </c>
      <c r="O92" s="17">
        <v>13808635</v>
      </c>
      <c r="P92" s="17">
        <v>3212453</v>
      </c>
      <c r="Q92" s="17">
        <v>2384452</v>
      </c>
      <c r="R92" s="17">
        <v>499286</v>
      </c>
      <c r="S92" s="17">
        <v>535001</v>
      </c>
      <c r="T92" s="17">
        <v>565179</v>
      </c>
      <c r="U92" s="17">
        <v>524000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75EF4-54D6-4B11-869F-88F285E693FA}">
  <dimension ref="A1:Z75"/>
  <sheetViews>
    <sheetView topLeftCell="A50" workbookViewId="0">
      <selection activeCell="G18" sqref="G18"/>
    </sheetView>
  </sheetViews>
  <sheetFormatPr defaultRowHeight="14.5" x14ac:dyDescent="0.35"/>
  <cols>
    <col min="1" max="1" width="42.81640625" bestFit="1" customWidth="1"/>
    <col min="2" max="3" width="13.1796875" bestFit="1" customWidth="1"/>
    <col min="4" max="6" width="11.54296875" bestFit="1" customWidth="1"/>
    <col min="7" max="8" width="11.54296875" customWidth="1"/>
    <col min="9" max="11" width="11.54296875" bestFit="1" customWidth="1"/>
    <col min="12" max="13" width="10.90625" bestFit="1" customWidth="1"/>
    <col min="14" max="15" width="11.54296875" bestFit="1" customWidth="1"/>
    <col min="16" max="17" width="10.90625" bestFit="1" customWidth="1"/>
    <col min="18" max="18" width="11.54296875" bestFit="1" customWidth="1"/>
    <col min="19" max="19" width="10.90625" bestFit="1" customWidth="1"/>
    <col min="20" max="20" width="10.54296875" bestFit="1" customWidth="1"/>
    <col min="21" max="22" width="11.54296875" bestFit="1" customWidth="1"/>
    <col min="23" max="24" width="10.54296875" bestFit="1" customWidth="1"/>
    <col min="25" max="26" width="10.08984375" bestFit="1" customWidth="1"/>
  </cols>
  <sheetData>
    <row r="1" spans="1:26" x14ac:dyDescent="0.35">
      <c r="A1" t="s">
        <v>117</v>
      </c>
      <c r="B1" s="16">
        <v>44561</v>
      </c>
      <c r="C1" s="16">
        <v>44926</v>
      </c>
      <c r="D1" s="16">
        <v>45291</v>
      </c>
      <c r="E1" s="16">
        <v>45657</v>
      </c>
      <c r="F1" s="16">
        <v>46022</v>
      </c>
      <c r="I1" s="16">
        <v>44196</v>
      </c>
      <c r="J1" s="16">
        <v>43830</v>
      </c>
      <c r="K1" s="16">
        <v>43465</v>
      </c>
      <c r="L1" s="16">
        <v>43100</v>
      </c>
      <c r="M1" s="16">
        <v>42735</v>
      </c>
      <c r="N1" s="16">
        <v>42369</v>
      </c>
      <c r="O1" s="16">
        <v>42004</v>
      </c>
      <c r="P1" s="16">
        <v>41639</v>
      </c>
      <c r="Q1" s="16">
        <v>41274</v>
      </c>
      <c r="R1" s="16">
        <v>40908</v>
      </c>
      <c r="S1" s="16">
        <v>40543</v>
      </c>
      <c r="T1" s="16">
        <v>40178</v>
      </c>
      <c r="U1" s="16">
        <v>39813</v>
      </c>
      <c r="V1" s="16">
        <v>39447</v>
      </c>
      <c r="W1" s="16">
        <v>39082</v>
      </c>
      <c r="X1" s="16">
        <v>38717</v>
      </c>
      <c r="Y1" s="16">
        <v>38352</v>
      </c>
      <c r="Z1" s="16">
        <v>37986</v>
      </c>
    </row>
    <row r="2" spans="1:26" x14ac:dyDescent="0.35">
      <c r="A2" t="s">
        <v>297</v>
      </c>
      <c r="B2" s="17">
        <v>567165000</v>
      </c>
      <c r="C2" s="17">
        <v>603142000</v>
      </c>
      <c r="D2" s="17">
        <v>930444000</v>
      </c>
      <c r="E2" s="17">
        <v>992486000</v>
      </c>
      <c r="F2" s="17">
        <v>710431000</v>
      </c>
      <c r="G2" s="17"/>
      <c r="H2" s="17"/>
      <c r="I2" s="17">
        <v>266902000</v>
      </c>
      <c r="J2" s="17">
        <v>89958000</v>
      </c>
      <c r="K2" s="17">
        <v>114162000</v>
      </c>
      <c r="L2" s="17">
        <v>98264000</v>
      </c>
      <c r="M2" s="17">
        <v>39754000</v>
      </c>
      <c r="N2" s="17">
        <v>9698000</v>
      </c>
      <c r="O2" s="17">
        <v>-11651000</v>
      </c>
      <c r="P2" s="17">
        <v>83464000</v>
      </c>
      <c r="Q2" s="17">
        <v>128356000</v>
      </c>
      <c r="R2" s="17">
        <v>142376000</v>
      </c>
      <c r="S2" s="17">
        <v>104274000</v>
      </c>
      <c r="T2" s="17">
        <v>61109000</v>
      </c>
      <c r="U2" s="17">
        <v>72863000</v>
      </c>
      <c r="V2" s="17">
        <v>8938000</v>
      </c>
      <c r="W2" s="17">
        <v>12343000</v>
      </c>
      <c r="X2" s="17">
        <v>10502000</v>
      </c>
      <c r="Y2" s="17">
        <v>777000</v>
      </c>
      <c r="Z2" s="17">
        <v>-439000</v>
      </c>
    </row>
    <row r="3" spans="1:26" x14ac:dyDescent="0.35">
      <c r="A3" t="s">
        <v>298</v>
      </c>
      <c r="B3" s="17">
        <v>567165000</v>
      </c>
      <c r="C3" s="17">
        <v>603142000</v>
      </c>
      <c r="D3" s="17">
        <v>930444000</v>
      </c>
      <c r="E3" s="17">
        <v>992486000</v>
      </c>
      <c r="F3" s="17">
        <v>710431000</v>
      </c>
      <c r="G3" s="17"/>
      <c r="H3" s="17"/>
      <c r="I3" s="17">
        <v>266902000</v>
      </c>
      <c r="J3" s="17">
        <v>89958000</v>
      </c>
      <c r="K3" s="17">
        <v>114162000</v>
      </c>
      <c r="L3" s="17">
        <v>98264000</v>
      </c>
      <c r="M3" s="17">
        <v>39754000</v>
      </c>
      <c r="N3" s="17">
        <v>9698000</v>
      </c>
      <c r="O3" s="17">
        <v>-11651000</v>
      </c>
      <c r="P3" s="17">
        <v>83464000</v>
      </c>
      <c r="Q3" s="17">
        <v>128356000</v>
      </c>
      <c r="R3" s="17">
        <v>142376000</v>
      </c>
      <c r="S3" s="17">
        <v>104274000</v>
      </c>
      <c r="T3" s="17">
        <v>61109000</v>
      </c>
      <c r="U3" s="17">
        <v>72863000</v>
      </c>
      <c r="V3" s="17">
        <v>8938000</v>
      </c>
      <c r="W3" s="17">
        <v>12343000</v>
      </c>
      <c r="X3" s="17">
        <v>10502000</v>
      </c>
      <c r="Y3" s="17">
        <v>777000</v>
      </c>
      <c r="Z3" s="17">
        <v>-439000</v>
      </c>
    </row>
    <row r="4" spans="1:26" x14ac:dyDescent="0.35">
      <c r="A4" t="s">
        <v>299</v>
      </c>
      <c r="B4" s="17">
        <v>725694000</v>
      </c>
      <c r="C4" s="17">
        <v>540159000</v>
      </c>
      <c r="D4" s="17">
        <v>792566000</v>
      </c>
      <c r="E4" s="17">
        <v>950071000</v>
      </c>
      <c r="F4" s="17">
        <v>-81198000</v>
      </c>
      <c r="G4" s="17"/>
      <c r="H4" s="17"/>
      <c r="I4" s="17">
        <v>312861000</v>
      </c>
      <c r="J4" s="17">
        <v>119497000</v>
      </c>
      <c r="K4" s="17">
        <v>50437000</v>
      </c>
      <c r="L4" s="17">
        <v>10238000</v>
      </c>
      <c r="M4" s="17">
        <v>-16494000</v>
      </c>
      <c r="N4" s="17">
        <v>-83196000</v>
      </c>
      <c r="O4" s="17">
        <v>-4926000</v>
      </c>
      <c r="P4" s="17">
        <v>10420000</v>
      </c>
      <c r="Q4" s="17">
        <v>131343000</v>
      </c>
      <c r="R4" s="17">
        <v>112788000</v>
      </c>
      <c r="S4" s="17">
        <v>67726000</v>
      </c>
      <c r="T4" s="17">
        <v>-42078000</v>
      </c>
      <c r="U4" s="17">
        <v>-185076000</v>
      </c>
      <c r="V4" s="17">
        <v>168228000</v>
      </c>
      <c r="W4" s="17">
        <v>64417000</v>
      </c>
      <c r="X4" s="17">
        <v>16972000</v>
      </c>
      <c r="Y4" s="17">
        <v>-1494000</v>
      </c>
      <c r="Z4" s="17">
        <v>-1200000</v>
      </c>
    </row>
    <row r="5" spans="1:26" x14ac:dyDescent="0.35">
      <c r="A5" t="s">
        <v>300</v>
      </c>
      <c r="B5" s="17">
        <v>310000</v>
      </c>
      <c r="C5" s="17">
        <v>9063000</v>
      </c>
      <c r="D5" s="17">
        <v>419000</v>
      </c>
      <c r="E5" s="17">
        <v>958000</v>
      </c>
      <c r="I5" s="17">
        <v>466000</v>
      </c>
      <c r="J5" s="17">
        <v>-1353000</v>
      </c>
      <c r="K5" s="17">
        <v>3564000</v>
      </c>
      <c r="L5" s="17">
        <v>183000</v>
      </c>
      <c r="M5" s="17">
        <v>-8480000</v>
      </c>
      <c r="N5" s="17">
        <v>-814000</v>
      </c>
      <c r="O5" s="17">
        <v>-11100000</v>
      </c>
      <c r="P5" s="17">
        <v>-6420000</v>
      </c>
      <c r="Q5" s="17">
        <v>13928000</v>
      </c>
      <c r="R5" s="17">
        <v>-11892000</v>
      </c>
      <c r="S5" s="17">
        <v>1334000</v>
      </c>
      <c r="T5" s="17">
        <v>-11267000</v>
      </c>
      <c r="U5" s="17">
        <v>26403000</v>
      </c>
      <c r="V5" s="17">
        <v>-8384000</v>
      </c>
      <c r="W5" s="17">
        <v>137000</v>
      </c>
      <c r="X5" s="17">
        <v>6235000</v>
      </c>
      <c r="Y5" s="17">
        <v>1792000</v>
      </c>
      <c r="Z5" s="17">
        <v>356000</v>
      </c>
    </row>
    <row r="6" spans="1:26" x14ac:dyDescent="0.35">
      <c r="A6" t="s">
        <v>301</v>
      </c>
      <c r="T6" s="17">
        <v>-776000</v>
      </c>
      <c r="U6" s="17">
        <v>633000</v>
      </c>
    </row>
    <row r="7" spans="1:26" x14ac:dyDescent="0.35">
      <c r="A7" t="s">
        <v>302</v>
      </c>
      <c r="I7" s="17">
        <v>126000</v>
      </c>
      <c r="J7" s="17">
        <v>-1140000</v>
      </c>
      <c r="K7" s="17">
        <v>-1455000</v>
      </c>
      <c r="L7" s="17">
        <v>1025000</v>
      </c>
      <c r="M7" s="17">
        <v>-9027000</v>
      </c>
      <c r="N7" s="17">
        <v>-814000</v>
      </c>
      <c r="O7" s="17">
        <v>-11100000</v>
      </c>
      <c r="P7" s="17">
        <v>-6420000</v>
      </c>
      <c r="Q7" s="17">
        <v>13928000</v>
      </c>
      <c r="R7" s="17">
        <v>-11892000</v>
      </c>
      <c r="S7" s="17">
        <v>1334000</v>
      </c>
      <c r="T7" s="17">
        <v>-11267000</v>
      </c>
      <c r="U7" s="17">
        <v>21570000</v>
      </c>
    </row>
    <row r="8" spans="1:26" x14ac:dyDescent="0.35">
      <c r="A8" t="s">
        <v>303</v>
      </c>
      <c r="B8" s="17">
        <v>31976000</v>
      </c>
      <c r="C8" s="17">
        <v>39229000</v>
      </c>
      <c r="D8" s="17">
        <v>54304000</v>
      </c>
      <c r="E8" s="17">
        <v>69840000</v>
      </c>
      <c r="F8" s="17">
        <v>79282000</v>
      </c>
      <c r="G8" s="17"/>
      <c r="H8" s="17"/>
      <c r="I8" s="17">
        <v>27619000</v>
      </c>
      <c r="J8" s="17">
        <v>24213000</v>
      </c>
      <c r="K8" s="17">
        <v>29250000</v>
      </c>
      <c r="L8" s="17">
        <v>33130000</v>
      </c>
      <c r="M8" s="17">
        <v>34043000</v>
      </c>
      <c r="N8" s="17">
        <v>35993000</v>
      </c>
      <c r="O8" s="17">
        <v>37413000</v>
      </c>
      <c r="P8" s="17">
        <v>41506000</v>
      </c>
      <c r="Q8" s="17">
        <v>36694000</v>
      </c>
      <c r="R8" s="17">
        <v>37263000</v>
      </c>
      <c r="S8" s="17">
        <v>37059000</v>
      </c>
      <c r="T8" s="17">
        <v>36671000</v>
      </c>
      <c r="U8" s="17">
        <v>37450000</v>
      </c>
      <c r="V8" s="17">
        <v>20949000</v>
      </c>
      <c r="W8" s="17">
        <v>8053000</v>
      </c>
      <c r="X8" s="17">
        <v>3334000</v>
      </c>
      <c r="Y8" s="17">
        <v>700000</v>
      </c>
      <c r="Z8" s="17">
        <v>75000</v>
      </c>
    </row>
    <row r="9" spans="1:26" x14ac:dyDescent="0.35">
      <c r="A9" t="s">
        <v>304</v>
      </c>
      <c r="B9" s="17">
        <v>31976000</v>
      </c>
      <c r="C9" s="17">
        <v>39229000</v>
      </c>
      <c r="D9" s="17">
        <v>54304000</v>
      </c>
      <c r="E9" s="17">
        <v>69840000</v>
      </c>
      <c r="F9" s="17">
        <v>79282000</v>
      </c>
      <c r="G9" s="17"/>
      <c r="H9" s="17"/>
      <c r="I9" s="17">
        <v>27619000</v>
      </c>
      <c r="J9" s="17">
        <v>24213000</v>
      </c>
      <c r="K9" s="17">
        <v>29250000</v>
      </c>
      <c r="L9" s="17">
        <v>33130000</v>
      </c>
      <c r="M9" s="17">
        <v>34043000</v>
      </c>
      <c r="N9" s="17">
        <v>35993000</v>
      </c>
      <c r="O9" s="17">
        <v>37413000</v>
      </c>
      <c r="P9" s="17">
        <v>41506000</v>
      </c>
      <c r="Q9" s="17">
        <v>36694000</v>
      </c>
      <c r="R9" s="17">
        <v>37263000</v>
      </c>
      <c r="S9" s="17">
        <v>37059000</v>
      </c>
      <c r="T9" s="17">
        <v>36671000</v>
      </c>
      <c r="U9" s="17">
        <v>37450000</v>
      </c>
      <c r="V9" s="17">
        <v>20949000</v>
      </c>
      <c r="W9" s="17">
        <v>8053000</v>
      </c>
      <c r="X9" s="17">
        <v>3334000</v>
      </c>
      <c r="Y9" s="17">
        <v>700000</v>
      </c>
      <c r="Z9" s="17">
        <v>75000</v>
      </c>
    </row>
    <row r="10" spans="1:26" x14ac:dyDescent="0.35">
      <c r="A10" t="s">
        <v>305</v>
      </c>
      <c r="B10" s="17">
        <v>-241283000</v>
      </c>
      <c r="C10" s="17">
        <v>-4760000</v>
      </c>
      <c r="D10" s="17">
        <v>-410319000</v>
      </c>
      <c r="E10" s="17">
        <v>-254454000</v>
      </c>
      <c r="F10" s="17">
        <v>47093000</v>
      </c>
      <c r="G10" s="17"/>
      <c r="H10" s="17"/>
      <c r="I10" s="17">
        <v>-325061000</v>
      </c>
      <c r="J10" s="17">
        <v>-16259000</v>
      </c>
      <c r="K10" s="17">
        <v>959000</v>
      </c>
      <c r="L10" s="17">
        <v>-3093000</v>
      </c>
      <c r="M10" s="17">
        <v>-388000</v>
      </c>
      <c r="N10" s="17">
        <v>289000</v>
      </c>
      <c r="O10" s="17">
        <v>829000</v>
      </c>
      <c r="P10" s="17">
        <v>23536000</v>
      </c>
      <c r="Q10" s="17">
        <v>-2981000</v>
      </c>
      <c r="R10" s="17">
        <v>-819000</v>
      </c>
      <c r="S10" s="17">
        <v>-4999000</v>
      </c>
      <c r="T10" s="17">
        <v>5399000</v>
      </c>
      <c r="U10" s="17">
        <v>-5429000</v>
      </c>
      <c r="V10" s="17">
        <v>-14866000</v>
      </c>
      <c r="W10" s="17">
        <v>-2037000</v>
      </c>
      <c r="X10" s="17">
        <v>-3090000</v>
      </c>
      <c r="Y10" s="17">
        <v>-191000</v>
      </c>
    </row>
    <row r="11" spans="1:26" x14ac:dyDescent="0.35">
      <c r="A11" t="s">
        <v>306</v>
      </c>
      <c r="B11" s="17">
        <v>-241283000</v>
      </c>
      <c r="C11" s="17">
        <v>-4760000</v>
      </c>
      <c r="D11" s="17">
        <v>-410319000</v>
      </c>
      <c r="E11" s="17">
        <v>-254454000</v>
      </c>
      <c r="F11" s="17">
        <v>47093000</v>
      </c>
      <c r="G11" s="17"/>
      <c r="H11" s="17"/>
      <c r="I11" s="17">
        <v>-325061000</v>
      </c>
      <c r="J11" s="17">
        <v>-16259000</v>
      </c>
      <c r="K11" s="17">
        <v>959000</v>
      </c>
      <c r="L11" s="17">
        <v>-3093000</v>
      </c>
      <c r="M11" s="17">
        <v>-388000</v>
      </c>
      <c r="N11" s="17">
        <v>289000</v>
      </c>
      <c r="O11" s="17">
        <v>829000</v>
      </c>
      <c r="P11" s="17">
        <v>23536000</v>
      </c>
      <c r="Q11" s="17">
        <v>-2981000</v>
      </c>
      <c r="R11" s="17">
        <v>-819000</v>
      </c>
      <c r="S11" s="17">
        <v>-4999000</v>
      </c>
      <c r="T11" s="17">
        <v>5399000</v>
      </c>
      <c r="U11" s="17">
        <v>-5429000</v>
      </c>
      <c r="V11" s="17">
        <v>-14866000</v>
      </c>
      <c r="W11" s="17">
        <v>-2037000</v>
      </c>
      <c r="X11" s="17">
        <v>-3090000</v>
      </c>
      <c r="Y11" s="17">
        <v>-191000</v>
      </c>
    </row>
    <row r="12" spans="1:26" x14ac:dyDescent="0.35">
      <c r="A12" t="s">
        <v>307</v>
      </c>
      <c r="B12">
        <v>0</v>
      </c>
      <c r="C12">
        <v>0</v>
      </c>
      <c r="D12" s="17">
        <v>9287000</v>
      </c>
      <c r="E12" s="17">
        <v>24081000</v>
      </c>
      <c r="F12" s="17">
        <v>738115000</v>
      </c>
      <c r="G12" s="17"/>
      <c r="H12" s="17"/>
      <c r="I12" s="17">
        <v>21071000</v>
      </c>
      <c r="J12">
        <v>0</v>
      </c>
      <c r="K12" s="17">
        <v>2182000</v>
      </c>
      <c r="L12" s="17">
        <v>5284000</v>
      </c>
      <c r="M12" s="17">
        <v>3144000</v>
      </c>
      <c r="N12" s="17">
        <v>15306000</v>
      </c>
      <c r="O12" s="17">
        <v>16317000</v>
      </c>
      <c r="P12" s="17">
        <v>14368000</v>
      </c>
      <c r="Q12" s="17">
        <v>1410000</v>
      </c>
      <c r="R12" s="17">
        <v>528000</v>
      </c>
      <c r="S12" s="17">
        <v>141000</v>
      </c>
      <c r="T12" s="17">
        <v>26027000</v>
      </c>
      <c r="U12" s="17">
        <v>45764000</v>
      </c>
    </row>
    <row r="13" spans="1:26" x14ac:dyDescent="0.35">
      <c r="A13" t="s">
        <v>308</v>
      </c>
      <c r="B13" s="17">
        <v>-2629000</v>
      </c>
      <c r="C13" s="17">
        <v>1101000</v>
      </c>
      <c r="D13" s="17">
        <v>3568000</v>
      </c>
      <c r="E13" s="17">
        <v>1352000</v>
      </c>
      <c r="F13" s="17">
        <v>-190000</v>
      </c>
      <c r="I13" s="17">
        <v>5779000</v>
      </c>
      <c r="J13" s="17">
        <v>1566000</v>
      </c>
      <c r="K13" s="17">
        <v>711000</v>
      </c>
      <c r="L13" s="17">
        <v>-589000</v>
      </c>
      <c r="M13" s="17">
        <v>3230000</v>
      </c>
      <c r="N13" s="17">
        <v>25997000</v>
      </c>
      <c r="O13" s="17">
        <v>12087000</v>
      </c>
      <c r="P13" s="17">
        <v>1930000</v>
      </c>
      <c r="Q13" s="17">
        <v>2166000</v>
      </c>
      <c r="R13" s="17">
        <v>-383000</v>
      </c>
      <c r="S13" s="17">
        <v>2204000</v>
      </c>
    </row>
    <row r="14" spans="1:26" x14ac:dyDescent="0.35">
      <c r="A14" t="s">
        <v>309</v>
      </c>
      <c r="B14" s="17">
        <v>38122000</v>
      </c>
      <c r="C14" s="17">
        <v>31303000</v>
      </c>
      <c r="D14" s="17">
        <v>29072000</v>
      </c>
      <c r="E14" s="17">
        <v>33053000</v>
      </c>
      <c r="F14" s="17">
        <v>36701000</v>
      </c>
      <c r="G14" s="17"/>
      <c r="H14" s="17"/>
      <c r="I14" s="17">
        <v>16361000</v>
      </c>
      <c r="J14" s="17">
        <v>14412000</v>
      </c>
      <c r="K14" s="17">
        <v>13105000</v>
      </c>
      <c r="L14" s="17">
        <v>9773000</v>
      </c>
      <c r="M14" s="17">
        <v>10736000</v>
      </c>
      <c r="N14" s="17">
        <v>11236000</v>
      </c>
      <c r="O14" s="17">
        <v>12503000</v>
      </c>
      <c r="P14" s="17">
        <v>11871000</v>
      </c>
      <c r="Q14" s="17">
        <v>11321000</v>
      </c>
      <c r="R14" s="17">
        <v>8550000</v>
      </c>
      <c r="S14" s="17">
        <v>7109000</v>
      </c>
      <c r="T14" s="17">
        <v>15237000</v>
      </c>
      <c r="U14" s="17">
        <v>18976000</v>
      </c>
    </row>
    <row r="15" spans="1:26" x14ac:dyDescent="0.35">
      <c r="A15" t="s">
        <v>310</v>
      </c>
      <c r="T15">
        <v>0</v>
      </c>
      <c r="U15">
        <v>0</v>
      </c>
    </row>
    <row r="16" spans="1:26" x14ac:dyDescent="0.35">
      <c r="A16" t="s">
        <v>311</v>
      </c>
      <c r="B16" s="17">
        <v>59501000</v>
      </c>
      <c r="C16" s="17">
        <v>78729000</v>
      </c>
      <c r="D16" s="17">
        <v>85022000</v>
      </c>
      <c r="E16" s="17">
        <v>99155000</v>
      </c>
      <c r="F16" s="17">
        <v>111115000</v>
      </c>
      <c r="G16" s="17"/>
      <c r="H16" s="17"/>
      <c r="I16" s="17">
        <v>75884000</v>
      </c>
      <c r="J16" s="17">
        <v>57826000</v>
      </c>
      <c r="K16" s="17">
        <v>1994000</v>
      </c>
      <c r="L16" s="17">
        <v>-1564000</v>
      </c>
      <c r="M16" s="17">
        <v>-44000</v>
      </c>
      <c r="N16" s="17">
        <v>7137000</v>
      </c>
      <c r="O16" s="17">
        <v>6947000</v>
      </c>
      <c r="P16" s="17">
        <v>1193000</v>
      </c>
      <c r="Q16" s="17">
        <v>1725000</v>
      </c>
      <c r="R16" s="17">
        <v>1845000</v>
      </c>
      <c r="S16" s="17">
        <v>2119000</v>
      </c>
      <c r="T16" s="17">
        <v>25777000</v>
      </c>
      <c r="U16" s="17">
        <v>81255000</v>
      </c>
      <c r="V16" s="17">
        <v>-21533000</v>
      </c>
      <c r="W16" s="17">
        <v>7000</v>
      </c>
    </row>
    <row r="17" spans="1:26" x14ac:dyDescent="0.35">
      <c r="A17" t="s">
        <v>312</v>
      </c>
      <c r="B17" s="17">
        <v>-44526000</v>
      </c>
      <c r="C17" s="17">
        <v>-91682000</v>
      </c>
      <c r="D17" s="17">
        <v>366525000</v>
      </c>
      <c r="E17" s="17">
        <v>68430000</v>
      </c>
      <c r="F17" s="17">
        <v>-220487000</v>
      </c>
      <c r="G17" s="17"/>
      <c r="H17" s="17"/>
      <c r="I17" s="17">
        <v>132388000</v>
      </c>
      <c r="J17" s="17">
        <v>-111297000</v>
      </c>
      <c r="K17" s="17">
        <v>11960000</v>
      </c>
      <c r="L17" s="17">
        <v>44902000</v>
      </c>
      <c r="M17" s="17">
        <v>14007000</v>
      </c>
      <c r="N17" s="17">
        <v>-2250000</v>
      </c>
      <c r="O17" s="17">
        <v>-81721000</v>
      </c>
      <c r="P17" s="17">
        <v>-14940000</v>
      </c>
      <c r="Q17" s="17">
        <v>-67250000</v>
      </c>
      <c r="R17" s="17">
        <v>-5504000</v>
      </c>
      <c r="S17" s="17">
        <v>-8278000</v>
      </c>
      <c r="T17" s="17">
        <v>5343000</v>
      </c>
      <c r="U17" s="17">
        <v>53520000</v>
      </c>
      <c r="V17" s="17">
        <v>-135456000</v>
      </c>
      <c r="W17" s="17">
        <v>-58234000</v>
      </c>
      <c r="X17" s="17">
        <v>-12949000</v>
      </c>
      <c r="Y17" s="17">
        <v>-30000</v>
      </c>
      <c r="Z17" s="17">
        <v>330000</v>
      </c>
    </row>
    <row r="18" spans="1:26" x14ac:dyDescent="0.35">
      <c r="A18" t="s">
        <v>313</v>
      </c>
      <c r="B18" s="17">
        <v>-35063000</v>
      </c>
      <c r="C18" s="17">
        <v>-56766000</v>
      </c>
      <c r="D18" s="17">
        <v>-13317000</v>
      </c>
      <c r="E18" s="17">
        <v>42587000</v>
      </c>
      <c r="F18" s="17">
        <v>-6169000</v>
      </c>
      <c r="G18" s="17"/>
      <c r="H18" s="17"/>
      <c r="I18" s="17">
        <v>-47045000</v>
      </c>
      <c r="J18" s="17">
        <v>-15015000</v>
      </c>
      <c r="K18" s="17">
        <v>-24623000</v>
      </c>
      <c r="L18" s="17">
        <v>620000</v>
      </c>
      <c r="M18" s="17">
        <v>2408000</v>
      </c>
      <c r="N18" s="17">
        <v>-15604000</v>
      </c>
      <c r="O18" s="17">
        <v>-15288000</v>
      </c>
      <c r="P18" s="17">
        <v>-17166000</v>
      </c>
      <c r="Q18" s="17">
        <v>-9475000</v>
      </c>
      <c r="R18" s="17">
        <v>-23278000</v>
      </c>
      <c r="S18" s="17">
        <v>-13165000</v>
      </c>
      <c r="T18" s="17">
        <v>9912000</v>
      </c>
      <c r="U18" s="17">
        <v>87684000</v>
      </c>
      <c r="V18" s="17">
        <v>-79277000</v>
      </c>
      <c r="W18" s="17">
        <v>-43983000</v>
      </c>
      <c r="X18" s="17">
        <v>-15202000</v>
      </c>
      <c r="Y18" s="17">
        <v>-1101000</v>
      </c>
      <c r="Z18" s="17">
        <v>-57000</v>
      </c>
    </row>
    <row r="19" spans="1:26" x14ac:dyDescent="0.35">
      <c r="A19" t="s">
        <v>314</v>
      </c>
      <c r="B19" s="17">
        <v>-35063000</v>
      </c>
      <c r="C19" s="17">
        <v>-56766000</v>
      </c>
      <c r="D19" s="17">
        <v>-13317000</v>
      </c>
      <c r="E19" s="17">
        <v>42587000</v>
      </c>
      <c r="F19" s="17">
        <v>-6169000</v>
      </c>
      <c r="G19" s="17"/>
      <c r="H19" s="17"/>
      <c r="I19" s="17">
        <v>-47045000</v>
      </c>
      <c r="J19" s="17">
        <v>-15015000</v>
      </c>
      <c r="K19" s="17">
        <v>-24623000</v>
      </c>
      <c r="L19" s="17">
        <v>620000</v>
      </c>
      <c r="M19" s="17">
        <v>2408000</v>
      </c>
      <c r="N19" s="17">
        <v>-15604000</v>
      </c>
      <c r="O19" s="17">
        <v>-15288000</v>
      </c>
      <c r="P19" s="17">
        <v>-17166000</v>
      </c>
      <c r="Q19" s="17">
        <v>-9475000</v>
      </c>
      <c r="R19" s="17">
        <v>-23278000</v>
      </c>
      <c r="S19" s="17">
        <v>-13165000</v>
      </c>
      <c r="T19" s="17">
        <v>-13251000</v>
      </c>
      <c r="U19" s="17">
        <v>111318000</v>
      </c>
    </row>
    <row r="20" spans="1:26" x14ac:dyDescent="0.35">
      <c r="A20" t="s">
        <v>315</v>
      </c>
      <c r="B20" s="17">
        <v>-43063000</v>
      </c>
      <c r="C20" s="17">
        <v>-91614000</v>
      </c>
      <c r="D20" s="17">
        <v>86350000</v>
      </c>
      <c r="E20" s="17">
        <v>22055000</v>
      </c>
      <c r="F20" s="17">
        <v>-13842000</v>
      </c>
      <c r="G20" s="17"/>
      <c r="H20" s="17"/>
      <c r="I20" s="17">
        <v>-13462000</v>
      </c>
      <c r="J20" s="17">
        <v>-48156000</v>
      </c>
      <c r="K20" s="17">
        <v>-1987000</v>
      </c>
      <c r="L20" s="17">
        <v>23319000</v>
      </c>
      <c r="M20" s="17">
        <v>20371000</v>
      </c>
      <c r="N20" s="17">
        <v>-8586000</v>
      </c>
      <c r="O20" s="17">
        <v>-31251000</v>
      </c>
      <c r="P20" s="17">
        <v>-5274000</v>
      </c>
      <c r="Q20" s="17">
        <v>-35493000</v>
      </c>
      <c r="R20" s="17">
        <v>-13328000</v>
      </c>
      <c r="S20" s="17">
        <v>-27908000</v>
      </c>
      <c r="T20" s="17">
        <v>44828000</v>
      </c>
      <c r="U20" s="17">
        <v>16395000</v>
      </c>
      <c r="V20" s="17">
        <v>-151590000</v>
      </c>
      <c r="W20" s="17">
        <v>-54960000</v>
      </c>
      <c r="X20" s="17">
        <v>-26035000</v>
      </c>
      <c r="Y20" s="17">
        <v>-859000</v>
      </c>
      <c r="Z20" s="17">
        <v>-331000</v>
      </c>
    </row>
    <row r="21" spans="1:26" x14ac:dyDescent="0.35">
      <c r="A21" t="s">
        <v>316</v>
      </c>
      <c r="B21" s="17">
        <v>-6212000</v>
      </c>
      <c r="C21" s="17">
        <v>-14435000</v>
      </c>
      <c r="D21" s="17">
        <v>-31839000</v>
      </c>
      <c r="E21" s="17">
        <v>-13892000</v>
      </c>
      <c r="F21" s="17">
        <v>-22317000</v>
      </c>
      <c r="G21" s="17"/>
      <c r="H21" s="17"/>
      <c r="I21" s="17">
        <v>5007000</v>
      </c>
      <c r="J21" s="17">
        <v>-4012000</v>
      </c>
      <c r="K21" s="17">
        <v>9703000</v>
      </c>
      <c r="L21" s="17">
        <v>18907000</v>
      </c>
      <c r="M21" s="17">
        <v>-4532000</v>
      </c>
      <c r="N21" s="17">
        <v>1755000</v>
      </c>
      <c r="O21" s="17">
        <v>21698000</v>
      </c>
      <c r="P21" s="17">
        <v>-4225000</v>
      </c>
      <c r="Q21" s="17">
        <v>-25490000</v>
      </c>
      <c r="R21" s="17">
        <v>-17598000</v>
      </c>
      <c r="S21" s="17">
        <v>2230000</v>
      </c>
      <c r="T21" s="17">
        <v>-13914000</v>
      </c>
      <c r="U21" s="17">
        <v>-4342000</v>
      </c>
      <c r="V21" s="17">
        <v>-10912000</v>
      </c>
      <c r="W21" s="17">
        <v>-13049000</v>
      </c>
      <c r="X21" s="17">
        <v>-3472000</v>
      </c>
      <c r="Y21" s="17">
        <v>-287000</v>
      </c>
      <c r="Z21" s="17">
        <v>37000</v>
      </c>
    </row>
    <row r="22" spans="1:26" x14ac:dyDescent="0.35">
      <c r="A22" t="s">
        <v>317</v>
      </c>
      <c r="B22" s="17">
        <v>73316000</v>
      </c>
      <c r="C22" s="17">
        <v>80330000</v>
      </c>
      <c r="D22" s="17">
        <v>83892000</v>
      </c>
      <c r="E22" s="17">
        <v>13922000</v>
      </c>
      <c r="F22" s="17">
        <v>1233000</v>
      </c>
      <c r="G22" s="17"/>
      <c r="H22" s="17"/>
      <c r="I22" s="17">
        <v>45587000</v>
      </c>
      <c r="J22" s="17">
        <v>19297000</v>
      </c>
      <c r="K22" s="17">
        <v>31018000</v>
      </c>
      <c r="L22" s="17">
        <v>2775000</v>
      </c>
      <c r="M22" s="17">
        <v>1530000</v>
      </c>
      <c r="N22" s="17">
        <v>28348000</v>
      </c>
      <c r="O22" s="17">
        <v>-23071000</v>
      </c>
      <c r="P22" s="17">
        <v>8516000</v>
      </c>
      <c r="Q22" s="17">
        <v>8115000</v>
      </c>
      <c r="R22" s="17">
        <v>49797000</v>
      </c>
      <c r="S22" s="17">
        <v>30337000</v>
      </c>
      <c r="T22" s="17">
        <v>-35483000</v>
      </c>
      <c r="U22" s="17">
        <v>-46217000</v>
      </c>
      <c r="V22" s="17">
        <v>27149000</v>
      </c>
      <c r="W22" s="17">
        <v>19959000</v>
      </c>
      <c r="X22" s="17">
        <v>17711000</v>
      </c>
      <c r="Y22" s="17">
        <v>1499000</v>
      </c>
      <c r="Z22" s="17">
        <v>425000</v>
      </c>
    </row>
    <row r="23" spans="1:26" x14ac:dyDescent="0.35">
      <c r="A23" t="s">
        <v>318</v>
      </c>
      <c r="B23" s="17">
        <v>34868000</v>
      </c>
      <c r="C23" s="17">
        <v>41701000</v>
      </c>
      <c r="D23" s="17">
        <v>37197000</v>
      </c>
      <c r="E23" s="17">
        <v>3951000</v>
      </c>
      <c r="F23" s="17">
        <v>709000</v>
      </c>
      <c r="G23" s="17"/>
      <c r="H23" s="17"/>
      <c r="I23" s="17">
        <v>23229000</v>
      </c>
      <c r="J23" s="17">
        <v>6032000</v>
      </c>
      <c r="K23" s="17">
        <v>12953000</v>
      </c>
      <c r="L23" s="17">
        <v>-2714000</v>
      </c>
      <c r="M23" s="17">
        <v>-1354000</v>
      </c>
      <c r="N23" s="17">
        <v>23260000</v>
      </c>
      <c r="O23" s="17">
        <v>-12106000</v>
      </c>
      <c r="P23" s="17">
        <v>-5740000</v>
      </c>
      <c r="Q23" s="17">
        <v>99000</v>
      </c>
      <c r="R23" s="17">
        <v>30314000</v>
      </c>
      <c r="S23" s="17">
        <v>12689000</v>
      </c>
      <c r="T23" s="17">
        <v>-17387000</v>
      </c>
      <c r="U23" s="17">
        <v>-60168000</v>
      </c>
    </row>
    <row r="24" spans="1:26" x14ac:dyDescent="0.35">
      <c r="A24" t="s">
        <v>319</v>
      </c>
      <c r="B24" s="17">
        <v>19248000</v>
      </c>
      <c r="C24" s="17">
        <v>54158000</v>
      </c>
      <c r="I24" s="17">
        <v>203479000</v>
      </c>
      <c r="J24" s="17">
        <v>902000</v>
      </c>
      <c r="K24" s="17">
        <v>-2151000</v>
      </c>
      <c r="L24" s="17">
        <v>-719000</v>
      </c>
      <c r="M24" s="17">
        <v>-5770000</v>
      </c>
      <c r="N24" s="17">
        <v>-8163000</v>
      </c>
      <c r="O24" s="17">
        <v>-33809000</v>
      </c>
      <c r="P24" s="17">
        <v>3209000</v>
      </c>
      <c r="Q24" s="17">
        <v>-4907000</v>
      </c>
      <c r="R24" s="17">
        <v>-1097000</v>
      </c>
      <c r="S24" s="17">
        <v>228000</v>
      </c>
    </row>
    <row r="25" spans="1:26" x14ac:dyDescent="0.35">
      <c r="A25" t="s">
        <v>320</v>
      </c>
      <c r="B25" s="17">
        <v>19248000</v>
      </c>
      <c r="C25" s="17">
        <v>54158000</v>
      </c>
      <c r="I25" s="17">
        <v>203479000</v>
      </c>
      <c r="J25" s="17">
        <v>902000</v>
      </c>
      <c r="K25" s="17">
        <v>-2151000</v>
      </c>
      <c r="L25" s="17">
        <v>-719000</v>
      </c>
      <c r="M25" s="17">
        <v>-5770000</v>
      </c>
      <c r="N25" s="17">
        <v>-8163000</v>
      </c>
      <c r="O25" s="17">
        <v>-33809000</v>
      </c>
      <c r="P25" s="17">
        <v>3209000</v>
      </c>
      <c r="Q25" s="17">
        <v>-4907000</v>
      </c>
      <c r="R25" s="17">
        <v>-1097000</v>
      </c>
      <c r="S25" s="17">
        <v>228000</v>
      </c>
    </row>
    <row r="26" spans="1:26" x14ac:dyDescent="0.35">
      <c r="A26" t="s">
        <v>321</v>
      </c>
      <c r="B26" s="17">
        <v>34868000</v>
      </c>
      <c r="C26" s="17">
        <v>41701000</v>
      </c>
      <c r="D26" s="17">
        <v>37197000</v>
      </c>
      <c r="E26" s="17">
        <v>3951000</v>
      </c>
      <c r="F26" s="17">
        <v>709000</v>
      </c>
      <c r="G26" s="17"/>
      <c r="H26" s="17"/>
      <c r="I26" s="17">
        <v>23229000</v>
      </c>
      <c r="J26" s="17">
        <v>6032000</v>
      </c>
      <c r="K26" s="17">
        <v>12953000</v>
      </c>
      <c r="L26" s="17">
        <v>-2714000</v>
      </c>
      <c r="M26" s="17">
        <v>-1354000</v>
      </c>
      <c r="N26" s="17">
        <v>23260000</v>
      </c>
      <c r="O26" s="17">
        <v>-12106000</v>
      </c>
      <c r="P26" s="17">
        <v>-5740000</v>
      </c>
      <c r="Q26" s="17">
        <v>99000</v>
      </c>
      <c r="R26" s="17">
        <v>30314000</v>
      </c>
      <c r="S26" s="17">
        <v>12689000</v>
      </c>
      <c r="T26" s="17">
        <v>-17387000</v>
      </c>
      <c r="U26" s="17">
        <v>-60168000</v>
      </c>
    </row>
    <row r="27" spans="1:26" x14ac:dyDescent="0.35">
      <c r="A27" t="s">
        <v>322</v>
      </c>
      <c r="B27" s="17">
        <v>38448000</v>
      </c>
      <c r="C27" s="17">
        <v>38629000</v>
      </c>
      <c r="D27" s="17">
        <v>46695000</v>
      </c>
      <c r="E27" s="17">
        <v>9971000</v>
      </c>
      <c r="F27" s="17">
        <v>524000</v>
      </c>
      <c r="I27" s="17">
        <v>22358000</v>
      </c>
      <c r="J27" s="17">
        <v>13265000</v>
      </c>
      <c r="K27" s="17">
        <v>18065000</v>
      </c>
      <c r="L27" s="17">
        <v>5489000</v>
      </c>
      <c r="M27" s="17">
        <v>2884000</v>
      </c>
      <c r="N27" s="17">
        <v>5088000</v>
      </c>
      <c r="O27" s="17">
        <v>-10965000</v>
      </c>
      <c r="P27" s="17">
        <v>14256000</v>
      </c>
      <c r="Q27" s="17">
        <v>8016000</v>
      </c>
      <c r="R27" s="17">
        <v>19483000</v>
      </c>
      <c r="S27" s="17">
        <v>17648000</v>
      </c>
      <c r="T27" s="17">
        <v>-18096000</v>
      </c>
      <c r="U27" s="17">
        <v>13951000</v>
      </c>
    </row>
    <row r="28" spans="1:26" x14ac:dyDescent="0.35">
      <c r="A28" t="s">
        <v>323</v>
      </c>
      <c r="I28" s="17">
        <v>-61178000</v>
      </c>
      <c r="J28" s="17">
        <v>-64313000</v>
      </c>
      <c r="K28">
        <v>0</v>
      </c>
      <c r="L28">
        <v>0</v>
      </c>
      <c r="U28" s="17">
        <v>13951000</v>
      </c>
      <c r="V28" s="17">
        <v>79174000</v>
      </c>
      <c r="W28" s="17">
        <v>33799000</v>
      </c>
      <c r="X28" s="17">
        <v>14049000</v>
      </c>
      <c r="Y28" s="17">
        <v>718000</v>
      </c>
      <c r="Z28" s="17">
        <v>256000</v>
      </c>
    </row>
    <row r="29" spans="1:26" x14ac:dyDescent="0.35">
      <c r="A29" t="s">
        <v>324</v>
      </c>
      <c r="B29" s="17">
        <v>-33504000</v>
      </c>
      <c r="C29" s="17">
        <v>-9197000</v>
      </c>
      <c r="D29" s="17">
        <v>241439000</v>
      </c>
      <c r="E29" s="17">
        <v>3758000</v>
      </c>
      <c r="F29" s="17">
        <v>-179392000</v>
      </c>
      <c r="G29" s="17"/>
      <c r="H29" s="17"/>
      <c r="I29" s="17">
        <v>142301000</v>
      </c>
      <c r="J29" s="17">
        <v>-63411000</v>
      </c>
      <c r="K29" s="17">
        <v>-2151000</v>
      </c>
      <c r="L29" s="17">
        <v>-719000</v>
      </c>
      <c r="M29" s="17">
        <v>-5770000</v>
      </c>
      <c r="N29" s="17">
        <v>-8163000</v>
      </c>
      <c r="O29" s="17">
        <v>-33809000</v>
      </c>
      <c r="P29" s="17">
        <v>3209000</v>
      </c>
      <c r="Q29" s="17">
        <v>-4907000</v>
      </c>
      <c r="R29" s="17">
        <v>-1097000</v>
      </c>
      <c r="S29" s="17">
        <v>228000</v>
      </c>
    </row>
    <row r="30" spans="1:26" x14ac:dyDescent="0.35">
      <c r="A30" t="s">
        <v>325</v>
      </c>
      <c r="B30" s="17">
        <v>-55925000</v>
      </c>
      <c r="C30" s="17">
        <v>-2151091000</v>
      </c>
      <c r="D30" s="17">
        <v>-115671000</v>
      </c>
      <c r="E30" s="17">
        <v>-69347000</v>
      </c>
      <c r="F30" s="17">
        <v>-51231000</v>
      </c>
      <c r="G30" s="17"/>
      <c r="H30" s="17"/>
      <c r="I30" s="17">
        <v>-41762000</v>
      </c>
      <c r="J30" s="17">
        <v>-36236000</v>
      </c>
      <c r="K30" s="17">
        <v>-10110000</v>
      </c>
      <c r="L30" s="17">
        <v>-11538000</v>
      </c>
      <c r="M30" s="17">
        <v>-19856000</v>
      </c>
      <c r="N30" s="17">
        <v>-18627000</v>
      </c>
      <c r="O30" s="17">
        <v>-57992000</v>
      </c>
      <c r="P30" s="17">
        <v>-69758000</v>
      </c>
      <c r="Q30" s="17">
        <v>-65943000</v>
      </c>
      <c r="R30" s="17">
        <v>-41664000</v>
      </c>
      <c r="S30" s="17">
        <v>-42078000</v>
      </c>
      <c r="T30" s="17">
        <v>-25731000</v>
      </c>
      <c r="U30" s="17">
        <v>-73436000</v>
      </c>
      <c r="V30" s="17">
        <v>-62217000</v>
      </c>
      <c r="W30" s="17">
        <v>-69503000</v>
      </c>
      <c r="X30" s="17">
        <v>-12167000</v>
      </c>
      <c r="Y30" s="17">
        <v>-6717000</v>
      </c>
      <c r="Z30" s="17">
        <v>-321000</v>
      </c>
    </row>
    <row r="31" spans="1:26" x14ac:dyDescent="0.35">
      <c r="A31" t="s">
        <v>326</v>
      </c>
      <c r="B31" s="17">
        <v>-55925000</v>
      </c>
      <c r="C31" s="17">
        <v>-2151091000</v>
      </c>
      <c r="D31" s="17">
        <v>-115671000</v>
      </c>
      <c r="E31" s="17">
        <v>-69347000</v>
      </c>
      <c r="F31" s="17">
        <v>-51231000</v>
      </c>
      <c r="G31" s="17"/>
      <c r="H31" s="17"/>
      <c r="I31" s="17">
        <v>-41762000</v>
      </c>
      <c r="J31" s="17">
        <v>-36236000</v>
      </c>
      <c r="K31" s="17">
        <v>-10110000</v>
      </c>
      <c r="L31" s="17">
        <v>-11538000</v>
      </c>
      <c r="M31" s="17">
        <v>-19856000</v>
      </c>
      <c r="N31" s="17">
        <v>-18627000</v>
      </c>
      <c r="O31" s="17">
        <v>-57992000</v>
      </c>
      <c r="P31" s="17">
        <v>-69758000</v>
      </c>
      <c r="Q31" s="17">
        <v>-65943000</v>
      </c>
      <c r="R31" s="17">
        <v>-41664000</v>
      </c>
      <c r="S31" s="17">
        <v>-42078000</v>
      </c>
      <c r="T31" s="17">
        <v>-25731000</v>
      </c>
      <c r="U31" s="17">
        <v>-73436000</v>
      </c>
      <c r="V31" s="17">
        <v>-62217000</v>
      </c>
      <c r="W31" s="17">
        <v>-69503000</v>
      </c>
      <c r="X31" s="17">
        <v>-12167000</v>
      </c>
      <c r="Y31" s="17">
        <v>-6717000</v>
      </c>
      <c r="Z31" s="17">
        <v>-321000</v>
      </c>
    </row>
    <row r="32" spans="1:26" x14ac:dyDescent="0.35">
      <c r="A32" t="s">
        <v>327</v>
      </c>
      <c r="B32" s="17">
        <v>-55916000</v>
      </c>
      <c r="C32" s="17">
        <v>-104190000</v>
      </c>
      <c r="D32" s="17">
        <v>-115625000</v>
      </c>
      <c r="E32" s="17">
        <v>-69347000</v>
      </c>
      <c r="F32" s="17">
        <v>-51231000</v>
      </c>
      <c r="G32" s="17"/>
      <c r="H32" s="17"/>
      <c r="I32" s="17">
        <v>-41570000</v>
      </c>
      <c r="J32" s="17">
        <v>-35960000</v>
      </c>
      <c r="K32" s="17">
        <v>-10123000</v>
      </c>
      <c r="L32" s="17">
        <v>-11538000</v>
      </c>
      <c r="M32" s="17">
        <v>-19756000</v>
      </c>
      <c r="N32" s="17">
        <v>-18488000</v>
      </c>
      <c r="O32" s="17">
        <v>-15755000</v>
      </c>
      <c r="P32" s="17">
        <v>-40174000</v>
      </c>
      <c r="Q32" s="17">
        <v>-37546000</v>
      </c>
      <c r="R32" s="17">
        <v>-27399000</v>
      </c>
      <c r="S32" s="17">
        <v>-29983000</v>
      </c>
      <c r="T32" s="17">
        <v>-17578000</v>
      </c>
      <c r="U32" s="17">
        <v>-53176000</v>
      </c>
      <c r="V32" s="17">
        <v>-73904000</v>
      </c>
      <c r="W32" s="17">
        <v>-28889000</v>
      </c>
      <c r="X32" s="17">
        <v>-11531000</v>
      </c>
      <c r="Y32" s="17">
        <v>-1551000</v>
      </c>
      <c r="Z32" s="17">
        <v>-321000</v>
      </c>
    </row>
    <row r="33" spans="1:26" x14ac:dyDescent="0.35">
      <c r="A33" t="s">
        <v>328</v>
      </c>
      <c r="B33" s="17">
        <v>-55916000</v>
      </c>
      <c r="C33" s="17">
        <v>-104190000</v>
      </c>
      <c r="D33" s="17">
        <v>-115625000</v>
      </c>
      <c r="E33" s="17">
        <v>-69347000</v>
      </c>
      <c r="F33" s="17">
        <v>-51231000</v>
      </c>
      <c r="G33" s="17"/>
      <c r="H33" s="17"/>
      <c r="I33" s="17">
        <v>-42033000</v>
      </c>
      <c r="J33" s="17">
        <v>-36576000</v>
      </c>
      <c r="K33" s="17">
        <v>-11979000</v>
      </c>
      <c r="L33" s="17">
        <v>-13117000</v>
      </c>
      <c r="M33" s="17">
        <v>-22194000</v>
      </c>
      <c r="N33" s="17">
        <v>-18488000</v>
      </c>
      <c r="O33" s="17">
        <v>-15991000</v>
      </c>
      <c r="P33" s="17">
        <v>-40424000</v>
      </c>
      <c r="Q33" s="17">
        <v>-39762000</v>
      </c>
      <c r="R33" s="17">
        <v>-27718000</v>
      </c>
      <c r="S33" s="17">
        <v>-31257000</v>
      </c>
      <c r="T33" s="17">
        <v>-20054000</v>
      </c>
      <c r="U33" s="17">
        <v>-55559000</v>
      </c>
      <c r="V33" s="17">
        <v>-73904000</v>
      </c>
      <c r="W33" s="17">
        <v>-29044000</v>
      </c>
      <c r="X33" s="17">
        <v>-11531000</v>
      </c>
      <c r="Y33" s="17">
        <v>-1551000</v>
      </c>
      <c r="Z33" s="17">
        <v>-321000</v>
      </c>
    </row>
    <row r="34" spans="1:26" x14ac:dyDescent="0.35">
      <c r="A34" t="s">
        <v>329</v>
      </c>
      <c r="B34" s="17">
        <v>6000</v>
      </c>
      <c r="I34" s="17">
        <v>463000</v>
      </c>
      <c r="J34" s="17">
        <v>616000</v>
      </c>
      <c r="K34" s="17">
        <v>1856000</v>
      </c>
      <c r="L34" s="17">
        <v>1579000</v>
      </c>
      <c r="M34" s="17">
        <v>2438000</v>
      </c>
      <c r="O34" s="17">
        <v>236000</v>
      </c>
      <c r="P34" s="17">
        <v>250000</v>
      </c>
      <c r="Q34" s="17">
        <v>2216000</v>
      </c>
      <c r="R34" s="17">
        <v>319000</v>
      </c>
      <c r="S34" s="17">
        <v>1274000</v>
      </c>
      <c r="T34" s="17">
        <v>2476000</v>
      </c>
      <c r="U34" s="17">
        <v>2383000</v>
      </c>
      <c r="W34" s="17">
        <v>155000</v>
      </c>
    </row>
    <row r="35" spans="1:26" x14ac:dyDescent="0.35">
      <c r="A35" t="s">
        <v>330</v>
      </c>
      <c r="M35" s="17">
        <v>-8961000</v>
      </c>
      <c r="N35" s="17">
        <v>-5660000</v>
      </c>
      <c r="O35" s="17">
        <v>-41035000</v>
      </c>
      <c r="P35" s="17">
        <v>-28404000</v>
      </c>
      <c r="Q35" s="17">
        <v>-21074000</v>
      </c>
      <c r="R35" s="17">
        <v>-13922000</v>
      </c>
      <c r="S35" s="17">
        <v>-13848000</v>
      </c>
      <c r="T35" s="17">
        <v>-6973000</v>
      </c>
      <c r="U35" s="17">
        <v>-10659000</v>
      </c>
    </row>
    <row r="36" spans="1:26" x14ac:dyDescent="0.35">
      <c r="A36" t="s">
        <v>331</v>
      </c>
      <c r="M36" s="17">
        <v>-8961000</v>
      </c>
      <c r="N36" s="17">
        <v>-5660000</v>
      </c>
      <c r="O36" s="17">
        <v>-41035000</v>
      </c>
      <c r="P36" s="17">
        <v>-28404000</v>
      </c>
      <c r="Q36" s="17">
        <v>-21074000</v>
      </c>
      <c r="R36" s="17">
        <v>-13922000</v>
      </c>
      <c r="S36" s="17">
        <v>-13848000</v>
      </c>
      <c r="T36" s="17">
        <v>-6973000</v>
      </c>
      <c r="U36" s="17">
        <v>-10659000</v>
      </c>
    </row>
    <row r="37" spans="1:26" x14ac:dyDescent="0.35">
      <c r="A37" t="s">
        <v>332</v>
      </c>
      <c r="B37">
        <v>0</v>
      </c>
      <c r="C37" s="17">
        <v>-2046881000</v>
      </c>
      <c r="D37">
        <v>0</v>
      </c>
      <c r="E37">
        <v>0</v>
      </c>
      <c r="O37">
        <v>0</v>
      </c>
      <c r="P37">
        <v>0</v>
      </c>
      <c r="Q37" s="17">
        <v>-5169000</v>
      </c>
      <c r="R37">
        <v>0</v>
      </c>
      <c r="S37">
        <v>0</v>
      </c>
      <c r="T37">
        <v>0</v>
      </c>
      <c r="U37" s="17">
        <v>-7977000</v>
      </c>
      <c r="V37" s="17">
        <v>-12391000</v>
      </c>
      <c r="W37" s="17">
        <v>-15399000</v>
      </c>
      <c r="X37" s="17">
        <v>-636000</v>
      </c>
      <c r="Y37" s="17">
        <v>-5166000</v>
      </c>
    </row>
    <row r="38" spans="1:26" x14ac:dyDescent="0.35">
      <c r="A38" t="s">
        <v>333</v>
      </c>
      <c r="B38">
        <v>0</v>
      </c>
      <c r="C38" s="17">
        <v>-2046881000</v>
      </c>
      <c r="D38">
        <v>0</v>
      </c>
      <c r="E38">
        <v>0</v>
      </c>
      <c r="O38">
        <v>0</v>
      </c>
      <c r="P38">
        <v>0</v>
      </c>
      <c r="Q38" s="17">
        <v>-5169000</v>
      </c>
      <c r="R38">
        <v>0</v>
      </c>
      <c r="S38">
        <v>0</v>
      </c>
      <c r="T38">
        <v>0</v>
      </c>
      <c r="U38" s="17">
        <v>-7977000</v>
      </c>
    </row>
    <row r="39" spans="1:26" x14ac:dyDescent="0.35">
      <c r="A39" t="s">
        <v>334</v>
      </c>
      <c r="Q39">
        <v>0</v>
      </c>
      <c r="S39" s="17">
        <v>-5654000</v>
      </c>
    </row>
    <row r="40" spans="1:26" x14ac:dyDescent="0.35">
      <c r="A40" t="s">
        <v>335</v>
      </c>
      <c r="Q40">
        <v>0</v>
      </c>
      <c r="S40" s="17">
        <v>-5654000</v>
      </c>
    </row>
    <row r="41" spans="1:26" x14ac:dyDescent="0.35">
      <c r="A41" t="s">
        <v>336</v>
      </c>
      <c r="Q41">
        <v>0</v>
      </c>
      <c r="R41">
        <v>0</v>
      </c>
      <c r="S41" s="17">
        <v>7369000</v>
      </c>
      <c r="T41" s="17">
        <v>-1502000</v>
      </c>
      <c r="U41">
        <v>0</v>
      </c>
      <c r="V41" s="17">
        <v>22325000</v>
      </c>
      <c r="W41" s="17">
        <v>-22325000</v>
      </c>
    </row>
    <row r="42" spans="1:26" x14ac:dyDescent="0.35">
      <c r="A42" t="s">
        <v>337</v>
      </c>
      <c r="R42">
        <v>0</v>
      </c>
      <c r="S42" s="17">
        <v>-5654000</v>
      </c>
      <c r="T42" s="17">
        <v>-1502000</v>
      </c>
      <c r="U42">
        <v>0</v>
      </c>
      <c r="V42" s="17">
        <v>-64880000</v>
      </c>
      <c r="W42" s="17">
        <v>-52600000</v>
      </c>
    </row>
    <row r="43" spans="1:26" x14ac:dyDescent="0.35">
      <c r="A43" t="s">
        <v>338</v>
      </c>
      <c r="Q43">
        <v>0</v>
      </c>
      <c r="R43">
        <v>0</v>
      </c>
      <c r="S43" s="17">
        <v>7369000</v>
      </c>
      <c r="T43">
        <v>0</v>
      </c>
      <c r="U43">
        <v>0</v>
      </c>
      <c r="V43" s="17">
        <v>87205000</v>
      </c>
      <c r="W43" s="17">
        <v>30275000</v>
      </c>
    </row>
    <row r="44" spans="1:26" x14ac:dyDescent="0.35">
      <c r="A44" t="s">
        <v>339</v>
      </c>
      <c r="B44" s="17">
        <v>-9000</v>
      </c>
      <c r="C44" s="17">
        <v>-20000</v>
      </c>
      <c r="D44" s="17">
        <v>-46000</v>
      </c>
      <c r="I44" s="17">
        <v>-192000</v>
      </c>
      <c r="J44" s="17">
        <v>-276000</v>
      </c>
      <c r="K44" s="17">
        <v>13000</v>
      </c>
      <c r="L44" s="17">
        <v>566000</v>
      </c>
      <c r="M44" s="17">
        <v>-100000</v>
      </c>
      <c r="N44" s="17">
        <v>-139000</v>
      </c>
      <c r="O44" s="17">
        <v>-1202000</v>
      </c>
      <c r="P44" s="17">
        <v>-1180000</v>
      </c>
      <c r="Q44" s="17">
        <v>-2154000</v>
      </c>
      <c r="R44" s="17">
        <v>-343000</v>
      </c>
      <c r="S44" s="17">
        <v>38000</v>
      </c>
      <c r="T44" s="17">
        <v>322000</v>
      </c>
      <c r="U44" s="17">
        <v>-1624000</v>
      </c>
      <c r="V44" s="17">
        <v>1753000</v>
      </c>
      <c r="W44" s="17">
        <v>-2890000</v>
      </c>
    </row>
    <row r="45" spans="1:26" x14ac:dyDescent="0.35">
      <c r="A45" t="s">
        <v>340</v>
      </c>
      <c r="B45" s="17">
        <v>-429638000</v>
      </c>
      <c r="C45" s="17">
        <v>1529659000</v>
      </c>
      <c r="D45" s="17">
        <v>-859639000</v>
      </c>
      <c r="E45" s="17">
        <v>-886048000</v>
      </c>
      <c r="F45" s="17">
        <v>-714565000</v>
      </c>
      <c r="G45" s="17"/>
      <c r="H45" s="17"/>
      <c r="I45" s="17">
        <v>-198038000</v>
      </c>
      <c r="J45" s="17">
        <v>-68638000</v>
      </c>
      <c r="K45" s="17">
        <v>-148802000</v>
      </c>
      <c r="L45" s="17">
        <v>-65370000</v>
      </c>
      <c r="M45" s="17">
        <v>-16443000</v>
      </c>
      <c r="N45" s="17">
        <v>-101260000</v>
      </c>
      <c r="O45" s="17">
        <v>23431000</v>
      </c>
      <c r="P45" s="17">
        <v>-1161000</v>
      </c>
      <c r="Q45" s="17">
        <v>-16625000</v>
      </c>
      <c r="R45" s="17">
        <v>8917000</v>
      </c>
      <c r="S45" s="17">
        <v>5245000</v>
      </c>
      <c r="T45" s="17">
        <v>-22191000</v>
      </c>
      <c r="U45" s="17">
        <v>18600000</v>
      </c>
      <c r="V45" s="17">
        <v>43200000</v>
      </c>
      <c r="W45" s="17">
        <v>94551000</v>
      </c>
      <c r="X45" s="17">
        <v>5525000</v>
      </c>
      <c r="Y45" s="17">
        <v>6642000</v>
      </c>
      <c r="Z45" s="17">
        <v>1013000</v>
      </c>
    </row>
    <row r="46" spans="1:26" x14ac:dyDescent="0.35">
      <c r="A46" t="s">
        <v>341</v>
      </c>
      <c r="B46" s="17">
        <v>-429638000</v>
      </c>
      <c r="C46" s="17">
        <v>1529659000</v>
      </c>
      <c r="D46" s="17">
        <v>-859639000</v>
      </c>
      <c r="E46" s="17">
        <v>-886048000</v>
      </c>
      <c r="F46" s="17">
        <v>-714565000</v>
      </c>
      <c r="G46" s="17"/>
      <c r="H46" s="17"/>
      <c r="I46" s="17">
        <v>-198038000</v>
      </c>
      <c r="J46" s="17">
        <v>-68638000</v>
      </c>
      <c r="K46" s="17">
        <v>-148802000</v>
      </c>
      <c r="L46" s="17">
        <v>-65370000</v>
      </c>
      <c r="M46" s="17">
        <v>-16443000</v>
      </c>
      <c r="N46" s="17">
        <v>-101260000</v>
      </c>
      <c r="O46" s="17">
        <v>23431000</v>
      </c>
      <c r="P46" s="17">
        <v>-1161000</v>
      </c>
      <c r="Q46" s="17">
        <v>-16625000</v>
      </c>
      <c r="R46" s="17">
        <v>8917000</v>
      </c>
      <c r="S46" s="17">
        <v>5245000</v>
      </c>
      <c r="T46" s="17">
        <v>-22191000</v>
      </c>
      <c r="U46" s="17">
        <v>18600000</v>
      </c>
      <c r="V46" s="17">
        <v>43200000</v>
      </c>
      <c r="W46" s="17">
        <v>94551000</v>
      </c>
      <c r="X46" s="17">
        <v>5525000</v>
      </c>
      <c r="Y46" s="17">
        <v>6642000</v>
      </c>
      <c r="Z46" s="17">
        <v>1013000</v>
      </c>
    </row>
    <row r="47" spans="1:26" x14ac:dyDescent="0.35">
      <c r="A47" t="s">
        <v>342</v>
      </c>
      <c r="B47" s="17">
        <v>605000000</v>
      </c>
      <c r="C47" s="17">
        <v>1594613000</v>
      </c>
      <c r="D47" s="17">
        <v>-665798000</v>
      </c>
      <c r="E47" s="17">
        <v>-323249000</v>
      </c>
      <c r="F47" s="17">
        <v>-128000000</v>
      </c>
      <c r="G47" s="17"/>
      <c r="H47" s="17"/>
      <c r="I47" s="17">
        <v>-25000000</v>
      </c>
      <c r="J47" s="17">
        <v>85000000</v>
      </c>
      <c r="K47" s="17">
        <v>119338000</v>
      </c>
      <c r="L47" s="17">
        <v>-3111000</v>
      </c>
      <c r="M47" s="17">
        <v>-4045000</v>
      </c>
      <c r="N47" s="17">
        <v>-5290000</v>
      </c>
      <c r="O47" s="17">
        <v>-5177000</v>
      </c>
      <c r="P47" s="17">
        <v>10215000</v>
      </c>
      <c r="Q47" s="17">
        <v>5461000</v>
      </c>
      <c r="R47" s="17">
        <v>-1109000</v>
      </c>
      <c r="S47" s="17">
        <v>-1525000</v>
      </c>
      <c r="T47" s="17">
        <v>-22785000</v>
      </c>
      <c r="U47" s="17">
        <v>15317000</v>
      </c>
      <c r="V47" s="17">
        <v>6459000</v>
      </c>
      <c r="W47" s="17">
        <v>-12264000</v>
      </c>
      <c r="X47" s="17">
        <v>5800000</v>
      </c>
      <c r="Y47" s="17">
        <v>767000</v>
      </c>
      <c r="Z47" s="17">
        <v>400000</v>
      </c>
    </row>
    <row r="48" spans="1:26" x14ac:dyDescent="0.35">
      <c r="A48" t="s">
        <v>343</v>
      </c>
      <c r="B48" s="17">
        <v>605000000</v>
      </c>
      <c r="C48" s="17">
        <v>1594613000</v>
      </c>
      <c r="D48" s="17">
        <v>-665798000</v>
      </c>
      <c r="E48" s="17">
        <v>-323249000</v>
      </c>
      <c r="F48" s="17">
        <v>-128000000</v>
      </c>
      <c r="G48" s="17"/>
      <c r="H48" s="17"/>
      <c r="I48" s="17">
        <v>-25000000</v>
      </c>
      <c r="J48" s="17">
        <v>85000000</v>
      </c>
      <c r="K48" s="17">
        <v>119338000</v>
      </c>
      <c r="L48" s="17">
        <v>-3111000</v>
      </c>
      <c r="M48" s="17">
        <v>-4045000</v>
      </c>
      <c r="N48" s="17">
        <v>-5290000</v>
      </c>
      <c r="O48" s="17">
        <v>-5177000</v>
      </c>
      <c r="P48" s="17">
        <v>10215000</v>
      </c>
      <c r="Q48" s="17">
        <v>5461000</v>
      </c>
      <c r="R48" s="17">
        <v>-1109000</v>
      </c>
      <c r="S48" s="17">
        <v>-1525000</v>
      </c>
    </row>
    <row r="49" spans="1:26" x14ac:dyDescent="0.35">
      <c r="A49" t="s">
        <v>344</v>
      </c>
      <c r="B49" s="17">
        <v>1090000000</v>
      </c>
      <c r="C49" s="17">
        <v>2169898000</v>
      </c>
      <c r="D49" s="17">
        <v>257905000</v>
      </c>
      <c r="E49" s="17">
        <v>102156000</v>
      </c>
      <c r="F49" s="17">
        <v>819000000</v>
      </c>
      <c r="G49" s="17"/>
      <c r="H49" s="17"/>
      <c r="I49" s="17">
        <v>210000000</v>
      </c>
      <c r="J49" s="17">
        <v>315000000</v>
      </c>
      <c r="K49" s="17">
        <v>120000000</v>
      </c>
      <c r="L49" s="17">
        <v>5500000</v>
      </c>
      <c r="M49" s="17">
        <v>31582000</v>
      </c>
      <c r="O49">
        <v>0</v>
      </c>
      <c r="P49" s="17">
        <v>23375000</v>
      </c>
      <c r="Q49" s="17">
        <v>96086000</v>
      </c>
      <c r="R49" s="17">
        <v>316595000</v>
      </c>
      <c r="S49" s="17">
        <v>83100000</v>
      </c>
    </row>
    <row r="50" spans="1:26" x14ac:dyDescent="0.35">
      <c r="A50" t="s">
        <v>345</v>
      </c>
      <c r="B50" s="17">
        <v>-485000000</v>
      </c>
      <c r="C50" s="17">
        <v>-575285000</v>
      </c>
      <c r="D50" s="17">
        <v>-923703000</v>
      </c>
      <c r="E50" s="17">
        <v>-425405000</v>
      </c>
      <c r="F50" s="17">
        <v>-947000000</v>
      </c>
      <c r="G50" s="17"/>
      <c r="H50" s="17"/>
      <c r="I50" s="17">
        <v>-235000000</v>
      </c>
      <c r="J50" s="17">
        <v>-230000000</v>
      </c>
      <c r="K50" s="17">
        <v>-662000</v>
      </c>
      <c r="L50" s="17">
        <v>-8611000</v>
      </c>
      <c r="M50" s="17">
        <v>-35627000</v>
      </c>
      <c r="N50" s="17">
        <v>-5290000</v>
      </c>
      <c r="O50" s="17">
        <v>-5177000</v>
      </c>
      <c r="P50" s="17">
        <v>-13160000</v>
      </c>
      <c r="Q50" s="17">
        <v>-90625000</v>
      </c>
      <c r="R50" s="17">
        <v>-317704000</v>
      </c>
      <c r="S50" s="17">
        <v>-84625000</v>
      </c>
    </row>
    <row r="51" spans="1:26" x14ac:dyDescent="0.35">
      <c r="A51" t="s">
        <v>346</v>
      </c>
      <c r="R51" s="17">
        <v>316595000</v>
      </c>
      <c r="S51" s="17">
        <v>-1525000</v>
      </c>
      <c r="T51" s="17">
        <v>-22785000</v>
      </c>
      <c r="U51" s="17">
        <v>15317000</v>
      </c>
    </row>
    <row r="52" spans="1:26" x14ac:dyDescent="0.35">
      <c r="A52" t="s">
        <v>347</v>
      </c>
      <c r="R52" s="17">
        <v>316595000</v>
      </c>
      <c r="S52" s="17">
        <v>83100000</v>
      </c>
      <c r="T52" s="17">
        <v>293000</v>
      </c>
      <c r="U52" s="17">
        <v>76024000</v>
      </c>
    </row>
    <row r="53" spans="1:26" x14ac:dyDescent="0.35">
      <c r="A53" t="s">
        <v>348</v>
      </c>
      <c r="S53" s="17">
        <v>-84625000</v>
      </c>
      <c r="T53" s="17">
        <v>-23078000</v>
      </c>
      <c r="U53" s="17">
        <v>-60707000</v>
      </c>
    </row>
    <row r="54" spans="1:26" x14ac:dyDescent="0.35">
      <c r="A54" t="s">
        <v>349</v>
      </c>
      <c r="B54" s="17">
        <v>-1020119000</v>
      </c>
      <c r="C54" s="17">
        <v>-11477000</v>
      </c>
      <c r="D54" s="17">
        <v>-192105000</v>
      </c>
      <c r="E54" s="17">
        <v>-560690000</v>
      </c>
      <c r="F54" s="17">
        <v>-586565000</v>
      </c>
      <c r="G54" s="17"/>
      <c r="H54" s="17"/>
      <c r="I54" s="17">
        <v>-173892000</v>
      </c>
      <c r="J54" s="17">
        <v>-148717000</v>
      </c>
      <c r="K54" s="17">
        <v>-63131000</v>
      </c>
      <c r="L54" s="17">
        <v>-50000000</v>
      </c>
      <c r="M54">
        <v>0</v>
      </c>
      <c r="N54" s="17">
        <v>-85926000</v>
      </c>
      <c r="O54" s="17">
        <v>-145303000</v>
      </c>
      <c r="P54" s="17">
        <v>-10509000</v>
      </c>
      <c r="Q54" s="17">
        <v>-21861000</v>
      </c>
      <c r="R54" s="17">
        <v>10424000</v>
      </c>
      <c r="S54" s="17">
        <v>6770000</v>
      </c>
      <c r="T54" s="17">
        <v>-238000</v>
      </c>
      <c r="U54" s="17">
        <v>3283000</v>
      </c>
      <c r="V54" s="17">
        <v>-6475000</v>
      </c>
      <c r="W54" s="17">
        <v>96738000</v>
      </c>
      <c r="X54" s="17">
        <v>-275000</v>
      </c>
      <c r="Y54" s="17">
        <v>5875000</v>
      </c>
      <c r="Z54" s="17">
        <v>613000</v>
      </c>
    </row>
    <row r="55" spans="1:26" x14ac:dyDescent="0.35">
      <c r="A55" t="s">
        <v>350</v>
      </c>
      <c r="M55" s="17">
        <v>420000</v>
      </c>
      <c r="N55" s="17">
        <v>1864000</v>
      </c>
      <c r="O55" s="17">
        <v>1342000</v>
      </c>
      <c r="P55" s="17">
        <v>2280000</v>
      </c>
      <c r="Q55" s="17">
        <v>3706000</v>
      </c>
      <c r="R55" s="17">
        <v>10914000</v>
      </c>
      <c r="S55" s="17">
        <v>7191000</v>
      </c>
      <c r="U55" s="17">
        <v>3283000</v>
      </c>
      <c r="V55" s="17">
        <v>18547000</v>
      </c>
      <c r="W55" s="17">
        <v>96738000</v>
      </c>
      <c r="Y55" s="17">
        <v>6025000</v>
      </c>
      <c r="Z55" s="17">
        <v>625000</v>
      </c>
    </row>
    <row r="56" spans="1:26" x14ac:dyDescent="0.35">
      <c r="A56" t="s">
        <v>351</v>
      </c>
      <c r="B56" s="17">
        <v>-1020119000</v>
      </c>
      <c r="C56" s="17">
        <v>-11477000</v>
      </c>
      <c r="D56" s="17">
        <v>-192105000</v>
      </c>
      <c r="E56" s="17">
        <v>-560690000</v>
      </c>
      <c r="F56" s="17">
        <v>-586565000</v>
      </c>
      <c r="G56" s="17"/>
      <c r="H56" s="17"/>
      <c r="I56" s="17">
        <v>-173892000</v>
      </c>
      <c r="J56" s="17">
        <v>-148717000</v>
      </c>
      <c r="K56" s="17">
        <v>-63131000</v>
      </c>
      <c r="L56" s="17">
        <v>-50000000</v>
      </c>
      <c r="M56">
        <v>0</v>
      </c>
      <c r="N56" s="17">
        <v>-85926000</v>
      </c>
      <c r="O56" s="17">
        <v>-146645000</v>
      </c>
      <c r="P56" s="17">
        <v>-12789000</v>
      </c>
      <c r="Q56" s="17">
        <v>-25567000</v>
      </c>
      <c r="R56" s="17">
        <v>-490000</v>
      </c>
      <c r="S56" s="17">
        <v>-421000</v>
      </c>
      <c r="T56" s="17">
        <v>-238000</v>
      </c>
      <c r="U56">
        <v>0</v>
      </c>
      <c r="V56" s="17">
        <v>-25022000</v>
      </c>
      <c r="X56" s="17">
        <v>-275000</v>
      </c>
      <c r="Y56" s="17">
        <v>-150000</v>
      </c>
      <c r="Z56" s="17">
        <v>-12000</v>
      </c>
    </row>
    <row r="57" spans="1:26" x14ac:dyDescent="0.35">
      <c r="A57" t="s">
        <v>352</v>
      </c>
      <c r="I57">
        <v>0</v>
      </c>
      <c r="J57">
        <v>0</v>
      </c>
      <c r="K57" s="17">
        <v>-183724000</v>
      </c>
      <c r="L57">
        <v>0</v>
      </c>
      <c r="M57">
        <v>0</v>
      </c>
      <c r="O57" s="17">
        <v>182220000</v>
      </c>
      <c r="Q57">
        <v>0</v>
      </c>
    </row>
    <row r="58" spans="1:26" x14ac:dyDescent="0.35">
      <c r="A58" t="s">
        <v>353</v>
      </c>
      <c r="M58">
        <v>0</v>
      </c>
      <c r="O58" s="17">
        <v>182220000</v>
      </c>
      <c r="Q58">
        <v>0</v>
      </c>
    </row>
    <row r="59" spans="1:26" x14ac:dyDescent="0.35">
      <c r="A59" t="s">
        <v>354</v>
      </c>
      <c r="I59">
        <v>0</v>
      </c>
      <c r="J59">
        <v>0</v>
      </c>
      <c r="K59" s="17">
        <v>-183724000</v>
      </c>
      <c r="L59">
        <v>0</v>
      </c>
      <c r="M59">
        <v>0</v>
      </c>
    </row>
    <row r="60" spans="1:26" x14ac:dyDescent="0.35">
      <c r="A60" t="s">
        <v>355</v>
      </c>
      <c r="B60">
        <v>0</v>
      </c>
      <c r="I60">
        <v>0</v>
      </c>
      <c r="J60" s="17">
        <v>-2985000</v>
      </c>
      <c r="K60" s="17">
        <v>-21015000</v>
      </c>
      <c r="L60" s="17">
        <v>-12000000</v>
      </c>
      <c r="M60" s="17">
        <v>-12000000</v>
      </c>
      <c r="N60" s="17">
        <v>-11900000</v>
      </c>
      <c r="O60" s="17">
        <v>-8234000</v>
      </c>
      <c r="Q60">
        <v>0</v>
      </c>
      <c r="W60" s="17">
        <v>-171000</v>
      </c>
    </row>
    <row r="61" spans="1:26" x14ac:dyDescent="0.35">
      <c r="A61" t="s">
        <v>356</v>
      </c>
      <c r="B61">
        <v>0</v>
      </c>
      <c r="I61">
        <v>0</v>
      </c>
      <c r="J61" s="17">
        <v>-2985000</v>
      </c>
      <c r="K61" s="17">
        <v>-21015000</v>
      </c>
      <c r="L61" s="17">
        <v>-12000000</v>
      </c>
      <c r="M61" s="17">
        <v>-12000000</v>
      </c>
      <c r="N61" s="17">
        <v>-11900000</v>
      </c>
      <c r="O61" s="17">
        <v>-8234000</v>
      </c>
      <c r="Q61">
        <v>0</v>
      </c>
    </row>
    <row r="62" spans="1:26" x14ac:dyDescent="0.35">
      <c r="A62" t="s">
        <v>357</v>
      </c>
      <c r="S62" s="17">
        <v>7191000</v>
      </c>
      <c r="T62" s="17">
        <v>1290000</v>
      </c>
      <c r="U62" s="17">
        <v>3283000</v>
      </c>
    </row>
    <row r="63" spans="1:26" x14ac:dyDescent="0.35">
      <c r="A63" t="s">
        <v>358</v>
      </c>
      <c r="B63" s="17">
        <v>-14519000</v>
      </c>
      <c r="C63" s="17">
        <v>-53477000</v>
      </c>
      <c r="D63" s="17">
        <v>-1736000</v>
      </c>
      <c r="E63" s="17">
        <v>-2109000</v>
      </c>
      <c r="I63" s="17">
        <v>854000</v>
      </c>
      <c r="J63" s="17">
        <v>-1936000</v>
      </c>
      <c r="K63" s="17">
        <v>-270000</v>
      </c>
      <c r="L63" s="17">
        <v>-259000</v>
      </c>
      <c r="M63" s="17">
        <v>-398000</v>
      </c>
      <c r="N63" s="17">
        <v>1856000</v>
      </c>
      <c r="O63" s="17">
        <v>-75000</v>
      </c>
      <c r="P63" s="17">
        <v>-867000</v>
      </c>
      <c r="Q63" s="17">
        <v>-225000</v>
      </c>
      <c r="R63" s="17">
        <v>-398000</v>
      </c>
      <c r="S63" s="17">
        <v>-421000</v>
      </c>
      <c r="T63" s="17">
        <v>-696000</v>
      </c>
      <c r="V63" s="17">
        <v>43216000</v>
      </c>
      <c r="W63" s="17">
        <v>10248000</v>
      </c>
    </row>
    <row r="64" spans="1:26" x14ac:dyDescent="0.35">
      <c r="A64" t="s">
        <v>359</v>
      </c>
      <c r="B64" s="17">
        <v>216925000</v>
      </c>
      <c r="C64" s="17">
        <v>194885000</v>
      </c>
      <c r="D64" s="17">
        <v>153097000</v>
      </c>
      <c r="E64" s="17">
        <v>183678000</v>
      </c>
      <c r="F64" s="17">
        <v>133911000</v>
      </c>
      <c r="G64" s="17"/>
      <c r="H64" s="17"/>
      <c r="I64" s="17">
        <v>139273000</v>
      </c>
      <c r="J64" s="17">
        <v>112045000</v>
      </c>
      <c r="K64" s="17">
        <v>127530000</v>
      </c>
      <c r="L64" s="17">
        <v>177055000</v>
      </c>
      <c r="M64" s="17">
        <v>152646000</v>
      </c>
      <c r="N64" s="17">
        <v>143341000</v>
      </c>
      <c r="O64" s="17">
        <v>267512000</v>
      </c>
      <c r="P64" s="17">
        <v>317144000</v>
      </c>
      <c r="Q64" s="17">
        <v>294348000</v>
      </c>
      <c r="R64" s="17">
        <v>257587000</v>
      </c>
      <c r="S64" s="17">
        <v>145583000</v>
      </c>
      <c r="T64" s="17">
        <v>77343000</v>
      </c>
      <c r="U64" s="17">
        <v>51665000</v>
      </c>
      <c r="V64" s="17">
        <v>36335000</v>
      </c>
      <c r="W64" s="17">
        <v>42656000</v>
      </c>
      <c r="X64" s="17">
        <v>4787000</v>
      </c>
      <c r="Y64" s="17">
        <v>1054000</v>
      </c>
      <c r="Z64" s="17">
        <v>326000</v>
      </c>
    </row>
    <row r="65" spans="1:26" x14ac:dyDescent="0.35">
      <c r="A65" t="s">
        <v>360</v>
      </c>
      <c r="B65" s="17">
        <v>81602000</v>
      </c>
      <c r="C65" s="17">
        <v>-18290000</v>
      </c>
      <c r="D65" s="17">
        <v>-44866000</v>
      </c>
      <c r="E65" s="17">
        <v>37091000</v>
      </c>
      <c r="F65" s="17">
        <v>-55365000</v>
      </c>
      <c r="G65" s="17"/>
      <c r="H65" s="17"/>
      <c r="I65" s="17">
        <v>27102000</v>
      </c>
      <c r="J65" s="17">
        <v>-14916000</v>
      </c>
      <c r="K65" s="17">
        <v>-44750000</v>
      </c>
      <c r="L65" s="17">
        <v>21356000</v>
      </c>
      <c r="M65" s="17">
        <v>3455000</v>
      </c>
      <c r="N65" s="17">
        <v>-110189000</v>
      </c>
      <c r="O65" s="17">
        <v>-46212000</v>
      </c>
      <c r="P65" s="17">
        <v>12545000</v>
      </c>
      <c r="Q65" s="17">
        <v>45788000</v>
      </c>
      <c r="R65" s="17">
        <v>109629000</v>
      </c>
      <c r="S65" s="17">
        <v>67441000</v>
      </c>
      <c r="T65" s="17">
        <v>13187000</v>
      </c>
      <c r="U65" s="17">
        <v>18027000</v>
      </c>
      <c r="V65" s="17">
        <v>-10079000</v>
      </c>
      <c r="W65" s="17">
        <v>37391000</v>
      </c>
      <c r="X65" s="17">
        <v>3860000</v>
      </c>
      <c r="Y65" s="17">
        <v>702000</v>
      </c>
      <c r="Z65" s="17">
        <v>253000</v>
      </c>
    </row>
    <row r="66" spans="1:26" x14ac:dyDescent="0.35">
      <c r="A66" t="s">
        <v>361</v>
      </c>
      <c r="B66" s="17">
        <v>-3950000</v>
      </c>
      <c r="C66" s="17">
        <v>-3750000</v>
      </c>
      <c r="D66" s="17">
        <v>3078000</v>
      </c>
      <c r="E66" s="17">
        <v>-6510000</v>
      </c>
      <c r="F66" s="17">
        <v>5598000</v>
      </c>
      <c r="G66" s="17"/>
      <c r="H66" s="17"/>
      <c r="I66" s="17">
        <v>126000</v>
      </c>
      <c r="J66" s="17">
        <v>-569000</v>
      </c>
      <c r="K66" s="17">
        <v>-4775000</v>
      </c>
      <c r="L66" s="17">
        <v>3053000</v>
      </c>
      <c r="M66" s="17">
        <v>-255000</v>
      </c>
      <c r="N66" s="17">
        <v>-13982000</v>
      </c>
      <c r="O66" s="17">
        <v>-3420000</v>
      </c>
      <c r="P66" s="17">
        <v>10251000</v>
      </c>
      <c r="Q66" s="17">
        <v>-9027000</v>
      </c>
      <c r="R66" s="17">
        <v>2375000</v>
      </c>
      <c r="S66" s="17">
        <v>799000</v>
      </c>
      <c r="T66" s="17">
        <v>12491000</v>
      </c>
      <c r="U66" s="17">
        <v>-2697000</v>
      </c>
      <c r="V66" s="17">
        <v>3758000</v>
      </c>
      <c r="W66" s="17">
        <v>478000</v>
      </c>
      <c r="X66" s="17">
        <v>-127000</v>
      </c>
      <c r="Y66" s="17">
        <v>26000</v>
      </c>
    </row>
    <row r="67" spans="1:26" x14ac:dyDescent="0.35">
      <c r="A67" t="s">
        <v>362</v>
      </c>
      <c r="B67" s="17">
        <v>139273000</v>
      </c>
      <c r="C67" s="17">
        <v>216925000</v>
      </c>
      <c r="D67" s="17">
        <v>194885000</v>
      </c>
      <c r="E67" s="17">
        <v>153097000</v>
      </c>
      <c r="F67" s="17">
        <v>183678000</v>
      </c>
      <c r="G67" s="17"/>
      <c r="H67" s="17"/>
      <c r="I67" s="17">
        <v>112045000</v>
      </c>
      <c r="J67" s="17">
        <v>127530000</v>
      </c>
      <c r="K67" s="17">
        <v>177055000</v>
      </c>
      <c r="L67" s="17">
        <v>152646000</v>
      </c>
      <c r="M67" s="17">
        <v>149446000</v>
      </c>
      <c r="N67" s="17">
        <v>267512000</v>
      </c>
      <c r="O67" s="17">
        <v>317144000</v>
      </c>
      <c r="P67" s="17">
        <v>294348000</v>
      </c>
      <c r="Q67" s="17">
        <v>257587000</v>
      </c>
      <c r="R67" s="17">
        <v>145583000</v>
      </c>
      <c r="S67" s="17">
        <v>77343000</v>
      </c>
      <c r="T67" s="17">
        <v>51665000</v>
      </c>
      <c r="U67" s="17">
        <v>36335000</v>
      </c>
      <c r="V67" s="17">
        <v>42656000</v>
      </c>
      <c r="W67" s="17">
        <v>4787000</v>
      </c>
      <c r="X67" s="17">
        <v>1054000</v>
      </c>
      <c r="Y67" s="17">
        <v>326000</v>
      </c>
      <c r="Z67" s="17">
        <v>73000</v>
      </c>
    </row>
    <row r="68" spans="1:26" x14ac:dyDescent="0.35">
      <c r="A68" t="s">
        <v>363</v>
      </c>
      <c r="B68" s="17">
        <v>159680000</v>
      </c>
      <c r="C68" s="17">
        <v>130084000</v>
      </c>
      <c r="D68" s="17">
        <v>179721000</v>
      </c>
      <c r="E68" s="17">
        <v>124959000</v>
      </c>
      <c r="G68" s="17"/>
      <c r="H68" s="17"/>
      <c r="I68" s="17">
        <v>20816000</v>
      </c>
      <c r="J68" s="17">
        <v>16050000</v>
      </c>
      <c r="K68" s="17">
        <v>18633000</v>
      </c>
      <c r="L68" s="17">
        <v>13208000</v>
      </c>
      <c r="M68" s="17">
        <v>12344000</v>
      </c>
      <c r="N68" s="17">
        <v>19923000</v>
      </c>
      <c r="O68" s="17">
        <v>33655000</v>
      </c>
      <c r="P68" s="17">
        <v>20274000</v>
      </c>
      <c r="Q68" s="17">
        <v>29385000</v>
      </c>
      <c r="R68" s="17">
        <v>26632000</v>
      </c>
      <c r="S68" s="17">
        <v>11048000</v>
      </c>
      <c r="T68" s="17">
        <v>12392000</v>
      </c>
    </row>
    <row r="69" spans="1:26" x14ac:dyDescent="0.35">
      <c r="A69" t="s">
        <v>364</v>
      </c>
      <c r="B69" s="17">
        <v>10210000</v>
      </c>
      <c r="C69" s="17">
        <v>127809000</v>
      </c>
      <c r="D69" s="17">
        <v>151621000</v>
      </c>
      <c r="E69" s="17">
        <v>99463000</v>
      </c>
      <c r="F69" s="17">
        <v>77684000</v>
      </c>
      <c r="G69" s="17"/>
      <c r="H69" s="17"/>
      <c r="I69" s="17">
        <v>6658000</v>
      </c>
      <c r="J69" s="17">
        <v>7519000</v>
      </c>
      <c r="K69" s="17">
        <v>462000</v>
      </c>
      <c r="L69" s="17">
        <v>434000</v>
      </c>
      <c r="M69" s="17">
        <v>653000</v>
      </c>
      <c r="N69" s="17">
        <v>917000</v>
      </c>
      <c r="O69" s="17">
        <v>616000</v>
      </c>
      <c r="P69" s="17">
        <v>693000</v>
      </c>
      <c r="Q69" s="17">
        <v>619000</v>
      </c>
      <c r="R69" s="17">
        <v>843000</v>
      </c>
      <c r="S69" s="17">
        <v>639000</v>
      </c>
      <c r="T69" s="17">
        <v>1491000</v>
      </c>
    </row>
    <row r="70" spans="1:26" x14ac:dyDescent="0.35">
      <c r="A70" t="s">
        <v>365</v>
      </c>
      <c r="B70" s="17">
        <v>-55916000</v>
      </c>
      <c r="C70" s="17">
        <v>-104190000</v>
      </c>
      <c r="D70" s="17">
        <v>-115625000</v>
      </c>
      <c r="E70" s="17">
        <v>-69347000</v>
      </c>
      <c r="F70" s="17">
        <v>-51231000</v>
      </c>
      <c r="G70" s="17"/>
      <c r="H70" s="17"/>
      <c r="I70" s="17">
        <v>-42033000</v>
      </c>
      <c r="J70" s="17">
        <v>-36576000</v>
      </c>
      <c r="K70" s="17">
        <v>-11979000</v>
      </c>
      <c r="L70" s="17">
        <v>-13117000</v>
      </c>
      <c r="M70" s="17">
        <v>-22194000</v>
      </c>
      <c r="N70" s="17">
        <v>-18488000</v>
      </c>
      <c r="O70" s="17">
        <v>-57026000</v>
      </c>
      <c r="P70" s="17">
        <v>-68828000</v>
      </c>
      <c r="Q70" s="17">
        <v>-60836000</v>
      </c>
      <c r="R70" s="17">
        <v>-41640000</v>
      </c>
      <c r="S70" s="17">
        <v>-45105000</v>
      </c>
      <c r="T70" s="17">
        <v>-27027000</v>
      </c>
      <c r="U70" s="17">
        <v>-66218000</v>
      </c>
      <c r="V70" s="17">
        <v>-73904000</v>
      </c>
      <c r="W70" s="17">
        <v>-29044000</v>
      </c>
      <c r="X70" s="17">
        <v>-11531000</v>
      </c>
      <c r="Y70" s="17">
        <v>-1551000</v>
      </c>
      <c r="Z70" s="17">
        <v>-321000</v>
      </c>
    </row>
    <row r="71" spans="1:26" x14ac:dyDescent="0.35">
      <c r="A71" t="s">
        <v>366</v>
      </c>
      <c r="M71" s="17">
        <v>420000</v>
      </c>
      <c r="N71" s="17">
        <v>1864000</v>
      </c>
      <c r="O71" s="17">
        <v>183562000</v>
      </c>
      <c r="P71" s="17">
        <v>2280000</v>
      </c>
      <c r="Q71" s="17">
        <v>3706000</v>
      </c>
      <c r="R71" s="17">
        <v>10914000</v>
      </c>
      <c r="S71" s="17">
        <v>7191000</v>
      </c>
      <c r="U71" s="17">
        <v>3283000</v>
      </c>
      <c r="V71" s="17">
        <v>18547000</v>
      </c>
      <c r="W71" s="17">
        <v>96738000</v>
      </c>
      <c r="Y71" s="17">
        <v>6025000</v>
      </c>
      <c r="Z71" s="17">
        <v>625000</v>
      </c>
    </row>
    <row r="72" spans="1:26" x14ac:dyDescent="0.35">
      <c r="A72" t="s">
        <v>367</v>
      </c>
      <c r="B72" s="17">
        <v>1090000000</v>
      </c>
      <c r="C72" s="17">
        <v>2169898000</v>
      </c>
      <c r="D72" s="17">
        <v>257905000</v>
      </c>
      <c r="E72" s="17">
        <v>102156000</v>
      </c>
      <c r="F72" s="17">
        <v>819000000</v>
      </c>
      <c r="G72" s="17"/>
      <c r="H72" s="17"/>
      <c r="I72" s="17">
        <v>210000000</v>
      </c>
      <c r="J72" s="17">
        <v>315000000</v>
      </c>
      <c r="K72" s="17">
        <v>120000000</v>
      </c>
      <c r="L72" s="17">
        <v>5500000</v>
      </c>
      <c r="M72" s="17">
        <v>31582000</v>
      </c>
      <c r="O72">
        <v>0</v>
      </c>
      <c r="P72" s="17">
        <v>23375000</v>
      </c>
      <c r="Q72" s="17">
        <v>96086000</v>
      </c>
      <c r="R72" s="17">
        <v>316595000</v>
      </c>
      <c r="S72" s="17">
        <v>83100000</v>
      </c>
      <c r="T72" s="17">
        <v>293000</v>
      </c>
      <c r="U72" s="17">
        <v>76024000</v>
      </c>
    </row>
    <row r="73" spans="1:26" x14ac:dyDescent="0.35">
      <c r="A73" t="s">
        <v>368</v>
      </c>
      <c r="B73" s="17">
        <v>-485000000</v>
      </c>
      <c r="C73" s="17">
        <v>-575285000</v>
      </c>
      <c r="D73" s="17">
        <v>-923703000</v>
      </c>
      <c r="E73" s="17">
        <v>-425405000</v>
      </c>
      <c r="F73" s="17">
        <v>-947000000</v>
      </c>
      <c r="G73" s="17"/>
      <c r="H73" s="17"/>
      <c r="I73" s="17">
        <v>-235000000</v>
      </c>
      <c r="J73" s="17">
        <v>-230000000</v>
      </c>
      <c r="K73" s="17">
        <v>-662000</v>
      </c>
      <c r="L73" s="17">
        <v>-8611000</v>
      </c>
      <c r="M73" s="17">
        <v>-35627000</v>
      </c>
      <c r="N73" s="17">
        <v>-5290000</v>
      </c>
      <c r="O73" s="17">
        <v>-5177000</v>
      </c>
      <c r="P73" s="17">
        <v>-13160000</v>
      </c>
      <c r="Q73" s="17">
        <v>-90625000</v>
      </c>
      <c r="R73" s="17">
        <v>-317704000</v>
      </c>
      <c r="S73" s="17">
        <v>-84625000</v>
      </c>
      <c r="T73" s="17">
        <v>-23078000</v>
      </c>
      <c r="U73" s="17">
        <v>-60707000</v>
      </c>
    </row>
    <row r="74" spans="1:26" x14ac:dyDescent="0.35">
      <c r="A74" t="s">
        <v>369</v>
      </c>
      <c r="B74" s="17">
        <v>-1020119000</v>
      </c>
      <c r="C74" s="17">
        <v>-11477000</v>
      </c>
      <c r="D74" s="17">
        <v>-192105000</v>
      </c>
      <c r="E74" s="17">
        <v>-560690000</v>
      </c>
      <c r="F74" s="17">
        <v>-586565000</v>
      </c>
      <c r="G74" s="17"/>
      <c r="H74" s="17"/>
      <c r="I74" s="17">
        <v>-173892000</v>
      </c>
      <c r="J74" s="17">
        <v>-148717000</v>
      </c>
      <c r="K74" s="17">
        <v>-246855000</v>
      </c>
      <c r="L74" s="17">
        <v>-50000000</v>
      </c>
      <c r="M74">
        <v>0</v>
      </c>
      <c r="N74" s="17">
        <v>-85926000</v>
      </c>
      <c r="O74" s="17">
        <v>-146645000</v>
      </c>
      <c r="P74" s="17">
        <v>-12789000</v>
      </c>
      <c r="Q74" s="17">
        <v>-25567000</v>
      </c>
      <c r="R74" s="17">
        <v>-490000</v>
      </c>
      <c r="S74" s="17">
        <v>-421000</v>
      </c>
      <c r="T74" s="17">
        <v>-238000</v>
      </c>
      <c r="U74">
        <v>0</v>
      </c>
      <c r="V74" s="17">
        <v>-25022000</v>
      </c>
      <c r="X74" s="17">
        <v>-275000</v>
      </c>
      <c r="Y74" s="17">
        <v>-150000</v>
      </c>
      <c r="Z74" s="17">
        <v>-12000</v>
      </c>
    </row>
    <row r="75" spans="1:26" x14ac:dyDescent="0.35">
      <c r="A75" t="s">
        <v>370</v>
      </c>
      <c r="B75" s="17">
        <v>511249000</v>
      </c>
      <c r="C75" s="17">
        <v>498952000</v>
      </c>
      <c r="D75" s="17">
        <v>814819000</v>
      </c>
      <c r="E75" s="17">
        <v>923139000</v>
      </c>
      <c r="F75" s="17">
        <v>659200000</v>
      </c>
      <c r="G75" s="17"/>
      <c r="H75" s="17"/>
      <c r="I75" s="17">
        <v>224869000</v>
      </c>
      <c r="J75" s="17">
        <v>53382000</v>
      </c>
      <c r="K75" s="17">
        <v>102183000</v>
      </c>
      <c r="L75" s="17">
        <v>85147000</v>
      </c>
      <c r="M75" s="17">
        <v>17560000</v>
      </c>
      <c r="N75" s="17">
        <v>-8790000</v>
      </c>
      <c r="O75" s="17">
        <v>-68677000</v>
      </c>
      <c r="P75" s="17">
        <v>14636000</v>
      </c>
      <c r="Q75" s="17">
        <v>67520000</v>
      </c>
      <c r="R75" s="17">
        <v>100736000</v>
      </c>
      <c r="S75" s="17">
        <v>59169000</v>
      </c>
      <c r="T75" s="17">
        <v>34082000</v>
      </c>
      <c r="U75" s="17">
        <v>6645000</v>
      </c>
      <c r="V75" s="17">
        <v>-64966000</v>
      </c>
      <c r="W75" s="17">
        <v>-16701000</v>
      </c>
      <c r="X75" s="17">
        <v>-1029000</v>
      </c>
      <c r="Y75" s="17">
        <v>-774000</v>
      </c>
      <c r="Z75" s="17">
        <v>-760000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A71F7-AA01-4F2D-917F-4B14D1316B5F}">
  <dimension ref="A1:J252"/>
  <sheetViews>
    <sheetView workbookViewId="0">
      <selection activeCell="I3" sqref="I3:J5"/>
    </sheetView>
  </sheetViews>
  <sheetFormatPr defaultRowHeight="14.5" x14ac:dyDescent="0.35"/>
  <cols>
    <col min="1" max="1" width="10.08984375" bestFit="1" customWidth="1"/>
    <col min="2" max="6" width="10.81640625" style="35" bestFit="1" customWidth="1"/>
    <col min="7" max="7" width="8.81640625" bestFit="1" customWidth="1"/>
  </cols>
  <sheetData>
    <row r="1" spans="1:10" x14ac:dyDescent="0.35">
      <c r="A1" t="s">
        <v>387</v>
      </c>
      <c r="B1" s="35" t="s">
        <v>388</v>
      </c>
      <c r="C1" s="35" t="s">
        <v>389</v>
      </c>
      <c r="D1" s="35" t="s">
        <v>390</v>
      </c>
      <c r="E1" s="35" t="s">
        <v>391</v>
      </c>
      <c r="F1" s="35" t="s">
        <v>392</v>
      </c>
      <c r="G1" t="s">
        <v>393</v>
      </c>
    </row>
    <row r="2" spans="1:10" x14ac:dyDescent="0.35">
      <c r="A2" s="16">
        <v>45688</v>
      </c>
      <c r="B2" s="35">
        <v>105.58000199999999</v>
      </c>
      <c r="C2" s="35">
        <v>106.339996</v>
      </c>
      <c r="D2" s="35">
        <v>101.629997</v>
      </c>
      <c r="E2" s="35">
        <v>102.07</v>
      </c>
      <c r="F2" s="35">
        <v>102.07</v>
      </c>
      <c r="G2">
        <v>1674800</v>
      </c>
    </row>
    <row r="3" spans="1:10" x14ac:dyDescent="0.35">
      <c r="A3" s="16">
        <v>45691</v>
      </c>
      <c r="B3" s="35">
        <v>98.860000999999997</v>
      </c>
      <c r="C3" s="35">
        <v>100.050003</v>
      </c>
      <c r="D3" s="35">
        <v>96.660004000000001</v>
      </c>
      <c r="E3" s="35">
        <v>96.739998</v>
      </c>
      <c r="F3" s="35">
        <v>96.739998</v>
      </c>
      <c r="G3">
        <v>2148300</v>
      </c>
      <c r="I3" t="s">
        <v>389</v>
      </c>
      <c r="J3" s="80">
        <f>MAX(E2:E252)</f>
        <v>120.260002</v>
      </c>
    </row>
    <row r="4" spans="1:10" x14ac:dyDescent="0.35">
      <c r="A4" s="16">
        <v>45692</v>
      </c>
      <c r="B4" s="35">
        <v>97.860000999999997</v>
      </c>
      <c r="C4" s="35">
        <v>98.959998999999996</v>
      </c>
      <c r="D4" s="35">
        <v>96.919998000000007</v>
      </c>
      <c r="E4" s="35">
        <v>97.279999000000004</v>
      </c>
      <c r="F4" s="35">
        <v>97.279999000000004</v>
      </c>
      <c r="G4">
        <v>1102600</v>
      </c>
      <c r="I4" t="s">
        <v>194</v>
      </c>
      <c r="J4" s="80">
        <f>AVERAGE(E2:E252)</f>
        <v>93.302748737051772</v>
      </c>
    </row>
    <row r="5" spans="1:10" x14ac:dyDescent="0.35">
      <c r="A5" s="16">
        <v>45693</v>
      </c>
      <c r="B5" s="35">
        <v>97.300003000000004</v>
      </c>
      <c r="C5" s="35">
        <v>98.190002000000007</v>
      </c>
      <c r="D5" s="35">
        <v>96.5</v>
      </c>
      <c r="E5" s="35">
        <v>97</v>
      </c>
      <c r="F5" s="35">
        <v>97</v>
      </c>
      <c r="G5">
        <v>1332300</v>
      </c>
      <c r="I5" t="s">
        <v>390</v>
      </c>
      <c r="J5" s="80">
        <f>MIN(E3:E252)</f>
        <v>73.389999000000003</v>
      </c>
    </row>
    <row r="6" spans="1:10" x14ac:dyDescent="0.35">
      <c r="A6" s="16">
        <v>45694</v>
      </c>
      <c r="B6" s="35">
        <v>98.480002999999996</v>
      </c>
      <c r="C6" s="35">
        <v>99.5</v>
      </c>
      <c r="D6" s="35">
        <v>95.459998999999996</v>
      </c>
      <c r="E6" s="35">
        <v>95.519997000000004</v>
      </c>
      <c r="F6" s="35">
        <v>95.519997000000004</v>
      </c>
      <c r="G6">
        <v>1908400</v>
      </c>
    </row>
    <row r="7" spans="1:10" x14ac:dyDescent="0.35">
      <c r="A7" s="16">
        <v>45695</v>
      </c>
      <c r="B7" s="35">
        <v>95.07</v>
      </c>
      <c r="C7" s="35">
        <v>96.599997999999999</v>
      </c>
      <c r="D7" s="35">
        <v>92.389999000000003</v>
      </c>
      <c r="E7" s="35">
        <v>93.370002999999997</v>
      </c>
      <c r="F7" s="35">
        <v>93.370002999999997</v>
      </c>
      <c r="G7">
        <v>2084400</v>
      </c>
    </row>
    <row r="8" spans="1:10" x14ac:dyDescent="0.35">
      <c r="A8" s="16">
        <v>45698</v>
      </c>
      <c r="B8" s="35">
        <v>94.309997999999993</v>
      </c>
      <c r="C8" s="35">
        <v>94.309997999999993</v>
      </c>
      <c r="D8" s="35">
        <v>89.610000999999997</v>
      </c>
      <c r="E8" s="35">
        <v>90.760002</v>
      </c>
      <c r="F8" s="35">
        <v>90.760002</v>
      </c>
      <c r="G8">
        <v>3437200</v>
      </c>
    </row>
    <row r="9" spans="1:10" x14ac:dyDescent="0.35">
      <c r="A9" s="16">
        <v>45699</v>
      </c>
      <c r="B9" s="35">
        <v>90.139999000000003</v>
      </c>
      <c r="C9" s="35">
        <v>91.129997000000003</v>
      </c>
      <c r="D9" s="35">
        <v>88.389999000000003</v>
      </c>
      <c r="E9" s="35">
        <v>88.949996999999996</v>
      </c>
      <c r="F9" s="35">
        <v>88.949996999999996</v>
      </c>
      <c r="G9">
        <v>2555700</v>
      </c>
    </row>
    <row r="10" spans="1:10" x14ac:dyDescent="0.35">
      <c r="A10" s="16">
        <v>45700</v>
      </c>
      <c r="B10" s="35">
        <v>89.330001999999993</v>
      </c>
      <c r="C10" s="35">
        <v>90.43</v>
      </c>
      <c r="D10" s="35">
        <v>88.25</v>
      </c>
      <c r="E10" s="35">
        <v>88.830001999999993</v>
      </c>
      <c r="F10" s="35">
        <v>88.830001999999993</v>
      </c>
      <c r="G10">
        <v>3039100</v>
      </c>
    </row>
    <row r="11" spans="1:10" x14ac:dyDescent="0.35">
      <c r="A11" s="16">
        <v>45701</v>
      </c>
      <c r="B11" s="35">
        <v>110.650002</v>
      </c>
      <c r="C11" s="35">
        <v>111.629997</v>
      </c>
      <c r="D11" s="35">
        <v>103.650002</v>
      </c>
      <c r="E11" s="35">
        <v>110.050003</v>
      </c>
      <c r="F11" s="35">
        <v>110.050003</v>
      </c>
      <c r="G11">
        <v>7482500</v>
      </c>
    </row>
    <row r="12" spans="1:10" x14ac:dyDescent="0.35">
      <c r="A12" s="16">
        <v>45702</v>
      </c>
      <c r="B12" s="35">
        <v>109.650002</v>
      </c>
      <c r="C12" s="35">
        <v>110.730003</v>
      </c>
      <c r="D12" s="35">
        <v>106.25</v>
      </c>
      <c r="E12" s="35">
        <v>108.43</v>
      </c>
      <c r="F12" s="35">
        <v>108.43</v>
      </c>
      <c r="G12">
        <v>2473500</v>
      </c>
    </row>
    <row r="13" spans="1:10" x14ac:dyDescent="0.35">
      <c r="A13" s="16">
        <v>45706</v>
      </c>
      <c r="B13" s="35">
        <v>108.379997</v>
      </c>
      <c r="C13" s="35">
        <v>109.300003</v>
      </c>
      <c r="D13" s="35">
        <v>104.660004</v>
      </c>
      <c r="E13" s="35">
        <v>107.349998</v>
      </c>
      <c r="F13" s="35">
        <v>107.349998</v>
      </c>
      <c r="G13">
        <v>2100700</v>
      </c>
    </row>
    <row r="14" spans="1:10" x14ac:dyDescent="0.35">
      <c r="A14" s="16">
        <v>45707</v>
      </c>
      <c r="B14" s="35">
        <v>107</v>
      </c>
      <c r="C14" s="35">
        <v>111.150002</v>
      </c>
      <c r="D14" s="35">
        <v>106.139999</v>
      </c>
      <c r="E14" s="35">
        <v>110.949997</v>
      </c>
      <c r="F14" s="35">
        <v>110.949997</v>
      </c>
      <c r="G14">
        <v>1982300</v>
      </c>
    </row>
    <row r="15" spans="1:10" x14ac:dyDescent="0.35">
      <c r="A15" s="16">
        <v>45708</v>
      </c>
      <c r="B15" s="35">
        <v>110.80999799999999</v>
      </c>
      <c r="C15" s="35">
        <v>110.80999799999999</v>
      </c>
      <c r="D15" s="35">
        <v>106.650002</v>
      </c>
      <c r="E15" s="35">
        <v>108.879997</v>
      </c>
      <c r="F15" s="35">
        <v>108.879997</v>
      </c>
      <c r="G15">
        <v>1791800</v>
      </c>
    </row>
    <row r="16" spans="1:10" x14ac:dyDescent="0.35">
      <c r="A16" s="16">
        <v>45709</v>
      </c>
      <c r="B16" s="35">
        <v>110.040001</v>
      </c>
      <c r="C16" s="35">
        <v>110.900002</v>
      </c>
      <c r="D16" s="35">
        <v>106.260002</v>
      </c>
      <c r="E16" s="35">
        <v>107.599998</v>
      </c>
      <c r="F16" s="35">
        <v>107.599998</v>
      </c>
      <c r="G16">
        <v>1497100</v>
      </c>
    </row>
    <row r="17" spans="1:7" x14ac:dyDescent="0.35">
      <c r="A17" s="16">
        <v>45712</v>
      </c>
      <c r="B17" s="35">
        <v>107.800003</v>
      </c>
      <c r="C17" s="35">
        <v>107.82</v>
      </c>
      <c r="D17" s="35">
        <v>103.959999</v>
      </c>
      <c r="E17" s="35">
        <v>106.099998</v>
      </c>
      <c r="F17" s="35">
        <v>106.099998</v>
      </c>
      <c r="G17">
        <v>1587800</v>
      </c>
    </row>
    <row r="18" spans="1:7" x14ac:dyDescent="0.35">
      <c r="A18" s="16">
        <v>45713</v>
      </c>
      <c r="B18" s="35">
        <v>106.650002</v>
      </c>
      <c r="C18" s="35">
        <v>107</v>
      </c>
      <c r="D18" s="35">
        <v>102.75</v>
      </c>
      <c r="E18" s="35">
        <v>103.150002</v>
      </c>
      <c r="F18" s="35">
        <v>103.150002</v>
      </c>
      <c r="G18">
        <v>1568400</v>
      </c>
    </row>
    <row r="19" spans="1:7" x14ac:dyDescent="0.35">
      <c r="A19" s="16">
        <v>45714</v>
      </c>
      <c r="B19" s="35">
        <v>104.610001</v>
      </c>
      <c r="C19" s="35">
        <v>105.94000200000001</v>
      </c>
      <c r="D19" s="35">
        <v>103.720001</v>
      </c>
      <c r="E19" s="35">
        <v>104.93</v>
      </c>
      <c r="F19" s="35">
        <v>104.93</v>
      </c>
      <c r="G19">
        <v>1044800</v>
      </c>
    </row>
    <row r="20" spans="1:7" x14ac:dyDescent="0.35">
      <c r="A20" s="16">
        <v>45715</v>
      </c>
      <c r="B20" s="35">
        <v>105.300003</v>
      </c>
      <c r="C20" s="35">
        <v>106.900002</v>
      </c>
      <c r="D20" s="35">
        <v>100.739998</v>
      </c>
      <c r="E20" s="35">
        <v>100.860001</v>
      </c>
      <c r="F20" s="35">
        <v>100.860001</v>
      </c>
      <c r="G20">
        <v>1331800</v>
      </c>
    </row>
    <row r="21" spans="1:7" x14ac:dyDescent="0.35">
      <c r="A21" s="16">
        <v>45716</v>
      </c>
      <c r="B21" s="35">
        <v>100.459999</v>
      </c>
      <c r="C21" s="35">
        <v>101.550003</v>
      </c>
      <c r="D21" s="35">
        <v>99.169998000000007</v>
      </c>
      <c r="E21" s="35">
        <v>99.57</v>
      </c>
      <c r="F21" s="35">
        <v>99.57</v>
      </c>
      <c r="G21">
        <v>1858900</v>
      </c>
    </row>
    <row r="22" spans="1:7" x14ac:dyDescent="0.35">
      <c r="A22" s="16">
        <v>45719</v>
      </c>
      <c r="B22" s="35">
        <v>100.589996</v>
      </c>
      <c r="C22" s="35">
        <v>104.41999800000001</v>
      </c>
      <c r="D22" s="35">
        <v>99.150002000000001</v>
      </c>
      <c r="E22" s="35">
        <v>100.379997</v>
      </c>
      <c r="F22" s="35">
        <v>100.379997</v>
      </c>
      <c r="G22">
        <v>1776100</v>
      </c>
    </row>
    <row r="23" spans="1:7" x14ac:dyDescent="0.35">
      <c r="A23" s="16">
        <v>45720</v>
      </c>
      <c r="B23" s="35">
        <v>98.760002</v>
      </c>
      <c r="C23" s="35">
        <v>102.959999</v>
      </c>
      <c r="D23" s="35">
        <v>97.5</v>
      </c>
      <c r="E23" s="35">
        <v>100.980003</v>
      </c>
      <c r="F23" s="35">
        <v>100.980003</v>
      </c>
      <c r="G23">
        <v>2233000</v>
      </c>
    </row>
    <row r="24" spans="1:7" x14ac:dyDescent="0.35">
      <c r="A24" s="16">
        <v>45721</v>
      </c>
      <c r="B24" s="35">
        <v>102.120003</v>
      </c>
      <c r="C24" s="35">
        <v>105.209999</v>
      </c>
      <c r="D24" s="35">
        <v>100.849998</v>
      </c>
      <c r="E24" s="35">
        <v>103.849998</v>
      </c>
      <c r="F24" s="35">
        <v>103.849998</v>
      </c>
      <c r="G24">
        <v>1589600</v>
      </c>
    </row>
    <row r="25" spans="1:7" x14ac:dyDescent="0.35">
      <c r="A25" s="16">
        <v>45722</v>
      </c>
      <c r="B25" s="35">
        <v>102.18</v>
      </c>
      <c r="C25" s="35">
        <v>103.459999</v>
      </c>
      <c r="D25" s="35">
        <v>100</v>
      </c>
      <c r="E25" s="35">
        <v>100.80999799999999</v>
      </c>
      <c r="F25" s="35">
        <v>100.80999799999999</v>
      </c>
      <c r="G25">
        <v>1473600</v>
      </c>
    </row>
    <row r="26" spans="1:7" x14ac:dyDescent="0.35">
      <c r="A26" s="16">
        <v>45723</v>
      </c>
      <c r="B26" s="35">
        <v>99.32</v>
      </c>
      <c r="C26" s="35">
        <v>100.040001</v>
      </c>
      <c r="D26" s="35">
        <v>95.190002000000007</v>
      </c>
      <c r="E26" s="35">
        <v>99.839995999999999</v>
      </c>
      <c r="F26" s="35">
        <v>99.839995999999999</v>
      </c>
      <c r="G26">
        <v>1860900</v>
      </c>
    </row>
    <row r="27" spans="1:7" x14ac:dyDescent="0.35">
      <c r="A27" s="16">
        <v>45726</v>
      </c>
      <c r="B27" s="35">
        <v>99.260002</v>
      </c>
      <c r="C27" s="35">
        <v>103.220001</v>
      </c>
      <c r="D27" s="35">
        <v>97.080001999999993</v>
      </c>
      <c r="E27" s="35">
        <v>101.099998</v>
      </c>
      <c r="F27" s="35">
        <v>101.099998</v>
      </c>
      <c r="G27">
        <v>1826500</v>
      </c>
    </row>
    <row r="28" spans="1:7" x14ac:dyDescent="0.35">
      <c r="A28" s="16">
        <v>45727</v>
      </c>
      <c r="B28" s="35">
        <v>100.91999800000001</v>
      </c>
      <c r="C28" s="35">
        <v>101.489998</v>
      </c>
      <c r="D28" s="35">
        <v>97.470000999999996</v>
      </c>
      <c r="E28" s="35">
        <v>98.32</v>
      </c>
      <c r="F28" s="35">
        <v>98.32</v>
      </c>
      <c r="G28">
        <v>1440100</v>
      </c>
    </row>
    <row r="29" spans="1:7" x14ac:dyDescent="0.35">
      <c r="A29" s="16">
        <v>45728</v>
      </c>
      <c r="B29" s="35">
        <v>101.82</v>
      </c>
      <c r="C29" s="35">
        <v>102.949997</v>
      </c>
      <c r="D29" s="35">
        <v>100.58000199999999</v>
      </c>
      <c r="E29" s="35">
        <v>101.879997</v>
      </c>
      <c r="F29" s="35">
        <v>101.879997</v>
      </c>
      <c r="G29">
        <v>1684000</v>
      </c>
    </row>
    <row r="30" spans="1:7" x14ac:dyDescent="0.35">
      <c r="A30" s="16">
        <v>45729</v>
      </c>
      <c r="B30" s="35">
        <v>101.220001</v>
      </c>
      <c r="C30" s="35">
        <v>101.660004</v>
      </c>
      <c r="D30" s="35">
        <v>97.239998</v>
      </c>
      <c r="E30" s="35">
        <v>100</v>
      </c>
      <c r="F30" s="35">
        <v>100</v>
      </c>
      <c r="G30">
        <v>1451700</v>
      </c>
    </row>
    <row r="31" spans="1:7" x14ac:dyDescent="0.35">
      <c r="A31" s="16">
        <v>45730</v>
      </c>
      <c r="B31" s="35">
        <v>101.199997</v>
      </c>
      <c r="C31" s="35">
        <v>101.66999800000001</v>
      </c>
      <c r="D31" s="35">
        <v>97.660004000000001</v>
      </c>
      <c r="E31" s="35">
        <v>98.599997999999999</v>
      </c>
      <c r="F31" s="35">
        <v>98.599997999999999</v>
      </c>
      <c r="G31">
        <v>1664300</v>
      </c>
    </row>
    <row r="32" spans="1:7" x14ac:dyDescent="0.35">
      <c r="A32" s="16">
        <v>45733</v>
      </c>
      <c r="B32" s="35">
        <v>99.790001000000004</v>
      </c>
      <c r="C32" s="35">
        <v>104.41999800000001</v>
      </c>
      <c r="D32" s="35">
        <v>99.290001000000004</v>
      </c>
      <c r="E32" s="35">
        <v>103.870003</v>
      </c>
      <c r="F32" s="35">
        <v>103.870003</v>
      </c>
      <c r="G32">
        <v>1428700</v>
      </c>
    </row>
    <row r="33" spans="1:7" x14ac:dyDescent="0.35">
      <c r="A33" s="16">
        <v>45734</v>
      </c>
      <c r="B33" s="35">
        <v>102.800003</v>
      </c>
      <c r="C33" s="35">
        <v>103.68</v>
      </c>
      <c r="D33" s="35">
        <v>101.139999</v>
      </c>
      <c r="E33" s="35">
        <v>103.489998</v>
      </c>
      <c r="F33" s="35">
        <v>103.489998</v>
      </c>
      <c r="G33">
        <v>951800</v>
      </c>
    </row>
    <row r="34" spans="1:7" x14ac:dyDescent="0.35">
      <c r="A34" s="16">
        <v>45735</v>
      </c>
      <c r="B34" s="35">
        <v>104.839996</v>
      </c>
      <c r="C34" s="35">
        <v>107.639999</v>
      </c>
      <c r="D34" s="35">
        <v>104.160004</v>
      </c>
      <c r="E34" s="35">
        <v>106.980003</v>
      </c>
      <c r="F34" s="35">
        <v>106.980003</v>
      </c>
      <c r="G34">
        <v>1631400</v>
      </c>
    </row>
    <row r="35" spans="1:7" x14ac:dyDescent="0.35">
      <c r="A35" s="16">
        <v>45736</v>
      </c>
      <c r="B35" s="35">
        <v>106.82</v>
      </c>
      <c r="C35" s="35">
        <v>108.970001</v>
      </c>
      <c r="D35" s="35">
        <v>105.379997</v>
      </c>
      <c r="E35" s="35">
        <v>105.480003</v>
      </c>
      <c r="F35" s="35">
        <v>105.480003</v>
      </c>
      <c r="G35">
        <v>1481100</v>
      </c>
    </row>
    <row r="36" spans="1:7" x14ac:dyDescent="0.35">
      <c r="A36" s="16">
        <v>45737</v>
      </c>
      <c r="B36" s="35">
        <v>103.199997</v>
      </c>
      <c r="C36" s="35">
        <v>106.610001</v>
      </c>
      <c r="D36" s="35">
        <v>100.839996</v>
      </c>
      <c r="E36" s="35">
        <v>104.589996</v>
      </c>
      <c r="F36" s="35">
        <v>104.589996</v>
      </c>
      <c r="G36">
        <v>4147600</v>
      </c>
    </row>
    <row r="37" spans="1:7" x14ac:dyDescent="0.35">
      <c r="A37" s="16">
        <v>45740</v>
      </c>
      <c r="B37" s="35">
        <v>106.5</v>
      </c>
      <c r="C37" s="35">
        <v>111.220001</v>
      </c>
      <c r="D37" s="35">
        <v>105.489998</v>
      </c>
      <c r="E37" s="35">
        <v>110.91999800000001</v>
      </c>
      <c r="F37" s="35">
        <v>110.91999800000001</v>
      </c>
      <c r="G37">
        <v>1910600</v>
      </c>
    </row>
    <row r="38" spans="1:7" x14ac:dyDescent="0.35">
      <c r="A38" s="16">
        <v>45741</v>
      </c>
      <c r="B38" s="35">
        <v>110.790001</v>
      </c>
      <c r="C38" s="35">
        <v>113.57</v>
      </c>
      <c r="D38" s="35">
        <v>110.790001</v>
      </c>
      <c r="E38" s="35">
        <v>112.589996</v>
      </c>
      <c r="F38" s="35">
        <v>112.589996</v>
      </c>
      <c r="G38">
        <v>1663000</v>
      </c>
    </row>
    <row r="39" spans="1:7" x14ac:dyDescent="0.35">
      <c r="A39" s="16">
        <v>45742</v>
      </c>
      <c r="B39" s="35">
        <v>112.610001</v>
      </c>
      <c r="C39" s="35">
        <v>112.610001</v>
      </c>
      <c r="D39" s="35">
        <v>107.18</v>
      </c>
      <c r="E39" s="35">
        <v>109.510002</v>
      </c>
      <c r="F39" s="35">
        <v>109.510002</v>
      </c>
      <c r="G39">
        <v>1493800</v>
      </c>
    </row>
    <row r="40" spans="1:7" x14ac:dyDescent="0.35">
      <c r="A40" s="16">
        <v>45743</v>
      </c>
      <c r="B40" s="35">
        <v>108.44000200000001</v>
      </c>
      <c r="C40" s="35">
        <v>111.599998</v>
      </c>
      <c r="D40" s="35">
        <v>107.69000200000001</v>
      </c>
      <c r="E40" s="35">
        <v>110.589996</v>
      </c>
      <c r="F40" s="35">
        <v>110.589996</v>
      </c>
      <c r="G40">
        <v>1075000</v>
      </c>
    </row>
    <row r="41" spans="1:7" x14ac:dyDescent="0.35">
      <c r="A41" s="16">
        <v>45744</v>
      </c>
      <c r="B41" s="35">
        <v>109.980003</v>
      </c>
      <c r="C41" s="35">
        <v>109.980003</v>
      </c>
      <c r="D41" s="35">
        <v>104.900002</v>
      </c>
      <c r="E41" s="35">
        <v>105.989998</v>
      </c>
      <c r="F41" s="35">
        <v>105.989998</v>
      </c>
      <c r="G41">
        <v>1675200</v>
      </c>
    </row>
    <row r="42" spans="1:7" x14ac:dyDescent="0.35">
      <c r="A42" s="16">
        <v>45747</v>
      </c>
      <c r="B42" s="35">
        <v>103.459999</v>
      </c>
      <c r="C42" s="35">
        <v>106.58000199999999</v>
      </c>
      <c r="D42" s="35">
        <v>102.139999</v>
      </c>
      <c r="E42" s="35">
        <v>106.199997</v>
      </c>
      <c r="F42" s="35">
        <v>106.199997</v>
      </c>
      <c r="G42">
        <v>1728200</v>
      </c>
    </row>
    <row r="43" spans="1:7" x14ac:dyDescent="0.35">
      <c r="A43" s="16">
        <v>45748</v>
      </c>
      <c r="B43" s="35">
        <v>106.400002</v>
      </c>
      <c r="C43" s="35">
        <v>109.470001</v>
      </c>
      <c r="D43" s="35">
        <v>105.80999799999999</v>
      </c>
      <c r="E43" s="35">
        <v>109.139999</v>
      </c>
      <c r="F43" s="35">
        <v>109.139999</v>
      </c>
      <c r="G43">
        <v>1526400</v>
      </c>
    </row>
    <row r="44" spans="1:7" x14ac:dyDescent="0.35">
      <c r="A44" s="16">
        <v>45749</v>
      </c>
      <c r="B44" s="35">
        <v>108.43</v>
      </c>
      <c r="C44" s="35">
        <v>112.779999</v>
      </c>
      <c r="D44" s="35">
        <v>107.660004</v>
      </c>
      <c r="E44" s="35">
        <v>111.540001</v>
      </c>
      <c r="F44" s="35">
        <v>111.540001</v>
      </c>
      <c r="G44">
        <v>1474400</v>
      </c>
    </row>
    <row r="45" spans="1:7" x14ac:dyDescent="0.35">
      <c r="A45" s="16">
        <v>45750</v>
      </c>
      <c r="B45" s="35">
        <v>98.050003000000004</v>
      </c>
      <c r="C45" s="35">
        <v>100</v>
      </c>
      <c r="D45" s="35">
        <v>91.599997999999999</v>
      </c>
      <c r="E45" s="35">
        <v>95.970000999999996</v>
      </c>
      <c r="F45" s="35">
        <v>95.970000999999996</v>
      </c>
      <c r="G45">
        <v>4824400</v>
      </c>
    </row>
    <row r="46" spans="1:7" x14ac:dyDescent="0.35">
      <c r="A46" s="16">
        <v>45751</v>
      </c>
      <c r="B46" s="35">
        <v>91.089995999999999</v>
      </c>
      <c r="C46" s="35">
        <v>103.150002</v>
      </c>
      <c r="D46" s="35">
        <v>90.150002000000001</v>
      </c>
      <c r="E46" s="35">
        <v>100.650002</v>
      </c>
      <c r="F46" s="35">
        <v>100.650002</v>
      </c>
      <c r="G46">
        <v>4696900</v>
      </c>
    </row>
    <row r="47" spans="1:7" x14ac:dyDescent="0.35">
      <c r="A47" s="16">
        <v>45754</v>
      </c>
      <c r="B47" s="35">
        <v>95.75</v>
      </c>
      <c r="C47" s="35">
        <v>102.989998</v>
      </c>
      <c r="D47" s="35">
        <v>93.050003000000004</v>
      </c>
      <c r="E47" s="35">
        <v>95.830001999999993</v>
      </c>
      <c r="F47" s="35">
        <v>95.830001999999993</v>
      </c>
      <c r="G47">
        <v>3237700</v>
      </c>
    </row>
    <row r="48" spans="1:7" x14ac:dyDescent="0.35">
      <c r="A48" s="16">
        <v>45755</v>
      </c>
      <c r="B48" s="35">
        <v>98.169998000000007</v>
      </c>
      <c r="C48" s="35">
        <v>99.839995999999999</v>
      </c>
      <c r="D48" s="35">
        <v>87.889999000000003</v>
      </c>
      <c r="E48" s="35">
        <v>89.32</v>
      </c>
      <c r="F48" s="35">
        <v>89.32</v>
      </c>
      <c r="G48">
        <v>2738500</v>
      </c>
    </row>
    <row r="49" spans="1:7" x14ac:dyDescent="0.35">
      <c r="A49" s="16">
        <v>45756</v>
      </c>
      <c r="B49" s="35">
        <v>87.860000999999997</v>
      </c>
      <c r="C49" s="35">
        <v>102.69000200000001</v>
      </c>
      <c r="D49" s="35">
        <v>86.110000999999997</v>
      </c>
      <c r="E49" s="35">
        <v>99.589995999999999</v>
      </c>
      <c r="F49" s="35">
        <v>99.589995999999999</v>
      </c>
      <c r="G49">
        <v>3278000</v>
      </c>
    </row>
    <row r="50" spans="1:7" x14ac:dyDescent="0.35">
      <c r="A50" s="16">
        <v>45757</v>
      </c>
      <c r="B50" s="35">
        <v>96.610000999999997</v>
      </c>
      <c r="C50" s="35">
        <v>97.050003000000004</v>
      </c>
      <c r="D50" s="35">
        <v>90.860000999999997</v>
      </c>
      <c r="E50" s="35">
        <v>95.5</v>
      </c>
      <c r="F50" s="35">
        <v>95.5</v>
      </c>
      <c r="G50">
        <v>1910700</v>
      </c>
    </row>
    <row r="51" spans="1:7" x14ac:dyDescent="0.35">
      <c r="A51" s="16">
        <v>45758</v>
      </c>
      <c r="B51" s="35">
        <v>93.540001000000004</v>
      </c>
      <c r="C51" s="35">
        <v>93.699996999999996</v>
      </c>
      <c r="D51" s="35">
        <v>89.330001999999993</v>
      </c>
      <c r="E51" s="35">
        <v>92.559997999999993</v>
      </c>
      <c r="F51" s="35">
        <v>92.559997999999993</v>
      </c>
      <c r="G51">
        <v>1890300</v>
      </c>
    </row>
    <row r="52" spans="1:7" x14ac:dyDescent="0.35">
      <c r="A52" s="16">
        <v>45761</v>
      </c>
      <c r="B52" s="35">
        <v>94.510002</v>
      </c>
      <c r="C52" s="35">
        <v>94.900002000000001</v>
      </c>
      <c r="D52" s="35">
        <v>90.019997000000004</v>
      </c>
      <c r="E52" s="35">
        <v>90.800003000000004</v>
      </c>
      <c r="F52" s="35">
        <v>90.800003000000004</v>
      </c>
      <c r="G52">
        <v>2046800</v>
      </c>
    </row>
    <row r="53" spans="1:7" x14ac:dyDescent="0.35">
      <c r="A53" s="16">
        <v>45762</v>
      </c>
      <c r="B53" s="35">
        <v>91</v>
      </c>
      <c r="C53" s="35">
        <v>91.919998000000007</v>
      </c>
      <c r="D53" s="35">
        <v>88.349997999999999</v>
      </c>
      <c r="E53" s="35">
        <v>89.93</v>
      </c>
      <c r="F53" s="35">
        <v>89.93</v>
      </c>
      <c r="G53">
        <v>1372500</v>
      </c>
    </row>
    <row r="54" spans="1:7" x14ac:dyDescent="0.35">
      <c r="A54" s="16">
        <v>45763</v>
      </c>
      <c r="B54" s="35">
        <v>89</v>
      </c>
      <c r="C54" s="35">
        <v>90.699996999999996</v>
      </c>
      <c r="D54" s="35">
        <v>87.349997999999999</v>
      </c>
      <c r="E54" s="35">
        <v>88.669998000000007</v>
      </c>
      <c r="F54" s="35">
        <v>88.669998000000007</v>
      </c>
      <c r="G54">
        <v>1345400</v>
      </c>
    </row>
    <row r="55" spans="1:7" x14ac:dyDescent="0.35">
      <c r="A55" s="16">
        <v>45764</v>
      </c>
      <c r="B55" s="35">
        <v>89</v>
      </c>
      <c r="C55" s="35">
        <v>91.120002999999997</v>
      </c>
      <c r="D55" s="35">
        <v>88.25</v>
      </c>
      <c r="E55" s="35">
        <v>90.720000999999996</v>
      </c>
      <c r="F55" s="35">
        <v>90.720000999999996</v>
      </c>
      <c r="G55">
        <v>1385300</v>
      </c>
    </row>
    <row r="56" spans="1:7" x14ac:dyDescent="0.35">
      <c r="A56" s="16">
        <v>45768</v>
      </c>
      <c r="B56" s="35">
        <v>89.699996999999996</v>
      </c>
      <c r="C56" s="35">
        <v>89.699996999999996</v>
      </c>
      <c r="D56" s="35">
        <v>87.529999000000004</v>
      </c>
      <c r="E56" s="35">
        <v>89.459998999999996</v>
      </c>
      <c r="F56" s="35">
        <v>89.459998999999996</v>
      </c>
      <c r="G56">
        <v>1582600</v>
      </c>
    </row>
    <row r="57" spans="1:7" x14ac:dyDescent="0.35">
      <c r="A57" s="16">
        <v>45769</v>
      </c>
      <c r="B57" s="35">
        <v>90.5</v>
      </c>
      <c r="C57" s="35">
        <v>95.599997999999999</v>
      </c>
      <c r="D57" s="35">
        <v>90.5</v>
      </c>
      <c r="E57" s="35">
        <v>93.589995999999999</v>
      </c>
      <c r="F57" s="35">
        <v>93.589995999999999</v>
      </c>
      <c r="G57">
        <v>1471700</v>
      </c>
    </row>
    <row r="58" spans="1:7" x14ac:dyDescent="0.35">
      <c r="A58" s="16">
        <v>45770</v>
      </c>
      <c r="B58" s="35">
        <v>96.849997999999999</v>
      </c>
      <c r="C58" s="35">
        <v>99.5</v>
      </c>
      <c r="D58" s="35">
        <v>95.43</v>
      </c>
      <c r="E58" s="35">
        <v>95.800003000000004</v>
      </c>
      <c r="F58" s="35">
        <v>95.800003000000004</v>
      </c>
      <c r="G58">
        <v>1897300</v>
      </c>
    </row>
    <row r="59" spans="1:7" x14ac:dyDescent="0.35">
      <c r="A59" s="16">
        <v>45771</v>
      </c>
      <c r="B59" s="35">
        <v>96.910004000000001</v>
      </c>
      <c r="C59" s="35">
        <v>99.860000999999997</v>
      </c>
      <c r="D59" s="35">
        <v>96.07</v>
      </c>
      <c r="E59" s="35">
        <v>98.730002999999996</v>
      </c>
      <c r="F59" s="35">
        <v>98.730002999999996</v>
      </c>
      <c r="G59">
        <v>1359100</v>
      </c>
    </row>
    <row r="60" spans="1:7" x14ac:dyDescent="0.35">
      <c r="A60" s="16">
        <v>45772</v>
      </c>
      <c r="B60" s="35">
        <v>97.650002000000001</v>
      </c>
      <c r="C60" s="35">
        <v>98.300003000000004</v>
      </c>
      <c r="D60" s="35">
        <v>95.5</v>
      </c>
      <c r="E60" s="35">
        <v>97.68</v>
      </c>
      <c r="F60" s="35">
        <v>97.68</v>
      </c>
      <c r="G60">
        <v>1302500</v>
      </c>
    </row>
    <row r="61" spans="1:7" x14ac:dyDescent="0.35">
      <c r="A61" s="16">
        <v>45775</v>
      </c>
      <c r="B61" s="35">
        <v>97.980002999999996</v>
      </c>
      <c r="C61" s="35">
        <v>98.120002999999997</v>
      </c>
      <c r="D61" s="35">
        <v>94.779999000000004</v>
      </c>
      <c r="E61" s="35">
        <v>96.230002999999996</v>
      </c>
      <c r="F61" s="35">
        <v>96.230002999999996</v>
      </c>
      <c r="G61">
        <v>1480500</v>
      </c>
    </row>
    <row r="62" spans="1:7" x14ac:dyDescent="0.35">
      <c r="A62" s="16">
        <v>45776</v>
      </c>
      <c r="B62" s="35">
        <v>95.349997999999999</v>
      </c>
      <c r="C62" s="35">
        <v>96.559997999999993</v>
      </c>
      <c r="D62" s="35">
        <v>93.989998</v>
      </c>
      <c r="E62" s="35">
        <v>96.099997999999999</v>
      </c>
      <c r="F62" s="35">
        <v>96.099997999999999</v>
      </c>
      <c r="G62">
        <v>1341600</v>
      </c>
    </row>
    <row r="63" spans="1:7" x14ac:dyDescent="0.35">
      <c r="A63" s="16">
        <v>45777</v>
      </c>
      <c r="B63" s="35">
        <v>93.800003000000004</v>
      </c>
      <c r="C63" s="35">
        <v>96.68</v>
      </c>
      <c r="D63" s="35">
        <v>92.889999000000003</v>
      </c>
      <c r="E63" s="35">
        <v>96.419998000000007</v>
      </c>
      <c r="F63" s="35">
        <v>96.419998000000007</v>
      </c>
      <c r="G63">
        <v>1643000</v>
      </c>
    </row>
    <row r="64" spans="1:7" x14ac:dyDescent="0.35">
      <c r="A64" s="16">
        <v>45778</v>
      </c>
      <c r="B64" s="35">
        <v>96.510002</v>
      </c>
      <c r="C64" s="35">
        <v>96.620002999999997</v>
      </c>
      <c r="D64" s="35">
        <v>94.239998</v>
      </c>
      <c r="E64" s="35">
        <v>94.720000999999996</v>
      </c>
      <c r="F64" s="35">
        <v>94.720000999999996</v>
      </c>
      <c r="G64">
        <v>934300</v>
      </c>
    </row>
    <row r="65" spans="1:7" x14ac:dyDescent="0.35">
      <c r="A65" s="16">
        <v>45779</v>
      </c>
      <c r="B65" s="35">
        <v>96.43</v>
      </c>
      <c r="C65" s="35">
        <v>97.690002000000007</v>
      </c>
      <c r="D65" s="35">
        <v>95.220000999999996</v>
      </c>
      <c r="E65" s="35">
        <v>97.489998</v>
      </c>
      <c r="F65" s="35">
        <v>97.489998</v>
      </c>
      <c r="G65">
        <v>1200100</v>
      </c>
    </row>
    <row r="66" spans="1:7" x14ac:dyDescent="0.35">
      <c r="A66" s="16">
        <v>45782</v>
      </c>
      <c r="B66" s="35">
        <v>101.040001</v>
      </c>
      <c r="C66" s="35">
        <v>102.949997</v>
      </c>
      <c r="D66" s="35">
        <v>99.769997000000004</v>
      </c>
      <c r="E66" s="35">
        <v>100.790001</v>
      </c>
      <c r="F66" s="35">
        <v>100.790001</v>
      </c>
      <c r="G66">
        <v>2236900</v>
      </c>
    </row>
    <row r="67" spans="1:7" x14ac:dyDescent="0.35">
      <c r="A67" s="16">
        <v>45783</v>
      </c>
      <c r="B67" s="35">
        <v>99.699996999999996</v>
      </c>
      <c r="C67" s="35">
        <v>101.16999800000001</v>
      </c>
      <c r="D67" s="35">
        <v>98.139999000000003</v>
      </c>
      <c r="E67" s="35">
        <v>98.779999000000004</v>
      </c>
      <c r="F67" s="35">
        <v>98.779999000000004</v>
      </c>
      <c r="G67">
        <v>1563500</v>
      </c>
    </row>
    <row r="68" spans="1:7" x14ac:dyDescent="0.35">
      <c r="A68" s="16">
        <v>45784</v>
      </c>
      <c r="B68" s="35">
        <v>99.519997000000004</v>
      </c>
      <c r="C68" s="35">
        <v>101.30999799999999</v>
      </c>
      <c r="D68" s="35">
        <v>98.870002999999997</v>
      </c>
      <c r="E68" s="35">
        <v>100.760002</v>
      </c>
      <c r="F68" s="35">
        <v>100.760002</v>
      </c>
      <c r="G68">
        <v>2465500</v>
      </c>
    </row>
    <row r="69" spans="1:7" x14ac:dyDescent="0.35">
      <c r="A69" s="16">
        <v>45785</v>
      </c>
      <c r="B69" s="35">
        <v>107.300003</v>
      </c>
      <c r="C69" s="35">
        <v>112.69000200000001</v>
      </c>
      <c r="D69" s="35">
        <v>102.30999799999999</v>
      </c>
      <c r="E69" s="35">
        <v>110.650002</v>
      </c>
      <c r="F69" s="35">
        <v>110.650002</v>
      </c>
      <c r="G69">
        <v>4195000</v>
      </c>
    </row>
    <row r="70" spans="1:7" x14ac:dyDescent="0.35">
      <c r="A70" s="16">
        <v>45786</v>
      </c>
      <c r="B70" s="35">
        <v>109.470001</v>
      </c>
      <c r="C70" s="35">
        <v>112.209999</v>
      </c>
      <c r="D70" s="35">
        <v>109.099998</v>
      </c>
      <c r="E70" s="35">
        <v>109.769997</v>
      </c>
      <c r="F70" s="35">
        <v>109.769997</v>
      </c>
      <c r="G70">
        <v>2145900</v>
      </c>
    </row>
    <row r="71" spans="1:7" x14ac:dyDescent="0.35">
      <c r="A71" s="16">
        <v>45789</v>
      </c>
      <c r="B71" s="35">
        <v>119.589996</v>
      </c>
      <c r="C71" s="35">
        <v>122.839996</v>
      </c>
      <c r="D71" s="35">
        <v>115.339996</v>
      </c>
      <c r="E71" s="35">
        <v>118.849998</v>
      </c>
      <c r="F71" s="35">
        <v>118.849998</v>
      </c>
      <c r="G71">
        <v>3032200</v>
      </c>
    </row>
    <row r="72" spans="1:7" x14ac:dyDescent="0.35">
      <c r="A72" s="16">
        <v>45790</v>
      </c>
      <c r="B72" s="35">
        <v>120</v>
      </c>
      <c r="C72" s="35">
        <v>121.209999</v>
      </c>
      <c r="D72" s="35">
        <v>118.43</v>
      </c>
      <c r="E72" s="35">
        <v>120.260002</v>
      </c>
      <c r="F72" s="35">
        <v>120.260002</v>
      </c>
      <c r="G72">
        <v>1855500</v>
      </c>
    </row>
    <row r="73" spans="1:7" x14ac:dyDescent="0.35">
      <c r="A73" s="16">
        <v>45791</v>
      </c>
      <c r="B73" s="35">
        <v>120</v>
      </c>
      <c r="C73" s="35">
        <v>120.69000200000001</v>
      </c>
      <c r="D73" s="35">
        <v>117.980003</v>
      </c>
      <c r="E73" s="35">
        <v>118.260002</v>
      </c>
      <c r="F73" s="35">
        <v>118.260002</v>
      </c>
      <c r="G73">
        <v>1879600</v>
      </c>
    </row>
    <row r="74" spans="1:7" x14ac:dyDescent="0.35">
      <c r="A74" s="16">
        <v>45792</v>
      </c>
      <c r="B74" s="35">
        <v>118.199997</v>
      </c>
      <c r="C74" s="35">
        <v>118.910004</v>
      </c>
      <c r="D74" s="35">
        <v>116.91999800000001</v>
      </c>
      <c r="E74" s="35">
        <v>117.269997</v>
      </c>
      <c r="F74" s="35">
        <v>117.269997</v>
      </c>
      <c r="G74">
        <v>1247800</v>
      </c>
    </row>
    <row r="75" spans="1:7" x14ac:dyDescent="0.35">
      <c r="A75" s="16">
        <v>45793</v>
      </c>
      <c r="B75" s="35">
        <v>117.269997</v>
      </c>
      <c r="C75" s="35">
        <v>118.279999</v>
      </c>
      <c r="D75" s="35">
        <v>116.589996</v>
      </c>
      <c r="E75" s="35">
        <v>117.550003</v>
      </c>
      <c r="F75" s="35">
        <v>117.550003</v>
      </c>
      <c r="G75">
        <v>925300</v>
      </c>
    </row>
    <row r="76" spans="1:7" x14ac:dyDescent="0.35">
      <c r="A76" s="16">
        <v>45796</v>
      </c>
      <c r="B76" s="35">
        <v>114.629997</v>
      </c>
      <c r="C76" s="35">
        <v>116.110001</v>
      </c>
      <c r="D76" s="35">
        <v>114.239998</v>
      </c>
      <c r="E76" s="35">
        <v>114.730003</v>
      </c>
      <c r="F76" s="35">
        <v>114.730003</v>
      </c>
      <c r="G76">
        <v>1591600</v>
      </c>
    </row>
    <row r="77" spans="1:7" x14ac:dyDescent="0.35">
      <c r="A77" s="16">
        <v>45797</v>
      </c>
      <c r="B77" s="35">
        <v>114.480003</v>
      </c>
      <c r="C77" s="35">
        <v>114.989998</v>
      </c>
      <c r="D77" s="35">
        <v>112.620003</v>
      </c>
      <c r="E77" s="35">
        <v>112.910004</v>
      </c>
      <c r="F77" s="35">
        <v>112.910004</v>
      </c>
      <c r="G77">
        <v>1636500</v>
      </c>
    </row>
    <row r="78" spans="1:7" x14ac:dyDescent="0.35">
      <c r="A78" s="16">
        <v>45798</v>
      </c>
      <c r="B78" s="35">
        <v>111.120003</v>
      </c>
      <c r="C78" s="35">
        <v>114.980003</v>
      </c>
      <c r="D78" s="35">
        <v>111.120003</v>
      </c>
      <c r="E78" s="35">
        <v>112.82</v>
      </c>
      <c r="F78" s="35">
        <v>112.82</v>
      </c>
      <c r="G78">
        <v>1531300</v>
      </c>
    </row>
    <row r="79" spans="1:7" x14ac:dyDescent="0.35">
      <c r="A79" s="16">
        <v>45799</v>
      </c>
      <c r="B79" s="35">
        <v>112.699997</v>
      </c>
      <c r="C79" s="35">
        <v>112.870003</v>
      </c>
      <c r="D79" s="35">
        <v>110.82</v>
      </c>
      <c r="E79" s="35">
        <v>111.379997</v>
      </c>
      <c r="F79" s="35">
        <v>111.379997</v>
      </c>
      <c r="G79">
        <v>1248600</v>
      </c>
    </row>
    <row r="80" spans="1:7" x14ac:dyDescent="0.35">
      <c r="A80" s="16">
        <v>45800</v>
      </c>
      <c r="B80" s="35">
        <v>107.360001</v>
      </c>
      <c r="C80" s="35">
        <v>109.5</v>
      </c>
      <c r="D80" s="35">
        <v>106.360001</v>
      </c>
      <c r="E80" s="35">
        <v>108.290001</v>
      </c>
      <c r="F80" s="35">
        <v>108.290001</v>
      </c>
      <c r="G80">
        <v>1608300</v>
      </c>
    </row>
    <row r="81" spans="1:7" x14ac:dyDescent="0.35">
      <c r="A81" s="16">
        <v>45804</v>
      </c>
      <c r="B81" s="35">
        <v>109.970001</v>
      </c>
      <c r="C81" s="35">
        <v>110.900002</v>
      </c>
      <c r="D81" s="35">
        <v>107.93</v>
      </c>
      <c r="E81" s="35">
        <v>109.949997</v>
      </c>
      <c r="F81" s="35">
        <v>109.949997</v>
      </c>
      <c r="G81">
        <v>1318700</v>
      </c>
    </row>
    <row r="82" spans="1:7" x14ac:dyDescent="0.35">
      <c r="A82" s="16">
        <v>45805</v>
      </c>
      <c r="B82" s="35">
        <v>109.970001</v>
      </c>
      <c r="C82" s="35">
        <v>110.379997</v>
      </c>
      <c r="D82" s="35">
        <v>106.57</v>
      </c>
      <c r="E82" s="35">
        <v>106.879997</v>
      </c>
      <c r="F82" s="35">
        <v>106.879997</v>
      </c>
      <c r="G82">
        <v>908200</v>
      </c>
    </row>
    <row r="83" spans="1:7" x14ac:dyDescent="0.35">
      <c r="A83" s="16">
        <v>45806</v>
      </c>
      <c r="B83" s="35">
        <v>108.720001</v>
      </c>
      <c r="C83" s="35">
        <v>108.720001</v>
      </c>
      <c r="D83" s="35">
        <v>103.739998</v>
      </c>
      <c r="E83" s="35">
        <v>103.910004</v>
      </c>
      <c r="F83" s="35">
        <v>103.910004</v>
      </c>
      <c r="G83">
        <v>1488100</v>
      </c>
    </row>
    <row r="84" spans="1:7" x14ac:dyDescent="0.35">
      <c r="A84" s="16">
        <v>45807</v>
      </c>
      <c r="B84" s="35">
        <v>102.639999</v>
      </c>
      <c r="C84" s="35">
        <v>102.94000200000001</v>
      </c>
      <c r="D84" s="35">
        <v>100.790001</v>
      </c>
      <c r="E84" s="35">
        <v>102</v>
      </c>
      <c r="F84" s="35">
        <v>102</v>
      </c>
      <c r="G84">
        <v>1506100</v>
      </c>
    </row>
    <row r="85" spans="1:7" x14ac:dyDescent="0.35">
      <c r="A85" s="16">
        <v>45810</v>
      </c>
      <c r="B85" s="35">
        <v>100.889999</v>
      </c>
      <c r="C85" s="35">
        <v>102.610001</v>
      </c>
      <c r="D85" s="35">
        <v>99.870002999999997</v>
      </c>
      <c r="E85" s="35">
        <v>101.41999800000001</v>
      </c>
      <c r="F85" s="35">
        <v>101.41999800000001</v>
      </c>
      <c r="G85">
        <v>1709900</v>
      </c>
    </row>
    <row r="86" spans="1:7" x14ac:dyDescent="0.35">
      <c r="A86" s="16">
        <v>45811</v>
      </c>
      <c r="B86" s="35">
        <v>100.760002</v>
      </c>
      <c r="C86" s="35">
        <v>102.790001</v>
      </c>
      <c r="D86" s="35">
        <v>99.699996999999996</v>
      </c>
      <c r="E86" s="35">
        <v>102.16999800000001</v>
      </c>
      <c r="F86" s="35">
        <v>102.16999800000001</v>
      </c>
      <c r="G86">
        <v>980900</v>
      </c>
    </row>
    <row r="87" spans="1:7" x14ac:dyDescent="0.35">
      <c r="A87" s="16">
        <v>45812</v>
      </c>
      <c r="B87" s="35">
        <v>101.870003</v>
      </c>
      <c r="C87" s="35">
        <v>102.269997</v>
      </c>
      <c r="D87" s="35">
        <v>98.989998</v>
      </c>
      <c r="E87" s="35">
        <v>99.010002</v>
      </c>
      <c r="F87" s="35">
        <v>99.010002</v>
      </c>
      <c r="G87">
        <v>1632400</v>
      </c>
    </row>
    <row r="88" spans="1:7" x14ac:dyDescent="0.35">
      <c r="A88" s="16">
        <v>45813</v>
      </c>
      <c r="B88" s="35">
        <v>99.32</v>
      </c>
      <c r="C88" s="35">
        <v>101.540001</v>
      </c>
      <c r="D88" s="35">
        <v>98.589995999999999</v>
      </c>
      <c r="E88" s="35">
        <v>100.16999800000001</v>
      </c>
      <c r="F88" s="35">
        <v>100.16999800000001</v>
      </c>
      <c r="G88">
        <v>1738700</v>
      </c>
    </row>
    <row r="89" spans="1:7" x14ac:dyDescent="0.35">
      <c r="A89" s="16">
        <v>45814</v>
      </c>
      <c r="B89" s="35">
        <v>99.910004000000001</v>
      </c>
      <c r="C89" s="35">
        <v>101.529999</v>
      </c>
      <c r="D89" s="35">
        <v>99.910004000000001</v>
      </c>
      <c r="E89" s="35">
        <v>101.459999</v>
      </c>
      <c r="F89" s="35">
        <v>101.459999</v>
      </c>
      <c r="G89">
        <v>1091900</v>
      </c>
    </row>
    <row r="90" spans="1:7" x14ac:dyDescent="0.35">
      <c r="A90" s="16">
        <v>45817</v>
      </c>
      <c r="B90" s="35">
        <v>102.599998</v>
      </c>
      <c r="C90" s="35">
        <v>103.709999</v>
      </c>
      <c r="D90" s="35">
        <v>101.790001</v>
      </c>
      <c r="E90" s="35">
        <v>102.239998</v>
      </c>
      <c r="F90" s="35">
        <v>102.239998</v>
      </c>
      <c r="G90">
        <v>1348500</v>
      </c>
    </row>
    <row r="91" spans="1:7" x14ac:dyDescent="0.35">
      <c r="A91" s="16">
        <v>45818</v>
      </c>
      <c r="B91" s="35">
        <v>102.769997</v>
      </c>
      <c r="C91" s="35">
        <v>106.32</v>
      </c>
      <c r="D91" s="35">
        <v>102.769997</v>
      </c>
      <c r="E91" s="35">
        <v>105.150002</v>
      </c>
      <c r="F91" s="35">
        <v>105.150002</v>
      </c>
      <c r="G91">
        <v>1335700</v>
      </c>
    </row>
    <row r="92" spans="1:7" x14ac:dyDescent="0.35">
      <c r="A92" s="16">
        <v>45819</v>
      </c>
      <c r="B92" s="35">
        <v>106.120003</v>
      </c>
      <c r="C92" s="35">
        <v>107.08000199999999</v>
      </c>
      <c r="D92" s="35">
        <v>103.800003</v>
      </c>
      <c r="E92" s="35">
        <v>104.290001</v>
      </c>
      <c r="F92" s="35">
        <v>104.290001</v>
      </c>
      <c r="G92">
        <v>1049000</v>
      </c>
    </row>
    <row r="93" spans="1:7" x14ac:dyDescent="0.35">
      <c r="A93" s="16">
        <v>45820</v>
      </c>
      <c r="B93" s="35">
        <v>103.129997</v>
      </c>
      <c r="C93" s="35">
        <v>103.889999</v>
      </c>
      <c r="D93" s="35">
        <v>101.290001</v>
      </c>
      <c r="E93" s="35">
        <v>103.660004</v>
      </c>
      <c r="F93" s="35">
        <v>103.660004</v>
      </c>
      <c r="G93">
        <v>1262400</v>
      </c>
    </row>
    <row r="94" spans="1:7" x14ac:dyDescent="0.35">
      <c r="A94" s="16">
        <v>45821</v>
      </c>
      <c r="B94" s="35">
        <v>101.699997</v>
      </c>
      <c r="C94" s="35">
        <v>102.41999800000001</v>
      </c>
      <c r="D94" s="35">
        <v>96.75</v>
      </c>
      <c r="E94" s="35">
        <v>97.489998</v>
      </c>
      <c r="F94" s="35">
        <v>97.489998</v>
      </c>
      <c r="G94">
        <v>1738300</v>
      </c>
    </row>
    <row r="95" spans="1:7" x14ac:dyDescent="0.35">
      <c r="A95" s="16">
        <v>45824</v>
      </c>
      <c r="B95" s="35">
        <v>100.279999</v>
      </c>
      <c r="C95" s="35">
        <v>102.739998</v>
      </c>
      <c r="D95" s="35">
        <v>99.900002000000001</v>
      </c>
      <c r="E95" s="35">
        <v>102.239998</v>
      </c>
      <c r="F95" s="35">
        <v>102.239998</v>
      </c>
      <c r="G95">
        <v>1647100</v>
      </c>
    </row>
    <row r="96" spans="1:7" x14ac:dyDescent="0.35">
      <c r="A96" s="16">
        <v>45825</v>
      </c>
      <c r="B96" s="35">
        <v>101.620003</v>
      </c>
      <c r="C96" s="35">
        <v>103.019997</v>
      </c>
      <c r="D96" s="35">
        <v>100.510002</v>
      </c>
      <c r="E96" s="35">
        <v>101</v>
      </c>
      <c r="F96" s="35">
        <v>101</v>
      </c>
      <c r="G96">
        <v>1196100</v>
      </c>
    </row>
    <row r="97" spans="1:7" x14ac:dyDescent="0.35">
      <c r="A97" s="16">
        <v>45826</v>
      </c>
      <c r="B97" s="35">
        <v>100.629997</v>
      </c>
      <c r="C97" s="35">
        <v>101.44000200000001</v>
      </c>
      <c r="D97" s="35">
        <v>99.699996999999996</v>
      </c>
      <c r="E97" s="35">
        <v>100.129997</v>
      </c>
      <c r="F97" s="35">
        <v>100.129997</v>
      </c>
      <c r="G97">
        <v>1141600</v>
      </c>
    </row>
    <row r="98" spans="1:7" x14ac:dyDescent="0.35">
      <c r="A98" s="16">
        <v>45828</v>
      </c>
      <c r="B98" s="35">
        <v>100.239998</v>
      </c>
      <c r="C98" s="35">
        <v>100.660004</v>
      </c>
      <c r="D98" s="35">
        <v>98.360000999999997</v>
      </c>
      <c r="E98" s="35">
        <v>98.519997000000004</v>
      </c>
      <c r="F98" s="35">
        <v>98.519997000000004</v>
      </c>
      <c r="G98">
        <v>1491100</v>
      </c>
    </row>
    <row r="99" spans="1:7" x14ac:dyDescent="0.35">
      <c r="A99" s="16">
        <v>45831</v>
      </c>
      <c r="B99" s="35">
        <v>98</v>
      </c>
      <c r="C99" s="35">
        <v>98.120002999999997</v>
      </c>
      <c r="D99" s="35">
        <v>94.449996999999996</v>
      </c>
      <c r="E99" s="35">
        <v>97.370002999999997</v>
      </c>
      <c r="F99" s="35">
        <v>97.370002999999997</v>
      </c>
      <c r="G99">
        <v>1611100</v>
      </c>
    </row>
    <row r="100" spans="1:7" x14ac:dyDescent="0.35">
      <c r="A100" s="16">
        <v>45832</v>
      </c>
      <c r="B100" s="35">
        <v>98.599997999999999</v>
      </c>
      <c r="C100" s="35">
        <v>99.459998999999996</v>
      </c>
      <c r="D100" s="35">
        <v>97.330001999999993</v>
      </c>
      <c r="E100" s="35">
        <v>99.120002999999997</v>
      </c>
      <c r="F100" s="35">
        <v>99.120002999999997</v>
      </c>
      <c r="G100">
        <v>989500</v>
      </c>
    </row>
    <row r="101" spans="1:7" x14ac:dyDescent="0.35">
      <c r="A101" s="16">
        <v>45833</v>
      </c>
      <c r="B101" s="35">
        <v>99.129997000000003</v>
      </c>
      <c r="C101" s="35">
        <v>99.260002</v>
      </c>
      <c r="D101" s="35">
        <v>97.620002999999997</v>
      </c>
      <c r="E101" s="35">
        <v>98.639999000000003</v>
      </c>
      <c r="F101" s="35">
        <v>98.639999000000003</v>
      </c>
      <c r="G101">
        <v>783900</v>
      </c>
    </row>
    <row r="102" spans="1:7" x14ac:dyDescent="0.35">
      <c r="A102" s="16">
        <v>45834</v>
      </c>
      <c r="B102" s="35">
        <v>98.970000999999996</v>
      </c>
      <c r="C102" s="35">
        <v>100.230003</v>
      </c>
      <c r="D102" s="35">
        <v>98.349997999999999</v>
      </c>
      <c r="E102" s="35">
        <v>100.050003</v>
      </c>
      <c r="F102" s="35">
        <v>100.050003</v>
      </c>
      <c r="G102">
        <v>862100</v>
      </c>
    </row>
    <row r="103" spans="1:7" x14ac:dyDescent="0.35">
      <c r="A103" s="16">
        <v>45835</v>
      </c>
      <c r="B103" s="35">
        <v>101.870003</v>
      </c>
      <c r="C103" s="35">
        <v>103.120003</v>
      </c>
      <c r="D103" s="35">
        <v>101.58000199999999</v>
      </c>
      <c r="E103" s="35">
        <v>103.019997</v>
      </c>
      <c r="F103" s="35">
        <v>103.019997</v>
      </c>
      <c r="G103">
        <v>1580700</v>
      </c>
    </row>
    <row r="104" spans="1:7" x14ac:dyDescent="0.35">
      <c r="A104" s="16">
        <v>45838</v>
      </c>
      <c r="B104" s="35">
        <v>103.75</v>
      </c>
      <c r="C104" s="35">
        <v>104.019997</v>
      </c>
      <c r="D104" s="35">
        <v>100.610001</v>
      </c>
      <c r="E104" s="35">
        <v>101.279999</v>
      </c>
      <c r="F104" s="35">
        <v>101.279999</v>
      </c>
      <c r="G104">
        <v>1401900</v>
      </c>
    </row>
    <row r="105" spans="1:7" x14ac:dyDescent="0.35">
      <c r="A105" s="16">
        <v>45839</v>
      </c>
      <c r="B105" s="35">
        <v>101.30999799999999</v>
      </c>
      <c r="C105" s="35">
        <v>108.660004</v>
      </c>
      <c r="D105" s="35">
        <v>101.050003</v>
      </c>
      <c r="E105" s="35">
        <v>107.129997</v>
      </c>
      <c r="F105" s="35">
        <v>107.129997</v>
      </c>
      <c r="G105">
        <v>1785100</v>
      </c>
    </row>
    <row r="106" spans="1:7" x14ac:dyDescent="0.35">
      <c r="A106" s="16">
        <v>45840</v>
      </c>
      <c r="B106" s="35">
        <v>104.510002</v>
      </c>
      <c r="C106" s="35">
        <v>110.18</v>
      </c>
      <c r="D106" s="35">
        <v>102.099998</v>
      </c>
      <c r="E106" s="35">
        <v>106.739998</v>
      </c>
      <c r="F106" s="35">
        <v>106.739998</v>
      </c>
      <c r="G106">
        <v>1945000</v>
      </c>
    </row>
    <row r="107" spans="1:7" x14ac:dyDescent="0.35">
      <c r="A107" s="16">
        <v>45841</v>
      </c>
      <c r="B107" s="35">
        <v>106.75</v>
      </c>
      <c r="C107" s="35">
        <v>108.41999800000001</v>
      </c>
      <c r="D107" s="35">
        <v>106.33000199999999</v>
      </c>
      <c r="E107" s="35">
        <v>107.339996</v>
      </c>
      <c r="F107" s="35">
        <v>107.339996</v>
      </c>
      <c r="G107">
        <v>560200</v>
      </c>
    </row>
    <row r="108" spans="1:7" x14ac:dyDescent="0.35">
      <c r="A108" s="16">
        <v>45845</v>
      </c>
      <c r="B108" s="35">
        <v>107.099998</v>
      </c>
      <c r="C108" s="35">
        <v>107.949997</v>
      </c>
      <c r="D108" s="35">
        <v>105.379997</v>
      </c>
      <c r="E108" s="35">
        <v>106.349998</v>
      </c>
      <c r="F108" s="35">
        <v>106.349998</v>
      </c>
      <c r="G108">
        <v>1121600</v>
      </c>
    </row>
    <row r="109" spans="1:7" x14ac:dyDescent="0.35">
      <c r="A109" s="16">
        <v>45846</v>
      </c>
      <c r="B109" s="35">
        <v>106.83000199999999</v>
      </c>
      <c r="C109" s="35">
        <v>107.300003</v>
      </c>
      <c r="D109" s="35">
        <v>103.900002</v>
      </c>
      <c r="E109" s="35">
        <v>106.529999</v>
      </c>
      <c r="F109" s="35">
        <v>106.529999</v>
      </c>
      <c r="G109">
        <v>1476000</v>
      </c>
    </row>
    <row r="110" spans="1:7" x14ac:dyDescent="0.35">
      <c r="A110" s="16">
        <v>45847</v>
      </c>
      <c r="B110" s="35">
        <v>106.32</v>
      </c>
      <c r="C110" s="35">
        <v>107.089996</v>
      </c>
      <c r="D110" s="35">
        <v>104.300003</v>
      </c>
      <c r="E110" s="35">
        <v>104.75</v>
      </c>
      <c r="F110" s="35">
        <v>104.75</v>
      </c>
      <c r="G110">
        <v>969700</v>
      </c>
    </row>
    <row r="111" spans="1:7" x14ac:dyDescent="0.35">
      <c r="A111" s="16">
        <v>45848</v>
      </c>
      <c r="B111" s="35">
        <v>105.110001</v>
      </c>
      <c r="C111" s="35">
        <v>107.900002</v>
      </c>
      <c r="D111" s="35">
        <v>104.870003</v>
      </c>
      <c r="E111" s="35">
        <v>105.849998</v>
      </c>
      <c r="F111" s="35">
        <v>105.849998</v>
      </c>
      <c r="G111">
        <v>876200</v>
      </c>
    </row>
    <row r="112" spans="1:7" x14ac:dyDescent="0.35">
      <c r="A112" s="16">
        <v>45849</v>
      </c>
      <c r="B112" s="35">
        <v>105.120003</v>
      </c>
      <c r="C112" s="35">
        <v>105.480003</v>
      </c>
      <c r="D112" s="35">
        <v>103.110001</v>
      </c>
      <c r="E112" s="35">
        <v>103.75</v>
      </c>
      <c r="F112" s="35">
        <v>103.75</v>
      </c>
      <c r="G112">
        <v>748900</v>
      </c>
    </row>
    <row r="113" spans="1:7" x14ac:dyDescent="0.35">
      <c r="A113" s="16">
        <v>45852</v>
      </c>
      <c r="B113" s="35">
        <v>103.08000199999999</v>
      </c>
      <c r="C113" s="35">
        <v>103.19000200000001</v>
      </c>
      <c r="D113" s="35">
        <v>100.879997</v>
      </c>
      <c r="E113" s="35">
        <v>102.010002</v>
      </c>
      <c r="F113" s="35">
        <v>102.010002</v>
      </c>
      <c r="G113">
        <v>862900</v>
      </c>
    </row>
    <row r="114" spans="1:7" x14ac:dyDescent="0.35">
      <c r="A114" s="16">
        <v>45853</v>
      </c>
      <c r="B114" s="35">
        <v>103.25</v>
      </c>
      <c r="C114" s="35">
        <v>103.25</v>
      </c>
      <c r="D114" s="35">
        <v>99.699996999999996</v>
      </c>
      <c r="E114" s="35">
        <v>99.720000999999996</v>
      </c>
      <c r="F114" s="35">
        <v>99.720000999999996</v>
      </c>
      <c r="G114">
        <v>1182400</v>
      </c>
    </row>
    <row r="115" spans="1:7" x14ac:dyDescent="0.35">
      <c r="A115" s="16">
        <v>45854</v>
      </c>
      <c r="B115" s="35">
        <v>100.66999800000001</v>
      </c>
      <c r="C115" s="35">
        <v>103.5</v>
      </c>
      <c r="D115" s="35">
        <v>100.199997</v>
      </c>
      <c r="E115" s="35">
        <v>103.199997</v>
      </c>
      <c r="F115" s="35">
        <v>103.199997</v>
      </c>
      <c r="G115">
        <v>1123800</v>
      </c>
    </row>
    <row r="116" spans="1:7" x14ac:dyDescent="0.35">
      <c r="A116" s="16">
        <v>45855</v>
      </c>
      <c r="B116" s="35">
        <v>103.379997</v>
      </c>
      <c r="C116" s="35">
        <v>106.779999</v>
      </c>
      <c r="D116" s="35">
        <v>103.300003</v>
      </c>
      <c r="E116" s="35">
        <v>106.629997</v>
      </c>
      <c r="F116" s="35">
        <v>106.629997</v>
      </c>
      <c r="G116">
        <v>1073200</v>
      </c>
    </row>
    <row r="117" spans="1:7" x14ac:dyDescent="0.35">
      <c r="A117" s="16">
        <v>45856</v>
      </c>
      <c r="B117" s="35">
        <v>107</v>
      </c>
      <c r="C117" s="35">
        <v>107.139999</v>
      </c>
      <c r="D117" s="35">
        <v>104.709999</v>
      </c>
      <c r="E117" s="35">
        <v>105.18</v>
      </c>
      <c r="F117" s="35">
        <v>105.18</v>
      </c>
      <c r="G117">
        <v>874900</v>
      </c>
    </row>
    <row r="118" spans="1:7" x14ac:dyDescent="0.35">
      <c r="A118" s="16">
        <v>45859</v>
      </c>
      <c r="B118" s="35">
        <v>104.900002</v>
      </c>
      <c r="C118" s="35">
        <v>107.089996</v>
      </c>
      <c r="D118" s="35">
        <v>103.589996</v>
      </c>
      <c r="E118" s="35">
        <v>103.639999</v>
      </c>
      <c r="F118" s="35">
        <v>103.639999</v>
      </c>
      <c r="G118">
        <v>948100</v>
      </c>
    </row>
    <row r="119" spans="1:7" x14ac:dyDescent="0.35">
      <c r="A119" s="16">
        <v>45860</v>
      </c>
      <c r="B119" s="35">
        <v>103.639999</v>
      </c>
      <c r="C119" s="35">
        <v>107.040001</v>
      </c>
      <c r="D119" s="35">
        <v>103.55999799999999</v>
      </c>
      <c r="E119" s="35">
        <v>106.30999799999999</v>
      </c>
      <c r="F119" s="35">
        <v>106.30999799999999</v>
      </c>
      <c r="G119">
        <v>940100</v>
      </c>
    </row>
    <row r="120" spans="1:7" x14ac:dyDescent="0.35">
      <c r="A120" s="16">
        <v>45861</v>
      </c>
      <c r="B120" s="35">
        <v>107.870003</v>
      </c>
      <c r="C120" s="35">
        <v>109.55999799999999</v>
      </c>
      <c r="D120" s="35">
        <v>106.93</v>
      </c>
      <c r="E120" s="35">
        <v>108.790001</v>
      </c>
      <c r="F120" s="35">
        <v>108.790001</v>
      </c>
      <c r="G120">
        <v>1266300</v>
      </c>
    </row>
    <row r="121" spans="1:7" x14ac:dyDescent="0.35">
      <c r="A121" s="16">
        <v>45862</v>
      </c>
      <c r="B121" s="35">
        <v>107.959999</v>
      </c>
      <c r="C121" s="35">
        <v>109.800003</v>
      </c>
      <c r="D121" s="35">
        <v>107.550003</v>
      </c>
      <c r="E121" s="35">
        <v>107.779999</v>
      </c>
      <c r="F121" s="35">
        <v>107.779999</v>
      </c>
      <c r="G121">
        <v>1019600</v>
      </c>
    </row>
    <row r="122" spans="1:7" x14ac:dyDescent="0.35">
      <c r="A122" s="16">
        <v>45863</v>
      </c>
      <c r="B122" s="35">
        <v>109.83000199999999</v>
      </c>
      <c r="C122" s="35">
        <v>109.970001</v>
      </c>
      <c r="D122" s="35">
        <v>106.529999</v>
      </c>
      <c r="E122" s="35">
        <v>106.75</v>
      </c>
      <c r="F122" s="35">
        <v>106.75</v>
      </c>
      <c r="G122">
        <v>1171500</v>
      </c>
    </row>
    <row r="123" spans="1:7" x14ac:dyDescent="0.35">
      <c r="A123" s="16">
        <v>45866</v>
      </c>
      <c r="B123" s="35">
        <v>108.25</v>
      </c>
      <c r="C123" s="35">
        <v>109.519997</v>
      </c>
      <c r="D123" s="35">
        <v>104.970001</v>
      </c>
      <c r="E123" s="35">
        <v>105.639999</v>
      </c>
      <c r="F123" s="35">
        <v>105.639999</v>
      </c>
      <c r="G123">
        <v>1137300</v>
      </c>
    </row>
    <row r="124" spans="1:7" x14ac:dyDescent="0.35">
      <c r="A124" s="16">
        <v>45867</v>
      </c>
      <c r="B124" s="35">
        <v>105.010002</v>
      </c>
      <c r="C124" s="35">
        <v>106.110001</v>
      </c>
      <c r="D124" s="35">
        <v>104.07</v>
      </c>
      <c r="E124" s="35">
        <v>104.300003</v>
      </c>
      <c r="F124" s="35">
        <v>104.300003</v>
      </c>
      <c r="G124">
        <v>1167800</v>
      </c>
    </row>
    <row r="125" spans="1:7" x14ac:dyDescent="0.35">
      <c r="A125" s="16">
        <v>45868</v>
      </c>
      <c r="B125" s="35">
        <v>104.300003</v>
      </c>
      <c r="C125" s="35">
        <v>104.489998</v>
      </c>
      <c r="D125" s="35">
        <v>101.779999</v>
      </c>
      <c r="E125" s="35">
        <v>102.230003</v>
      </c>
      <c r="F125" s="35">
        <v>102.230003</v>
      </c>
      <c r="G125">
        <v>1429500</v>
      </c>
    </row>
    <row r="126" spans="1:7" x14ac:dyDescent="0.35">
      <c r="A126" s="16">
        <v>45869</v>
      </c>
      <c r="B126" s="35">
        <v>102.050003</v>
      </c>
      <c r="C126" s="35">
        <v>102.050003</v>
      </c>
      <c r="D126" s="35">
        <v>99.400002000000001</v>
      </c>
      <c r="E126" s="35">
        <v>99.730002999999996</v>
      </c>
      <c r="F126" s="35">
        <v>99.730002999999996</v>
      </c>
      <c r="G126">
        <v>1682100</v>
      </c>
    </row>
    <row r="127" spans="1:7" x14ac:dyDescent="0.35">
      <c r="A127" s="16">
        <v>45870</v>
      </c>
      <c r="B127" s="35">
        <v>97.910004000000001</v>
      </c>
      <c r="C127" s="35">
        <v>98.57</v>
      </c>
      <c r="D127" s="35">
        <v>96</v>
      </c>
      <c r="E127" s="35">
        <v>97.129997000000003</v>
      </c>
      <c r="F127" s="35">
        <v>97.129997000000003</v>
      </c>
      <c r="G127">
        <v>1805900</v>
      </c>
    </row>
    <row r="128" spans="1:7" x14ac:dyDescent="0.35">
      <c r="A128" s="16">
        <v>45873</v>
      </c>
      <c r="B128" s="35">
        <v>98.099997999999999</v>
      </c>
      <c r="C128" s="35">
        <v>100.970001</v>
      </c>
      <c r="D128" s="35">
        <v>97.809997999999993</v>
      </c>
      <c r="E128" s="35">
        <v>100.360001</v>
      </c>
      <c r="F128" s="35">
        <v>100.360001</v>
      </c>
      <c r="G128">
        <v>1570400</v>
      </c>
    </row>
    <row r="129" spans="1:7" x14ac:dyDescent="0.35">
      <c r="A129" s="16">
        <v>45874</v>
      </c>
      <c r="B129" s="35">
        <v>100.610001</v>
      </c>
      <c r="C129" s="35">
        <v>102.58000199999999</v>
      </c>
      <c r="D129" s="35">
        <v>99.839995999999999</v>
      </c>
      <c r="E129" s="35">
        <v>102</v>
      </c>
      <c r="F129" s="35">
        <v>102</v>
      </c>
      <c r="G129">
        <v>1061200</v>
      </c>
    </row>
    <row r="130" spans="1:7" x14ac:dyDescent="0.35">
      <c r="A130" s="16">
        <v>45875</v>
      </c>
      <c r="B130" s="35">
        <v>102.879997</v>
      </c>
      <c r="C130" s="35">
        <v>105.300003</v>
      </c>
      <c r="D130" s="35">
        <v>102.510002</v>
      </c>
      <c r="E130" s="35">
        <v>105.129997</v>
      </c>
      <c r="F130" s="35">
        <v>105.129997</v>
      </c>
      <c r="G130">
        <v>2374900</v>
      </c>
    </row>
    <row r="131" spans="1:7" x14ac:dyDescent="0.35">
      <c r="A131" s="16">
        <v>45876</v>
      </c>
      <c r="B131" s="35">
        <v>81.5</v>
      </c>
      <c r="C131" s="35">
        <v>81.690002000000007</v>
      </c>
      <c r="D131" s="35">
        <v>74.129997000000003</v>
      </c>
      <c r="E131" s="35">
        <v>74.389999000000003</v>
      </c>
      <c r="F131" s="35">
        <v>74.389999000000003</v>
      </c>
      <c r="G131">
        <v>17038700</v>
      </c>
    </row>
    <row r="132" spans="1:7" x14ac:dyDescent="0.35">
      <c r="A132" s="16">
        <v>45877</v>
      </c>
      <c r="B132" s="35">
        <v>74.900002000000001</v>
      </c>
      <c r="C132" s="35">
        <v>77.919998000000007</v>
      </c>
      <c r="D132" s="35">
        <v>73.760002</v>
      </c>
      <c r="E132" s="35">
        <v>75.239998</v>
      </c>
      <c r="F132" s="35">
        <v>75.239998</v>
      </c>
      <c r="G132">
        <v>6469800</v>
      </c>
    </row>
    <row r="133" spans="1:7" x14ac:dyDescent="0.35">
      <c r="A133" s="16">
        <v>45880</v>
      </c>
      <c r="B133" s="35">
        <v>75.440002000000007</v>
      </c>
      <c r="C133" s="35">
        <v>78.370002999999997</v>
      </c>
      <c r="D133" s="35">
        <v>75.330001999999993</v>
      </c>
      <c r="E133" s="35">
        <v>76.559997999999993</v>
      </c>
      <c r="F133" s="35">
        <v>76.559997999999993</v>
      </c>
      <c r="G133">
        <v>3077400</v>
      </c>
    </row>
    <row r="134" spans="1:7" x14ac:dyDescent="0.35">
      <c r="A134" s="16">
        <v>45881</v>
      </c>
      <c r="B134" s="35">
        <v>76.839995999999999</v>
      </c>
      <c r="C134" s="35">
        <v>78.489998</v>
      </c>
      <c r="D134" s="35">
        <v>75.669998000000007</v>
      </c>
      <c r="E134" s="35">
        <v>77.900002000000001</v>
      </c>
      <c r="F134" s="35">
        <v>77.900002000000001</v>
      </c>
      <c r="G134">
        <v>2697300</v>
      </c>
    </row>
    <row r="135" spans="1:7" x14ac:dyDescent="0.35">
      <c r="A135" s="16">
        <v>45882</v>
      </c>
      <c r="B135" s="35">
        <v>78.589995999999999</v>
      </c>
      <c r="C135" s="35">
        <v>83.540001000000004</v>
      </c>
      <c r="D135" s="35">
        <v>78.199996999999996</v>
      </c>
      <c r="E135" s="35">
        <v>83.400002000000001</v>
      </c>
      <c r="F135" s="35">
        <v>83.400002000000001</v>
      </c>
      <c r="G135">
        <v>3783600</v>
      </c>
    </row>
    <row r="136" spans="1:7" x14ac:dyDescent="0.35">
      <c r="A136" s="16">
        <v>45883</v>
      </c>
      <c r="B136" s="35">
        <v>81.809997999999993</v>
      </c>
      <c r="C136" s="35">
        <v>84.089995999999999</v>
      </c>
      <c r="D136" s="35">
        <v>81.050003000000004</v>
      </c>
      <c r="E136" s="35">
        <v>84.029999000000004</v>
      </c>
      <c r="F136" s="35">
        <v>84.029999000000004</v>
      </c>
      <c r="G136">
        <v>3087000</v>
      </c>
    </row>
    <row r="137" spans="1:7" x14ac:dyDescent="0.35">
      <c r="A137" s="16">
        <v>45884</v>
      </c>
      <c r="B137" s="35">
        <v>84.160004000000001</v>
      </c>
      <c r="C137" s="35">
        <v>85.589995999999999</v>
      </c>
      <c r="D137" s="35">
        <v>83.519997000000004</v>
      </c>
      <c r="E137" s="35">
        <v>84.699996999999996</v>
      </c>
      <c r="F137" s="35">
        <v>84.699996999999996</v>
      </c>
      <c r="G137">
        <v>2296300</v>
      </c>
    </row>
    <row r="138" spans="1:7" x14ac:dyDescent="0.35">
      <c r="A138" s="16">
        <v>45887</v>
      </c>
      <c r="B138" s="35">
        <v>84.339995999999999</v>
      </c>
      <c r="C138" s="35">
        <v>85.5</v>
      </c>
      <c r="D138" s="35">
        <v>82.779999000000004</v>
      </c>
      <c r="E138" s="35">
        <v>82.879997000000003</v>
      </c>
      <c r="F138" s="35">
        <v>82.879997000000003</v>
      </c>
      <c r="G138">
        <v>2525600</v>
      </c>
    </row>
    <row r="139" spans="1:7" x14ac:dyDescent="0.35">
      <c r="A139" s="16">
        <v>45888</v>
      </c>
      <c r="B139" s="35">
        <v>83.32</v>
      </c>
      <c r="C139" s="35">
        <v>85.010002</v>
      </c>
      <c r="D139" s="35">
        <v>82.5</v>
      </c>
      <c r="E139" s="35">
        <v>83.349997999999999</v>
      </c>
      <c r="F139" s="35">
        <v>83.349997999999999</v>
      </c>
      <c r="G139">
        <v>1824700</v>
      </c>
    </row>
    <row r="140" spans="1:7" x14ac:dyDescent="0.35">
      <c r="A140" s="16">
        <v>45889</v>
      </c>
      <c r="B140" s="35">
        <v>83.099997999999999</v>
      </c>
      <c r="C140" s="35">
        <v>83.93</v>
      </c>
      <c r="D140" s="35">
        <v>81.910004000000001</v>
      </c>
      <c r="E140" s="35">
        <v>83.720000999999996</v>
      </c>
      <c r="F140" s="35">
        <v>83.720000999999996</v>
      </c>
      <c r="G140">
        <v>1425100</v>
      </c>
    </row>
    <row r="141" spans="1:7" x14ac:dyDescent="0.35">
      <c r="A141" s="16">
        <v>45890</v>
      </c>
      <c r="B141" s="35">
        <v>83.389999000000003</v>
      </c>
      <c r="C141" s="35">
        <v>83.980002999999996</v>
      </c>
      <c r="D141" s="35">
        <v>82.449996999999996</v>
      </c>
      <c r="E141" s="35">
        <v>83.809997999999993</v>
      </c>
      <c r="F141" s="35">
        <v>83.809997999999993</v>
      </c>
      <c r="G141">
        <v>1224200</v>
      </c>
    </row>
    <row r="142" spans="1:7" x14ac:dyDescent="0.35">
      <c r="A142" s="16">
        <v>45891</v>
      </c>
      <c r="B142" s="35">
        <v>84.120002999999997</v>
      </c>
      <c r="C142" s="35">
        <v>86.760002</v>
      </c>
      <c r="D142" s="35">
        <v>83.690002000000007</v>
      </c>
      <c r="E142" s="35">
        <v>86.559997999999993</v>
      </c>
      <c r="F142" s="35">
        <v>86.559997999999993</v>
      </c>
      <c r="G142">
        <v>2115000</v>
      </c>
    </row>
    <row r="143" spans="1:7" x14ac:dyDescent="0.35">
      <c r="A143" s="16">
        <v>45894</v>
      </c>
      <c r="B143" s="35">
        <v>86.330001999999993</v>
      </c>
      <c r="C143" s="35">
        <v>86.580001999999993</v>
      </c>
      <c r="D143" s="35">
        <v>85.120002999999997</v>
      </c>
      <c r="E143" s="35">
        <v>86.290001000000004</v>
      </c>
      <c r="F143" s="35">
        <v>86.290001000000004</v>
      </c>
      <c r="G143">
        <v>1262500</v>
      </c>
    </row>
    <row r="144" spans="1:7" x14ac:dyDescent="0.35">
      <c r="A144" s="16">
        <v>45895</v>
      </c>
      <c r="B144" s="35">
        <v>86.660004000000001</v>
      </c>
      <c r="C144" s="35">
        <v>86.730002999999996</v>
      </c>
      <c r="D144" s="35">
        <v>84.910004000000001</v>
      </c>
      <c r="E144" s="35">
        <v>85.470000999999996</v>
      </c>
      <c r="F144" s="35">
        <v>85.470000999999996</v>
      </c>
      <c r="G144">
        <v>1116900</v>
      </c>
    </row>
    <row r="145" spans="1:7" x14ac:dyDescent="0.35">
      <c r="A145" s="16">
        <v>45896</v>
      </c>
      <c r="B145" s="35">
        <v>85.360000999999997</v>
      </c>
      <c r="C145" s="35">
        <v>87.120002999999997</v>
      </c>
      <c r="D145" s="35">
        <v>85.360000999999997</v>
      </c>
      <c r="E145" s="35">
        <v>86.629997000000003</v>
      </c>
      <c r="F145" s="35">
        <v>86.629997000000003</v>
      </c>
      <c r="G145">
        <v>1079800</v>
      </c>
    </row>
    <row r="146" spans="1:7" x14ac:dyDescent="0.35">
      <c r="A146" s="16">
        <v>45897</v>
      </c>
      <c r="B146" s="35">
        <v>86.279999000000004</v>
      </c>
      <c r="C146" s="35">
        <v>87</v>
      </c>
      <c r="D146" s="35">
        <v>85.339995999999999</v>
      </c>
      <c r="E146" s="35">
        <v>86.290001000000004</v>
      </c>
      <c r="F146" s="35">
        <v>86.290001000000004</v>
      </c>
      <c r="G146">
        <v>1582500</v>
      </c>
    </row>
    <row r="147" spans="1:7" x14ac:dyDescent="0.35">
      <c r="A147" s="16">
        <v>45898</v>
      </c>
      <c r="B147" s="35">
        <v>85.870002999999997</v>
      </c>
      <c r="C147" s="35">
        <v>89.919998000000007</v>
      </c>
      <c r="D147" s="35">
        <v>85.870002999999997</v>
      </c>
      <c r="E147" s="35">
        <v>87.199996999999996</v>
      </c>
      <c r="F147" s="35">
        <v>87.199996999999996</v>
      </c>
      <c r="G147">
        <v>2077400</v>
      </c>
    </row>
    <row r="148" spans="1:7" x14ac:dyDescent="0.35">
      <c r="A148" s="16">
        <v>45902</v>
      </c>
      <c r="B148" s="35">
        <v>85.910004000000001</v>
      </c>
      <c r="C148" s="35">
        <v>91.050003000000004</v>
      </c>
      <c r="D148" s="35">
        <v>85.910004000000001</v>
      </c>
      <c r="E148" s="35">
        <v>90.370002999999997</v>
      </c>
      <c r="F148" s="35">
        <v>90.370002999999997</v>
      </c>
      <c r="G148">
        <v>2107400</v>
      </c>
    </row>
    <row r="149" spans="1:7" x14ac:dyDescent="0.35">
      <c r="A149" s="16">
        <v>45903</v>
      </c>
      <c r="B149" s="35">
        <v>90</v>
      </c>
      <c r="C149" s="35">
        <v>91.629997000000003</v>
      </c>
      <c r="D149" s="35">
        <v>85.260002</v>
      </c>
      <c r="E149" s="35">
        <v>86.779999000000004</v>
      </c>
      <c r="F149" s="35">
        <v>86.779999000000004</v>
      </c>
      <c r="G149">
        <v>2564700</v>
      </c>
    </row>
    <row r="150" spans="1:7" x14ac:dyDescent="0.35">
      <c r="A150" s="16">
        <v>45904</v>
      </c>
      <c r="B150" s="35">
        <v>86.769997000000004</v>
      </c>
      <c r="C150" s="35">
        <v>89.110000999999997</v>
      </c>
      <c r="D150" s="35">
        <v>86.580001999999993</v>
      </c>
      <c r="E150" s="35">
        <v>89.019997000000004</v>
      </c>
      <c r="F150" s="35">
        <v>89.019997000000004</v>
      </c>
      <c r="G150">
        <v>1713900</v>
      </c>
    </row>
    <row r="151" spans="1:7" x14ac:dyDescent="0.35">
      <c r="A151" s="16">
        <v>45905</v>
      </c>
      <c r="B151" s="35">
        <v>88.610000999999997</v>
      </c>
      <c r="C151" s="35">
        <v>90.059997999999993</v>
      </c>
      <c r="D151" s="35">
        <v>86.080001999999993</v>
      </c>
      <c r="E151" s="35">
        <v>86.449996999999996</v>
      </c>
      <c r="F151" s="35">
        <v>86.449996999999996</v>
      </c>
      <c r="G151">
        <v>1253400</v>
      </c>
    </row>
    <row r="152" spans="1:7" x14ac:dyDescent="0.35">
      <c r="A152" s="16">
        <v>45908</v>
      </c>
      <c r="B152" s="35">
        <v>86.660004000000001</v>
      </c>
      <c r="C152" s="35">
        <v>87.309997999999993</v>
      </c>
      <c r="D152" s="35">
        <v>85.010002</v>
      </c>
      <c r="E152" s="35">
        <v>87.190002000000007</v>
      </c>
      <c r="F152" s="35">
        <v>87.190002000000007</v>
      </c>
      <c r="G152">
        <v>1210200</v>
      </c>
    </row>
    <row r="153" spans="1:7" x14ac:dyDescent="0.35">
      <c r="A153" s="16">
        <v>45909</v>
      </c>
      <c r="B153" s="35">
        <v>86.690002000000007</v>
      </c>
      <c r="C153" s="35">
        <v>87.120002999999997</v>
      </c>
      <c r="D153" s="35">
        <v>82.43</v>
      </c>
      <c r="E153" s="35">
        <v>83.279999000000004</v>
      </c>
      <c r="F153" s="35">
        <v>83.279999000000004</v>
      </c>
      <c r="G153">
        <v>2005200</v>
      </c>
    </row>
    <row r="154" spans="1:7" x14ac:dyDescent="0.35">
      <c r="A154" s="16">
        <v>45910</v>
      </c>
      <c r="B154" s="35">
        <v>82.919998000000007</v>
      </c>
      <c r="C154" s="35">
        <v>83.120002999999997</v>
      </c>
      <c r="D154" s="35">
        <v>80.330001999999993</v>
      </c>
      <c r="E154" s="35">
        <v>81.169998000000007</v>
      </c>
      <c r="F154" s="35">
        <v>81.169998000000007</v>
      </c>
      <c r="G154">
        <v>1728600</v>
      </c>
    </row>
    <row r="155" spans="1:7" x14ac:dyDescent="0.35">
      <c r="A155" s="16">
        <v>45911</v>
      </c>
      <c r="B155" s="35">
        <v>81.180000000000007</v>
      </c>
      <c r="C155" s="35">
        <v>81.680000000000007</v>
      </c>
      <c r="D155" s="35">
        <v>80.110000999999997</v>
      </c>
      <c r="E155" s="35">
        <v>80.949996999999996</v>
      </c>
      <c r="F155" s="35">
        <v>80.949996999999996</v>
      </c>
      <c r="G155">
        <v>1872600</v>
      </c>
    </row>
    <row r="156" spans="1:7" x14ac:dyDescent="0.35">
      <c r="A156" s="16">
        <v>45912</v>
      </c>
      <c r="B156" s="35">
        <v>80.639999000000003</v>
      </c>
      <c r="C156" s="35">
        <v>80.650002000000001</v>
      </c>
      <c r="D156" s="35">
        <v>77.209998999999996</v>
      </c>
      <c r="E156" s="35">
        <v>77.430000000000007</v>
      </c>
      <c r="F156" s="35">
        <v>77.430000000000007</v>
      </c>
      <c r="G156">
        <v>2715300</v>
      </c>
    </row>
    <row r="157" spans="1:7" x14ac:dyDescent="0.35">
      <c r="A157" s="16">
        <v>45915</v>
      </c>
      <c r="B157" s="35">
        <v>77.470000999999996</v>
      </c>
      <c r="C157" s="35">
        <v>77.919998000000007</v>
      </c>
      <c r="D157" s="35">
        <v>75.739998</v>
      </c>
      <c r="E157" s="35">
        <v>77.580001999999993</v>
      </c>
      <c r="F157" s="35">
        <v>77.580001999999993</v>
      </c>
      <c r="G157">
        <v>2359500</v>
      </c>
    </row>
    <row r="158" spans="1:7" x14ac:dyDescent="0.35">
      <c r="A158" s="16">
        <v>45916</v>
      </c>
      <c r="B158" s="35">
        <v>77.669998000000007</v>
      </c>
      <c r="C158" s="35">
        <v>79.279999000000004</v>
      </c>
      <c r="D158" s="35">
        <v>76.379997000000003</v>
      </c>
      <c r="E158" s="35">
        <v>78.989998</v>
      </c>
      <c r="F158" s="35">
        <v>78.989998</v>
      </c>
      <c r="G158">
        <v>2645400</v>
      </c>
    </row>
    <row r="159" spans="1:7" x14ac:dyDescent="0.35">
      <c r="A159" s="16">
        <v>45917</v>
      </c>
      <c r="B159" s="35">
        <v>79.660004000000001</v>
      </c>
      <c r="C159" s="35">
        <v>82.370002999999997</v>
      </c>
      <c r="D159" s="35">
        <v>79.239998</v>
      </c>
      <c r="E159" s="35">
        <v>80.540001000000004</v>
      </c>
      <c r="F159" s="35">
        <v>80.540001000000004</v>
      </c>
      <c r="G159">
        <v>2652100</v>
      </c>
    </row>
    <row r="160" spans="1:7" x14ac:dyDescent="0.35">
      <c r="A160" s="16">
        <v>45918</v>
      </c>
      <c r="B160" s="35">
        <v>81.620002999999997</v>
      </c>
      <c r="C160" s="35">
        <v>82</v>
      </c>
      <c r="D160" s="35">
        <v>79.830001999999993</v>
      </c>
      <c r="E160" s="35">
        <v>80.360000999999997</v>
      </c>
      <c r="F160" s="35">
        <v>80.360000999999997</v>
      </c>
      <c r="G160">
        <v>2138800</v>
      </c>
    </row>
    <row r="161" spans="1:7" x14ac:dyDescent="0.35">
      <c r="A161" s="16">
        <v>45919</v>
      </c>
      <c r="B161" s="35">
        <v>80.839995999999999</v>
      </c>
      <c r="C161" s="35">
        <v>81.790001000000004</v>
      </c>
      <c r="D161" s="35">
        <v>80.080001999999993</v>
      </c>
      <c r="E161" s="35">
        <v>80.319999999999993</v>
      </c>
      <c r="F161" s="35">
        <v>80.319999999999993</v>
      </c>
      <c r="G161">
        <v>2572400</v>
      </c>
    </row>
    <row r="162" spans="1:7" x14ac:dyDescent="0.35">
      <c r="A162" s="16">
        <v>45922</v>
      </c>
      <c r="B162" s="35">
        <v>78.459998999999996</v>
      </c>
      <c r="C162" s="35">
        <v>78.989998</v>
      </c>
      <c r="D162" s="35">
        <v>76.620002999999997</v>
      </c>
      <c r="E162" s="35">
        <v>77.139999000000003</v>
      </c>
      <c r="F162" s="35">
        <v>77.139999000000003</v>
      </c>
      <c r="G162">
        <v>2903300</v>
      </c>
    </row>
    <row r="163" spans="1:7" x14ac:dyDescent="0.35">
      <c r="A163" s="16">
        <v>45923</v>
      </c>
      <c r="B163" s="35">
        <v>77.589995999999999</v>
      </c>
      <c r="C163" s="35">
        <v>80.110000999999997</v>
      </c>
      <c r="D163" s="35">
        <v>77.480002999999996</v>
      </c>
      <c r="E163" s="35">
        <v>78.150002000000001</v>
      </c>
      <c r="F163" s="35">
        <v>78.150002000000001</v>
      </c>
      <c r="G163">
        <v>2179000</v>
      </c>
    </row>
    <row r="164" spans="1:7" x14ac:dyDescent="0.35">
      <c r="A164" s="16">
        <v>45924</v>
      </c>
      <c r="B164" s="35">
        <v>78.730002999999996</v>
      </c>
      <c r="C164" s="35">
        <v>79.900002000000001</v>
      </c>
      <c r="D164" s="35">
        <v>77.389999000000003</v>
      </c>
      <c r="E164" s="35">
        <v>77.489998</v>
      </c>
      <c r="F164" s="35">
        <v>77.489998</v>
      </c>
      <c r="G164">
        <v>1655800</v>
      </c>
    </row>
    <row r="165" spans="1:7" x14ac:dyDescent="0.35">
      <c r="A165" s="16">
        <v>45925</v>
      </c>
      <c r="B165" s="35">
        <v>77.209998999999996</v>
      </c>
      <c r="C165" s="35">
        <v>77.25</v>
      </c>
      <c r="D165" s="35">
        <v>75.279999000000004</v>
      </c>
      <c r="E165" s="35">
        <v>76.650002000000001</v>
      </c>
      <c r="F165" s="35">
        <v>76.650002000000001</v>
      </c>
      <c r="G165">
        <v>1664100</v>
      </c>
    </row>
    <row r="166" spans="1:7" x14ac:dyDescent="0.35">
      <c r="A166" s="16">
        <v>45926</v>
      </c>
      <c r="B166" s="35">
        <v>76.839995999999999</v>
      </c>
      <c r="C166" s="35">
        <v>81.980002999999996</v>
      </c>
      <c r="D166" s="35">
        <v>76.540001000000004</v>
      </c>
      <c r="E166" s="35">
        <v>81.730002999999996</v>
      </c>
      <c r="F166" s="35">
        <v>81.730002999999996</v>
      </c>
      <c r="G166">
        <v>4909700</v>
      </c>
    </row>
    <row r="167" spans="1:7" x14ac:dyDescent="0.35">
      <c r="A167" s="16">
        <v>45929</v>
      </c>
      <c r="B167" s="35">
        <v>82.5</v>
      </c>
      <c r="C167" s="35">
        <v>84.029999000000004</v>
      </c>
      <c r="D167" s="35">
        <v>79.629997000000003</v>
      </c>
      <c r="E167" s="35">
        <v>83.760002</v>
      </c>
      <c r="F167" s="35">
        <v>83.760002</v>
      </c>
      <c r="G167">
        <v>2854800</v>
      </c>
    </row>
    <row r="168" spans="1:7" x14ac:dyDescent="0.35">
      <c r="A168" s="16">
        <v>45930</v>
      </c>
      <c r="B168" s="35">
        <v>83.57</v>
      </c>
      <c r="C168" s="35">
        <v>84.269997000000004</v>
      </c>
      <c r="D168" s="35">
        <v>82.110000999999997</v>
      </c>
      <c r="E168" s="35">
        <v>83.550003000000004</v>
      </c>
      <c r="F168" s="35">
        <v>83.550003000000004</v>
      </c>
      <c r="G168">
        <v>1933300</v>
      </c>
    </row>
    <row r="169" spans="1:7" x14ac:dyDescent="0.35">
      <c r="A169" s="16">
        <v>45931</v>
      </c>
      <c r="B169" s="35">
        <v>84</v>
      </c>
      <c r="C169" s="35">
        <v>85.43</v>
      </c>
      <c r="D169" s="35">
        <v>82.080001999999993</v>
      </c>
      <c r="E169" s="35">
        <v>85</v>
      </c>
      <c r="F169" s="35">
        <v>85</v>
      </c>
      <c r="G169">
        <v>1567300</v>
      </c>
    </row>
    <row r="170" spans="1:7" x14ac:dyDescent="0.35">
      <c r="A170" s="16">
        <v>45932</v>
      </c>
      <c r="B170" s="35">
        <v>84.709998999999996</v>
      </c>
      <c r="C170" s="35">
        <v>87.099997999999999</v>
      </c>
      <c r="D170" s="35">
        <v>84.279999000000004</v>
      </c>
      <c r="E170" s="35">
        <v>86.199996999999996</v>
      </c>
      <c r="F170" s="35">
        <v>86.199996999999996</v>
      </c>
      <c r="G170">
        <v>1598500</v>
      </c>
    </row>
    <row r="171" spans="1:7" x14ac:dyDescent="0.35">
      <c r="A171" s="16">
        <v>45933</v>
      </c>
      <c r="B171" s="35">
        <v>86.639999000000003</v>
      </c>
      <c r="C171" s="35">
        <v>86.730002999999996</v>
      </c>
      <c r="D171" s="35">
        <v>84.849997999999999</v>
      </c>
      <c r="E171" s="35">
        <v>84.889999000000003</v>
      </c>
      <c r="F171" s="35">
        <v>84.889999000000003</v>
      </c>
      <c r="G171">
        <v>1780400</v>
      </c>
    </row>
    <row r="172" spans="1:7" x14ac:dyDescent="0.35">
      <c r="A172" s="16">
        <v>45936</v>
      </c>
      <c r="B172" s="35">
        <v>84.650002000000001</v>
      </c>
      <c r="C172" s="35">
        <v>85.279999000000004</v>
      </c>
      <c r="D172" s="35">
        <v>80.260002</v>
      </c>
      <c r="E172" s="35">
        <v>80.639999000000003</v>
      </c>
      <c r="F172" s="35">
        <v>80.639999000000003</v>
      </c>
      <c r="G172">
        <v>2176200</v>
      </c>
    </row>
    <row r="173" spans="1:7" x14ac:dyDescent="0.35">
      <c r="A173" s="16">
        <v>45937</v>
      </c>
      <c r="B173" s="35">
        <v>79.860000999999997</v>
      </c>
      <c r="C173" s="35">
        <v>80.75</v>
      </c>
      <c r="D173" s="35">
        <v>78.5</v>
      </c>
      <c r="E173" s="35">
        <v>78.819999999999993</v>
      </c>
      <c r="F173" s="35">
        <v>78.819999999999993</v>
      </c>
      <c r="G173">
        <v>1800100</v>
      </c>
    </row>
    <row r="174" spans="1:7" x14ac:dyDescent="0.35">
      <c r="A174" s="16">
        <v>45938</v>
      </c>
      <c r="B174" s="35">
        <v>79.050003000000004</v>
      </c>
      <c r="C174" s="35">
        <v>81.269997000000004</v>
      </c>
      <c r="D174" s="35">
        <v>78.75</v>
      </c>
      <c r="E174" s="35">
        <v>81.099997999999999</v>
      </c>
      <c r="F174" s="35">
        <v>81.099997999999999</v>
      </c>
      <c r="G174">
        <v>1889200</v>
      </c>
    </row>
    <row r="175" spans="1:7" x14ac:dyDescent="0.35">
      <c r="A175" s="16">
        <v>45939</v>
      </c>
      <c r="B175" s="35">
        <v>81.040001000000004</v>
      </c>
      <c r="C175" s="35">
        <v>81.330001999999993</v>
      </c>
      <c r="D175" s="35">
        <v>79.720000999999996</v>
      </c>
      <c r="E175" s="35">
        <v>80.389999000000003</v>
      </c>
      <c r="F175" s="35">
        <v>80.389999000000003</v>
      </c>
      <c r="G175">
        <v>1597600</v>
      </c>
    </row>
    <row r="176" spans="1:7" x14ac:dyDescent="0.35">
      <c r="A176" s="16">
        <v>45940</v>
      </c>
      <c r="B176" s="35">
        <v>80.919998000000007</v>
      </c>
      <c r="C176" s="35">
        <v>80.949996999999996</v>
      </c>
      <c r="D176" s="35">
        <v>76.610000999999997</v>
      </c>
      <c r="E176" s="35">
        <v>76.699996999999996</v>
      </c>
      <c r="F176" s="35">
        <v>76.699996999999996</v>
      </c>
      <c r="G176">
        <v>1869800</v>
      </c>
    </row>
    <row r="177" spans="1:7" x14ac:dyDescent="0.35">
      <c r="A177" s="16">
        <v>45943</v>
      </c>
      <c r="B177" s="35">
        <v>78.199996999999996</v>
      </c>
      <c r="C177" s="35">
        <v>82.050003000000004</v>
      </c>
      <c r="D177" s="35">
        <v>78.099997999999999</v>
      </c>
      <c r="E177" s="35">
        <v>81.489998</v>
      </c>
      <c r="F177" s="35">
        <v>81.489998</v>
      </c>
      <c r="G177">
        <v>1736100</v>
      </c>
    </row>
    <row r="178" spans="1:7" x14ac:dyDescent="0.35">
      <c r="A178" s="16">
        <v>45944</v>
      </c>
      <c r="B178" s="35">
        <v>80.150002000000001</v>
      </c>
      <c r="C178" s="35">
        <v>84.389999000000003</v>
      </c>
      <c r="D178" s="35">
        <v>79.800003000000004</v>
      </c>
      <c r="E178" s="35">
        <v>83.980002999999996</v>
      </c>
      <c r="F178" s="35">
        <v>83.980002999999996</v>
      </c>
      <c r="G178">
        <v>1695200</v>
      </c>
    </row>
    <row r="179" spans="1:7" x14ac:dyDescent="0.35">
      <c r="A179" s="16">
        <v>45945</v>
      </c>
      <c r="B179" s="35">
        <v>83.720000999999996</v>
      </c>
      <c r="C179" s="35">
        <v>84.849997999999999</v>
      </c>
      <c r="D179" s="35">
        <v>82.260002</v>
      </c>
      <c r="E179" s="35">
        <v>82.849997999999999</v>
      </c>
      <c r="F179" s="35">
        <v>82.849997999999999</v>
      </c>
      <c r="G179">
        <v>1681600</v>
      </c>
    </row>
    <row r="180" spans="1:7" x14ac:dyDescent="0.35">
      <c r="A180" s="16">
        <v>45946</v>
      </c>
      <c r="B180" s="35">
        <v>82.449996999999996</v>
      </c>
      <c r="C180" s="35">
        <v>83.209998999999996</v>
      </c>
      <c r="D180" s="35">
        <v>81.169998000000007</v>
      </c>
      <c r="E180" s="35">
        <v>83.150002000000001</v>
      </c>
      <c r="F180" s="35">
        <v>83.150002000000001</v>
      </c>
      <c r="G180">
        <v>2183000</v>
      </c>
    </row>
    <row r="181" spans="1:7" x14ac:dyDescent="0.35">
      <c r="A181" s="16">
        <v>45947</v>
      </c>
      <c r="B181" s="35">
        <v>82.389999000000003</v>
      </c>
      <c r="C181" s="35">
        <v>83.330001999999993</v>
      </c>
      <c r="D181" s="35">
        <v>82.019997000000004</v>
      </c>
      <c r="E181" s="35">
        <v>83</v>
      </c>
      <c r="F181" s="35">
        <v>83</v>
      </c>
      <c r="G181">
        <v>1717500</v>
      </c>
    </row>
    <row r="182" spans="1:7" x14ac:dyDescent="0.35">
      <c r="A182" s="16">
        <v>45950</v>
      </c>
      <c r="B182" s="35">
        <v>83.129997000000003</v>
      </c>
      <c r="C182" s="35">
        <v>83.900002000000001</v>
      </c>
      <c r="D182" s="35">
        <v>82.279999000000004</v>
      </c>
      <c r="E182" s="35">
        <v>82.339995999999999</v>
      </c>
      <c r="F182" s="35">
        <v>82.339995999999999</v>
      </c>
      <c r="G182">
        <v>1058200</v>
      </c>
    </row>
    <row r="183" spans="1:7" x14ac:dyDescent="0.35">
      <c r="A183" s="16">
        <v>45951</v>
      </c>
      <c r="B183" s="35">
        <v>82.919998000000007</v>
      </c>
      <c r="C183" s="35">
        <v>84.989998</v>
      </c>
      <c r="D183" s="35">
        <v>82.489998</v>
      </c>
      <c r="E183" s="35">
        <v>84.029999000000004</v>
      </c>
      <c r="F183" s="35">
        <v>84.029999000000004</v>
      </c>
      <c r="G183">
        <v>1175200</v>
      </c>
    </row>
    <row r="184" spans="1:7" x14ac:dyDescent="0.35">
      <c r="A184" s="16">
        <v>45952</v>
      </c>
      <c r="B184" s="35">
        <v>83.32</v>
      </c>
      <c r="C184" s="35">
        <v>83.919998000000007</v>
      </c>
      <c r="D184" s="35">
        <v>82.580001999999993</v>
      </c>
      <c r="E184" s="35">
        <v>83.470000999999996</v>
      </c>
      <c r="F184" s="35">
        <v>83.470000999999996</v>
      </c>
      <c r="G184">
        <v>1072200</v>
      </c>
    </row>
    <row r="185" spans="1:7" x14ac:dyDescent="0.35">
      <c r="A185" s="16">
        <v>45953</v>
      </c>
      <c r="B185" s="35">
        <v>84.059997999999993</v>
      </c>
      <c r="C185" s="35">
        <v>85.25</v>
      </c>
      <c r="D185" s="35">
        <v>83.260002</v>
      </c>
      <c r="E185" s="35">
        <v>85.150002000000001</v>
      </c>
      <c r="F185" s="35">
        <v>85.150002000000001</v>
      </c>
      <c r="G185">
        <v>1002700</v>
      </c>
    </row>
    <row r="186" spans="1:7" x14ac:dyDescent="0.35">
      <c r="A186" s="16">
        <v>45954</v>
      </c>
      <c r="B186" s="35">
        <v>84</v>
      </c>
      <c r="C186" s="35">
        <v>84.309997999999993</v>
      </c>
      <c r="D186" s="35">
        <v>82.57</v>
      </c>
      <c r="E186" s="35">
        <v>82.82</v>
      </c>
      <c r="F186" s="35">
        <v>82.82</v>
      </c>
      <c r="G186">
        <v>1249800</v>
      </c>
    </row>
    <row r="187" spans="1:7" x14ac:dyDescent="0.35">
      <c r="A187" s="16">
        <v>45957</v>
      </c>
      <c r="B187" s="35">
        <v>84.160004000000001</v>
      </c>
      <c r="C187" s="35">
        <v>87.93</v>
      </c>
      <c r="D187" s="35">
        <v>84.050003000000004</v>
      </c>
      <c r="E187" s="35">
        <v>87.290001000000004</v>
      </c>
      <c r="F187" s="35">
        <v>87.290001000000004</v>
      </c>
      <c r="G187">
        <v>2335500</v>
      </c>
    </row>
    <row r="188" spans="1:7" x14ac:dyDescent="0.35">
      <c r="A188" s="16">
        <v>45958</v>
      </c>
      <c r="B188" s="35">
        <v>86.589995999999999</v>
      </c>
      <c r="C188" s="35">
        <v>87.349997999999999</v>
      </c>
      <c r="D188" s="35">
        <v>85.550003000000004</v>
      </c>
      <c r="E188" s="35">
        <v>86.739998</v>
      </c>
      <c r="F188" s="35">
        <v>86.739998</v>
      </c>
      <c r="G188">
        <v>1829100</v>
      </c>
    </row>
    <row r="189" spans="1:7" x14ac:dyDescent="0.35">
      <c r="A189" s="16">
        <v>45959</v>
      </c>
      <c r="B189" s="35">
        <v>86.739998</v>
      </c>
      <c r="C189" s="35">
        <v>88.400002000000001</v>
      </c>
      <c r="D189" s="35">
        <v>84.139999000000003</v>
      </c>
      <c r="E189" s="35">
        <v>84.690002000000007</v>
      </c>
      <c r="F189" s="35">
        <v>84.690002000000007</v>
      </c>
      <c r="G189">
        <v>2478100</v>
      </c>
    </row>
    <row r="190" spans="1:7" x14ac:dyDescent="0.35">
      <c r="A190" s="16">
        <v>45960</v>
      </c>
      <c r="B190" s="35">
        <v>89</v>
      </c>
      <c r="C190" s="35">
        <v>89.010002</v>
      </c>
      <c r="D190" s="35">
        <v>81.5</v>
      </c>
      <c r="E190" s="35">
        <v>82.540001000000004</v>
      </c>
      <c r="F190" s="35">
        <v>82.540001000000004</v>
      </c>
      <c r="G190">
        <v>4628600</v>
      </c>
    </row>
    <row r="191" spans="1:7" x14ac:dyDescent="0.35">
      <c r="A191" s="16">
        <v>45961</v>
      </c>
      <c r="B191" s="35">
        <v>82.769997000000004</v>
      </c>
      <c r="C191" s="35">
        <v>82.769997000000004</v>
      </c>
      <c r="D191" s="35">
        <v>78.629997000000003</v>
      </c>
      <c r="E191" s="35">
        <v>81.690002000000007</v>
      </c>
      <c r="F191" s="35">
        <v>81.690002000000007</v>
      </c>
      <c r="G191">
        <v>2460500</v>
      </c>
    </row>
    <row r="192" spans="1:7" x14ac:dyDescent="0.35">
      <c r="A192" s="16">
        <v>45964</v>
      </c>
      <c r="B192" s="35">
        <v>81.690002000000007</v>
      </c>
      <c r="C192" s="35">
        <v>82.68</v>
      </c>
      <c r="D192" s="35">
        <v>79.730002999999996</v>
      </c>
      <c r="E192" s="35">
        <v>81.160004000000001</v>
      </c>
      <c r="F192" s="35">
        <v>81.160004000000001</v>
      </c>
      <c r="G192">
        <v>1826200</v>
      </c>
    </row>
    <row r="193" spans="1:7" x14ac:dyDescent="0.35">
      <c r="A193" s="16">
        <v>45965</v>
      </c>
      <c r="B193" s="35">
        <v>80.370002999999997</v>
      </c>
      <c r="C193" s="35">
        <v>80.709998999999996</v>
      </c>
      <c r="D193" s="35">
        <v>78.470000999999996</v>
      </c>
      <c r="E193" s="35">
        <v>78.699996999999996</v>
      </c>
      <c r="F193" s="35">
        <v>78.699996999999996</v>
      </c>
      <c r="G193">
        <v>1636300</v>
      </c>
    </row>
    <row r="194" spans="1:7" x14ac:dyDescent="0.35">
      <c r="A194" s="16">
        <v>45966</v>
      </c>
      <c r="B194" s="35">
        <v>78.650002000000001</v>
      </c>
      <c r="C194" s="35">
        <v>81.669998000000007</v>
      </c>
      <c r="D194" s="35">
        <v>77.669998000000007</v>
      </c>
      <c r="E194" s="35">
        <v>80.230002999999996</v>
      </c>
      <c r="F194" s="35">
        <v>80.230002999999996</v>
      </c>
      <c r="G194">
        <v>1858900</v>
      </c>
    </row>
    <row r="195" spans="1:7" x14ac:dyDescent="0.35">
      <c r="A195" s="16">
        <v>45967</v>
      </c>
      <c r="B195" s="35">
        <v>79.349997999999999</v>
      </c>
      <c r="C195" s="35">
        <v>80.660004000000001</v>
      </c>
      <c r="D195" s="35">
        <v>77.510002</v>
      </c>
      <c r="E195" s="35">
        <v>78.430000000000007</v>
      </c>
      <c r="F195" s="35">
        <v>78.430000000000007</v>
      </c>
      <c r="G195">
        <v>1639800</v>
      </c>
    </row>
    <row r="196" spans="1:7" x14ac:dyDescent="0.35">
      <c r="A196" s="16">
        <v>45968</v>
      </c>
      <c r="B196" s="35">
        <v>77.699996999999996</v>
      </c>
      <c r="C196" s="35">
        <v>79.290001000000004</v>
      </c>
      <c r="D196" s="35">
        <v>77.379997000000003</v>
      </c>
      <c r="E196" s="35">
        <v>78.849997999999999</v>
      </c>
      <c r="F196" s="35">
        <v>78.849997999999999</v>
      </c>
      <c r="G196">
        <v>1460300</v>
      </c>
    </row>
    <row r="197" spans="1:7" x14ac:dyDescent="0.35">
      <c r="A197" s="16">
        <v>45971</v>
      </c>
      <c r="B197" s="35">
        <v>78.930000000000007</v>
      </c>
      <c r="C197" s="35">
        <v>80.110000999999997</v>
      </c>
      <c r="D197" s="35">
        <v>73.519997000000004</v>
      </c>
      <c r="E197" s="35">
        <v>74.089995999999999</v>
      </c>
      <c r="F197" s="35">
        <v>74.089995999999999</v>
      </c>
      <c r="G197">
        <v>3254700</v>
      </c>
    </row>
    <row r="198" spans="1:7" x14ac:dyDescent="0.35">
      <c r="A198" s="16">
        <v>45972</v>
      </c>
      <c r="B198" s="35">
        <v>74.489998</v>
      </c>
      <c r="C198" s="35">
        <v>76.720000999999996</v>
      </c>
      <c r="D198" s="35">
        <v>74.239998</v>
      </c>
      <c r="E198" s="35">
        <v>75</v>
      </c>
      <c r="F198" s="35">
        <v>75</v>
      </c>
      <c r="G198">
        <v>2562900</v>
      </c>
    </row>
    <row r="199" spans="1:7" x14ac:dyDescent="0.35">
      <c r="A199" s="16">
        <v>45973</v>
      </c>
      <c r="B199" s="35">
        <v>75.900002000000001</v>
      </c>
      <c r="C199" s="35">
        <v>76.720000999999996</v>
      </c>
      <c r="D199" s="35">
        <v>74.25</v>
      </c>
      <c r="E199" s="35">
        <v>74.449996999999996</v>
      </c>
      <c r="F199" s="35">
        <v>74.449996999999996</v>
      </c>
      <c r="G199">
        <v>1696200</v>
      </c>
    </row>
    <row r="200" spans="1:7" x14ac:dyDescent="0.35">
      <c r="A200" s="16">
        <v>45974</v>
      </c>
      <c r="B200" s="35">
        <v>74.989998</v>
      </c>
      <c r="C200" s="35">
        <v>75.940002000000007</v>
      </c>
      <c r="D200" s="35">
        <v>74.029999000000004</v>
      </c>
      <c r="E200" s="35">
        <v>74.180000000000007</v>
      </c>
      <c r="F200" s="35">
        <v>74.180000000000007</v>
      </c>
      <c r="G200">
        <v>1757000</v>
      </c>
    </row>
    <row r="201" spans="1:7" x14ac:dyDescent="0.35">
      <c r="A201" s="16">
        <v>45975</v>
      </c>
      <c r="B201" s="35">
        <v>73.419998000000007</v>
      </c>
      <c r="C201" s="35">
        <v>74.709998999999996</v>
      </c>
      <c r="D201" s="35">
        <v>73.209998999999996</v>
      </c>
      <c r="E201" s="35">
        <v>73.389999000000003</v>
      </c>
      <c r="F201" s="35">
        <v>73.389999000000003</v>
      </c>
      <c r="G201">
        <v>1698400</v>
      </c>
    </row>
    <row r="202" spans="1:7" x14ac:dyDescent="0.35">
      <c r="A202" s="16">
        <v>45978</v>
      </c>
      <c r="B202" s="35">
        <v>73.589995999999999</v>
      </c>
      <c r="C202" s="35">
        <v>78.430000000000007</v>
      </c>
      <c r="D202" s="35">
        <v>73.209998999999996</v>
      </c>
      <c r="E202" s="35">
        <v>77.150002000000001</v>
      </c>
      <c r="F202" s="35">
        <v>77.150002000000001</v>
      </c>
      <c r="G202">
        <v>2656400</v>
      </c>
    </row>
    <row r="203" spans="1:7" x14ac:dyDescent="0.35">
      <c r="A203" s="16">
        <v>45979</v>
      </c>
      <c r="B203" s="35">
        <v>76.339995999999999</v>
      </c>
      <c r="C203" s="35">
        <v>77.989998</v>
      </c>
      <c r="D203" s="35">
        <v>75.959998999999996</v>
      </c>
      <c r="E203" s="35">
        <v>77.569999999999993</v>
      </c>
      <c r="F203" s="35">
        <v>77.569999999999993</v>
      </c>
      <c r="G203">
        <v>1410800</v>
      </c>
    </row>
    <row r="204" spans="1:7" x14ac:dyDescent="0.35">
      <c r="A204" s="16">
        <v>45980</v>
      </c>
      <c r="B204" s="35">
        <v>77.569999999999993</v>
      </c>
      <c r="C204" s="35">
        <v>79.5</v>
      </c>
      <c r="D204" s="35">
        <v>76.300003000000004</v>
      </c>
      <c r="E204" s="35">
        <v>79.169998000000007</v>
      </c>
      <c r="F204" s="35">
        <v>79.169998000000007</v>
      </c>
      <c r="G204">
        <v>1352100</v>
      </c>
    </row>
    <row r="205" spans="1:7" x14ac:dyDescent="0.35">
      <c r="A205" s="16">
        <v>45981</v>
      </c>
      <c r="B205" s="35">
        <v>79.230002999999996</v>
      </c>
      <c r="C205" s="35">
        <v>80.870002999999997</v>
      </c>
      <c r="D205" s="35">
        <v>78.260002</v>
      </c>
      <c r="E205" s="35">
        <v>78.510002</v>
      </c>
      <c r="F205" s="35">
        <v>78.510002</v>
      </c>
      <c r="G205">
        <v>1310400</v>
      </c>
    </row>
    <row r="206" spans="1:7" x14ac:dyDescent="0.35">
      <c r="A206" s="16">
        <v>45982</v>
      </c>
      <c r="B206" s="35">
        <v>78.669998000000007</v>
      </c>
      <c r="C206" s="35">
        <v>81.760002</v>
      </c>
      <c r="D206" s="35">
        <v>78.540001000000004</v>
      </c>
      <c r="E206" s="35">
        <v>81.440002000000007</v>
      </c>
      <c r="F206" s="35">
        <v>81.440002000000007</v>
      </c>
      <c r="G206">
        <v>1378600</v>
      </c>
    </row>
    <row r="207" spans="1:7" x14ac:dyDescent="0.35">
      <c r="A207" s="16">
        <v>45985</v>
      </c>
      <c r="B207" s="35">
        <v>80.639999000000003</v>
      </c>
      <c r="C207" s="35">
        <v>81.470000999999996</v>
      </c>
      <c r="D207" s="35">
        <v>78.680000000000007</v>
      </c>
      <c r="E207" s="35">
        <v>80.330001999999993</v>
      </c>
      <c r="F207" s="35">
        <v>80.330001999999993</v>
      </c>
      <c r="G207">
        <v>1987600</v>
      </c>
    </row>
    <row r="208" spans="1:7" x14ac:dyDescent="0.35">
      <c r="A208" s="16">
        <v>45986</v>
      </c>
      <c r="B208" s="35">
        <v>81.010002</v>
      </c>
      <c r="C208" s="35">
        <v>84.010002</v>
      </c>
      <c r="D208" s="35">
        <v>80.769997000000004</v>
      </c>
      <c r="E208" s="35">
        <v>83.07</v>
      </c>
      <c r="F208" s="35">
        <v>83.07</v>
      </c>
      <c r="G208">
        <v>1334900</v>
      </c>
    </row>
    <row r="209" spans="1:7" x14ac:dyDescent="0.35">
      <c r="A209" s="16">
        <v>45987</v>
      </c>
      <c r="B209" s="35">
        <v>82.629997000000003</v>
      </c>
      <c r="C209" s="35">
        <v>85.769997000000004</v>
      </c>
      <c r="D209" s="35">
        <v>82.230002999999996</v>
      </c>
      <c r="E209" s="35">
        <v>85.459998999999996</v>
      </c>
      <c r="F209" s="35">
        <v>85.459998999999996</v>
      </c>
      <c r="G209">
        <v>921900</v>
      </c>
    </row>
    <row r="210" spans="1:7" x14ac:dyDescent="0.35">
      <c r="A210" s="16">
        <v>45989</v>
      </c>
      <c r="B210" s="35">
        <v>85.629997000000003</v>
      </c>
      <c r="C210" s="35">
        <v>86.139999000000003</v>
      </c>
      <c r="D210" s="35">
        <v>84.790001000000004</v>
      </c>
      <c r="E210" s="35">
        <v>84.980002999999996</v>
      </c>
      <c r="F210" s="35">
        <v>84.980002999999996</v>
      </c>
      <c r="G210">
        <v>759600</v>
      </c>
    </row>
    <row r="211" spans="1:7" x14ac:dyDescent="0.35">
      <c r="A211" s="16">
        <v>45992</v>
      </c>
      <c r="B211" s="35">
        <v>84.980002999999996</v>
      </c>
      <c r="C211" s="35">
        <v>87.010002</v>
      </c>
      <c r="D211" s="35">
        <v>83.910004000000001</v>
      </c>
      <c r="E211" s="35">
        <v>86.629997000000003</v>
      </c>
      <c r="F211" s="35">
        <v>86.629997000000003</v>
      </c>
      <c r="G211">
        <v>1334600</v>
      </c>
    </row>
    <row r="212" spans="1:7" x14ac:dyDescent="0.35">
      <c r="A212" s="16">
        <v>45993</v>
      </c>
      <c r="B212" s="35">
        <v>86.830001999999993</v>
      </c>
      <c r="C212" s="35">
        <v>86.900002000000001</v>
      </c>
      <c r="D212" s="35">
        <v>85.010002</v>
      </c>
      <c r="E212" s="35">
        <v>85.25</v>
      </c>
      <c r="F212" s="35">
        <v>85.25</v>
      </c>
      <c r="G212">
        <v>1040600</v>
      </c>
    </row>
    <row r="213" spans="1:7" x14ac:dyDescent="0.35">
      <c r="A213" s="16">
        <v>45994</v>
      </c>
      <c r="B213" s="35">
        <v>85.5</v>
      </c>
      <c r="C213" s="35">
        <v>90.699996999999996</v>
      </c>
      <c r="D213" s="35">
        <v>85.400002000000001</v>
      </c>
      <c r="E213" s="35">
        <v>89.349997999999999</v>
      </c>
      <c r="F213" s="35">
        <v>89.349997999999999</v>
      </c>
      <c r="G213">
        <v>1835500</v>
      </c>
    </row>
    <row r="214" spans="1:7" x14ac:dyDescent="0.35">
      <c r="A214" s="16">
        <v>45995</v>
      </c>
      <c r="B214" s="35">
        <v>89.540001000000004</v>
      </c>
      <c r="C214" s="35">
        <v>89.860000999999997</v>
      </c>
      <c r="D214" s="35">
        <v>87.989998</v>
      </c>
      <c r="E214" s="35">
        <v>88.239998</v>
      </c>
      <c r="F214" s="35">
        <v>88.239998</v>
      </c>
      <c r="G214">
        <v>1192600</v>
      </c>
    </row>
    <row r="215" spans="1:7" x14ac:dyDescent="0.35">
      <c r="A215" s="16">
        <v>45996</v>
      </c>
      <c r="B215" s="35">
        <v>88.040001000000004</v>
      </c>
      <c r="C215" s="35">
        <v>90.82</v>
      </c>
      <c r="D215" s="35">
        <v>88.040001000000004</v>
      </c>
      <c r="E215" s="35">
        <v>89.699996999999996</v>
      </c>
      <c r="F215" s="35">
        <v>89.699996999999996</v>
      </c>
      <c r="G215">
        <v>1370000</v>
      </c>
    </row>
    <row r="216" spans="1:7" x14ac:dyDescent="0.35">
      <c r="A216" s="16">
        <v>45999</v>
      </c>
      <c r="B216" s="35">
        <v>89.099997999999999</v>
      </c>
      <c r="C216" s="35">
        <v>89.330001999999993</v>
      </c>
      <c r="D216" s="35">
        <v>84.550003000000004</v>
      </c>
      <c r="E216" s="35">
        <v>86.209998999999996</v>
      </c>
      <c r="F216" s="35">
        <v>86.209998999999996</v>
      </c>
      <c r="G216">
        <v>1639400</v>
      </c>
    </row>
    <row r="217" spans="1:7" x14ac:dyDescent="0.35">
      <c r="A217" s="16">
        <v>46000</v>
      </c>
      <c r="B217" s="35">
        <v>85.900002000000001</v>
      </c>
      <c r="C217" s="35">
        <v>87.440002000000007</v>
      </c>
      <c r="D217" s="35">
        <v>85.519997000000004</v>
      </c>
      <c r="E217" s="35">
        <v>85.720000999999996</v>
      </c>
      <c r="F217" s="35">
        <v>85.720000999999996</v>
      </c>
      <c r="G217">
        <v>1178200</v>
      </c>
    </row>
    <row r="218" spans="1:7" x14ac:dyDescent="0.35">
      <c r="A218" s="16">
        <v>46001</v>
      </c>
      <c r="B218" s="35">
        <v>85.5</v>
      </c>
      <c r="C218" s="35">
        <v>87.669998000000007</v>
      </c>
      <c r="D218" s="35">
        <v>84.209998999999996</v>
      </c>
      <c r="E218" s="35">
        <v>87.160004000000001</v>
      </c>
      <c r="F218" s="35">
        <v>87.160004000000001</v>
      </c>
      <c r="G218">
        <v>1411500</v>
      </c>
    </row>
    <row r="219" spans="1:7" x14ac:dyDescent="0.35">
      <c r="A219" s="16">
        <v>46002</v>
      </c>
      <c r="B219" s="35">
        <v>87.25</v>
      </c>
      <c r="C219" s="35">
        <v>90.040001000000004</v>
      </c>
      <c r="D219" s="35">
        <v>87.07</v>
      </c>
      <c r="E219" s="35">
        <v>89.349997999999999</v>
      </c>
      <c r="F219" s="35">
        <v>89.349997999999999</v>
      </c>
      <c r="G219">
        <v>1398500</v>
      </c>
    </row>
    <row r="220" spans="1:7" x14ac:dyDescent="0.35">
      <c r="A220" s="16">
        <v>46003</v>
      </c>
      <c r="B220" s="35">
        <v>89.839995999999999</v>
      </c>
      <c r="C220" s="35">
        <v>91.470000999999996</v>
      </c>
      <c r="D220" s="35">
        <v>89.529999000000004</v>
      </c>
      <c r="E220" s="35">
        <v>89.910004000000001</v>
      </c>
      <c r="F220" s="35">
        <v>89.910004000000001</v>
      </c>
      <c r="G220">
        <v>1511700</v>
      </c>
    </row>
    <row r="221" spans="1:7" x14ac:dyDescent="0.35">
      <c r="A221" s="16">
        <v>46006</v>
      </c>
      <c r="B221" s="35">
        <v>89.699996999999996</v>
      </c>
      <c r="C221" s="35">
        <v>91.349997999999999</v>
      </c>
      <c r="D221" s="35">
        <v>88.389999000000003</v>
      </c>
      <c r="E221" s="35">
        <v>90.660004000000001</v>
      </c>
      <c r="F221" s="35">
        <v>90.660004000000001</v>
      </c>
      <c r="G221">
        <v>1209800</v>
      </c>
    </row>
    <row r="222" spans="1:7" x14ac:dyDescent="0.35">
      <c r="A222" s="16">
        <v>46007</v>
      </c>
      <c r="B222" s="35">
        <v>90.660004000000001</v>
      </c>
      <c r="C222" s="35">
        <v>92.120002999999997</v>
      </c>
      <c r="D222" s="35">
        <v>89.239998</v>
      </c>
      <c r="E222" s="35">
        <v>91.650002000000001</v>
      </c>
      <c r="F222" s="35">
        <v>91.650002000000001</v>
      </c>
      <c r="G222">
        <v>1338300</v>
      </c>
    </row>
    <row r="223" spans="1:7" x14ac:dyDescent="0.35">
      <c r="A223" s="16">
        <v>46008</v>
      </c>
      <c r="B223" s="35">
        <v>91.290001000000004</v>
      </c>
      <c r="C223" s="35">
        <v>91.440002000000007</v>
      </c>
      <c r="D223" s="35">
        <v>89.400002000000001</v>
      </c>
      <c r="E223" s="35">
        <v>89.75</v>
      </c>
      <c r="F223" s="35">
        <v>89.75</v>
      </c>
      <c r="G223">
        <v>1265000</v>
      </c>
    </row>
    <row r="224" spans="1:7" x14ac:dyDescent="0.35">
      <c r="A224" s="16">
        <v>46009</v>
      </c>
      <c r="B224" s="35">
        <v>89.389999000000003</v>
      </c>
      <c r="C224" s="35">
        <v>90.940002000000007</v>
      </c>
      <c r="D224" s="35">
        <v>89.089995999999999</v>
      </c>
      <c r="E224" s="35">
        <v>89.459998999999996</v>
      </c>
      <c r="F224" s="35">
        <v>89.459998999999996</v>
      </c>
      <c r="G224">
        <v>1658300</v>
      </c>
    </row>
    <row r="225" spans="1:7" x14ac:dyDescent="0.35">
      <c r="A225" s="16">
        <v>46010</v>
      </c>
      <c r="B225" s="35">
        <v>88.300003000000004</v>
      </c>
      <c r="C225" s="35">
        <v>89.639999000000003</v>
      </c>
      <c r="D225" s="35">
        <v>87.099997999999999</v>
      </c>
      <c r="E225" s="35">
        <v>89.309997999999993</v>
      </c>
      <c r="F225" s="35">
        <v>89.309997999999993</v>
      </c>
      <c r="G225">
        <v>3130000</v>
      </c>
    </row>
    <row r="226" spans="1:7" x14ac:dyDescent="0.35">
      <c r="A226" s="16">
        <v>46013</v>
      </c>
      <c r="B226" s="35">
        <v>89.639999000000003</v>
      </c>
      <c r="C226" s="35">
        <v>89.889999000000003</v>
      </c>
      <c r="D226" s="35">
        <v>87.120002999999997</v>
      </c>
      <c r="E226" s="35">
        <v>88.900002000000001</v>
      </c>
      <c r="F226" s="35">
        <v>88.900002000000001</v>
      </c>
      <c r="G226">
        <v>1090400</v>
      </c>
    </row>
    <row r="227" spans="1:7" x14ac:dyDescent="0.35">
      <c r="A227" s="16">
        <v>46014</v>
      </c>
      <c r="B227" s="35">
        <v>88.989998</v>
      </c>
      <c r="C227" s="35">
        <v>90.25</v>
      </c>
      <c r="D227" s="35">
        <v>88.360000999999997</v>
      </c>
      <c r="E227" s="35">
        <v>89.980002999999996</v>
      </c>
      <c r="F227" s="35">
        <v>89.980002999999996</v>
      </c>
      <c r="G227">
        <v>835900</v>
      </c>
    </row>
    <row r="228" spans="1:7" x14ac:dyDescent="0.35">
      <c r="A228" s="16">
        <v>46015</v>
      </c>
      <c r="B228" s="35">
        <v>89.980002999999996</v>
      </c>
      <c r="C228" s="35">
        <v>91.139999000000003</v>
      </c>
      <c r="D228" s="35">
        <v>89.190002000000007</v>
      </c>
      <c r="E228" s="35">
        <v>90.610000999999997</v>
      </c>
      <c r="F228" s="35">
        <v>90.610000999999997</v>
      </c>
      <c r="G228">
        <v>533600</v>
      </c>
    </row>
    <row r="229" spans="1:7" x14ac:dyDescent="0.35">
      <c r="A229" s="16">
        <v>46017</v>
      </c>
      <c r="B229" s="35">
        <v>90.540001000000004</v>
      </c>
      <c r="C229" s="35">
        <v>92</v>
      </c>
      <c r="D229" s="35">
        <v>90.300003000000004</v>
      </c>
      <c r="E229" s="35">
        <v>91.629997000000003</v>
      </c>
      <c r="F229" s="35">
        <v>91.629997000000003</v>
      </c>
      <c r="G229">
        <v>905600</v>
      </c>
    </row>
    <row r="230" spans="1:7" x14ac:dyDescent="0.35">
      <c r="A230" s="16">
        <v>46020</v>
      </c>
      <c r="B230" s="35">
        <v>91.040001000000004</v>
      </c>
      <c r="C230" s="35">
        <v>91.769997000000004</v>
      </c>
      <c r="D230" s="35">
        <v>84.779999000000004</v>
      </c>
      <c r="E230" s="35">
        <v>85.940002000000007</v>
      </c>
      <c r="F230" s="35">
        <v>85.940002000000007</v>
      </c>
      <c r="G230">
        <v>2058000</v>
      </c>
    </row>
    <row r="231" spans="1:7" x14ac:dyDescent="0.35">
      <c r="A231" s="16">
        <v>46021</v>
      </c>
      <c r="B231" s="35">
        <v>85.940002000000007</v>
      </c>
      <c r="C231" s="35">
        <v>86.940002000000007</v>
      </c>
      <c r="D231" s="35">
        <v>85.110000999999997</v>
      </c>
      <c r="E231" s="35">
        <v>86.68</v>
      </c>
      <c r="F231" s="35">
        <v>86.68</v>
      </c>
      <c r="G231">
        <v>1444200</v>
      </c>
    </row>
    <row r="232" spans="1:7" x14ac:dyDescent="0.35">
      <c r="A232" s="16">
        <v>46022</v>
      </c>
      <c r="B232" s="35">
        <v>86.400002000000001</v>
      </c>
      <c r="C232" s="35">
        <v>86.440002000000007</v>
      </c>
      <c r="D232" s="35">
        <v>84.849997999999999</v>
      </c>
      <c r="E232" s="35">
        <v>85.519997000000004</v>
      </c>
      <c r="F232" s="35">
        <v>85.519997000000004</v>
      </c>
      <c r="G232">
        <v>723400</v>
      </c>
    </row>
    <row r="233" spans="1:7" x14ac:dyDescent="0.35">
      <c r="A233" s="16">
        <v>46024</v>
      </c>
      <c r="B233" s="35">
        <v>86</v>
      </c>
      <c r="C233" s="35">
        <v>87.400002000000001</v>
      </c>
      <c r="D233" s="35">
        <v>85.699996999999996</v>
      </c>
      <c r="E233" s="35">
        <v>86.949996999999996</v>
      </c>
      <c r="F233" s="35">
        <v>86.949996999999996</v>
      </c>
      <c r="G233">
        <v>760400</v>
      </c>
    </row>
    <row r="234" spans="1:7" x14ac:dyDescent="0.35">
      <c r="A234" s="16">
        <v>46027</v>
      </c>
      <c r="B234" s="35">
        <v>86.949996999999996</v>
      </c>
      <c r="C234" s="35">
        <v>88.949996999999996</v>
      </c>
      <c r="D234" s="35">
        <v>85.129997000000003</v>
      </c>
      <c r="E234" s="35">
        <v>85.559997999999993</v>
      </c>
      <c r="F234" s="35">
        <v>85.559997999999993</v>
      </c>
      <c r="G234">
        <v>1265600</v>
      </c>
    </row>
    <row r="235" spans="1:7" x14ac:dyDescent="0.35">
      <c r="A235" s="16">
        <v>46028</v>
      </c>
      <c r="B235" s="35">
        <v>85.870002999999997</v>
      </c>
      <c r="C235" s="35">
        <v>89.57</v>
      </c>
      <c r="D235" s="35">
        <v>84.330001999999993</v>
      </c>
      <c r="E235" s="35">
        <v>89.080001999999993</v>
      </c>
      <c r="F235" s="35">
        <v>89.080001999999993</v>
      </c>
      <c r="G235">
        <v>1653500</v>
      </c>
    </row>
    <row r="236" spans="1:7" x14ac:dyDescent="0.35">
      <c r="A236" s="16">
        <v>46029</v>
      </c>
      <c r="B236" s="35">
        <v>86.779999000000004</v>
      </c>
      <c r="C236" s="35">
        <v>87.589995999999999</v>
      </c>
      <c r="D236" s="35">
        <v>84.279999000000004</v>
      </c>
      <c r="E236" s="35">
        <v>85.5</v>
      </c>
      <c r="F236" s="35">
        <v>85.5</v>
      </c>
      <c r="G236">
        <v>1470800</v>
      </c>
    </row>
    <row r="237" spans="1:7" x14ac:dyDescent="0.35">
      <c r="A237" s="16">
        <v>46030</v>
      </c>
      <c r="B237" s="35">
        <v>85.230002999999996</v>
      </c>
      <c r="C237" s="35">
        <v>87.269997000000004</v>
      </c>
      <c r="D237" s="35">
        <v>84.93</v>
      </c>
      <c r="E237" s="35">
        <v>86.57</v>
      </c>
      <c r="F237" s="35">
        <v>86.57</v>
      </c>
      <c r="G237">
        <v>1203900</v>
      </c>
    </row>
    <row r="238" spans="1:7" x14ac:dyDescent="0.35">
      <c r="A238" s="16">
        <v>46031</v>
      </c>
      <c r="B238" s="35">
        <v>87.290001000000004</v>
      </c>
      <c r="C238" s="35">
        <v>88.25</v>
      </c>
      <c r="D238" s="35">
        <v>83.949996999999996</v>
      </c>
      <c r="E238" s="35">
        <v>86.07</v>
      </c>
      <c r="F238" s="35">
        <v>86.07</v>
      </c>
      <c r="G238">
        <v>1023200</v>
      </c>
    </row>
    <row r="239" spans="1:7" x14ac:dyDescent="0.35">
      <c r="A239" s="16">
        <v>46034</v>
      </c>
      <c r="B239" s="35">
        <v>85.519997000000004</v>
      </c>
      <c r="C239" s="35">
        <v>88.040001000000004</v>
      </c>
      <c r="D239" s="35">
        <v>84.239998</v>
      </c>
      <c r="E239" s="35">
        <v>87.089995999999999</v>
      </c>
      <c r="F239" s="35">
        <v>87.089995999999999</v>
      </c>
      <c r="G239">
        <v>806200</v>
      </c>
    </row>
    <row r="240" spans="1:7" x14ac:dyDescent="0.35">
      <c r="A240" s="16">
        <v>46035</v>
      </c>
      <c r="B240" s="35">
        <v>86.870002999999997</v>
      </c>
      <c r="C240" s="35">
        <v>87.480002999999996</v>
      </c>
      <c r="D240" s="35">
        <v>84.739998</v>
      </c>
      <c r="E240" s="35">
        <v>85.370002999999997</v>
      </c>
      <c r="F240" s="35">
        <v>85.370002999999997</v>
      </c>
      <c r="G240">
        <v>793400</v>
      </c>
    </row>
    <row r="241" spans="1:7" x14ac:dyDescent="0.35">
      <c r="A241" s="16">
        <v>46036</v>
      </c>
      <c r="B241" s="35">
        <v>85</v>
      </c>
      <c r="C241" s="35">
        <v>87.010002</v>
      </c>
      <c r="D241" s="35">
        <v>82.870002999999997</v>
      </c>
      <c r="E241" s="35">
        <v>83.540001000000004</v>
      </c>
      <c r="F241" s="35">
        <v>83.540001000000004</v>
      </c>
      <c r="G241">
        <v>1095800</v>
      </c>
    </row>
    <row r="242" spans="1:7" x14ac:dyDescent="0.35">
      <c r="A242" s="16">
        <v>46037</v>
      </c>
      <c r="B242" s="35">
        <v>83.43</v>
      </c>
      <c r="C242" s="35">
        <v>84.589995999999999</v>
      </c>
      <c r="D242" s="35">
        <v>82.610000999999997</v>
      </c>
      <c r="E242" s="35">
        <v>83.010002</v>
      </c>
      <c r="F242" s="35">
        <v>83.010002</v>
      </c>
      <c r="G242">
        <v>746500</v>
      </c>
    </row>
    <row r="243" spans="1:7" x14ac:dyDescent="0.35">
      <c r="A243" s="16">
        <v>46038</v>
      </c>
      <c r="B243" s="35">
        <v>83.010002</v>
      </c>
      <c r="C243" s="35">
        <v>83.82</v>
      </c>
      <c r="D243" s="35">
        <v>81.709998999999996</v>
      </c>
      <c r="E243" s="35">
        <v>83.07</v>
      </c>
      <c r="F243" s="35">
        <v>83.07</v>
      </c>
      <c r="G243">
        <v>738000</v>
      </c>
    </row>
    <row r="244" spans="1:7" x14ac:dyDescent="0.35">
      <c r="A244" s="16">
        <v>46042</v>
      </c>
      <c r="B244" s="35">
        <v>82.059997999999993</v>
      </c>
      <c r="C244" s="35">
        <v>83.400002000000001</v>
      </c>
      <c r="D244" s="35">
        <v>81</v>
      </c>
      <c r="E244" s="35">
        <v>82.269997000000004</v>
      </c>
      <c r="F244" s="35">
        <v>82.269997000000004</v>
      </c>
      <c r="G244">
        <v>854600</v>
      </c>
    </row>
    <row r="245" spans="1:7" x14ac:dyDescent="0.35">
      <c r="A245" s="16">
        <v>46043</v>
      </c>
      <c r="B245" s="35">
        <v>82.620002999999997</v>
      </c>
      <c r="C245" s="35">
        <v>85.709998999999996</v>
      </c>
      <c r="D245" s="35">
        <v>82.449996999999996</v>
      </c>
      <c r="E245" s="35">
        <v>85.269997000000004</v>
      </c>
      <c r="F245" s="35">
        <v>85.269997000000004</v>
      </c>
      <c r="G245">
        <v>900100</v>
      </c>
    </row>
    <row r="246" spans="1:7" x14ac:dyDescent="0.35">
      <c r="A246" s="16">
        <v>46044</v>
      </c>
      <c r="B246" s="35">
        <v>83.419998000000007</v>
      </c>
      <c r="C246" s="35">
        <v>87</v>
      </c>
      <c r="D246" s="35">
        <v>83.419998000000007</v>
      </c>
      <c r="E246" s="35">
        <v>86.309997999999993</v>
      </c>
      <c r="F246" s="35">
        <v>86.309997999999993</v>
      </c>
      <c r="G246">
        <v>1379500</v>
      </c>
    </row>
    <row r="247" spans="1:7" x14ac:dyDescent="0.35">
      <c r="A247" s="16">
        <v>46045</v>
      </c>
      <c r="B247" s="35">
        <v>86.32</v>
      </c>
      <c r="C247" s="35">
        <v>86.849997999999999</v>
      </c>
      <c r="D247" s="35">
        <v>85.260002</v>
      </c>
      <c r="E247" s="35">
        <v>85.830001999999993</v>
      </c>
      <c r="F247" s="35">
        <v>85.830001999999993</v>
      </c>
      <c r="G247">
        <v>638300</v>
      </c>
    </row>
    <row r="248" spans="1:7" x14ac:dyDescent="0.35">
      <c r="A248" s="16">
        <v>46048</v>
      </c>
      <c r="B248" s="35">
        <v>85.190002000000007</v>
      </c>
      <c r="C248" s="35">
        <v>85.389999000000003</v>
      </c>
      <c r="D248" s="35">
        <v>83.110000999999997</v>
      </c>
      <c r="E248" s="35">
        <v>83.980002999999996</v>
      </c>
      <c r="F248" s="35">
        <v>83.980002999999996</v>
      </c>
      <c r="G248">
        <v>827400</v>
      </c>
    </row>
    <row r="249" spans="1:7" x14ac:dyDescent="0.35">
      <c r="A249" s="16">
        <v>46049</v>
      </c>
      <c r="B249" s="35">
        <v>83.639999000000003</v>
      </c>
      <c r="C249" s="35">
        <v>85.169998000000007</v>
      </c>
      <c r="D249" s="35">
        <v>83.339995999999999</v>
      </c>
      <c r="E249" s="35">
        <v>84.150002000000001</v>
      </c>
      <c r="F249" s="35">
        <v>84.150002000000001</v>
      </c>
      <c r="G249">
        <v>717600</v>
      </c>
    </row>
    <row r="250" spans="1:7" x14ac:dyDescent="0.35">
      <c r="A250" s="16">
        <v>46050</v>
      </c>
      <c r="B250" s="35">
        <v>83.900002000000001</v>
      </c>
      <c r="C250" s="35">
        <v>84.580001999999993</v>
      </c>
      <c r="D250" s="35">
        <v>82.260002</v>
      </c>
      <c r="E250" s="35">
        <v>82.870002999999997</v>
      </c>
      <c r="F250" s="35">
        <v>82.870002999999997</v>
      </c>
      <c r="G250">
        <v>933700</v>
      </c>
    </row>
    <row r="251" spans="1:7" x14ac:dyDescent="0.35">
      <c r="A251" s="16">
        <v>46051</v>
      </c>
      <c r="B251" s="35">
        <v>82.639999000000003</v>
      </c>
      <c r="C251" s="35">
        <v>83.830001999999993</v>
      </c>
      <c r="D251" s="35">
        <v>82.089995999999999</v>
      </c>
      <c r="E251" s="35">
        <v>82.510002</v>
      </c>
      <c r="F251" s="35">
        <v>82.510002</v>
      </c>
      <c r="G251">
        <v>1037900</v>
      </c>
    </row>
    <row r="252" spans="1:7" x14ac:dyDescent="0.35">
      <c r="A252" s="16">
        <v>46052</v>
      </c>
      <c r="B252" s="35">
        <v>83.25</v>
      </c>
      <c r="C252" s="35">
        <v>85.489998</v>
      </c>
      <c r="D252" s="35">
        <v>83.25</v>
      </c>
      <c r="E252" s="35">
        <v>83.919998000000007</v>
      </c>
      <c r="F252" s="35">
        <v>83.919998000000007</v>
      </c>
      <c r="G252">
        <v>1258997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Model</vt:lpstr>
      <vt:lpstr>Sheet2</vt:lpstr>
      <vt:lpstr>Comparable</vt:lpstr>
      <vt:lpstr>IS</vt:lpstr>
      <vt:lpstr>BS</vt:lpstr>
      <vt:lpstr>CF</vt:lpstr>
      <vt:lpstr>Stock Price</vt:lpstr>
      <vt:lpstr>Model!Print_Area</vt:lpstr>
      <vt:lpstr>Model!Print_Titles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Droussiotis</dc:creator>
  <cp:lastModifiedBy>Chris Droussiotis</cp:lastModifiedBy>
  <cp:lastPrinted>2026-02-20T03:28:38Z</cp:lastPrinted>
  <dcterms:created xsi:type="dcterms:W3CDTF">2024-11-14T17:30:44Z</dcterms:created>
  <dcterms:modified xsi:type="dcterms:W3CDTF">2026-04-25T13:24:50Z</dcterms:modified>
</cp:coreProperties>
</file>