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ussch\Dropbox\CREDIT RISK MANAGMENT - FIRST EDITION ADD ON FILES\"/>
    </mc:Choice>
  </mc:AlternateContent>
  <xr:revisionPtr revIDLastSave="0" documentId="13_ncr:1_{AD021B48-240D-4DC4-BF36-0EDE61DC0B9B}" xr6:coauthVersionLast="47" xr6:coauthVersionMax="47" xr10:uidLastSave="{00000000-0000-0000-0000-000000000000}"/>
  <bookViews>
    <workbookView xWindow="-110" yWindow="-110" windowWidth="19420" windowHeight="11500" xr2:uid="{ED33CBAD-C7E4-4213-88DF-0DE2E18DB980}"/>
  </bookViews>
  <sheets>
    <sheet name="Transaction S&amp;U" sheetId="1" r:id="rId1"/>
    <sheet name="Proforma Cap" sheetId="2" r:id="rId2"/>
    <sheet name="Assumptions" sheetId="3" r:id="rId3"/>
    <sheet name="Income Statement" sheetId="5" r:id="rId4"/>
    <sheet name="Cash Flow Statement" sheetId="7" r:id="rId5"/>
    <sheet name="Balance Sheet" sheetId="6" r:id="rId6"/>
    <sheet name="Debt Capacity Test" sheetId="9" r:id="rId7"/>
    <sheet name="Colateral Analysis" sheetId="10" r:id="rId8"/>
    <sheet name="Debt Schedule" sheetId="4" r:id="rId9"/>
    <sheet name="Ratio &amp; Cov Analysis" sheetId="8" r:id="rId10"/>
  </sheets>
  <externalReferences>
    <externalReference r:id="rId11"/>
  </externalReferences>
  <definedNames>
    <definedName name="Case_Choice">Assumptions!$Q$6</definedName>
    <definedName name="Multiple">'[1]HSE 10K Financials'!$N$2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6" l="1"/>
  <c r="H24" i="6"/>
  <c r="H15" i="6"/>
  <c r="H9" i="6"/>
  <c r="E15" i="6"/>
  <c r="E42" i="6"/>
  <c r="E41" i="6"/>
  <c r="E40" i="6"/>
  <c r="E16" i="6"/>
  <c r="E28" i="6"/>
  <c r="F33" i="6"/>
  <c r="F31" i="6"/>
  <c r="F30" i="6"/>
  <c r="H47" i="10"/>
  <c r="H44" i="10"/>
  <c r="B21" i="10"/>
  <c r="B23" i="10"/>
  <c r="B24" i="10"/>
  <c r="B25" i="10"/>
  <c r="B26" i="10"/>
  <c r="B28" i="10"/>
  <c r="B29" i="10"/>
  <c r="B30" i="10"/>
  <c r="B31" i="10"/>
  <c r="B32" i="10"/>
  <c r="B33" i="10"/>
  <c r="B34" i="10"/>
  <c r="B36" i="10"/>
  <c r="B37" i="10"/>
  <c r="B39" i="10"/>
  <c r="B40" i="10"/>
  <c r="B41" i="10"/>
  <c r="B42" i="10"/>
  <c r="B43" i="10"/>
  <c r="B45" i="10"/>
  <c r="D5" i="10"/>
  <c r="H5" i="10" s="1"/>
  <c r="B16" i="10"/>
  <c r="B17" i="10"/>
  <c r="B18" i="10"/>
  <c r="B19" i="10"/>
  <c r="B20" i="10"/>
  <c r="B15" i="10"/>
  <c r="B9" i="10"/>
  <c r="B10" i="10"/>
  <c r="B11" i="10"/>
  <c r="B8" i="10"/>
  <c r="B2" i="10"/>
  <c r="I32" i="9"/>
  <c r="J32" i="9"/>
  <c r="K32" i="9"/>
  <c r="L32" i="9"/>
  <c r="M32" i="9"/>
  <c r="N32" i="9"/>
  <c r="O32" i="9"/>
  <c r="H32" i="9"/>
  <c r="B34" i="9"/>
  <c r="O5" i="9"/>
  <c r="M5" i="9"/>
  <c r="N5" i="9"/>
  <c r="H37" i="9"/>
  <c r="A35" i="4"/>
  <c r="A36" i="4"/>
  <c r="A37" i="4"/>
  <c r="A25" i="4"/>
  <c r="A26" i="4"/>
  <c r="A27" i="4"/>
  <c r="A28" i="4"/>
  <c r="A29" i="4"/>
  <c r="I5" i="9"/>
  <c r="J5" i="9"/>
  <c r="K5" i="9"/>
  <c r="L5" i="9"/>
  <c r="H5" i="9"/>
  <c r="B1" i="9"/>
  <c r="A7" i="7" l="1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6" i="6"/>
  <c r="A6" i="7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30" i="4"/>
  <c r="A31" i="4"/>
  <c r="A32" i="4"/>
  <c r="A33" i="4"/>
  <c r="A34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5" i="4"/>
  <c r="A56" i="4"/>
  <c r="A57" i="4"/>
  <c r="A58" i="4"/>
  <c r="A59" i="4"/>
  <c r="A60" i="4"/>
  <c r="A61" i="4"/>
  <c r="A6" i="4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7" i="3"/>
  <c r="A7" i="2"/>
  <c r="A8" i="2"/>
  <c r="A9" i="2"/>
  <c r="A10" i="2"/>
  <c r="A11" i="2"/>
  <c r="A12" i="2"/>
  <c r="A13" i="2"/>
  <c r="A14" i="2"/>
  <c r="A15" i="2"/>
  <c r="A16" i="2"/>
  <c r="A17" i="2"/>
  <c r="A18" i="2"/>
  <c r="A6" i="2"/>
  <c r="A9" i="1"/>
  <c r="A10" i="1"/>
  <c r="A11" i="1"/>
  <c r="A12" i="1"/>
  <c r="A13" i="1"/>
  <c r="A14" i="1"/>
  <c r="A15" i="1"/>
  <c r="A16" i="1"/>
  <c r="A17" i="1"/>
  <c r="A18" i="1"/>
  <c r="A19" i="1"/>
  <c r="A8" i="1"/>
  <c r="AA27" i="3"/>
  <c r="AB27" i="3" s="1"/>
  <c r="AC27" i="3" s="1"/>
  <c r="AD27" i="3" s="1"/>
  <c r="AE27" i="3" s="1"/>
  <c r="AF27" i="3" s="1"/>
  <c r="Z27" i="3"/>
  <c r="V17" i="3"/>
  <c r="AF17" i="3"/>
  <c r="AF14" i="3"/>
  <c r="AE14" i="3"/>
  <c r="AF11" i="3"/>
  <c r="AE11" i="3"/>
  <c r="P7" i="7"/>
  <c r="P10" i="7"/>
  <c r="P17" i="7"/>
  <c r="P35" i="7"/>
  <c r="P38" i="7"/>
  <c r="P39" i="7"/>
  <c r="P7" i="5"/>
  <c r="P26" i="5"/>
  <c r="P29" i="5"/>
  <c r="AF20" i="3"/>
  <c r="AF21" i="3"/>
  <c r="AF22" i="3"/>
  <c r="AF23" i="3"/>
  <c r="AF30" i="3"/>
  <c r="AF31" i="3"/>
  <c r="AF32" i="3"/>
  <c r="AF33" i="3"/>
  <c r="V7" i="3"/>
  <c r="AF7" i="3" s="1"/>
  <c r="V9" i="3"/>
  <c r="V12" i="3" s="1"/>
  <c r="V13" i="3"/>
  <c r="V16" i="3"/>
  <c r="V20" i="3"/>
  <c r="V21" i="3"/>
  <c r="V22" i="3"/>
  <c r="V23" i="3"/>
  <c r="V26" i="3"/>
  <c r="V27" i="3"/>
  <c r="V30" i="3"/>
  <c r="V31" i="3"/>
  <c r="V32" i="3"/>
  <c r="V33" i="3"/>
  <c r="L17" i="3"/>
  <c r="L14" i="3"/>
  <c r="L11" i="3"/>
  <c r="L10" i="3"/>
  <c r="L8" i="3"/>
  <c r="D19" i="1"/>
  <c r="J10" i="7"/>
  <c r="K10" i="7"/>
  <c r="L10" i="7"/>
  <c r="M10" i="7"/>
  <c r="N10" i="7"/>
  <c r="O10" i="7"/>
  <c r="I32" i="6"/>
  <c r="J32" i="6" s="1"/>
  <c r="I17" i="7"/>
  <c r="J17" i="7"/>
  <c r="K17" i="7"/>
  <c r="L17" i="7"/>
  <c r="M17" i="7"/>
  <c r="N17" i="7"/>
  <c r="O17" i="7"/>
  <c r="H41" i="6"/>
  <c r="D41" i="10" s="1"/>
  <c r="H42" i="6"/>
  <c r="D42" i="10" s="1"/>
  <c r="H36" i="6"/>
  <c r="D36" i="10" s="1"/>
  <c r="H29" i="6"/>
  <c r="D29" i="10" s="1"/>
  <c r="H30" i="6"/>
  <c r="H31" i="6"/>
  <c r="D31" i="10" s="1"/>
  <c r="H32" i="6"/>
  <c r="D32" i="10" s="1"/>
  <c r="H33" i="6"/>
  <c r="D33" i="10" s="1"/>
  <c r="D28" i="10"/>
  <c r="H25" i="6"/>
  <c r="I25" i="6" s="1"/>
  <c r="D24" i="10"/>
  <c r="H20" i="6"/>
  <c r="H16" i="6"/>
  <c r="D16" i="10" s="1"/>
  <c r="H16" i="10" s="1"/>
  <c r="H17" i="6"/>
  <c r="D17" i="10" s="1"/>
  <c r="H18" i="6"/>
  <c r="D18" i="10" s="1"/>
  <c r="D15" i="10"/>
  <c r="H15" i="10" s="1"/>
  <c r="H10" i="6"/>
  <c r="D9" i="10" s="1"/>
  <c r="H9" i="10" s="1"/>
  <c r="H11" i="6"/>
  <c r="D10" i="10" s="1"/>
  <c r="H10" i="10" s="1"/>
  <c r="H12" i="6"/>
  <c r="D11" i="10" s="1"/>
  <c r="H11" i="10" s="1"/>
  <c r="D8" i="10"/>
  <c r="H8" i="10" s="1"/>
  <c r="E45" i="6"/>
  <c r="C45" i="6"/>
  <c r="C43" i="6"/>
  <c r="C37" i="6"/>
  <c r="C34" i="6"/>
  <c r="C28" i="6"/>
  <c r="C26" i="6"/>
  <c r="C21" i="6"/>
  <c r="C46" i="6" s="1"/>
  <c r="C19" i="6"/>
  <c r="C13" i="6"/>
  <c r="P7" i="6"/>
  <c r="P7" i="8" s="1"/>
  <c r="I7" i="7"/>
  <c r="H22" i="5"/>
  <c r="H20" i="5"/>
  <c r="H12" i="5"/>
  <c r="H13" i="5" s="1"/>
  <c r="O7" i="5"/>
  <c r="O7" i="6" s="1"/>
  <c r="O7" i="8" s="1"/>
  <c r="N7" i="5"/>
  <c r="N7" i="6" s="1"/>
  <c r="N7" i="8" s="1"/>
  <c r="M7" i="5"/>
  <c r="M7" i="6" s="1"/>
  <c r="M7" i="8" s="1"/>
  <c r="L7" i="5"/>
  <c r="L7" i="6" s="1"/>
  <c r="L7" i="8" s="1"/>
  <c r="K7" i="5"/>
  <c r="K7" i="6" s="1"/>
  <c r="K7" i="8" s="1"/>
  <c r="J7" i="5"/>
  <c r="J7" i="6" s="1"/>
  <c r="J7" i="8" s="1"/>
  <c r="I7" i="5"/>
  <c r="I7" i="6" s="1"/>
  <c r="I7" i="8" s="1"/>
  <c r="H7" i="5"/>
  <c r="H7" i="6" s="1"/>
  <c r="O31" i="3"/>
  <c r="E31" i="3" s="1"/>
  <c r="O27" i="3"/>
  <c r="P27" i="3" s="1"/>
  <c r="F27" i="3" s="1"/>
  <c r="D12" i="2"/>
  <c r="E18" i="2"/>
  <c r="C11" i="1"/>
  <c r="C13" i="1" s="1"/>
  <c r="J7" i="4"/>
  <c r="K7" i="4"/>
  <c r="L7" i="4"/>
  <c r="M7" i="4"/>
  <c r="N7" i="4"/>
  <c r="O7" i="4"/>
  <c r="P7" i="4"/>
  <c r="I7" i="4"/>
  <c r="X34" i="3"/>
  <c r="K8" i="3"/>
  <c r="J8" i="3"/>
  <c r="I8" i="3"/>
  <c r="H8" i="3"/>
  <c r="G8" i="3"/>
  <c r="F8" i="3"/>
  <c r="E8" i="3"/>
  <c r="X5" i="3"/>
  <c r="O7" i="3"/>
  <c r="Y7" i="3" s="1"/>
  <c r="P7" i="3"/>
  <c r="Z7" i="3" s="1"/>
  <c r="Q7" i="3"/>
  <c r="AA7" i="3" s="1"/>
  <c r="R7" i="3"/>
  <c r="AB7" i="3" s="1"/>
  <c r="S7" i="3"/>
  <c r="AC7" i="3" s="1"/>
  <c r="T7" i="3"/>
  <c r="AD7" i="3" s="1"/>
  <c r="U7" i="3"/>
  <c r="AE7" i="3" s="1"/>
  <c r="N7" i="3"/>
  <c r="X7" i="3" s="1"/>
  <c r="N33" i="3"/>
  <c r="X33" i="3" s="1"/>
  <c r="Y33" i="3" s="1"/>
  <c r="Z33" i="3" s="1"/>
  <c r="AA33" i="3" s="1"/>
  <c r="AB33" i="3" s="1"/>
  <c r="AC33" i="3" s="1"/>
  <c r="AD33" i="3" s="1"/>
  <c r="AE33" i="3" s="1"/>
  <c r="N32" i="3"/>
  <c r="X32" i="3" s="1"/>
  <c r="Y32" i="3" s="1"/>
  <c r="Z32" i="3" s="1"/>
  <c r="AA32" i="3" s="1"/>
  <c r="AB32" i="3" s="1"/>
  <c r="AC32" i="3" s="1"/>
  <c r="AD32" i="3" s="1"/>
  <c r="AE32" i="3" s="1"/>
  <c r="N31" i="3"/>
  <c r="X31" i="3" s="1"/>
  <c r="Y31" i="3" s="1"/>
  <c r="Z31" i="3" s="1"/>
  <c r="AA31" i="3" s="1"/>
  <c r="AB31" i="3" s="1"/>
  <c r="AC31" i="3" s="1"/>
  <c r="AD31" i="3" s="1"/>
  <c r="AE31" i="3" s="1"/>
  <c r="N30" i="3"/>
  <c r="X30" i="3" s="1"/>
  <c r="Y30" i="3" s="1"/>
  <c r="Z30" i="3" s="1"/>
  <c r="AA30" i="3" s="1"/>
  <c r="AB30" i="3" s="1"/>
  <c r="AC30" i="3" s="1"/>
  <c r="AD30" i="3" s="1"/>
  <c r="AE30" i="3" s="1"/>
  <c r="N27" i="3"/>
  <c r="X27" i="3" s="1"/>
  <c r="Y27" i="3" s="1"/>
  <c r="N26" i="3"/>
  <c r="X26" i="3" s="1"/>
  <c r="Y26" i="3" s="1"/>
  <c r="AE26" i="3" s="1"/>
  <c r="AF26" i="3" s="1"/>
  <c r="N23" i="3"/>
  <c r="X23" i="3" s="1"/>
  <c r="Y23" i="3" s="1"/>
  <c r="Z23" i="3" s="1"/>
  <c r="AA23" i="3" s="1"/>
  <c r="AB23" i="3" s="1"/>
  <c r="AC23" i="3" s="1"/>
  <c r="AD23" i="3" s="1"/>
  <c r="AE23" i="3" s="1"/>
  <c r="N20" i="3"/>
  <c r="X20" i="3" s="1"/>
  <c r="N16" i="3"/>
  <c r="O16" i="3" s="1"/>
  <c r="P16" i="3" s="1"/>
  <c r="N13" i="3"/>
  <c r="O13" i="3" s="1"/>
  <c r="P13" i="3" s="1"/>
  <c r="Q13" i="3" s="1"/>
  <c r="N9" i="3"/>
  <c r="X9" i="3" s="1"/>
  <c r="Y9" i="3" s="1"/>
  <c r="Z9" i="3" s="1"/>
  <c r="N5" i="3"/>
  <c r="B2" i="3"/>
  <c r="B2" i="8" s="1"/>
  <c r="K17" i="3"/>
  <c r="J17" i="3"/>
  <c r="I17" i="3"/>
  <c r="H17" i="3"/>
  <c r="G17" i="3"/>
  <c r="F17" i="3"/>
  <c r="E17" i="3"/>
  <c r="E16" i="3" s="1"/>
  <c r="K14" i="3"/>
  <c r="J14" i="3"/>
  <c r="I14" i="3"/>
  <c r="H14" i="3"/>
  <c r="G14" i="3"/>
  <c r="F14" i="3"/>
  <c r="E14" i="3"/>
  <c r="E13" i="3" s="1"/>
  <c r="E11" i="3"/>
  <c r="F11" i="3"/>
  <c r="G11" i="3"/>
  <c r="H11" i="3"/>
  <c r="I11" i="3"/>
  <c r="J11" i="3"/>
  <c r="K11" i="3"/>
  <c r="F10" i="3"/>
  <c r="G10" i="3"/>
  <c r="H10" i="3"/>
  <c r="I10" i="3"/>
  <c r="J10" i="3"/>
  <c r="K10" i="3"/>
  <c r="E10" i="3"/>
  <c r="E9" i="3" s="1"/>
  <c r="D11" i="3"/>
  <c r="D12" i="3" s="1"/>
  <c r="O9" i="3"/>
  <c r="P9" i="3" s="1"/>
  <c r="J35" i="7"/>
  <c r="K35" i="7"/>
  <c r="L35" i="7"/>
  <c r="M35" i="7"/>
  <c r="N35" i="7"/>
  <c r="O35" i="7"/>
  <c r="J38" i="7"/>
  <c r="K38" i="7"/>
  <c r="L38" i="7"/>
  <c r="M38" i="7"/>
  <c r="N38" i="7"/>
  <c r="O38" i="7"/>
  <c r="J39" i="7"/>
  <c r="K39" i="7"/>
  <c r="L39" i="7"/>
  <c r="M39" i="7"/>
  <c r="N39" i="7"/>
  <c r="O39" i="7"/>
  <c r="I39" i="7"/>
  <c r="I38" i="7"/>
  <c r="I37" i="7"/>
  <c r="I36" i="7"/>
  <c r="I35" i="7"/>
  <c r="J26" i="5"/>
  <c r="K26" i="5"/>
  <c r="L26" i="5"/>
  <c r="M26" i="5"/>
  <c r="N26" i="5"/>
  <c r="O26" i="5"/>
  <c r="J29" i="5"/>
  <c r="K29" i="5"/>
  <c r="L29" i="5"/>
  <c r="M29" i="5"/>
  <c r="N29" i="5"/>
  <c r="O29" i="5"/>
  <c r="I29" i="5"/>
  <c r="J58" i="4"/>
  <c r="I51" i="4"/>
  <c r="I32" i="4"/>
  <c r="I22" i="4"/>
  <c r="J13" i="4"/>
  <c r="K13" i="4" s="1"/>
  <c r="L13" i="4" s="1"/>
  <c r="M13" i="4" s="1"/>
  <c r="N13" i="4" s="1"/>
  <c r="O13" i="4" s="1"/>
  <c r="P13" i="4" s="1"/>
  <c r="Q13" i="4" s="1"/>
  <c r="J9" i="4"/>
  <c r="K9" i="4" s="1"/>
  <c r="E15" i="2"/>
  <c r="F13" i="2"/>
  <c r="G13" i="2" s="1"/>
  <c r="F10" i="2"/>
  <c r="G10" i="2" s="1"/>
  <c r="F11" i="2"/>
  <c r="G11" i="2" s="1"/>
  <c r="F9" i="2"/>
  <c r="F8" i="2"/>
  <c r="E12" i="2"/>
  <c r="L10" i="1"/>
  <c r="L9" i="1"/>
  <c r="E12" i="1"/>
  <c r="E10" i="1"/>
  <c r="E9" i="1"/>
  <c r="D18" i="3"/>
  <c r="H8" i="5" s="1"/>
  <c r="J51" i="4" l="1"/>
  <c r="I54" i="4"/>
  <c r="C15" i="1"/>
  <c r="H26" i="9"/>
  <c r="E13" i="1"/>
  <c r="I41" i="6"/>
  <c r="J41" i="6" s="1"/>
  <c r="K41" i="6" s="1"/>
  <c r="L41" i="6" s="1"/>
  <c r="M41" i="6" s="1"/>
  <c r="N41" i="6" s="1"/>
  <c r="O41" i="6" s="1"/>
  <c r="P41" i="6" s="1"/>
  <c r="I19" i="7"/>
  <c r="J25" i="6"/>
  <c r="D30" i="10"/>
  <c r="D34" i="10" s="1"/>
  <c r="H45" i="10"/>
  <c r="H46" i="10" s="1"/>
  <c r="H48" i="10" s="1"/>
  <c r="H26" i="6"/>
  <c r="I15" i="6"/>
  <c r="J15" i="6" s="1"/>
  <c r="K15" i="6" s="1"/>
  <c r="L15" i="6" s="1"/>
  <c r="M15" i="6" s="1"/>
  <c r="N15" i="6" s="1"/>
  <c r="O15" i="6" s="1"/>
  <c r="P15" i="6" s="1"/>
  <c r="D26" i="10"/>
  <c r="H24" i="10"/>
  <c r="I11" i="6"/>
  <c r="H21" i="6"/>
  <c r="D20" i="10"/>
  <c r="H20" i="10" s="1"/>
  <c r="I20" i="6"/>
  <c r="J20" i="6" s="1"/>
  <c r="K20" i="6" s="1"/>
  <c r="L20" i="6" s="1"/>
  <c r="M20" i="6" s="1"/>
  <c r="N20" i="6" s="1"/>
  <c r="O20" i="6" s="1"/>
  <c r="P20" i="6" s="1"/>
  <c r="H34" i="6"/>
  <c r="H21" i="10"/>
  <c r="I16" i="6"/>
  <c r="J16" i="6" s="1"/>
  <c r="K16" i="6" s="1"/>
  <c r="L16" i="6" s="1"/>
  <c r="M16" i="6" s="1"/>
  <c r="N16" i="6" s="1"/>
  <c r="O16" i="6" s="1"/>
  <c r="P16" i="6" s="1"/>
  <c r="H13" i="6"/>
  <c r="D12" i="10" s="1"/>
  <c r="H19" i="6"/>
  <c r="D19" i="10" s="1"/>
  <c r="H19" i="10" s="1"/>
  <c r="I16" i="7"/>
  <c r="I46" i="7"/>
  <c r="L33" i="4"/>
  <c r="I35" i="4"/>
  <c r="K23" i="4"/>
  <c r="I25" i="4"/>
  <c r="O23" i="4"/>
  <c r="N36" i="7" s="1"/>
  <c r="I40" i="7"/>
  <c r="I43" i="7" s="1"/>
  <c r="K32" i="6"/>
  <c r="J24" i="4"/>
  <c r="Q33" i="4"/>
  <c r="J53" i="4"/>
  <c r="M33" i="4"/>
  <c r="B2" i="6"/>
  <c r="B2" i="7"/>
  <c r="B2" i="4"/>
  <c r="B2" i="5"/>
  <c r="B2" i="9" s="1"/>
  <c r="V15" i="3"/>
  <c r="V18" i="3" s="1"/>
  <c r="O20" i="3"/>
  <c r="E20" i="3" s="1"/>
  <c r="O26" i="3"/>
  <c r="E26" i="3" s="1"/>
  <c r="D21" i="3"/>
  <c r="N21" i="3" s="1"/>
  <c r="X21" i="3" s="1"/>
  <c r="D22" i="3"/>
  <c r="N22" i="3" s="1"/>
  <c r="X22" i="3" s="1"/>
  <c r="P31" i="3"/>
  <c r="O23" i="3"/>
  <c r="O30" i="3"/>
  <c r="O7" i="7"/>
  <c r="N7" i="7"/>
  <c r="E27" i="3"/>
  <c r="P20" i="3"/>
  <c r="Q20" i="3" s="1"/>
  <c r="R20" i="3" s="1"/>
  <c r="O32" i="3"/>
  <c r="M7" i="7"/>
  <c r="O33" i="3"/>
  <c r="L7" i="7"/>
  <c r="K7" i="7"/>
  <c r="J7" i="7"/>
  <c r="J19" i="4"/>
  <c r="J16" i="4" s="1"/>
  <c r="I26" i="5" s="1"/>
  <c r="J27" i="4"/>
  <c r="H16" i="5"/>
  <c r="H17" i="5" s="1"/>
  <c r="Q27" i="3"/>
  <c r="L11" i="1"/>
  <c r="O21" i="5" s="1"/>
  <c r="L21" i="5"/>
  <c r="N21" i="5"/>
  <c r="D14" i="2"/>
  <c r="I21" i="5"/>
  <c r="I10" i="7" s="1"/>
  <c r="J21" i="5"/>
  <c r="I13" i="2"/>
  <c r="E11" i="1"/>
  <c r="G12" i="2"/>
  <c r="G14" i="2" s="1"/>
  <c r="K33" i="4"/>
  <c r="K58" i="4" s="1"/>
  <c r="I37" i="9" s="1"/>
  <c r="P33" i="4"/>
  <c r="O37" i="7" s="1"/>
  <c r="O33" i="4"/>
  <c r="N33" i="4"/>
  <c r="J32" i="4"/>
  <c r="F12" i="2"/>
  <c r="F14" i="2" s="1"/>
  <c r="P23" i="4"/>
  <c r="O36" i="7" s="1"/>
  <c r="M23" i="4"/>
  <c r="L36" i="7" s="1"/>
  <c r="N23" i="4"/>
  <c r="M36" i="7" s="1"/>
  <c r="Q23" i="4"/>
  <c r="P36" i="7" s="1"/>
  <c r="K37" i="7"/>
  <c r="K51" i="4"/>
  <c r="J36" i="7"/>
  <c r="L23" i="4"/>
  <c r="K36" i="7" s="1"/>
  <c r="L16" i="1"/>
  <c r="F15" i="2" s="1"/>
  <c r="J22" i="4"/>
  <c r="X13" i="3"/>
  <c r="Y13" i="3" s="1"/>
  <c r="Z13" i="3" s="1"/>
  <c r="AA13" i="3" s="1"/>
  <c r="AB13" i="3" s="1"/>
  <c r="X16" i="3"/>
  <c r="Y16" i="3" s="1"/>
  <c r="Z16" i="3" s="1"/>
  <c r="AA16" i="3" s="1"/>
  <c r="N11" i="3"/>
  <c r="F13" i="3"/>
  <c r="E12" i="3"/>
  <c r="F9" i="3"/>
  <c r="F12" i="3" s="1"/>
  <c r="F16" i="3"/>
  <c r="AA9" i="3"/>
  <c r="Z12" i="3"/>
  <c r="Y12" i="3"/>
  <c r="Q9" i="3"/>
  <c r="P12" i="3"/>
  <c r="P15" i="3" s="1"/>
  <c r="P18" i="3" s="1"/>
  <c r="R13" i="3"/>
  <c r="Q16" i="3"/>
  <c r="O12" i="3"/>
  <c r="O15" i="3" s="1"/>
  <c r="O18" i="3" s="1"/>
  <c r="K37" i="4"/>
  <c r="K27" i="4"/>
  <c r="K19" i="4"/>
  <c r="L9" i="4"/>
  <c r="J37" i="4"/>
  <c r="J34" i="4" s="1"/>
  <c r="J35" i="4" s="1"/>
  <c r="I30" i="5" l="1"/>
  <c r="J54" i="4"/>
  <c r="J33" i="6"/>
  <c r="L53" i="4"/>
  <c r="L54" i="4" s="1"/>
  <c r="I33" i="6"/>
  <c r="K53" i="4"/>
  <c r="O58" i="4"/>
  <c r="M37" i="9" s="1"/>
  <c r="I12" i="2"/>
  <c r="F40" i="6"/>
  <c r="C16" i="1"/>
  <c r="H42" i="10"/>
  <c r="H50" i="10" s="1"/>
  <c r="H37" i="6"/>
  <c r="D37" i="10"/>
  <c r="J11" i="6"/>
  <c r="K25" i="6"/>
  <c r="J19" i="7"/>
  <c r="D21" i="10"/>
  <c r="H52" i="10"/>
  <c r="K40" i="7"/>
  <c r="K43" i="7" s="1"/>
  <c r="I27" i="5"/>
  <c r="J25" i="4"/>
  <c r="N37" i="7"/>
  <c r="N40" i="7" s="1"/>
  <c r="N43" i="7" s="1"/>
  <c r="K24" i="4"/>
  <c r="L37" i="7"/>
  <c r="L40" i="7" s="1"/>
  <c r="L43" i="7" s="1"/>
  <c r="M58" i="4"/>
  <c r="K37" i="9" s="1"/>
  <c r="K34" i="4"/>
  <c r="J60" i="4"/>
  <c r="J61" i="4" s="1"/>
  <c r="I30" i="6"/>
  <c r="J37" i="7"/>
  <c r="J40" i="7" s="1"/>
  <c r="J43" i="7" s="1"/>
  <c r="Q58" i="4"/>
  <c r="O37" i="9" s="1"/>
  <c r="P37" i="7"/>
  <c r="P40" i="7" s="1"/>
  <c r="P43" i="7" s="1"/>
  <c r="L58" i="4"/>
  <c r="J37" i="9" s="1"/>
  <c r="K32" i="4"/>
  <c r="I31" i="6"/>
  <c r="L32" i="6"/>
  <c r="M32" i="6" s="1"/>
  <c r="N32" i="6" s="1"/>
  <c r="O32" i="6" s="1"/>
  <c r="P32" i="6" s="1"/>
  <c r="N58" i="4"/>
  <c r="L37" i="9" s="1"/>
  <c r="O40" i="7"/>
  <c r="O43" i="7" s="1"/>
  <c r="P58" i="4"/>
  <c r="N37" i="9" s="1"/>
  <c r="F20" i="3"/>
  <c r="G9" i="3"/>
  <c r="H9" i="3" s="1"/>
  <c r="P26" i="3"/>
  <c r="Y15" i="3"/>
  <c r="Y18" i="3" s="1"/>
  <c r="Z15" i="3"/>
  <c r="Z18" i="3" s="1"/>
  <c r="O22" i="3"/>
  <c r="P22" i="3" s="1"/>
  <c r="O21" i="3"/>
  <c r="G20" i="3"/>
  <c r="F15" i="3"/>
  <c r="F18" i="3" s="1"/>
  <c r="J8" i="5" s="1"/>
  <c r="I7" i="9" s="1"/>
  <c r="P30" i="3"/>
  <c r="E30" i="3"/>
  <c r="P33" i="3"/>
  <c r="E33" i="3"/>
  <c r="E23" i="3"/>
  <c r="I34" i="5" s="1"/>
  <c r="P23" i="3"/>
  <c r="Q31" i="3"/>
  <c r="F31" i="3"/>
  <c r="E32" i="3"/>
  <c r="P32" i="3"/>
  <c r="R27" i="3"/>
  <c r="G27" i="3"/>
  <c r="S20" i="3"/>
  <c r="H20" i="3"/>
  <c r="K21" i="5"/>
  <c r="M21" i="5"/>
  <c r="E14" i="2"/>
  <c r="D16" i="2"/>
  <c r="E16" i="2" s="1"/>
  <c r="E15" i="1"/>
  <c r="M37" i="7"/>
  <c r="M40" i="7" s="1"/>
  <c r="M43" i="7" s="1"/>
  <c r="J57" i="4"/>
  <c r="I28" i="5"/>
  <c r="I31" i="5" s="1"/>
  <c r="D15" i="1"/>
  <c r="L51" i="4"/>
  <c r="K30" i="5"/>
  <c r="K22" i="4"/>
  <c r="J30" i="6" s="1"/>
  <c r="I14" i="2"/>
  <c r="F16" i="2"/>
  <c r="G15" i="2"/>
  <c r="N12" i="3"/>
  <c r="N15" i="3" s="1"/>
  <c r="N18" i="3" s="1"/>
  <c r="X11" i="3"/>
  <c r="X12" i="3" s="1"/>
  <c r="X15" i="3" s="1"/>
  <c r="X18" i="3" s="1"/>
  <c r="G13" i="3"/>
  <c r="E15" i="3"/>
  <c r="E18" i="3" s="1"/>
  <c r="G16" i="3"/>
  <c r="AC13" i="3"/>
  <c r="AB16" i="3"/>
  <c r="AB9" i="3"/>
  <c r="AA12" i="3"/>
  <c r="AA15" i="3" s="1"/>
  <c r="AA18" i="3" s="1"/>
  <c r="S13" i="3"/>
  <c r="R9" i="3"/>
  <c r="Q12" i="3"/>
  <c r="Q15" i="3" s="1"/>
  <c r="Q18" i="3" s="1"/>
  <c r="R16" i="3"/>
  <c r="M9" i="4"/>
  <c r="L37" i="4"/>
  <c r="L27" i="4"/>
  <c r="L19" i="4"/>
  <c r="K33" i="6" l="1"/>
  <c r="M53" i="4"/>
  <c r="M54" i="4" s="1"/>
  <c r="K54" i="4"/>
  <c r="J30" i="5"/>
  <c r="K57" i="4"/>
  <c r="I36" i="9" s="1"/>
  <c r="I38" i="9" s="1"/>
  <c r="E16" i="1"/>
  <c r="F16" i="9" s="1"/>
  <c r="D10" i="1"/>
  <c r="D8" i="1"/>
  <c r="D9" i="1"/>
  <c r="D11" i="1"/>
  <c r="D13" i="1"/>
  <c r="D12" i="1"/>
  <c r="D16" i="1"/>
  <c r="F45" i="6"/>
  <c r="H40" i="6"/>
  <c r="K59" i="4"/>
  <c r="J59" i="4"/>
  <c r="H36" i="9"/>
  <c r="H38" i="9" s="1"/>
  <c r="G12" i="3"/>
  <c r="L25" i="6"/>
  <c r="K19" i="7"/>
  <c r="K11" i="6"/>
  <c r="K16" i="7"/>
  <c r="J16" i="7"/>
  <c r="I34" i="6"/>
  <c r="J28" i="5"/>
  <c r="K35" i="4"/>
  <c r="L34" i="4"/>
  <c r="J27" i="5"/>
  <c r="J31" i="5" s="1"/>
  <c r="K25" i="4"/>
  <c r="L32" i="4"/>
  <c r="J31" i="6"/>
  <c r="J34" i="6" s="1"/>
  <c r="E22" i="3"/>
  <c r="J19" i="5" s="1"/>
  <c r="J9" i="7" s="1"/>
  <c r="G15" i="3"/>
  <c r="G18" i="3" s="1"/>
  <c r="K8" i="5" s="1"/>
  <c r="Q26" i="3"/>
  <c r="F26" i="3"/>
  <c r="J25" i="7" s="1"/>
  <c r="J27" i="7" s="1"/>
  <c r="I11" i="9" s="1"/>
  <c r="G31" i="3"/>
  <c r="R31" i="3"/>
  <c r="Q30" i="3"/>
  <c r="F30" i="3"/>
  <c r="J10" i="6" s="1"/>
  <c r="H13" i="3"/>
  <c r="I13" i="3" s="1"/>
  <c r="Q32" i="3"/>
  <c r="F32" i="3"/>
  <c r="F33" i="3"/>
  <c r="Q33" i="3"/>
  <c r="Q23" i="3"/>
  <c r="F23" i="3"/>
  <c r="J34" i="5" s="1"/>
  <c r="P21" i="3"/>
  <c r="E21" i="3"/>
  <c r="F22" i="3"/>
  <c r="Q22" i="3"/>
  <c r="I8" i="5"/>
  <c r="H7" i="9" s="1"/>
  <c r="H27" i="3"/>
  <c r="S27" i="3"/>
  <c r="T20" i="3"/>
  <c r="I20" i="3"/>
  <c r="M51" i="4"/>
  <c r="L30" i="5"/>
  <c r="K60" i="4"/>
  <c r="K61" i="4" s="1"/>
  <c r="L22" i="4"/>
  <c r="K30" i="6" s="1"/>
  <c r="I15" i="2"/>
  <c r="L24" i="4"/>
  <c r="L57" i="4" s="1"/>
  <c r="G16" i="2"/>
  <c r="J11" i="5"/>
  <c r="I8" i="9" s="1"/>
  <c r="H16" i="3"/>
  <c r="I9" i="3"/>
  <c r="H12" i="3"/>
  <c r="AC9" i="3"/>
  <c r="AB12" i="3"/>
  <c r="AB15" i="3" s="1"/>
  <c r="AB18" i="3" s="1"/>
  <c r="AC16" i="3"/>
  <c r="AD13" i="3"/>
  <c r="S16" i="3"/>
  <c r="S9" i="3"/>
  <c r="R12" i="3"/>
  <c r="R15" i="3" s="1"/>
  <c r="R18" i="3" s="1"/>
  <c r="T13" i="3"/>
  <c r="M19" i="4"/>
  <c r="M37" i="4"/>
  <c r="M34" i="4" s="1"/>
  <c r="M35" i="4" s="1"/>
  <c r="N9" i="4"/>
  <c r="M27" i="4"/>
  <c r="L33" i="6" l="1"/>
  <c r="N53" i="4"/>
  <c r="N54" i="4" s="1"/>
  <c r="L59" i="4"/>
  <c r="J36" i="9"/>
  <c r="J38" i="9" s="1"/>
  <c r="D40" i="10"/>
  <c r="D43" i="10" s="1"/>
  <c r="D45" i="10" s="1"/>
  <c r="I40" i="6"/>
  <c r="J40" i="6" s="1"/>
  <c r="K40" i="6" s="1"/>
  <c r="L40" i="6" s="1"/>
  <c r="M40" i="6" s="1"/>
  <c r="N40" i="6" s="1"/>
  <c r="O40" i="6" s="1"/>
  <c r="P40" i="6" s="1"/>
  <c r="H43" i="6"/>
  <c r="H45" i="6" s="1"/>
  <c r="H46" i="6" s="1"/>
  <c r="L11" i="6"/>
  <c r="L16" i="7"/>
  <c r="M25" i="6"/>
  <c r="L19" i="7"/>
  <c r="K11" i="5"/>
  <c r="J8" i="9" s="1"/>
  <c r="J7" i="9"/>
  <c r="K28" i="5"/>
  <c r="L35" i="4"/>
  <c r="K27" i="5"/>
  <c r="L25" i="4"/>
  <c r="K31" i="6"/>
  <c r="K34" i="6" s="1"/>
  <c r="M32" i="4"/>
  <c r="M24" i="4"/>
  <c r="R26" i="3"/>
  <c r="G26" i="3"/>
  <c r="K25" i="7" s="1"/>
  <c r="K27" i="7" s="1"/>
  <c r="J11" i="9" s="1"/>
  <c r="K12" i="5"/>
  <c r="K13" i="5" s="1"/>
  <c r="G23" i="3"/>
  <c r="K34" i="5" s="1"/>
  <c r="R23" i="3"/>
  <c r="R32" i="3"/>
  <c r="G32" i="3"/>
  <c r="J12" i="5"/>
  <c r="J24" i="6"/>
  <c r="I9" i="5"/>
  <c r="I10" i="6"/>
  <c r="I25" i="7"/>
  <c r="K9" i="5"/>
  <c r="G30" i="3"/>
  <c r="K10" i="6" s="1"/>
  <c r="R30" i="3"/>
  <c r="H31" i="3"/>
  <c r="S31" i="3"/>
  <c r="K19" i="5"/>
  <c r="K9" i="7" s="1"/>
  <c r="I15" i="5"/>
  <c r="H9" i="9" s="1"/>
  <c r="J9" i="5"/>
  <c r="R33" i="3"/>
  <c r="G33" i="3"/>
  <c r="H15" i="3"/>
  <c r="H18" i="3" s="1"/>
  <c r="L8" i="5" s="1"/>
  <c r="J15" i="5"/>
  <c r="I9" i="9" s="1"/>
  <c r="I10" i="9" s="1"/>
  <c r="Q21" i="3"/>
  <c r="F21" i="3"/>
  <c r="K15" i="5" s="1"/>
  <c r="R22" i="3"/>
  <c r="G22" i="3"/>
  <c r="I19" i="5"/>
  <c r="I11" i="5"/>
  <c r="H8" i="9" s="1"/>
  <c r="I27" i="3"/>
  <c r="T27" i="3"/>
  <c r="J20" i="3"/>
  <c r="U20" i="3"/>
  <c r="L60" i="4"/>
  <c r="L61" i="4" s="1"/>
  <c r="M22" i="4"/>
  <c r="L30" i="6" s="1"/>
  <c r="I16" i="2"/>
  <c r="L28" i="5"/>
  <c r="N51" i="4"/>
  <c r="M30" i="5"/>
  <c r="I16" i="3"/>
  <c r="J9" i="3"/>
  <c r="I12" i="3"/>
  <c r="I15" i="3" s="1"/>
  <c r="J13" i="3"/>
  <c r="AE13" i="3"/>
  <c r="AF13" i="3" s="1"/>
  <c r="AD16" i="3"/>
  <c r="AC12" i="3"/>
  <c r="AC15" i="3" s="1"/>
  <c r="AC18" i="3" s="1"/>
  <c r="AD9" i="3"/>
  <c r="T9" i="3"/>
  <c r="S12" i="3"/>
  <c r="S15" i="3" s="1"/>
  <c r="S18" i="3" s="1"/>
  <c r="U13" i="3"/>
  <c r="T16" i="3"/>
  <c r="N27" i="4"/>
  <c r="N24" i="4" s="1"/>
  <c r="N19" i="4"/>
  <c r="O9" i="4"/>
  <c r="N37" i="4"/>
  <c r="M33" i="6" l="1"/>
  <c r="O53" i="4"/>
  <c r="O54" i="4" s="1"/>
  <c r="K24" i="6"/>
  <c r="H10" i="9"/>
  <c r="N25" i="6"/>
  <c r="M19" i="7"/>
  <c r="M11" i="6"/>
  <c r="M16" i="7"/>
  <c r="L11" i="5"/>
  <c r="K8" i="9" s="1"/>
  <c r="K7" i="9"/>
  <c r="K16" i="5"/>
  <c r="J9" i="9"/>
  <c r="J10" i="9" s="1"/>
  <c r="K31" i="5"/>
  <c r="M27" i="5"/>
  <c r="N25" i="4"/>
  <c r="L27" i="5"/>
  <c r="L31" i="5" s="1"/>
  <c r="M25" i="4"/>
  <c r="N34" i="4"/>
  <c r="N57" i="4" s="1"/>
  <c r="M57" i="4"/>
  <c r="L31" i="6"/>
  <c r="L34" i="6" s="1"/>
  <c r="N32" i="4"/>
  <c r="J16" i="5"/>
  <c r="J9" i="8" s="1"/>
  <c r="S26" i="3"/>
  <c r="H26" i="3"/>
  <c r="L25" i="7" s="1"/>
  <c r="L27" i="7" s="1"/>
  <c r="K11" i="9" s="1"/>
  <c r="K26" i="6"/>
  <c r="K18" i="7"/>
  <c r="K15" i="7"/>
  <c r="H33" i="3"/>
  <c r="S33" i="3"/>
  <c r="J13" i="5"/>
  <c r="I15" i="7"/>
  <c r="J15" i="7"/>
  <c r="L9" i="5"/>
  <c r="L19" i="5"/>
  <c r="L9" i="7" s="1"/>
  <c r="S32" i="3"/>
  <c r="H32" i="3"/>
  <c r="G21" i="3"/>
  <c r="L15" i="5" s="1"/>
  <c r="K9" i="9" s="1"/>
  <c r="R21" i="3"/>
  <c r="I17" i="6"/>
  <c r="I27" i="7"/>
  <c r="H11" i="9" s="1"/>
  <c r="S23" i="3"/>
  <c r="H23" i="3"/>
  <c r="L34" i="5" s="1"/>
  <c r="I12" i="5"/>
  <c r="I13" i="5" s="1"/>
  <c r="I24" i="6"/>
  <c r="J18" i="7" s="1"/>
  <c r="I31" i="3"/>
  <c r="T31" i="3"/>
  <c r="I9" i="7"/>
  <c r="I18" i="6"/>
  <c r="J18" i="6" s="1"/>
  <c r="K20" i="3"/>
  <c r="L20" i="3"/>
  <c r="S30" i="3"/>
  <c r="H30" i="3"/>
  <c r="L10" i="6" s="1"/>
  <c r="J26" i="6"/>
  <c r="S22" i="3"/>
  <c r="H22" i="3"/>
  <c r="U27" i="3"/>
  <c r="J27" i="3"/>
  <c r="O51" i="4"/>
  <c r="N30" i="5"/>
  <c r="M60" i="4"/>
  <c r="M61" i="4" s="1"/>
  <c r="N22" i="4"/>
  <c r="M30" i="6" s="1"/>
  <c r="K20" i="8"/>
  <c r="K13" i="3"/>
  <c r="L13" i="3" s="1"/>
  <c r="J16" i="3"/>
  <c r="I18" i="3"/>
  <c r="M8" i="5" s="1"/>
  <c r="L7" i="9" s="1"/>
  <c r="K9" i="3"/>
  <c r="J12" i="3"/>
  <c r="J15" i="3" s="1"/>
  <c r="AD12" i="3"/>
  <c r="AD15" i="3" s="1"/>
  <c r="AD18" i="3" s="1"/>
  <c r="AE9" i="3"/>
  <c r="AF9" i="3" s="1"/>
  <c r="AF12" i="3" s="1"/>
  <c r="AF15" i="3" s="1"/>
  <c r="AE16" i="3"/>
  <c r="AF16" i="3" s="1"/>
  <c r="U16" i="3"/>
  <c r="U9" i="3"/>
  <c r="T12" i="3"/>
  <c r="T15" i="3" s="1"/>
  <c r="T18" i="3" s="1"/>
  <c r="P9" i="4"/>
  <c r="O27" i="4"/>
  <c r="O19" i="4"/>
  <c r="O37" i="4"/>
  <c r="O34" i="4" s="1"/>
  <c r="O35" i="4" s="1"/>
  <c r="N33" i="6" l="1"/>
  <c r="P53" i="4"/>
  <c r="P54" i="4" s="1"/>
  <c r="N59" i="4"/>
  <c r="L36" i="9"/>
  <c r="L38" i="9" s="1"/>
  <c r="M59" i="4"/>
  <c r="K36" i="9"/>
  <c r="K38" i="9" s="1"/>
  <c r="K9" i="8"/>
  <c r="L12" i="5"/>
  <c r="L13" i="5" s="1"/>
  <c r="K20" i="5"/>
  <c r="K22" i="5" s="1"/>
  <c r="K33" i="5" s="1"/>
  <c r="K35" i="5" s="1"/>
  <c r="L24" i="6"/>
  <c r="L18" i="7" s="1"/>
  <c r="O25" i="6"/>
  <c r="N19" i="7"/>
  <c r="N11" i="6"/>
  <c r="N16" i="7"/>
  <c r="K11" i="8"/>
  <c r="K14" i="8"/>
  <c r="K17" i="5"/>
  <c r="K10" i="9"/>
  <c r="J11" i="8"/>
  <c r="M28" i="5"/>
  <c r="M31" i="5" s="1"/>
  <c r="N35" i="4"/>
  <c r="M31" i="6"/>
  <c r="O32" i="4"/>
  <c r="M34" i="6"/>
  <c r="O24" i="4"/>
  <c r="O57" i="4" s="1"/>
  <c r="J17" i="5"/>
  <c r="J20" i="5"/>
  <c r="J22" i="5" s="1"/>
  <c r="J33" i="5" s="1"/>
  <c r="J35" i="5" s="1"/>
  <c r="J20" i="8"/>
  <c r="J14" i="8"/>
  <c r="M19" i="5"/>
  <c r="M9" i="7" s="1"/>
  <c r="AF18" i="3"/>
  <c r="K20" i="7"/>
  <c r="J12" i="9" s="1"/>
  <c r="K12" i="3"/>
  <c r="K15" i="3" s="1"/>
  <c r="L9" i="3"/>
  <c r="L12" i="3" s="1"/>
  <c r="L15" i="3" s="1"/>
  <c r="I26" i="3"/>
  <c r="M25" i="7" s="1"/>
  <c r="M27" i="7" s="1"/>
  <c r="L11" i="9" s="1"/>
  <c r="T26" i="3"/>
  <c r="M11" i="5"/>
  <c r="AE12" i="3"/>
  <c r="AE15" i="3" s="1"/>
  <c r="AE18" i="3" s="1"/>
  <c r="L15" i="7"/>
  <c r="L26" i="6"/>
  <c r="I32" i="3"/>
  <c r="T32" i="3"/>
  <c r="I16" i="5"/>
  <c r="I20" i="8" s="1"/>
  <c r="M9" i="5"/>
  <c r="I23" i="3"/>
  <c r="M34" i="5" s="1"/>
  <c r="T23" i="3"/>
  <c r="J20" i="7"/>
  <c r="I12" i="9" s="1"/>
  <c r="I33" i="3"/>
  <c r="T33" i="3"/>
  <c r="I18" i="7"/>
  <c r="I20" i="7" s="1"/>
  <c r="H12" i="9" s="1"/>
  <c r="I26" i="6"/>
  <c r="U12" i="3"/>
  <c r="U15" i="3" s="1"/>
  <c r="U18" i="3" s="1"/>
  <c r="K18" i="6"/>
  <c r="U31" i="3"/>
  <c r="J31" i="3"/>
  <c r="S21" i="3"/>
  <c r="H21" i="3"/>
  <c r="M15" i="5" s="1"/>
  <c r="L9" i="9" s="1"/>
  <c r="K27" i="3"/>
  <c r="L27" i="3"/>
  <c r="T30" i="3"/>
  <c r="I30" i="3"/>
  <c r="M10" i="6" s="1"/>
  <c r="I19" i="6"/>
  <c r="J17" i="6"/>
  <c r="K17" i="6" s="1"/>
  <c r="L17" i="6" s="1"/>
  <c r="T22" i="3"/>
  <c r="I22" i="3"/>
  <c r="N28" i="5"/>
  <c r="N60" i="4"/>
  <c r="N61" i="4" s="1"/>
  <c r="O22" i="4"/>
  <c r="N30" i="6" s="1"/>
  <c r="P51" i="4"/>
  <c r="O30" i="5"/>
  <c r="K16" i="3"/>
  <c r="L16" i="3" s="1"/>
  <c r="J18" i="3"/>
  <c r="N8" i="5" s="1"/>
  <c r="M7" i="9" s="1"/>
  <c r="Q9" i="4"/>
  <c r="P37" i="4"/>
  <c r="P34" i="4" s="1"/>
  <c r="P35" i="4" s="1"/>
  <c r="P27" i="4"/>
  <c r="P19" i="4"/>
  <c r="L16" i="5" l="1"/>
  <c r="L20" i="5" s="1"/>
  <c r="L22" i="5" s="1"/>
  <c r="L33" i="5" s="1"/>
  <c r="O33" i="6"/>
  <c r="Q53" i="4"/>
  <c r="Q54" i="4" s="1"/>
  <c r="O59" i="4"/>
  <c r="M36" i="9"/>
  <c r="M38" i="9" s="1"/>
  <c r="O11" i="6"/>
  <c r="O16" i="7"/>
  <c r="P25" i="6"/>
  <c r="P19" i="7" s="1"/>
  <c r="O19" i="7"/>
  <c r="L9" i="8"/>
  <c r="L11" i="8"/>
  <c r="M12" i="5"/>
  <c r="M13" i="5" s="1"/>
  <c r="L8" i="9"/>
  <c r="L10" i="9" s="1"/>
  <c r="L16" i="9" s="1"/>
  <c r="N27" i="5"/>
  <c r="O25" i="4"/>
  <c r="N31" i="5"/>
  <c r="J11" i="7"/>
  <c r="I13" i="9" s="1"/>
  <c r="I14" i="9" s="1"/>
  <c r="I34" i="9" s="1"/>
  <c r="N31" i="6"/>
  <c r="N34" i="6" s="1"/>
  <c r="P32" i="4"/>
  <c r="L14" i="8"/>
  <c r="L20" i="8"/>
  <c r="L17" i="5"/>
  <c r="J36" i="5"/>
  <c r="J8" i="7" s="1"/>
  <c r="M24" i="6"/>
  <c r="M26" i="6" s="1"/>
  <c r="I23" i="8"/>
  <c r="I9" i="8"/>
  <c r="I20" i="5"/>
  <c r="I22" i="5" s="1"/>
  <c r="I33" i="5" s="1"/>
  <c r="I35" i="5" s="1"/>
  <c r="I17" i="5"/>
  <c r="J26" i="3"/>
  <c r="N25" i="7" s="1"/>
  <c r="N27" i="7" s="1"/>
  <c r="M11" i="9" s="1"/>
  <c r="U26" i="3"/>
  <c r="L18" i="3"/>
  <c r="P8" i="5" s="1"/>
  <c r="O7" i="9" s="1"/>
  <c r="I11" i="8"/>
  <c r="I17" i="8"/>
  <c r="I21" i="8"/>
  <c r="M17" i="6"/>
  <c r="L20" i="7"/>
  <c r="K12" i="9" s="1"/>
  <c r="I14" i="8"/>
  <c r="I15" i="8"/>
  <c r="J19" i="6"/>
  <c r="M15" i="7"/>
  <c r="N9" i="5"/>
  <c r="K36" i="5"/>
  <c r="K11" i="7"/>
  <c r="J13" i="9" s="1"/>
  <c r="J14" i="9" s="1"/>
  <c r="J34" i="9" s="1"/>
  <c r="T21" i="3"/>
  <c r="I21" i="3"/>
  <c r="N15" i="5" s="1"/>
  <c r="M9" i="9" s="1"/>
  <c r="U23" i="3"/>
  <c r="J23" i="3"/>
  <c r="N34" i="5" s="1"/>
  <c r="U32" i="3"/>
  <c r="J32" i="3"/>
  <c r="N11" i="5"/>
  <c r="M8" i="9" s="1"/>
  <c r="N19" i="5"/>
  <c r="N9" i="7" s="1"/>
  <c r="K31" i="3"/>
  <c r="L31" i="3"/>
  <c r="J30" i="3"/>
  <c r="N10" i="6" s="1"/>
  <c r="N15" i="7" s="1"/>
  <c r="U30" i="3"/>
  <c r="L18" i="6"/>
  <c r="K19" i="6"/>
  <c r="J33" i="3"/>
  <c r="U33" i="3"/>
  <c r="U22" i="3"/>
  <c r="J22" i="3"/>
  <c r="P24" i="4"/>
  <c r="Q51" i="4"/>
  <c r="P30" i="5"/>
  <c r="O28" i="5"/>
  <c r="O60" i="4"/>
  <c r="O61" i="4" s="1"/>
  <c r="P22" i="4"/>
  <c r="O30" i="6" s="1"/>
  <c r="K18" i="3"/>
  <c r="L35" i="5"/>
  <c r="Q27" i="4"/>
  <c r="Q19" i="4"/>
  <c r="Q37" i="4"/>
  <c r="Q34" i="4" s="1"/>
  <c r="M18" i="7" l="1"/>
  <c r="P33" i="6"/>
  <c r="R52" i="4"/>
  <c r="R53" i="4"/>
  <c r="R54" i="4" s="1"/>
  <c r="H54" i="4" s="1"/>
  <c r="F12" i="1" s="1"/>
  <c r="P11" i="6"/>
  <c r="P16" i="7"/>
  <c r="M10" i="9"/>
  <c r="M16" i="5"/>
  <c r="M20" i="8" s="1"/>
  <c r="J17" i="9"/>
  <c r="J40" i="9"/>
  <c r="I17" i="9"/>
  <c r="I40" i="9"/>
  <c r="J12" i="7"/>
  <c r="J22" i="7" s="1"/>
  <c r="J29" i="7" s="1"/>
  <c r="J45" i="7" s="1"/>
  <c r="P28" i="5"/>
  <c r="Q35" i="4"/>
  <c r="H35" i="4" s="1"/>
  <c r="F10" i="1" s="1"/>
  <c r="O27" i="5"/>
  <c r="O31" i="5" s="1"/>
  <c r="P25" i="4"/>
  <c r="P57" i="4"/>
  <c r="I11" i="7"/>
  <c r="I36" i="6" s="1"/>
  <c r="J36" i="6" s="1"/>
  <c r="H13" i="9"/>
  <c r="H14" i="9" s="1"/>
  <c r="H34" i="9" s="1"/>
  <c r="O31" i="6"/>
  <c r="O34" i="6" s="1"/>
  <c r="Q32" i="4"/>
  <c r="P31" i="6" s="1"/>
  <c r="I36" i="5"/>
  <c r="I8" i="7" s="1"/>
  <c r="P11" i="5"/>
  <c r="N17" i="6"/>
  <c r="K26" i="3"/>
  <c r="L26" i="3"/>
  <c r="P25" i="7" s="1"/>
  <c r="P27" i="7" s="1"/>
  <c r="O11" i="9" s="1"/>
  <c r="M20" i="7"/>
  <c r="L12" i="9" s="1"/>
  <c r="N12" i="5"/>
  <c r="N24" i="6"/>
  <c r="J21" i="3"/>
  <c r="U21" i="3"/>
  <c r="O8" i="5"/>
  <c r="M18" i="6"/>
  <c r="L19" i="6"/>
  <c r="K22" i="3"/>
  <c r="P19" i="5" s="1"/>
  <c r="P9" i="7" s="1"/>
  <c r="L22" i="3"/>
  <c r="K33" i="3"/>
  <c r="L33" i="3"/>
  <c r="K30" i="3"/>
  <c r="L30" i="3"/>
  <c r="L36" i="5"/>
  <c r="L11" i="7"/>
  <c r="K13" i="9" s="1"/>
  <c r="K14" i="9" s="1"/>
  <c r="K34" i="9" s="1"/>
  <c r="K32" i="3"/>
  <c r="L32" i="3"/>
  <c r="K8" i="7"/>
  <c r="K12" i="7" s="1"/>
  <c r="K22" i="7" s="1"/>
  <c r="K29" i="7" s="1"/>
  <c r="K45" i="7" s="1"/>
  <c r="K23" i="3"/>
  <c r="O34" i="5" s="1"/>
  <c r="L23" i="3"/>
  <c r="P34" i="5" s="1"/>
  <c r="P60" i="4"/>
  <c r="P61" i="4" s="1"/>
  <c r="Q22" i="4"/>
  <c r="Q24" i="4"/>
  <c r="M17" i="5" l="1"/>
  <c r="M11" i="8"/>
  <c r="M20" i="5"/>
  <c r="M22" i="5" s="1"/>
  <c r="M33" i="5" s="1"/>
  <c r="M35" i="5" s="1"/>
  <c r="I42" i="6"/>
  <c r="I43" i="6" s="1"/>
  <c r="I25" i="8" s="1"/>
  <c r="P59" i="4"/>
  <c r="N36" i="9"/>
  <c r="N38" i="9" s="1"/>
  <c r="M14" i="8"/>
  <c r="M9" i="8"/>
  <c r="P12" i="5"/>
  <c r="O8" i="9"/>
  <c r="P9" i="5"/>
  <c r="N7" i="9"/>
  <c r="H17" i="9"/>
  <c r="H40" i="9"/>
  <c r="I42" i="9"/>
  <c r="I39" i="9"/>
  <c r="K17" i="9"/>
  <c r="K40" i="9"/>
  <c r="J42" i="9"/>
  <c r="J39" i="9"/>
  <c r="I12" i="7"/>
  <c r="I22" i="7" s="1"/>
  <c r="I29" i="7" s="1"/>
  <c r="I30" i="7" s="1"/>
  <c r="J30" i="7" s="1"/>
  <c r="K30" i="7" s="1"/>
  <c r="I37" i="6"/>
  <c r="P27" i="5"/>
  <c r="P31" i="5" s="1"/>
  <c r="Q25" i="4"/>
  <c r="H25" i="4" s="1"/>
  <c r="F9" i="1" s="1"/>
  <c r="D20" i="1" s="1"/>
  <c r="F20" i="9" s="1"/>
  <c r="I20" i="9" s="1"/>
  <c r="Q60" i="4"/>
  <c r="Q61" i="4" s="1"/>
  <c r="P30" i="6"/>
  <c r="P34" i="6" s="1"/>
  <c r="P13" i="5"/>
  <c r="L8" i="7"/>
  <c r="L12" i="7" s="1"/>
  <c r="L22" i="7" s="1"/>
  <c r="L29" i="7" s="1"/>
  <c r="L45" i="7" s="1"/>
  <c r="M36" i="5"/>
  <c r="M11" i="7"/>
  <c r="L13" i="9" s="1"/>
  <c r="L14" i="9" s="1"/>
  <c r="L34" i="9" s="1"/>
  <c r="K21" i="3"/>
  <c r="P15" i="5" s="1"/>
  <c r="L21" i="3"/>
  <c r="K36" i="6"/>
  <c r="J37" i="6"/>
  <c r="N18" i="6"/>
  <c r="M19" i="6"/>
  <c r="N26" i="6"/>
  <c r="N18" i="7"/>
  <c r="N20" i="7" s="1"/>
  <c r="M12" i="9" s="1"/>
  <c r="O9" i="5"/>
  <c r="O10" i="6"/>
  <c r="O25" i="7"/>
  <c r="O15" i="5"/>
  <c r="N9" i="9" s="1"/>
  <c r="O11" i="5"/>
  <c r="N8" i="9" s="1"/>
  <c r="O19" i="5"/>
  <c r="O9" i="7" s="1"/>
  <c r="N13" i="5"/>
  <c r="N16" i="5"/>
  <c r="Q57" i="4"/>
  <c r="J42" i="6" l="1"/>
  <c r="Q59" i="4"/>
  <c r="O36" i="9"/>
  <c r="O38" i="9" s="1"/>
  <c r="K20" i="9"/>
  <c r="H20" i="9"/>
  <c r="J20" i="9"/>
  <c r="I45" i="7"/>
  <c r="I47" i="7" s="1"/>
  <c r="J46" i="7" s="1"/>
  <c r="J47" i="7" s="1"/>
  <c r="K46" i="7" s="1"/>
  <c r="K47" i="7" s="1"/>
  <c r="L46" i="7" s="1"/>
  <c r="L47" i="7" s="1"/>
  <c r="M46" i="7" s="1"/>
  <c r="N10" i="9"/>
  <c r="P16" i="5"/>
  <c r="P17" i="5" s="1"/>
  <c r="O9" i="9"/>
  <c r="O10" i="9" s="1"/>
  <c r="J43" i="9"/>
  <c r="J44" i="9"/>
  <c r="I43" i="9"/>
  <c r="I44" i="9"/>
  <c r="L17" i="9"/>
  <c r="L20" i="9" s="1"/>
  <c r="H21" i="9" s="1"/>
  <c r="H23" i="9" s="1"/>
  <c r="H25" i="9" s="1"/>
  <c r="H28" i="9" s="1"/>
  <c r="L40" i="9"/>
  <c r="K42" i="9"/>
  <c r="K39" i="9"/>
  <c r="H42" i="9"/>
  <c r="H39" i="9"/>
  <c r="I45" i="6"/>
  <c r="O18" i="6"/>
  <c r="N19" i="6"/>
  <c r="K42" i="6"/>
  <c r="J43" i="6"/>
  <c r="J25" i="8" s="1"/>
  <c r="O12" i="5"/>
  <c r="O24" i="6"/>
  <c r="P10" i="6"/>
  <c r="P15" i="7" s="1"/>
  <c r="O15" i="7"/>
  <c r="L36" i="6"/>
  <c r="K37" i="6"/>
  <c r="M8" i="7"/>
  <c r="M12" i="7" s="1"/>
  <c r="M22" i="7" s="1"/>
  <c r="M29" i="7" s="1"/>
  <c r="M45" i="7" s="1"/>
  <c r="O27" i="7"/>
  <c r="N11" i="9" s="1"/>
  <c r="O17" i="6"/>
  <c r="N20" i="8"/>
  <c r="N20" i="5"/>
  <c r="N22" i="5" s="1"/>
  <c r="N33" i="5" s="1"/>
  <c r="N35" i="5" s="1"/>
  <c r="N9" i="8"/>
  <c r="N14" i="8"/>
  <c r="N17" i="5"/>
  <c r="N11" i="8"/>
  <c r="L30" i="7"/>
  <c r="I9" i="6" l="1"/>
  <c r="I13" i="6" s="1"/>
  <c r="I21" i="6" s="1"/>
  <c r="I46" i="6" s="1"/>
  <c r="P20" i="5"/>
  <c r="P22" i="5" s="1"/>
  <c r="P33" i="5" s="1"/>
  <c r="P35" i="5" s="1"/>
  <c r="K43" i="9"/>
  <c r="K44" i="9"/>
  <c r="H44" i="9"/>
  <c r="H43" i="9"/>
  <c r="L42" i="9"/>
  <c r="L39" i="9"/>
  <c r="J45" i="6"/>
  <c r="P17" i="6"/>
  <c r="O16" i="5"/>
  <c r="O13" i="5"/>
  <c r="M30" i="7"/>
  <c r="M47" i="7"/>
  <c r="N46" i="7" s="1"/>
  <c r="M36" i="6"/>
  <c r="L37" i="6"/>
  <c r="L42" i="6"/>
  <c r="K43" i="6"/>
  <c r="K25" i="8" s="1"/>
  <c r="N36" i="5"/>
  <c r="N11" i="7"/>
  <c r="M13" i="9" s="1"/>
  <c r="M14" i="9" s="1"/>
  <c r="M34" i="9" s="1"/>
  <c r="O18" i="7"/>
  <c r="O20" i="7" s="1"/>
  <c r="N12" i="9" s="1"/>
  <c r="P24" i="6"/>
  <c r="P18" i="7" s="1"/>
  <c r="P20" i="7" s="1"/>
  <c r="O12" i="9" s="1"/>
  <c r="O26" i="6"/>
  <c r="J15" i="8"/>
  <c r="P18" i="6"/>
  <c r="O19" i="6"/>
  <c r="J17" i="8" l="1"/>
  <c r="J21" i="8"/>
  <c r="J23" i="8"/>
  <c r="J9" i="6"/>
  <c r="J13" i="6" s="1"/>
  <c r="J21" i="6" s="1"/>
  <c r="J46" i="6" s="1"/>
  <c r="M39" i="9"/>
  <c r="M42" i="9"/>
  <c r="M40" i="9"/>
  <c r="P11" i="7"/>
  <c r="O13" i="9" s="1"/>
  <c r="O14" i="9" s="1"/>
  <c r="O34" i="9" s="1"/>
  <c r="L43" i="9"/>
  <c r="L44" i="9"/>
  <c r="P36" i="5"/>
  <c r="P8" i="7" s="1"/>
  <c r="P19" i="6"/>
  <c r="N8" i="7"/>
  <c r="N12" i="7" s="1"/>
  <c r="N22" i="7" s="1"/>
  <c r="N29" i="7" s="1"/>
  <c r="O20" i="8"/>
  <c r="O14" i="8"/>
  <c r="O11" i="8"/>
  <c r="O9" i="8"/>
  <c r="O17" i="5"/>
  <c r="O20" i="5"/>
  <c r="O22" i="5" s="1"/>
  <c r="O33" i="5" s="1"/>
  <c r="O35" i="5" s="1"/>
  <c r="K23" i="8"/>
  <c r="K15" i="8"/>
  <c r="K21" i="8"/>
  <c r="K17" i="8"/>
  <c r="M42" i="6"/>
  <c r="L43" i="6"/>
  <c r="L25" i="8" s="1"/>
  <c r="P26" i="6"/>
  <c r="N36" i="6"/>
  <c r="M37" i="6"/>
  <c r="K45" i="6"/>
  <c r="P14" i="8"/>
  <c r="P20" i="8"/>
  <c r="P9" i="8"/>
  <c r="P11" i="8"/>
  <c r="P12" i="7" l="1"/>
  <c r="P22" i="7" s="1"/>
  <c r="P29" i="7" s="1"/>
  <c r="P45" i="7" s="1"/>
  <c r="K9" i="6"/>
  <c r="L17" i="8" s="1"/>
  <c r="O40" i="9"/>
  <c r="O42" i="9"/>
  <c r="O39" i="9"/>
  <c r="M44" i="9"/>
  <c r="M43" i="9"/>
  <c r="N13" i="9"/>
  <c r="N14" i="9" s="1"/>
  <c r="N34" i="9" s="1"/>
  <c r="N45" i="7"/>
  <c r="N47" i="7" s="1"/>
  <c r="O46" i="7" s="1"/>
  <c r="N30" i="7"/>
  <c r="L9" i="6"/>
  <c r="K13" i="6"/>
  <c r="K21" i="6" s="1"/>
  <c r="K46" i="6" s="1"/>
  <c r="L23" i="8"/>
  <c r="L15" i="8"/>
  <c r="N37" i="6"/>
  <c r="L45" i="6"/>
  <c r="O36" i="5"/>
  <c r="O11" i="7"/>
  <c r="N42" i="6"/>
  <c r="M43" i="6"/>
  <c r="M25" i="8" s="1"/>
  <c r="L21" i="8" l="1"/>
  <c r="N40" i="9"/>
  <c r="N42" i="9"/>
  <c r="N39" i="9"/>
  <c r="O44" i="9"/>
  <c r="O43" i="9"/>
  <c r="O8" i="7"/>
  <c r="O12" i="7" s="1"/>
  <c r="O22" i="7" s="1"/>
  <c r="O29" i="7" s="1"/>
  <c r="O42" i="6"/>
  <c r="N43" i="6"/>
  <c r="N25" i="8" s="1"/>
  <c r="M45" i="6"/>
  <c r="M23" i="8"/>
  <c r="M21" i="8"/>
  <c r="M15" i="8"/>
  <c r="L13" i="6"/>
  <c r="L21" i="6" s="1"/>
  <c r="L46" i="6" s="1"/>
  <c r="M17" i="8"/>
  <c r="M9" i="6"/>
  <c r="O36" i="6"/>
  <c r="N44" i="9" l="1"/>
  <c r="N43" i="9"/>
  <c r="N45" i="6"/>
  <c r="O45" i="7"/>
  <c r="O47" i="7" s="1"/>
  <c r="P46" i="7" s="1"/>
  <c r="P47" i="7" s="1"/>
  <c r="O30" i="7"/>
  <c r="P30" i="7" s="1"/>
  <c r="M13" i="6"/>
  <c r="M21" i="6" s="1"/>
  <c r="M46" i="6" s="1"/>
  <c r="N23" i="8"/>
  <c r="N9" i="6"/>
  <c r="N21" i="8"/>
  <c r="N17" i="8"/>
  <c r="N15" i="8"/>
  <c r="P36" i="6"/>
  <c r="P37" i="6" s="1"/>
  <c r="O37" i="6"/>
  <c r="P42" i="6"/>
  <c r="P43" i="6" s="1"/>
  <c r="P25" i="8" s="1"/>
  <c r="O43" i="6"/>
  <c r="O25" i="8" s="1"/>
  <c r="O45" i="6" l="1"/>
  <c r="P45" i="6"/>
  <c r="O15" i="8"/>
  <c r="O23" i="8"/>
  <c r="O17" i="8"/>
  <c r="O9" i="6"/>
  <c r="N13" i="6"/>
  <c r="N21" i="6" s="1"/>
  <c r="N46" i="6" s="1"/>
  <c r="O21" i="8"/>
  <c r="O13" i="6" l="1"/>
  <c r="O21" i="6" s="1"/>
  <c r="O46" i="6" s="1"/>
  <c r="P9" i="6"/>
  <c r="P13" i="6" s="1"/>
  <c r="P21" i="6" s="1"/>
  <c r="P46" i="6" s="1"/>
  <c r="P21" i="8"/>
  <c r="P23" i="8"/>
  <c r="P15" i="8"/>
  <c r="P17" i="8"/>
</calcChain>
</file>

<file path=xl/sharedStrings.xml><?xml version="1.0" encoding="utf-8"?>
<sst xmlns="http://schemas.openxmlformats.org/spreadsheetml/2006/main" count="312" uniqueCount="239">
  <si>
    <t>Sources</t>
  </si>
  <si>
    <t>Uses</t>
  </si>
  <si>
    <t>Cash</t>
  </si>
  <si>
    <t>Term Loan A</t>
  </si>
  <si>
    <t>Term Loan B</t>
  </si>
  <si>
    <t xml:space="preserve">   Total Bank Debt</t>
  </si>
  <si>
    <t>Transaction Fees &amp; Expenses</t>
  </si>
  <si>
    <t>Total Debt</t>
  </si>
  <si>
    <t>Cash Equity</t>
  </si>
  <si>
    <t>($ 000's)</t>
  </si>
  <si>
    <t>Historical</t>
  </si>
  <si>
    <t>PROJECTED</t>
  </si>
  <si>
    <t>Interest Rate Assumptions</t>
  </si>
  <si>
    <t>Outstanding</t>
  </si>
  <si>
    <t>Increase / (Decrease)</t>
  </si>
  <si>
    <t>Interest Payment</t>
  </si>
  <si>
    <t>Spread</t>
  </si>
  <si>
    <t>Interest rate</t>
  </si>
  <si>
    <t>HOME SUITES ("HSE")</t>
  </si>
  <si>
    <t>LBO Transaction</t>
  </si>
  <si>
    <t>TRANSACTION SOURCES &amp; USES ( $ 000's)</t>
  </si>
  <si>
    <t>Funded</t>
  </si>
  <si>
    <t>% of 
Total Cap</t>
  </si>
  <si>
    <t>Stock 
Price ($)</t>
  </si>
  <si>
    <t>Shares
Outstanding</t>
  </si>
  <si>
    <t>Amount</t>
  </si>
  <si>
    <t>Purchase Price</t>
  </si>
  <si>
    <t>Refinance Debt</t>
  </si>
  <si>
    <t>Subordinated Bonds</t>
  </si>
  <si>
    <t xml:space="preserve">   Total Debt</t>
  </si>
  <si>
    <t xml:space="preserve">   Total Sources</t>
  </si>
  <si>
    <t xml:space="preserve">   Total Uses</t>
  </si>
  <si>
    <t>Home Suites (NYSE: HSE)</t>
  </si>
  <si>
    <t>Public to Private LBO Transaction</t>
  </si>
  <si>
    <t>TRANSACTION PRO FORMA CAPITALIZATION TABLE ($ 000's)</t>
  </si>
  <si>
    <t>LBO Adj.</t>
  </si>
  <si>
    <t xml:space="preserve"> % of Capitalization</t>
  </si>
  <si>
    <t>Existing Debt</t>
  </si>
  <si>
    <t>Funded RC</t>
  </si>
  <si>
    <t xml:space="preserve">  Total Bank Debt</t>
  </si>
  <si>
    <t>Corporate Bonds</t>
  </si>
  <si>
    <t xml:space="preserve">  Total Debt</t>
  </si>
  <si>
    <t>Equity (Book Value)</t>
  </si>
  <si>
    <t xml:space="preserve">  Total Capitatlization</t>
  </si>
  <si>
    <t>Base Case</t>
  </si>
  <si>
    <t>Stress Case</t>
  </si>
  <si>
    <t>INPUT OPERATING ASSUMPTIONS</t>
  </si>
  <si>
    <t>INCOME STATEMENT ASSUMPTIONS</t>
  </si>
  <si>
    <t>Revenue Worksheet Assumptions</t>
  </si>
  <si>
    <t>Average Daily Rate (ADR)</t>
  </si>
  <si>
    <t xml:space="preserve"> ADR Price Increase %</t>
  </si>
  <si>
    <t>Occupancy Rate</t>
  </si>
  <si>
    <t>RevPar</t>
  </si>
  <si>
    <t>Number of Rooms</t>
  </si>
  <si>
    <t xml:space="preserve"> Increase %</t>
  </si>
  <si>
    <t>Revenue from Owned Hotels</t>
  </si>
  <si>
    <t>Revenue fron Frenchised Hotels</t>
  </si>
  <si>
    <t xml:space="preserve">  Growth</t>
  </si>
  <si>
    <t>Total Revenue</t>
  </si>
  <si>
    <t>Cost of Revenue as % of Revenue</t>
  </si>
  <si>
    <t>Operating Expenses (excludind D&amp;A) as % of Revenue</t>
  </si>
  <si>
    <t>Depreciation and Amortization (D&amp;A) as % of Revenue</t>
  </si>
  <si>
    <t>Tax Rate</t>
  </si>
  <si>
    <t>CASH FLOW STATEMENT ASSUMPTIONS</t>
  </si>
  <si>
    <t>Capital Expenditures as % of Revenue</t>
  </si>
  <si>
    <t>Deferred Taxes as % of Taxes</t>
  </si>
  <si>
    <t>BALANCE SHEET ASSUMPTIONS</t>
  </si>
  <si>
    <t xml:space="preserve">  Accounts Receivable Days</t>
  </si>
  <si>
    <t xml:space="preserve">  Inventory Days</t>
  </si>
  <si>
    <t xml:space="preserve">  Other Current Assets % of Revenues</t>
  </si>
  <si>
    <t xml:space="preserve">  Accounts Payable Days</t>
  </si>
  <si>
    <t xml:space="preserve">  Other Current Liabilities as % of Revenues</t>
  </si>
  <si>
    <t>INCOME STATEMENT</t>
  </si>
  <si>
    <t>REVENUE</t>
  </si>
  <si>
    <t xml:space="preserve">   Sales Growth</t>
  </si>
  <si>
    <t>Gross Profit</t>
  </si>
  <si>
    <t xml:space="preserve">   Gross Margin</t>
  </si>
  <si>
    <t>EBITDA</t>
  </si>
  <si>
    <t xml:space="preserve">   % Sales</t>
  </si>
  <si>
    <t xml:space="preserve">   Amort. of Fees</t>
  </si>
  <si>
    <t>EBIT</t>
  </si>
  <si>
    <t>INTEREST EXPENSE (INCOME):</t>
  </si>
  <si>
    <t xml:space="preserve"> Total Interest Expense</t>
  </si>
  <si>
    <t>EBT Taxes</t>
  </si>
  <si>
    <t xml:space="preserve">   Tax Rate</t>
  </si>
  <si>
    <t>Tax Expense</t>
  </si>
  <si>
    <t>NET INCOME (LOSS)</t>
  </si>
  <si>
    <t>CASH FLOW STATEMENT</t>
  </si>
  <si>
    <t xml:space="preserve">   Net Income (Loss)</t>
  </si>
  <si>
    <t xml:space="preserve">   Amortization of Fees</t>
  </si>
  <si>
    <t xml:space="preserve">   Deffered Taxes</t>
  </si>
  <si>
    <t>Cash Income (CI)</t>
  </si>
  <si>
    <t>WORKING CAPITAL ACTIVITIES:</t>
  </si>
  <si>
    <t xml:space="preserve">  Change in Accounts Receivable</t>
  </si>
  <si>
    <t xml:space="preserve">  Change in Inventory</t>
  </si>
  <si>
    <t xml:space="preserve">  Change in Other Current Assets</t>
  </si>
  <si>
    <t xml:space="preserve">  Change in Accounts Payable</t>
  </si>
  <si>
    <t xml:space="preserve">  Change in other Current Liabilities</t>
  </si>
  <si>
    <t>Total Working Capital Activities</t>
  </si>
  <si>
    <t>Operating Cash Flow (OCF)</t>
  </si>
  <si>
    <t>INVESTMENT ACTIVITIES:</t>
  </si>
  <si>
    <t xml:space="preserve">   Capital Expenditures</t>
  </si>
  <si>
    <t>Investments in the JV</t>
  </si>
  <si>
    <t>Total Investment Activivites</t>
  </si>
  <si>
    <t>Cash Available for Debt Service (CAFDS)</t>
  </si>
  <si>
    <t xml:space="preserve">  Total Debt Payments</t>
  </si>
  <si>
    <t>Equity Contribution</t>
  </si>
  <si>
    <t>Total Financing Activivites</t>
  </si>
  <si>
    <t>SUMMARY INFO &amp; CREDIT ANALYSIS</t>
  </si>
  <si>
    <t>EBITDA/ Interest</t>
  </si>
  <si>
    <t xml:space="preserve">  Covenant</t>
  </si>
  <si>
    <t>Senior Secured Debt / EBITDA</t>
  </si>
  <si>
    <t>Total Debt / EBITDA</t>
  </si>
  <si>
    <t>DEBT SCHEDULE ASSUMPTIONS</t>
  </si>
  <si>
    <t>COMMITMENT</t>
  </si>
  <si>
    <t>FUNDED AMOUNT</t>
  </si>
  <si>
    <t>Outstanding (unfunded)</t>
  </si>
  <si>
    <t>Outstanding (funded)</t>
  </si>
  <si>
    <t>Unfunded  Fee</t>
  </si>
  <si>
    <t>% Amort</t>
  </si>
  <si>
    <t>New Term Loan B (refinancing)</t>
  </si>
  <si>
    <t>Total Interest Payment</t>
  </si>
  <si>
    <t>Total Loan Principal Increase / (Decrease)</t>
  </si>
  <si>
    <t>Total Payment</t>
  </si>
  <si>
    <t>Total Senior Debt</t>
  </si>
  <si>
    <t>Total Debt Outstanding</t>
  </si>
  <si>
    <t>New Term Loan B</t>
  </si>
  <si>
    <t>COST OF SALES</t>
  </si>
  <si>
    <t xml:space="preserve">Operating Expenses (excludind D&amp;A) </t>
  </si>
  <si>
    <t xml:space="preserve">   Depreciation and Amortization</t>
  </si>
  <si>
    <t>EBITA (A as Amortization of Transaction Fees)</t>
  </si>
  <si>
    <t>Year Amort:</t>
  </si>
  <si>
    <t>Existing Debts</t>
  </si>
  <si>
    <t>BALANCE SHEET</t>
  </si>
  <si>
    <t>Pre-
Transaction</t>
  </si>
  <si>
    <t>Debit</t>
  </si>
  <si>
    <t>Credit</t>
  </si>
  <si>
    <t>Post -
Transaction</t>
  </si>
  <si>
    <t>Current Assets</t>
  </si>
  <si>
    <t>Accounts Receivable</t>
  </si>
  <si>
    <t>Inventory</t>
  </si>
  <si>
    <t>Other Current Assets</t>
  </si>
  <si>
    <t>Total Current Assets</t>
  </si>
  <si>
    <t>Goodwill &amp; Other Intagibles</t>
  </si>
  <si>
    <t>Capitalized Fees</t>
  </si>
  <si>
    <t>LTI &amp; Other Assets</t>
  </si>
  <si>
    <t xml:space="preserve">  Total Assets</t>
  </si>
  <si>
    <t>Current Liabilities</t>
  </si>
  <si>
    <t>Accounts Payable</t>
  </si>
  <si>
    <t xml:space="preserve">Other Current Liabilities </t>
  </si>
  <si>
    <t>Total Current Liabilities</t>
  </si>
  <si>
    <t>Existing Long Term Debt</t>
  </si>
  <si>
    <t>Other Liabilities / Deferred Taxes</t>
  </si>
  <si>
    <t>Total Liabilities</t>
  </si>
  <si>
    <t>Shareholder's Equity</t>
  </si>
  <si>
    <t xml:space="preserve">  Common Stock</t>
  </si>
  <si>
    <t>Other Equity</t>
  </si>
  <si>
    <t>Retained Earnings</t>
  </si>
  <si>
    <t>Total Shareholder's Equity</t>
  </si>
  <si>
    <t>Total Liabilities &amp; Equity</t>
  </si>
  <si>
    <t>Revolver</t>
  </si>
  <si>
    <t>Accumulated CAFDS</t>
  </si>
  <si>
    <t>CAFDS as a % of Bank Debt at Transaction Closing</t>
  </si>
  <si>
    <t>CAFDS as a % of Total Debt at Transaction Closing</t>
  </si>
  <si>
    <t>FINANCING ACTIVITIES (PMTs/Borrowings):</t>
  </si>
  <si>
    <t>Net Change in Cash</t>
  </si>
  <si>
    <t>Beginning Cash</t>
  </si>
  <si>
    <t>Ending Cash</t>
  </si>
  <si>
    <t>Coverage Ratio</t>
  </si>
  <si>
    <t xml:space="preserve">  EBITDA Cushion ($ 000's)*</t>
  </si>
  <si>
    <t>Senior Leverage Ratio</t>
  </si>
  <si>
    <t>Net Senior Secured Debt / EBITDA</t>
  </si>
  <si>
    <t xml:space="preserve">  Covenant (Net Senior Secured Leverage Ratio)</t>
  </si>
  <si>
    <t>Total Leverage Ratio</t>
  </si>
  <si>
    <t>Net Total Debt / EBITDA</t>
  </si>
  <si>
    <t xml:space="preserve">  Covenant (Net Total Leverage Ratio)</t>
  </si>
  <si>
    <t>Total Debt / Total Capitalization</t>
  </si>
  <si>
    <t>* How much the EBITDA has to drop before the company violates the covenant</t>
  </si>
  <si>
    <t>Home Suites ("HSE")</t>
  </si>
  <si>
    <t>SOFR Rate/Floor=</t>
  </si>
  <si>
    <t>SOFR Rate</t>
  </si>
  <si>
    <t>SOFR Iincrease / Decrease</t>
  </si>
  <si>
    <t>Revolver ($600,000)</t>
  </si>
  <si>
    <t xml:space="preserve">  FY2022 EBITDAx</t>
  </si>
  <si>
    <t>Acquisition Target 2022 EBITDA =</t>
  </si>
  <si>
    <t>As of FYE 2022</t>
  </si>
  <si>
    <t>Acquisition Target 2022 (Covid) EBITDA =</t>
  </si>
  <si>
    <t>PF Closing (12/2022)</t>
  </si>
  <si>
    <t>Gross PP&amp;E</t>
  </si>
  <si>
    <t>Accum. Depreciation</t>
  </si>
  <si>
    <t xml:space="preserve">  Net PP&amp;E</t>
  </si>
  <si>
    <t xml:space="preserve">   Depreciation</t>
  </si>
  <si>
    <t>Transaction closing: 12/2022</t>
  </si>
  <si>
    <t>Debt Capacity based on Debt Coverage Ratio (DCR)</t>
  </si>
  <si>
    <t>Total Cost of Revenue</t>
  </si>
  <si>
    <t>Total Operating Expenses</t>
  </si>
  <si>
    <t>Less Capex</t>
  </si>
  <si>
    <t>Less Working Capital</t>
  </si>
  <si>
    <t>EBITDA Multiple</t>
  </si>
  <si>
    <t>Terminal Value (Enteprise Value based on EBITDA Multiple)</t>
  </si>
  <si>
    <t>Cash Flows Available for Debt Service including Terminal Value</t>
  </si>
  <si>
    <t>Present Value of Cash Flows Uisng the Loan Rate</t>
  </si>
  <si>
    <t>Total Present Value of Cash Flows to support Debt Service</t>
  </si>
  <si>
    <t>Cushion %</t>
  </si>
  <si>
    <t>Adjusting for cushion</t>
  </si>
  <si>
    <t xml:space="preserve">Maximum Debt based on DCR </t>
  </si>
  <si>
    <t>Less Cash Taxes</t>
  </si>
  <si>
    <t>Cash Flow Available for Debt Service (Unlevered)</t>
  </si>
  <si>
    <t>WACD</t>
  </si>
  <si>
    <t>Total P&amp;I</t>
  </si>
  <si>
    <t>IRR =</t>
  </si>
  <si>
    <t>WACD=</t>
  </si>
  <si>
    <t>Yield/
Interest</t>
  </si>
  <si>
    <t>Current Initial Debt Proposal</t>
  </si>
  <si>
    <t xml:space="preserve"> Max/Proposed</t>
  </si>
  <si>
    <t>Princpal Payment</t>
  </si>
  <si>
    <t>Debt Coverage Ratio</t>
  </si>
  <si>
    <t>Intetest Coverage</t>
  </si>
  <si>
    <t>Interest Coverage</t>
  </si>
  <si>
    <t>at Haircut</t>
  </si>
  <si>
    <t>Liquidation Values</t>
  </si>
  <si>
    <t>Distress Advanced 
Rates
Loan/Value</t>
  </si>
  <si>
    <t>Debt 
Capacity</t>
  </si>
  <si>
    <t>Property and Equipment</t>
  </si>
  <si>
    <t>Asset Coverage =</t>
  </si>
  <si>
    <t>Less Trade/Tax Claims =</t>
  </si>
  <si>
    <t>Trade/tax Claims</t>
  </si>
  <si>
    <t>Net Value =</t>
  </si>
  <si>
    <t>Value/Total Debt =</t>
  </si>
  <si>
    <t>Long-Term Bank Debt =</t>
  </si>
  <si>
    <t>Short Term Bank Debt =</t>
  </si>
  <si>
    <t>Total Bank Debt =</t>
  </si>
  <si>
    <t>Value/Total Bank Debt =</t>
  </si>
  <si>
    <t>Proforma Balance Sheet</t>
  </si>
  <si>
    <t>Sub Debt</t>
  </si>
  <si>
    <t>Pro-Forma
Balance
 Sheet</t>
  </si>
  <si>
    <t>PV= FV (1+i)^t</t>
  </si>
  <si>
    <t>Debt Capacity based on Debt actual Interest and Principal Payment</t>
  </si>
  <si>
    <t>Leverage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</si>
</sst>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\x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_(* #,##0_);_(* \(#,##0\);_(* &quot;-&quot;?_);_(@_)"/>
    <numFmt numFmtId="169" formatCode="0.00\x"/>
    <numFmt numFmtId="170" formatCode="0.000\x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0066FF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rgb="FF0000FF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Alignment="1">
      <alignment horizontal="centerContinuous"/>
    </xf>
    <xf numFmtId="166" fontId="0" fillId="0" borderId="0" xfId="2" applyNumberFormat="1" applyFont="1"/>
    <xf numFmtId="165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0" fontId="6" fillId="0" borderId="0" xfId="3" applyNumberFormat="1" applyFont="1" applyAlignment="1">
      <alignment horizontal="left"/>
    </xf>
    <xf numFmtId="0" fontId="7" fillId="0" borderId="0" xfId="3" applyFont="1" applyAlignment="1">
      <alignment horizontal="centerContinuous"/>
    </xf>
    <xf numFmtId="40" fontId="6" fillId="0" borderId="0" xfId="3" applyNumberFormat="1" applyFont="1" applyAlignment="1">
      <alignment horizontal="center" wrapText="1"/>
    </xf>
    <xf numFmtId="40" fontId="6" fillId="0" borderId="0" xfId="3" applyNumberFormat="1" applyFont="1" applyAlignment="1">
      <alignment horizontal="left" wrapText="1"/>
    </xf>
    <xf numFmtId="0" fontId="6" fillId="2" borderId="0" xfId="0" applyFont="1" applyFill="1" applyAlignment="1">
      <alignment horizontal="right"/>
    </xf>
    <xf numFmtId="0" fontId="8" fillId="3" borderId="0" xfId="3" applyFont="1" applyFill="1"/>
    <xf numFmtId="0" fontId="9" fillId="3" borderId="0" xfId="3" applyFont="1" applyFill="1"/>
    <xf numFmtId="0" fontId="9" fillId="3" borderId="0" xfId="0" applyFont="1" applyFill="1"/>
    <xf numFmtId="0" fontId="6" fillId="4" borderId="5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165" fontId="7" fillId="0" borderId="0" xfId="1" applyNumberFormat="1" applyFont="1" applyFill="1" applyBorder="1"/>
    <xf numFmtId="166" fontId="0" fillId="0" borderId="0" xfId="2" applyNumberFormat="1" applyFont="1" applyFill="1" applyBorder="1"/>
    <xf numFmtId="165" fontId="10" fillId="0" borderId="0" xfId="1" applyNumberFormat="1" applyFont="1" applyFill="1" applyBorder="1"/>
    <xf numFmtId="164" fontId="7" fillId="0" borderId="0" xfId="0" applyNumberFormat="1" applyFont="1" applyAlignment="1">
      <alignment horizontal="center"/>
    </xf>
    <xf numFmtId="44" fontId="7" fillId="0" borderId="0" xfId="4" applyFont="1" applyFill="1" applyBorder="1"/>
    <xf numFmtId="165" fontId="0" fillId="0" borderId="0" xfId="1" applyNumberFormat="1" applyFont="1" applyFill="1" applyBorder="1"/>
    <xf numFmtId="0" fontId="2" fillId="0" borderId="0" xfId="0" applyFont="1"/>
    <xf numFmtId="165" fontId="6" fillId="0" borderId="6" xfId="1" applyNumberFormat="1" applyFont="1" applyFill="1" applyBorder="1"/>
    <xf numFmtId="166" fontId="2" fillId="0" borderId="6" xfId="2" applyNumberFormat="1" applyFont="1" applyFill="1" applyBorder="1"/>
    <xf numFmtId="164" fontId="6" fillId="0" borderId="6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11" fillId="0" borderId="0" xfId="0" applyNumberFormat="1" applyFont="1"/>
    <xf numFmtId="166" fontId="6" fillId="0" borderId="6" xfId="2" applyNumberFormat="1" applyFont="1" applyFill="1" applyBorder="1"/>
    <xf numFmtId="0" fontId="11" fillId="0" borderId="0" xfId="0" applyFont="1"/>
    <xf numFmtId="0" fontId="7" fillId="0" borderId="0" xfId="0" applyFont="1"/>
    <xf numFmtId="165" fontId="6" fillId="0" borderId="5" xfId="1" applyNumberFormat="1" applyFont="1" applyFill="1" applyBorder="1"/>
    <xf numFmtId="166" fontId="2" fillId="0" borderId="5" xfId="2" applyNumberFormat="1" applyFont="1" applyFill="1" applyBorder="1"/>
    <xf numFmtId="164" fontId="2" fillId="0" borderId="5" xfId="0" applyNumberFormat="1" applyFont="1" applyBorder="1" applyAlignment="1">
      <alignment horizontal="center"/>
    </xf>
    <xf numFmtId="0" fontId="12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165" fontId="6" fillId="0" borderId="0" xfId="4" applyNumberFormat="1" applyFont="1" applyFill="1" applyBorder="1"/>
    <xf numFmtId="0" fontId="2" fillId="0" borderId="0" xfId="0" applyFont="1" applyAlignment="1">
      <alignment horizontal="right" vertical="top"/>
    </xf>
    <xf numFmtId="41" fontId="4" fillId="0" borderId="0" xfId="1" quotePrefix="1" applyNumberFormat="1" applyFont="1" applyBorder="1"/>
    <xf numFmtId="41" fontId="0" fillId="0" borderId="0" xfId="0" applyNumberFormat="1"/>
    <xf numFmtId="41" fontId="2" fillId="0" borderId="0" xfId="0" applyNumberFormat="1" applyFont="1"/>
    <xf numFmtId="0" fontId="10" fillId="0" borderId="0" xfId="0" applyFont="1"/>
    <xf numFmtId="9" fontId="0" fillId="0" borderId="0" xfId="2" applyFont="1"/>
    <xf numFmtId="38" fontId="6" fillId="0" borderId="5" xfId="3" applyNumberFormat="1" applyFont="1" applyBorder="1"/>
    <xf numFmtId="40" fontId="6" fillId="0" borderId="0" xfId="3" applyNumberFormat="1" applyFont="1"/>
    <xf numFmtId="17" fontId="2" fillId="4" borderId="2" xfId="0" applyNumberFormat="1" applyFont="1" applyFill="1" applyBorder="1" applyAlignment="1">
      <alignment horizontal="center"/>
    </xf>
    <xf numFmtId="17" fontId="2" fillId="4" borderId="17" xfId="0" applyNumberFormat="1" applyFont="1" applyFill="1" applyBorder="1" applyAlignment="1">
      <alignment horizontal="center"/>
    </xf>
    <xf numFmtId="40" fontId="2" fillId="0" borderId="0" xfId="3" applyNumberFormat="1" applyFont="1"/>
    <xf numFmtId="40" fontId="5" fillId="0" borderId="0" xfId="3" applyNumberFormat="1" applyFont="1"/>
    <xf numFmtId="40" fontId="7" fillId="0" borderId="0" xfId="3" applyNumberFormat="1" applyFont="1"/>
    <xf numFmtId="43" fontId="0" fillId="0" borderId="0" xfId="1" applyFont="1" applyBorder="1"/>
    <xf numFmtId="166" fontId="13" fillId="0" borderId="0" xfId="1" applyNumberFormat="1" applyFont="1" applyBorder="1"/>
    <xf numFmtId="44" fontId="6" fillId="0" borderId="0" xfId="4" applyFont="1" applyBorder="1"/>
    <xf numFmtId="165" fontId="7" fillId="0" borderId="0" xfId="1" applyNumberFormat="1" applyFont="1"/>
    <xf numFmtId="165" fontId="2" fillId="0" borderId="0" xfId="1" applyNumberFormat="1" applyFont="1" applyFill="1" applyBorder="1" applyAlignment="1">
      <alignment horizontal="center"/>
    </xf>
    <xf numFmtId="165" fontId="0" fillId="0" borderId="0" xfId="1" applyNumberFormat="1" applyFont="1" applyBorder="1"/>
    <xf numFmtId="10" fontId="13" fillId="0" borderId="0" xfId="1" applyNumberFormat="1" applyFont="1" applyBorder="1"/>
    <xf numFmtId="165" fontId="6" fillId="0" borderId="0" xfId="1" applyNumberFormat="1" applyFont="1" applyBorder="1"/>
    <xf numFmtId="165" fontId="7" fillId="0" borderId="0" xfId="1" applyNumberFormat="1" applyFont="1" applyBorder="1"/>
    <xf numFmtId="43" fontId="13" fillId="0" borderId="0" xfId="1" applyFont="1" applyBorder="1"/>
    <xf numFmtId="165" fontId="2" fillId="0" borderId="0" xfId="1" applyNumberFormat="1" applyFont="1" applyBorder="1" applyAlignment="1">
      <alignment horizontal="right"/>
    </xf>
    <xf numFmtId="0" fontId="2" fillId="0" borderId="0" xfId="0" quotePrefix="1" applyFont="1"/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166" fontId="0" fillId="0" borderId="0" xfId="2" applyNumberFormat="1" applyFont="1" applyBorder="1"/>
    <xf numFmtId="167" fontId="0" fillId="0" borderId="0" xfId="1" applyNumberFormat="1" applyFont="1"/>
    <xf numFmtId="168" fontId="0" fillId="0" borderId="0" xfId="1" applyNumberFormat="1" applyFont="1" applyBorder="1"/>
    <xf numFmtId="0" fontId="2" fillId="0" borderId="0" xfId="0" applyFont="1" applyAlignment="1">
      <alignment horizontal="centerContinuous"/>
    </xf>
    <xf numFmtId="168" fontId="0" fillId="0" borderId="0" xfId="1" applyNumberFormat="1" applyFont="1"/>
    <xf numFmtId="168" fontId="0" fillId="0" borderId="0" xfId="1" applyNumberFormat="1" applyFont="1" applyFill="1" applyBorder="1"/>
    <xf numFmtId="168" fontId="2" fillId="0" borderId="0" xfId="0" applyNumberFormat="1" applyFont="1" applyAlignment="1">
      <alignment horizontal="centerContinuous"/>
    </xf>
    <xf numFmtId="0" fontId="14" fillId="0" borderId="0" xfId="0" applyFont="1"/>
    <xf numFmtId="0" fontId="13" fillId="0" borderId="0" xfId="0" applyFont="1"/>
    <xf numFmtId="168" fontId="10" fillId="0" borderId="0" xfId="1" applyNumberFormat="1" applyFont="1" applyFill="1" applyBorder="1"/>
    <xf numFmtId="0" fontId="6" fillId="0" borderId="18" xfId="0" applyFont="1" applyBorder="1" applyAlignment="1">
      <alignment horizontal="center"/>
    </xf>
    <xf numFmtId="17" fontId="6" fillId="4" borderId="2" xfId="0" applyNumberFormat="1" applyFont="1" applyFill="1" applyBorder="1" applyAlignment="1">
      <alignment horizontal="center"/>
    </xf>
    <xf numFmtId="10" fontId="10" fillId="0" borderId="0" xfId="2" applyNumberFormat="1" applyFont="1" applyBorder="1"/>
    <xf numFmtId="167" fontId="11" fillId="0" borderId="0" xfId="1" applyNumberFormat="1" applyFont="1"/>
    <xf numFmtId="10" fontId="0" fillId="0" borderId="0" xfId="2" applyNumberFormat="1" applyFont="1" applyBorder="1"/>
    <xf numFmtId="10" fontId="10" fillId="0" borderId="0" xfId="0" applyNumberFormat="1" applyFont="1"/>
    <xf numFmtId="165" fontId="2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quotePrefix="1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168" fontId="0" fillId="0" borderId="6" xfId="1" applyNumberFormat="1" applyFont="1" applyBorder="1"/>
    <xf numFmtId="0" fontId="0" fillId="0" borderId="4" xfId="0" applyBorder="1"/>
    <xf numFmtId="0" fontId="7" fillId="0" borderId="0" xfId="0" applyFont="1" applyAlignment="1">
      <alignment horizontal="right"/>
    </xf>
    <xf numFmtId="168" fontId="0" fillId="0" borderId="4" xfId="1" applyNumberFormat="1" applyFont="1" applyBorder="1"/>
    <xf numFmtId="165" fontId="0" fillId="0" borderId="5" xfId="1" applyNumberFormat="1" applyFont="1" applyFill="1" applyBorder="1"/>
    <xf numFmtId="0" fontId="2" fillId="0" borderId="0" xfId="0" applyFont="1" applyAlignment="1">
      <alignment horizontal="right"/>
    </xf>
    <xf numFmtId="168" fontId="0" fillId="0" borderId="0" xfId="0" applyNumberFormat="1"/>
    <xf numFmtId="168" fontId="2" fillId="0" borderId="6" xfId="1" applyNumberFormat="1" applyFont="1" applyFill="1" applyBorder="1"/>
    <xf numFmtId="168" fontId="0" fillId="0" borderId="6" xfId="1" applyNumberFormat="1" applyFont="1" applyFill="1" applyBorder="1"/>
    <xf numFmtId="165" fontId="0" fillId="0" borderId="4" xfId="1" applyNumberFormat="1" applyFont="1" applyFill="1" applyBorder="1"/>
    <xf numFmtId="168" fontId="0" fillId="0" borderId="5" xfId="1" applyNumberFormat="1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165" fontId="11" fillId="0" borderId="0" xfId="1" applyNumberFormat="1" applyFont="1" applyBorder="1"/>
    <xf numFmtId="165" fontId="6" fillId="0" borderId="0" xfId="1" applyNumberFormat="1" applyFont="1" applyBorder="1" applyAlignment="1">
      <alignment horizontal="left"/>
    </xf>
    <xf numFmtId="165" fontId="6" fillId="0" borderId="0" xfId="1" applyNumberFormat="1" applyFont="1" applyBorder="1" applyAlignment="1">
      <alignment horizontal="centerContinuous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centerContinuous"/>
    </xf>
    <xf numFmtId="165" fontId="7" fillId="0" borderId="6" xfId="1" applyNumberFormat="1" applyFont="1" applyFill="1" applyBorder="1"/>
    <xf numFmtId="165" fontId="7" fillId="0" borderId="5" xfId="1" applyNumberFormat="1" applyFont="1" applyFill="1" applyBorder="1"/>
    <xf numFmtId="0" fontId="7" fillId="0" borderId="0" xfId="3" applyFont="1" applyAlignment="1">
      <alignment horizontal="right"/>
    </xf>
    <xf numFmtId="40" fontId="6" fillId="0" borderId="0" xfId="3" applyNumberFormat="1" applyFont="1" applyAlignment="1">
      <alignment horizontal="right" wrapText="1"/>
    </xf>
    <xf numFmtId="0" fontId="0" fillId="0" borderId="0" xfId="0" applyAlignment="1">
      <alignment horizontal="right"/>
    </xf>
    <xf numFmtId="0" fontId="8" fillId="3" borderId="0" xfId="3" quotePrefix="1" applyFont="1" applyFill="1"/>
    <xf numFmtId="0" fontId="8" fillId="3" borderId="0" xfId="3" applyFont="1" applyFill="1" applyAlignment="1">
      <alignment horizontal="right"/>
    </xf>
    <xf numFmtId="17" fontId="2" fillId="5" borderId="2" xfId="0" applyNumberFormat="1" applyFont="1" applyFill="1" applyBorder="1" applyAlignment="1">
      <alignment horizontal="right"/>
    </xf>
    <xf numFmtId="0" fontId="15" fillId="0" borderId="0" xfId="0" applyFont="1"/>
    <xf numFmtId="169" fontId="0" fillId="0" borderId="0" xfId="1" applyNumberFormat="1" applyFont="1" applyFill="1" applyBorder="1" applyAlignment="1">
      <alignment horizontal="right"/>
    </xf>
    <xf numFmtId="168" fontId="0" fillId="0" borderId="0" xfId="1" applyNumberFormat="1" applyFont="1" applyFill="1" applyBorder="1" applyAlignment="1">
      <alignment horizontal="right"/>
    </xf>
    <xf numFmtId="168" fontId="0" fillId="0" borderId="0" xfId="0" applyNumberFormat="1" applyAlignment="1">
      <alignment horizontal="right"/>
    </xf>
    <xf numFmtId="166" fontId="0" fillId="0" borderId="0" xfId="2" applyNumberFormat="1" applyFont="1" applyBorder="1" applyAlignment="1">
      <alignment horizontal="right"/>
    </xf>
    <xf numFmtId="0" fontId="16" fillId="0" borderId="0" xfId="0" applyFont="1"/>
    <xf numFmtId="0" fontId="13" fillId="0" borderId="0" xfId="0" applyFont="1" applyAlignment="1">
      <alignment horizontal="right"/>
    </xf>
    <xf numFmtId="166" fontId="0" fillId="0" borderId="0" xfId="2" applyNumberFormat="1" applyFont="1" applyAlignment="1">
      <alignment horizontal="right"/>
    </xf>
    <xf numFmtId="0" fontId="14" fillId="4" borderId="7" xfId="0" applyFont="1" applyFill="1" applyBorder="1" applyAlignment="1">
      <alignment horizontal="left" wrapText="1"/>
    </xf>
    <xf numFmtId="0" fontId="6" fillId="4" borderId="7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164" fontId="11" fillId="0" borderId="9" xfId="1" applyNumberFormat="1" applyFont="1" applyBorder="1" applyAlignment="1">
      <alignment horizontal="center"/>
    </xf>
    <xf numFmtId="164" fontId="11" fillId="0" borderId="10" xfId="1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4" fontId="11" fillId="0" borderId="11" xfId="1" applyNumberFormat="1" applyFont="1" applyBorder="1" applyAlignment="1">
      <alignment horizontal="center"/>
    </xf>
    <xf numFmtId="164" fontId="11" fillId="0" borderId="12" xfId="1" applyNumberFormat="1" applyFont="1" applyBorder="1" applyAlignment="1">
      <alignment horizontal="center"/>
    </xf>
    <xf numFmtId="164" fontId="7" fillId="0" borderId="11" xfId="1" applyNumberFormat="1" applyFont="1" applyBorder="1" applyAlignment="1">
      <alignment horizontal="center"/>
    </xf>
    <xf numFmtId="41" fontId="7" fillId="0" borderId="12" xfId="1" applyNumberFormat="1" applyFont="1" applyBorder="1" applyAlignment="1">
      <alignment horizontal="center"/>
    </xf>
    <xf numFmtId="164" fontId="11" fillId="0" borderId="0" xfId="1" applyNumberFormat="1" applyFont="1" applyBorder="1" applyAlignment="1">
      <alignment horizontal="center"/>
    </xf>
    <xf numFmtId="41" fontId="11" fillId="0" borderId="0" xfId="1" quotePrefix="1" applyNumberFormat="1" applyFont="1" applyBorder="1"/>
    <xf numFmtId="164" fontId="7" fillId="0" borderId="0" xfId="1" applyNumberFormat="1" applyFont="1" applyBorder="1" applyAlignment="1">
      <alignment horizontal="center"/>
    </xf>
    <xf numFmtId="41" fontId="7" fillId="0" borderId="14" xfId="1" applyNumberFormat="1" applyFont="1" applyBorder="1" applyAlignment="1">
      <alignment horizontal="center"/>
    </xf>
    <xf numFmtId="165" fontId="7" fillId="0" borderId="4" xfId="1" applyNumberFormat="1" applyFont="1" applyBorder="1"/>
    <xf numFmtId="166" fontId="0" fillId="0" borderId="4" xfId="2" applyNumberFormat="1" applyFont="1" applyBorder="1"/>
    <xf numFmtId="164" fontId="7" fillId="0" borderId="4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/>
    </xf>
    <xf numFmtId="164" fontId="7" fillId="0" borderId="13" xfId="1" applyNumberFormat="1" applyFont="1" applyBorder="1" applyAlignment="1">
      <alignment horizontal="center"/>
    </xf>
    <xf numFmtId="41" fontId="2" fillId="0" borderId="12" xfId="0" applyNumberFormat="1" applyFont="1" applyBorder="1" applyAlignment="1">
      <alignment horizontal="center"/>
    </xf>
    <xf numFmtId="0" fontId="2" fillId="0" borderId="5" xfId="0" applyFont="1" applyBorder="1"/>
    <xf numFmtId="41" fontId="2" fillId="0" borderId="5" xfId="0" applyNumberFormat="1" applyFont="1" applyBorder="1"/>
    <xf numFmtId="164" fontId="6" fillId="0" borderId="15" xfId="1" applyNumberFormat="1" applyFont="1" applyBorder="1" applyAlignment="1">
      <alignment horizontal="center" vertical="center"/>
    </xf>
    <xf numFmtId="41" fontId="6" fillId="0" borderId="16" xfId="1" applyNumberFormat="1" applyFont="1" applyBorder="1" applyAlignment="1">
      <alignment horizontal="center" vertical="center"/>
    </xf>
    <xf numFmtId="166" fontId="0" fillId="0" borderId="5" xfId="2" applyNumberFormat="1" applyFont="1" applyBorder="1"/>
    <xf numFmtId="164" fontId="2" fillId="0" borderId="5" xfId="1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43" fontId="1" fillId="0" borderId="0" xfId="1" applyFont="1" applyBorder="1"/>
    <xf numFmtId="0" fontId="6" fillId="0" borderId="0" xfId="0" applyFont="1" applyAlignment="1">
      <alignment horizontal="center"/>
    </xf>
    <xf numFmtId="0" fontId="0" fillId="2" borderId="0" xfId="0" applyFill="1"/>
    <xf numFmtId="164" fontId="0" fillId="0" borderId="0" xfId="0" applyNumberFormat="1" applyAlignment="1">
      <alignment horizontal="center"/>
    </xf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vertical="top"/>
    </xf>
    <xf numFmtId="0" fontId="0" fillId="0" borderId="8" xfId="0" applyBorder="1"/>
    <xf numFmtId="41" fontId="0" fillId="0" borderId="4" xfId="0" applyNumberFormat="1" applyBorder="1"/>
    <xf numFmtId="167" fontId="0" fillId="0" borderId="0" xfId="0" applyNumberFormat="1"/>
    <xf numFmtId="165" fontId="0" fillId="6" borderId="20" xfId="1" applyNumberFormat="1" applyFont="1" applyFill="1" applyBorder="1"/>
    <xf numFmtId="165" fontId="0" fillId="6" borderId="0" xfId="1" applyNumberFormat="1" applyFont="1" applyFill="1" applyBorder="1"/>
    <xf numFmtId="0" fontId="0" fillId="6" borderId="0" xfId="0" applyFill="1"/>
    <xf numFmtId="0" fontId="2" fillId="0" borderId="0" xfId="3" applyFont="1" applyAlignment="1">
      <alignment horizontal="center"/>
    </xf>
    <xf numFmtId="0" fontId="2" fillId="0" borderId="6" xfId="0" applyFont="1" applyBorder="1"/>
    <xf numFmtId="41" fontId="2" fillId="0" borderId="6" xfId="0" applyNumberFormat="1" applyFont="1" applyBorder="1"/>
    <xf numFmtId="164" fontId="6" fillId="0" borderId="21" xfId="1" applyNumberFormat="1" applyFont="1" applyBorder="1" applyAlignment="1">
      <alignment horizontal="center" vertical="center"/>
    </xf>
    <xf numFmtId="41" fontId="6" fillId="0" borderId="22" xfId="1" applyNumberFormat="1" applyFont="1" applyBorder="1" applyAlignment="1">
      <alignment horizontal="center"/>
    </xf>
    <xf numFmtId="166" fontId="2" fillId="0" borderId="6" xfId="2" applyNumberFormat="1" applyFont="1" applyBorder="1"/>
    <xf numFmtId="164" fontId="6" fillId="0" borderId="6" xfId="1" applyNumberFormat="1" applyFont="1" applyBorder="1" applyAlignment="1">
      <alignment horizontal="center"/>
    </xf>
    <xf numFmtId="43" fontId="13" fillId="0" borderId="20" xfId="1" applyFont="1" applyBorder="1"/>
    <xf numFmtId="166" fontId="13" fillId="0" borderId="20" xfId="1" applyNumberFormat="1" applyFont="1" applyBorder="1"/>
    <xf numFmtId="44" fontId="6" fillId="0" borderId="20" xfId="4" applyFont="1" applyBorder="1"/>
    <xf numFmtId="165" fontId="0" fillId="0" borderId="20" xfId="1" applyNumberFormat="1" applyFont="1" applyBorder="1"/>
    <xf numFmtId="10" fontId="13" fillId="0" borderId="20" xfId="1" applyNumberFormat="1" applyFont="1" applyBorder="1"/>
    <xf numFmtId="38" fontId="6" fillId="0" borderId="23" xfId="3" applyNumberFormat="1" applyFont="1" applyBorder="1"/>
    <xf numFmtId="40" fontId="6" fillId="0" borderId="20" xfId="3" applyNumberFormat="1" applyFont="1" applyBorder="1"/>
    <xf numFmtId="165" fontId="7" fillId="0" borderId="20" xfId="1" applyNumberFormat="1" applyFont="1" applyBorder="1"/>
    <xf numFmtId="40" fontId="2" fillId="0" borderId="20" xfId="3" applyNumberFormat="1" applyFont="1" applyBorder="1"/>
    <xf numFmtId="165" fontId="13" fillId="0" borderId="20" xfId="1" applyNumberFormat="1" applyFont="1" applyBorder="1"/>
    <xf numFmtId="38" fontId="17" fillId="0" borderId="23" xfId="3" applyNumberFormat="1" applyFont="1" applyBorder="1"/>
    <xf numFmtId="166" fontId="7" fillId="0" borderId="20" xfId="2" applyNumberFormat="1" applyFont="1" applyBorder="1"/>
    <xf numFmtId="165" fontId="17" fillId="0" borderId="20" xfId="1" applyNumberFormat="1" applyFont="1" applyBorder="1"/>
    <xf numFmtId="166" fontId="1" fillId="0" borderId="0" xfId="1" applyNumberFormat="1" applyFont="1" applyBorder="1"/>
    <xf numFmtId="10" fontId="1" fillId="0" borderId="0" xfId="1" applyNumberFormat="1" applyFont="1" applyBorder="1"/>
    <xf numFmtId="40" fontId="5" fillId="2" borderId="0" xfId="0" applyNumberFormat="1" applyFont="1" applyFill="1" applyAlignment="1">
      <alignment horizontal="left"/>
    </xf>
    <xf numFmtId="166" fontId="7" fillId="0" borderId="0" xfId="1" applyNumberFormat="1" applyFont="1" applyBorder="1"/>
    <xf numFmtId="0" fontId="2" fillId="6" borderId="0" xfId="3" applyFont="1" applyFill="1" applyAlignment="1">
      <alignment horizontal="center"/>
    </xf>
    <xf numFmtId="43" fontId="0" fillId="6" borderId="20" xfId="1" applyFont="1" applyFill="1" applyBorder="1"/>
    <xf numFmtId="43" fontId="0" fillId="6" borderId="0" xfId="1" applyFont="1" applyFill="1" applyBorder="1"/>
    <xf numFmtId="166" fontId="13" fillId="6" borderId="20" xfId="1" applyNumberFormat="1" applyFont="1" applyFill="1" applyBorder="1"/>
    <xf numFmtId="166" fontId="13" fillId="6" borderId="0" xfId="1" applyNumberFormat="1" applyFont="1" applyFill="1" applyBorder="1"/>
    <xf numFmtId="44" fontId="6" fillId="6" borderId="20" xfId="4" applyFont="1" applyFill="1" applyBorder="1"/>
    <xf numFmtId="44" fontId="6" fillId="6" borderId="0" xfId="4" applyFont="1" applyFill="1" applyBorder="1"/>
    <xf numFmtId="10" fontId="13" fillId="6" borderId="20" xfId="1" applyNumberFormat="1" applyFont="1" applyFill="1" applyBorder="1"/>
    <xf numFmtId="10" fontId="13" fillId="6" borderId="0" xfId="1" applyNumberFormat="1" applyFont="1" applyFill="1" applyBorder="1"/>
    <xf numFmtId="38" fontId="6" fillId="6" borderId="23" xfId="3" applyNumberFormat="1" applyFont="1" applyFill="1" applyBorder="1"/>
    <xf numFmtId="38" fontId="6" fillId="6" borderId="5" xfId="3" applyNumberFormat="1" applyFont="1" applyFill="1" applyBorder="1"/>
    <xf numFmtId="165" fontId="6" fillId="6" borderId="20" xfId="1" applyNumberFormat="1" applyFont="1" applyFill="1" applyBorder="1"/>
    <xf numFmtId="165" fontId="6" fillId="6" borderId="0" xfId="1" applyNumberFormat="1" applyFont="1" applyFill="1" applyBorder="1"/>
    <xf numFmtId="40" fontId="6" fillId="6" borderId="20" xfId="3" applyNumberFormat="1" applyFont="1" applyFill="1" applyBorder="1"/>
    <xf numFmtId="40" fontId="6" fillId="6" borderId="0" xfId="3" applyNumberFormat="1" applyFont="1" applyFill="1"/>
    <xf numFmtId="166" fontId="7" fillId="6" borderId="20" xfId="1" applyNumberFormat="1" applyFont="1" applyFill="1" applyBorder="1"/>
    <xf numFmtId="165" fontId="7" fillId="6" borderId="20" xfId="1" applyNumberFormat="1" applyFont="1" applyFill="1" applyBorder="1"/>
    <xf numFmtId="165" fontId="7" fillId="6" borderId="0" xfId="1" applyNumberFormat="1" applyFont="1" applyFill="1" applyBorder="1"/>
    <xf numFmtId="40" fontId="2" fillId="6" borderId="20" xfId="3" applyNumberFormat="1" applyFont="1" applyFill="1" applyBorder="1"/>
    <xf numFmtId="40" fontId="2" fillId="6" borderId="0" xfId="3" applyNumberFormat="1" applyFont="1" applyFill="1"/>
    <xf numFmtId="43" fontId="7" fillId="6" borderId="20" xfId="1" applyFont="1" applyFill="1" applyBorder="1"/>
    <xf numFmtId="43" fontId="13" fillId="6" borderId="0" xfId="1" applyFont="1" applyFill="1" applyBorder="1"/>
    <xf numFmtId="43" fontId="13" fillId="6" borderId="20" xfId="1" applyFont="1" applyFill="1" applyBorder="1"/>
    <xf numFmtId="40" fontId="17" fillId="6" borderId="20" xfId="3" applyNumberFormat="1" applyFont="1" applyFill="1" applyBorder="1"/>
    <xf numFmtId="40" fontId="17" fillId="6" borderId="0" xfId="3" applyNumberFormat="1" applyFont="1" applyFill="1"/>
    <xf numFmtId="0" fontId="0" fillId="0" borderId="0" xfId="0" applyAlignment="1">
      <alignment horizontal="center" vertical="center"/>
    </xf>
    <xf numFmtId="0" fontId="8" fillId="3" borderId="0" xfId="3" applyFont="1" applyFill="1" applyAlignment="1">
      <alignment vertical="center"/>
    </xf>
    <xf numFmtId="166" fontId="1" fillId="6" borderId="20" xfId="1" applyNumberFormat="1" applyFont="1" applyFill="1" applyBorder="1"/>
    <xf numFmtId="0" fontId="2" fillId="8" borderId="0" xfId="3" applyFont="1" applyFill="1" applyAlignment="1">
      <alignment horizontal="center"/>
    </xf>
    <xf numFmtId="40" fontId="5" fillId="8" borderId="20" xfId="3" applyNumberFormat="1" applyFont="1" applyFill="1" applyBorder="1"/>
    <xf numFmtId="40" fontId="5" fillId="8" borderId="0" xfId="3" applyNumberFormat="1" applyFont="1" applyFill="1"/>
    <xf numFmtId="43" fontId="0" fillId="8" borderId="20" xfId="1" applyFont="1" applyFill="1" applyBorder="1"/>
    <xf numFmtId="43" fontId="0" fillId="8" borderId="0" xfId="1" applyFont="1" applyFill="1" applyBorder="1"/>
    <xf numFmtId="166" fontId="13" fillId="8" borderId="20" xfId="1" applyNumberFormat="1" applyFont="1" applyFill="1" applyBorder="1"/>
    <xf numFmtId="166" fontId="13" fillId="8" borderId="0" xfId="1" applyNumberFormat="1" applyFont="1" applyFill="1" applyBorder="1"/>
    <xf numFmtId="166" fontId="1" fillId="8" borderId="20" xfId="1" applyNumberFormat="1" applyFont="1" applyFill="1" applyBorder="1"/>
    <xf numFmtId="44" fontId="6" fillId="8" borderId="20" xfId="4" applyFont="1" applyFill="1" applyBorder="1"/>
    <xf numFmtId="44" fontId="6" fillId="8" borderId="0" xfId="4" applyFont="1" applyFill="1" applyBorder="1"/>
    <xf numFmtId="165" fontId="0" fillId="8" borderId="20" xfId="1" applyNumberFormat="1" applyFont="1" applyFill="1" applyBorder="1"/>
    <xf numFmtId="165" fontId="0" fillId="8" borderId="0" xfId="1" applyNumberFormat="1" applyFont="1" applyFill="1" applyBorder="1"/>
    <xf numFmtId="10" fontId="13" fillId="8" borderId="20" xfId="1" applyNumberFormat="1" applyFont="1" applyFill="1" applyBorder="1"/>
    <xf numFmtId="10" fontId="13" fillId="8" borderId="0" xfId="1" applyNumberFormat="1" applyFont="1" applyFill="1" applyBorder="1"/>
    <xf numFmtId="38" fontId="6" fillId="8" borderId="23" xfId="3" applyNumberFormat="1" applyFont="1" applyFill="1" applyBorder="1"/>
    <xf numFmtId="38" fontId="6" fillId="8" borderId="5" xfId="3" applyNumberFormat="1" applyFont="1" applyFill="1" applyBorder="1"/>
    <xf numFmtId="165" fontId="6" fillId="8" borderId="20" xfId="1" applyNumberFormat="1" applyFont="1" applyFill="1" applyBorder="1"/>
    <xf numFmtId="165" fontId="6" fillId="8" borderId="0" xfId="1" applyNumberFormat="1" applyFont="1" applyFill="1" applyBorder="1"/>
    <xf numFmtId="40" fontId="6" fillId="8" borderId="20" xfId="3" applyNumberFormat="1" applyFont="1" applyFill="1" applyBorder="1"/>
    <xf numFmtId="40" fontId="6" fillId="8" borderId="0" xfId="3" applyNumberFormat="1" applyFont="1" applyFill="1"/>
    <xf numFmtId="165" fontId="7" fillId="8" borderId="20" xfId="1" applyNumberFormat="1" applyFont="1" applyFill="1" applyBorder="1"/>
    <xf numFmtId="165" fontId="7" fillId="8" borderId="0" xfId="1" applyNumberFormat="1" applyFont="1" applyFill="1" applyBorder="1"/>
    <xf numFmtId="40" fontId="2" fillId="8" borderId="20" xfId="3" applyNumberFormat="1" applyFont="1" applyFill="1" applyBorder="1"/>
    <xf numFmtId="40" fontId="2" fillId="8" borderId="0" xfId="3" applyNumberFormat="1" applyFont="1" applyFill="1"/>
    <xf numFmtId="43" fontId="1" fillId="8" borderId="20" xfId="1" applyFont="1" applyFill="1" applyBorder="1"/>
    <xf numFmtId="43" fontId="13" fillId="8" borderId="0" xfId="1" applyFont="1" applyFill="1" applyBorder="1"/>
    <xf numFmtId="0" fontId="0" fillId="8" borderId="0" xfId="0" applyFill="1"/>
    <xf numFmtId="0" fontId="0" fillId="0" borderId="2" xfId="0" applyBorder="1" applyAlignment="1">
      <alignment horizontal="centerContinuous" vertical="center"/>
    </xf>
    <xf numFmtId="0" fontId="0" fillId="0" borderId="0" xfId="0" applyAlignment="1">
      <alignment horizontal="left"/>
    </xf>
    <xf numFmtId="0" fontId="0" fillId="0" borderId="17" xfId="0" applyBorder="1" applyAlignment="1">
      <alignment horizontal="centerContinuous" vertical="center"/>
    </xf>
    <xf numFmtId="41" fontId="13" fillId="0" borderId="0" xfId="1" quotePrefix="1" applyNumberFormat="1" applyFont="1" applyBorder="1"/>
    <xf numFmtId="165" fontId="17" fillId="0" borderId="0" xfId="4" applyNumberFormat="1" applyFont="1" applyFill="1" applyBorder="1"/>
    <xf numFmtId="10" fontId="13" fillId="0" borderId="0" xfId="0" applyNumberFormat="1" applyFont="1"/>
    <xf numFmtId="165" fontId="13" fillId="0" borderId="0" xfId="1" applyNumberFormat="1" applyFont="1" applyBorder="1"/>
    <xf numFmtId="0" fontId="2" fillId="0" borderId="24" xfId="0" applyFont="1" applyBorder="1" applyAlignment="1">
      <alignment horizontal="center" vertical="center"/>
    </xf>
    <xf numFmtId="167" fontId="0" fillId="0" borderId="0" xfId="1" applyNumberFormat="1" applyFont="1" applyFill="1" applyBorder="1"/>
    <xf numFmtId="165" fontId="7" fillId="0" borderId="25" xfId="1" applyNumberFormat="1" applyFont="1" applyFill="1" applyBorder="1"/>
    <xf numFmtId="0" fontId="0" fillId="0" borderId="25" xfId="0" applyBorder="1"/>
    <xf numFmtId="167" fontId="0" fillId="0" borderId="0" xfId="1" applyNumberFormat="1" applyFont="1" applyFill="1"/>
    <xf numFmtId="165" fontId="13" fillId="0" borderId="25" xfId="1" applyNumberFormat="1" applyFont="1" applyFill="1" applyBorder="1"/>
    <xf numFmtId="168" fontId="0" fillId="0" borderId="26" xfId="1" applyNumberFormat="1" applyFont="1" applyFill="1" applyBorder="1"/>
    <xf numFmtId="166" fontId="0" fillId="0" borderId="25" xfId="2" applyNumberFormat="1" applyFont="1" applyFill="1" applyBorder="1"/>
    <xf numFmtId="168" fontId="13" fillId="0" borderId="25" xfId="1" applyNumberFormat="1" applyFont="1" applyFill="1" applyBorder="1"/>
    <xf numFmtId="166" fontId="0" fillId="0" borderId="0" xfId="2" applyNumberFormat="1" applyFont="1" applyFill="1"/>
    <xf numFmtId="0" fontId="7" fillId="0" borderId="0" xfId="1" applyNumberFormat="1" applyFont="1" applyBorder="1" applyAlignment="1">
      <alignment horizontal="left"/>
    </xf>
    <xf numFmtId="165" fontId="0" fillId="0" borderId="26" xfId="1" applyNumberFormat="1" applyFont="1" applyFill="1" applyBorder="1"/>
    <xf numFmtId="165" fontId="0" fillId="0" borderId="26" xfId="1" applyNumberFormat="1" applyFont="1" applyBorder="1"/>
    <xf numFmtId="0" fontId="0" fillId="0" borderId="27" xfId="0" applyBorder="1"/>
    <xf numFmtId="165" fontId="13" fillId="0" borderId="0" xfId="1" applyNumberFormat="1" applyFont="1" applyFill="1" applyBorder="1"/>
    <xf numFmtId="165" fontId="1" fillId="0" borderId="6" xfId="1" applyNumberFormat="1" applyFont="1" applyFill="1" applyBorder="1"/>
    <xf numFmtId="43" fontId="0" fillId="0" borderId="0" xfId="1" applyFont="1"/>
    <xf numFmtId="165" fontId="0" fillId="0" borderId="20" xfId="1" applyNumberFormat="1" applyFont="1" applyFill="1" applyBorder="1"/>
    <xf numFmtId="165" fontId="7" fillId="0" borderId="18" xfId="1" applyNumberFormat="1" applyFont="1" applyFill="1" applyBorder="1"/>
    <xf numFmtId="165" fontId="1" fillId="0" borderId="18" xfId="1" applyNumberFormat="1" applyFont="1" applyFill="1" applyBorder="1"/>
    <xf numFmtId="165" fontId="7" fillId="0" borderId="23" xfId="1" applyNumberFormat="1" applyFont="1" applyFill="1" applyBorder="1"/>
    <xf numFmtId="165" fontId="1" fillId="0" borderId="28" xfId="1" applyNumberFormat="1" applyFont="1" applyFill="1" applyBorder="1"/>
    <xf numFmtId="169" fontId="13" fillId="0" borderId="0" xfId="1" applyNumberFormat="1" applyFont="1" applyFill="1" applyBorder="1" applyAlignment="1">
      <alignment horizontal="right"/>
    </xf>
    <xf numFmtId="169" fontId="13" fillId="0" borderId="0" xfId="1" applyNumberFormat="1" applyFont="1" applyFill="1" applyBorder="1"/>
    <xf numFmtId="0" fontId="0" fillId="6" borderId="0" xfId="0" applyFill="1" applyAlignment="1">
      <alignment horizontal="center" vertical="center"/>
    </xf>
    <xf numFmtId="0" fontId="13" fillId="7" borderId="30" xfId="0" applyFont="1" applyFill="1" applyBorder="1" applyAlignment="1">
      <alignment horizontal="center" vertical="center"/>
    </xf>
    <xf numFmtId="38" fontId="7" fillId="0" borderId="0" xfId="3" applyNumberFormat="1" applyFont="1" applyAlignment="1">
      <alignment horizontal="center" wrapText="1"/>
    </xf>
    <xf numFmtId="41" fontId="0" fillId="0" borderId="4" xfId="1" applyNumberFormat="1" applyFont="1" applyBorder="1"/>
    <xf numFmtId="41" fontId="0" fillId="0" borderId="0" xfId="1" applyNumberFormat="1" applyFont="1" applyBorder="1"/>
    <xf numFmtId="9" fontId="0" fillId="0" borderId="0" xfId="0" applyNumberFormat="1"/>
    <xf numFmtId="165" fontId="0" fillId="0" borderId="5" xfId="0" applyNumberFormat="1" applyBorder="1"/>
    <xf numFmtId="0" fontId="15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165" fontId="0" fillId="0" borderId="31" xfId="0" applyNumberForma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3" fillId="0" borderId="0" xfId="0" applyFont="1"/>
    <xf numFmtId="165" fontId="0" fillId="0" borderId="5" xfId="1" applyNumberFormat="1" applyFont="1" applyBorder="1"/>
    <xf numFmtId="10" fontId="0" fillId="0" borderId="0" xfId="2" applyNumberFormat="1" applyFont="1"/>
    <xf numFmtId="0" fontId="2" fillId="0" borderId="0" xfId="0" applyFont="1" applyAlignment="1">
      <alignment horizontal="right" vertical="center"/>
    </xf>
    <xf numFmtId="10" fontId="2" fillId="7" borderId="31" xfId="2" applyNumberFormat="1" applyFont="1" applyFill="1" applyBorder="1" applyAlignment="1">
      <alignment horizontal="center" vertical="center"/>
    </xf>
    <xf numFmtId="10" fontId="6" fillId="0" borderId="0" xfId="2" applyNumberFormat="1" applyFont="1" applyFill="1" applyBorder="1" applyAlignment="1">
      <alignment horizontal="center"/>
    </xf>
    <xf numFmtId="169" fontId="2" fillId="7" borderId="31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5" fontId="0" fillId="0" borderId="25" xfId="1" applyNumberFormat="1" applyFont="1" applyBorder="1"/>
    <xf numFmtId="165" fontId="0" fillId="0" borderId="25" xfId="0" applyNumberFormat="1" applyBorder="1"/>
    <xf numFmtId="41" fontId="0" fillId="0" borderId="27" xfId="1" applyNumberFormat="1" applyFont="1" applyBorder="1"/>
    <xf numFmtId="41" fontId="0" fillId="0" borderId="25" xfId="1" applyNumberFormat="1" applyFont="1" applyBorder="1"/>
    <xf numFmtId="165" fontId="0" fillId="0" borderId="32" xfId="0" applyNumberFormat="1" applyBorder="1"/>
    <xf numFmtId="17" fontId="20" fillId="4" borderId="5" xfId="0" applyNumberFormat="1" applyFont="1" applyFill="1" applyBorder="1" applyAlignment="1">
      <alignment horizontal="center"/>
    </xf>
    <xf numFmtId="17" fontId="20" fillId="4" borderId="32" xfId="0" applyNumberFormat="1" applyFont="1" applyFill="1" applyBorder="1" applyAlignment="1">
      <alignment horizontal="center"/>
    </xf>
    <xf numFmtId="9" fontId="13" fillId="0" borderId="0" xfId="0" applyNumberFormat="1" applyFont="1"/>
    <xf numFmtId="169" fontId="0" fillId="7" borderId="0" xfId="0" applyNumberFormat="1" applyFill="1"/>
    <xf numFmtId="165" fontId="0" fillId="7" borderId="5" xfId="0" applyNumberFormat="1" applyFill="1" applyBorder="1"/>
    <xf numFmtId="165" fontId="0" fillId="7" borderId="32" xfId="0" applyNumberFormat="1" applyFill="1" applyBorder="1"/>
    <xf numFmtId="0" fontId="22" fillId="9" borderId="0" xfId="0" applyFont="1" applyFill="1"/>
    <xf numFmtId="0" fontId="18" fillId="9" borderId="0" xfId="0" applyFont="1" applyFill="1"/>
    <xf numFmtId="9" fontId="2" fillId="0" borderId="0" xfId="0" applyNumberFormat="1" applyFont="1" applyAlignment="1">
      <alignment horizontal="center"/>
    </xf>
    <xf numFmtId="41" fontId="0" fillId="0" borderId="5" xfId="1" applyNumberFormat="1" applyFont="1" applyBorder="1"/>
    <xf numFmtId="41" fontId="2" fillId="0" borderId="5" xfId="1" applyNumberFormat="1" applyFont="1" applyBorder="1"/>
    <xf numFmtId="41" fontId="2" fillId="0" borderId="0" xfId="1" applyNumberFormat="1" applyFont="1" applyBorder="1"/>
    <xf numFmtId="41" fontId="23" fillId="0" borderId="0" xfId="1" applyNumberFormat="1" applyFont="1" applyBorder="1"/>
    <xf numFmtId="41" fontId="0" fillId="0" borderId="0" xfId="1" applyNumberFormat="1" applyFont="1"/>
    <xf numFmtId="0" fontId="23" fillId="0" borderId="0" xfId="0" applyFont="1"/>
    <xf numFmtId="40" fontId="19" fillId="0" borderId="0" xfId="0" applyNumberFormat="1" applyFont="1"/>
    <xf numFmtId="41" fontId="0" fillId="0" borderId="6" xfId="1" applyNumberFormat="1" applyFont="1" applyBorder="1"/>
    <xf numFmtId="41" fontId="1" fillId="0" borderId="0" xfId="1" applyNumberFormat="1" applyFont="1" applyBorder="1"/>
    <xf numFmtId="41" fontId="1" fillId="0" borderId="6" xfId="1" applyNumberFormat="1" applyFont="1" applyBorder="1"/>
    <xf numFmtId="41" fontId="1" fillId="0" borderId="5" xfId="1" applyNumberFormat="1" applyFont="1" applyBorder="1"/>
    <xf numFmtId="41" fontId="2" fillId="0" borderId="3" xfId="0" applyNumberFormat="1" applyFont="1" applyBorder="1"/>
    <xf numFmtId="41" fontId="0" fillId="0" borderId="0" xfId="1" applyNumberFormat="1" applyFont="1" applyBorder="1" applyAlignment="1">
      <alignment vertical="center"/>
    </xf>
    <xf numFmtId="170" fontId="2" fillId="7" borderId="31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41" fontId="23" fillId="0" borderId="0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40" fontId="0" fillId="0" borderId="0" xfId="0" applyNumberFormat="1"/>
    <xf numFmtId="0" fontId="2" fillId="6" borderId="4" xfId="3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8" borderId="4" xfId="3" applyFont="1" applyFill="1" applyBorder="1" applyAlignment="1">
      <alignment horizontal="center"/>
    </xf>
    <xf numFmtId="0" fontId="0" fillId="8" borderId="4" xfId="0" applyFill="1" applyBorder="1"/>
    <xf numFmtId="0" fontId="0" fillId="0" borderId="4" xfId="0" applyBorder="1"/>
    <xf numFmtId="0" fontId="2" fillId="0" borderId="29" xfId="3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0" fillId="5" borderId="4" xfId="0" applyFill="1" applyBorder="1"/>
    <xf numFmtId="0" fontId="6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3" applyFont="1" applyAlignment="1">
      <alignment horizontal="center"/>
    </xf>
    <xf numFmtId="0" fontId="2" fillId="0" borderId="31" xfId="0" applyFont="1" applyBorder="1"/>
  </cellXfs>
  <cellStyles count="5">
    <cellStyle name="Comma" xfId="1" builtinId="3"/>
    <cellStyle name="Currency" xfId="4" builtinId="4"/>
    <cellStyle name="Normal" xfId="0" builtinId="0"/>
    <cellStyle name="Normal_OSK Spreads - 2006-3Q 10Q" xfId="3" xr:uid="{4BDE048F-00D0-4FDC-B622-BAB4656CBE7F}"/>
    <cellStyle name="Percent" xfId="2" builtinId="5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12</xdr:row>
      <xdr:rowOff>127000</xdr:rowOff>
    </xdr:from>
    <xdr:to>
      <xdr:col>7</xdr:col>
      <xdr:colOff>6350</xdr:colOff>
      <xdr:row>17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30259D1-A10F-8FFD-868B-8A91CDFAE4DB}"/>
            </a:ext>
          </a:extLst>
        </xdr:cNvPr>
        <xdr:cNvCxnSpPr/>
      </xdr:nvCxnSpPr>
      <xdr:spPr>
        <a:xfrm flipH="1" flipV="1">
          <a:off x="3683000" y="2559050"/>
          <a:ext cx="1377950" cy="8572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6921b89f68d3868/Documents/TEXT%20BOOK%202%20CREDIT%20RISK%20MANAGEMENT%20and%20ANALYSIS/Jane%20Zhang%20Chapters/HSE_historicals_LBOmodel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tions Sources &amp; Uses"/>
      <sheetName val="Transactions Sources &amp; Uses (H)"/>
      <sheetName val="Debt Schedule"/>
      <sheetName val="Operating Assumptions"/>
      <sheetName val="PF Cap (H)"/>
      <sheetName val="Operating Assumptions (H)"/>
      <sheetName val="Debt Schedule (H)"/>
      <sheetName val="Income Statement"/>
      <sheetName val="Income Statement (H)"/>
      <sheetName val="Balance Sheet"/>
      <sheetName val="Cash Flow Statement (H)"/>
      <sheetName val="Balance Sheet (H)"/>
      <sheetName val="Cash Flow Statement"/>
      <sheetName val="Ratio and Covenant Analysis"/>
      <sheetName val="Ratio and Covenant Analysis (H)"/>
      <sheetName val="10K Financials"/>
      <sheetName val="HSE 10K Financials"/>
      <sheetName val="Equity IRR"/>
      <sheetName val="Equity IRR (H)"/>
      <sheetName val="Yahoo CF"/>
      <sheetName val="Locations"/>
    </sheetNames>
    <sheetDataSet>
      <sheetData sheetId="0">
        <row r="8">
          <cell r="B8" t="str">
            <v>Revolver</v>
          </cell>
        </row>
      </sheetData>
      <sheetData sheetId="1">
        <row r="1">
          <cell r="B1" t="str">
            <v>HOME SUITES ("HSE")</v>
          </cell>
        </row>
      </sheetData>
      <sheetData sheetId="2"/>
      <sheetData sheetId="3">
        <row r="13">
          <cell r="C13">
            <v>61000</v>
          </cell>
        </row>
      </sheetData>
      <sheetData sheetId="4" refreshError="1"/>
      <sheetData sheetId="5">
        <row r="2">
          <cell r="B2" t="str">
            <v>Stress Case</v>
          </cell>
        </row>
      </sheetData>
      <sheetData sheetId="6"/>
      <sheetData sheetId="7">
        <row r="7">
          <cell r="H7">
            <v>44196</v>
          </cell>
        </row>
      </sheetData>
      <sheetData sheetId="8"/>
      <sheetData sheetId="9"/>
      <sheetData sheetId="10"/>
      <sheetData sheetId="11">
        <row r="29">
          <cell r="F29">
            <v>700000</v>
          </cell>
        </row>
      </sheetData>
      <sheetData sheetId="12"/>
      <sheetData sheetId="13" refreshError="1"/>
      <sheetData sheetId="14"/>
      <sheetData sheetId="15"/>
      <sheetData sheetId="16">
        <row r="1">
          <cell r="B1" t="str">
            <v>Home Suites ("HSE")</v>
          </cell>
        </row>
        <row r="2">
          <cell r="N2">
            <v>1.2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9BD46-C4AC-44C4-9266-3A29A3C74B72}">
  <sheetPr>
    <tabColor rgb="FFFF0000"/>
  </sheetPr>
  <dimension ref="A1:S117"/>
  <sheetViews>
    <sheetView showGridLines="0" tabSelected="1" topLeftCell="A3" workbookViewId="0">
      <selection activeCell="A4" sqref="A4"/>
    </sheetView>
  </sheetViews>
  <sheetFormatPr defaultRowHeight="14.5" x14ac:dyDescent="0.35"/>
  <cols>
    <col min="1" max="1" width="5.90625" style="5" customWidth="1"/>
    <col min="2" max="2" width="17.6328125" customWidth="1"/>
    <col min="3" max="3" width="11.54296875" customWidth="1"/>
    <col min="4" max="4" width="8.90625" bestFit="1" customWidth="1"/>
    <col min="5" max="6" width="11.6328125" customWidth="1"/>
    <col min="7" max="7" width="5.08984375" customWidth="1"/>
    <col min="8" max="8" width="16.08984375" customWidth="1"/>
    <col min="9" max="9" width="8.1796875" customWidth="1"/>
    <col min="10" max="10" width="7.7265625" bestFit="1" customWidth="1"/>
    <col min="11" max="11" width="11.26953125" bestFit="1" customWidth="1"/>
    <col min="12" max="12" width="11" bestFit="1" customWidth="1"/>
    <col min="13" max="14" width="16.08984375" customWidth="1"/>
    <col min="15" max="19" width="15" customWidth="1"/>
    <col min="258" max="258" width="5.08984375" customWidth="1"/>
    <col min="259" max="259" width="41.7265625" customWidth="1"/>
    <col min="260" max="260" width="14.7265625" customWidth="1"/>
    <col min="261" max="261" width="14.90625" customWidth="1"/>
    <col min="262" max="263" width="11.7265625" customWidth="1"/>
    <col min="264" max="264" width="11.90625" bestFit="1" customWidth="1"/>
    <col min="266" max="266" width="10.26953125" bestFit="1" customWidth="1"/>
    <col min="267" max="267" width="11.26953125" customWidth="1"/>
    <col min="268" max="268" width="5" customWidth="1"/>
    <col min="269" max="274" width="15" customWidth="1"/>
    <col min="514" max="514" width="5.08984375" customWidth="1"/>
    <col min="515" max="515" width="41.7265625" customWidth="1"/>
    <col min="516" max="516" width="14.7265625" customWidth="1"/>
    <col min="517" max="517" width="14.90625" customWidth="1"/>
    <col min="518" max="519" width="11.7265625" customWidth="1"/>
    <col min="520" max="520" width="11.90625" bestFit="1" customWidth="1"/>
    <col min="522" max="522" width="10.26953125" bestFit="1" customWidth="1"/>
    <col min="523" max="523" width="11.26953125" customWidth="1"/>
    <col min="524" max="524" width="5" customWidth="1"/>
    <col min="525" max="530" width="15" customWidth="1"/>
    <col min="770" max="770" width="5.08984375" customWidth="1"/>
    <col min="771" max="771" width="41.7265625" customWidth="1"/>
    <col min="772" max="772" width="14.7265625" customWidth="1"/>
    <col min="773" max="773" width="14.90625" customWidth="1"/>
    <col min="774" max="775" width="11.7265625" customWidth="1"/>
    <col min="776" max="776" width="11.90625" bestFit="1" customWidth="1"/>
    <col min="778" max="778" width="10.26953125" bestFit="1" customWidth="1"/>
    <col min="779" max="779" width="11.26953125" customWidth="1"/>
    <col min="780" max="780" width="5" customWidth="1"/>
    <col min="781" max="786" width="15" customWidth="1"/>
    <col min="1026" max="1026" width="5.08984375" customWidth="1"/>
    <col min="1027" max="1027" width="41.7265625" customWidth="1"/>
    <col min="1028" max="1028" width="14.7265625" customWidth="1"/>
    <col min="1029" max="1029" width="14.90625" customWidth="1"/>
    <col min="1030" max="1031" width="11.7265625" customWidth="1"/>
    <col min="1032" max="1032" width="11.90625" bestFit="1" customWidth="1"/>
    <col min="1034" max="1034" width="10.26953125" bestFit="1" customWidth="1"/>
    <col min="1035" max="1035" width="11.26953125" customWidth="1"/>
    <col min="1036" max="1036" width="5" customWidth="1"/>
    <col min="1037" max="1042" width="15" customWidth="1"/>
    <col min="1282" max="1282" width="5.08984375" customWidth="1"/>
    <col min="1283" max="1283" width="41.7265625" customWidth="1"/>
    <col min="1284" max="1284" width="14.7265625" customWidth="1"/>
    <col min="1285" max="1285" width="14.90625" customWidth="1"/>
    <col min="1286" max="1287" width="11.7265625" customWidth="1"/>
    <col min="1288" max="1288" width="11.90625" bestFit="1" customWidth="1"/>
    <col min="1290" max="1290" width="10.26953125" bestFit="1" customWidth="1"/>
    <col min="1291" max="1291" width="11.26953125" customWidth="1"/>
    <col min="1292" max="1292" width="5" customWidth="1"/>
    <col min="1293" max="1298" width="15" customWidth="1"/>
    <col min="1538" max="1538" width="5.08984375" customWidth="1"/>
    <col min="1539" max="1539" width="41.7265625" customWidth="1"/>
    <col min="1540" max="1540" width="14.7265625" customWidth="1"/>
    <col min="1541" max="1541" width="14.90625" customWidth="1"/>
    <col min="1542" max="1543" width="11.7265625" customWidth="1"/>
    <col min="1544" max="1544" width="11.90625" bestFit="1" customWidth="1"/>
    <col min="1546" max="1546" width="10.26953125" bestFit="1" customWidth="1"/>
    <col min="1547" max="1547" width="11.26953125" customWidth="1"/>
    <col min="1548" max="1548" width="5" customWidth="1"/>
    <col min="1549" max="1554" width="15" customWidth="1"/>
    <col min="1794" max="1794" width="5.08984375" customWidth="1"/>
    <col min="1795" max="1795" width="41.7265625" customWidth="1"/>
    <col min="1796" max="1796" width="14.7265625" customWidth="1"/>
    <col min="1797" max="1797" width="14.90625" customWidth="1"/>
    <col min="1798" max="1799" width="11.7265625" customWidth="1"/>
    <col min="1800" max="1800" width="11.90625" bestFit="1" customWidth="1"/>
    <col min="1802" max="1802" width="10.26953125" bestFit="1" customWidth="1"/>
    <col min="1803" max="1803" width="11.26953125" customWidth="1"/>
    <col min="1804" max="1804" width="5" customWidth="1"/>
    <col min="1805" max="1810" width="15" customWidth="1"/>
    <col min="2050" max="2050" width="5.08984375" customWidth="1"/>
    <col min="2051" max="2051" width="41.7265625" customWidth="1"/>
    <col min="2052" max="2052" width="14.7265625" customWidth="1"/>
    <col min="2053" max="2053" width="14.90625" customWidth="1"/>
    <col min="2054" max="2055" width="11.7265625" customWidth="1"/>
    <col min="2056" max="2056" width="11.90625" bestFit="1" customWidth="1"/>
    <col min="2058" max="2058" width="10.26953125" bestFit="1" customWidth="1"/>
    <col min="2059" max="2059" width="11.26953125" customWidth="1"/>
    <col min="2060" max="2060" width="5" customWidth="1"/>
    <col min="2061" max="2066" width="15" customWidth="1"/>
    <col min="2306" max="2306" width="5.08984375" customWidth="1"/>
    <col min="2307" max="2307" width="41.7265625" customWidth="1"/>
    <col min="2308" max="2308" width="14.7265625" customWidth="1"/>
    <col min="2309" max="2309" width="14.90625" customWidth="1"/>
    <col min="2310" max="2311" width="11.7265625" customWidth="1"/>
    <col min="2312" max="2312" width="11.90625" bestFit="1" customWidth="1"/>
    <col min="2314" max="2314" width="10.26953125" bestFit="1" customWidth="1"/>
    <col min="2315" max="2315" width="11.26953125" customWidth="1"/>
    <col min="2316" max="2316" width="5" customWidth="1"/>
    <col min="2317" max="2322" width="15" customWidth="1"/>
    <col min="2562" max="2562" width="5.08984375" customWidth="1"/>
    <col min="2563" max="2563" width="41.7265625" customWidth="1"/>
    <col min="2564" max="2564" width="14.7265625" customWidth="1"/>
    <col min="2565" max="2565" width="14.90625" customWidth="1"/>
    <col min="2566" max="2567" width="11.7265625" customWidth="1"/>
    <col min="2568" max="2568" width="11.90625" bestFit="1" customWidth="1"/>
    <col min="2570" max="2570" width="10.26953125" bestFit="1" customWidth="1"/>
    <col min="2571" max="2571" width="11.26953125" customWidth="1"/>
    <col min="2572" max="2572" width="5" customWidth="1"/>
    <col min="2573" max="2578" width="15" customWidth="1"/>
    <col min="2818" max="2818" width="5.08984375" customWidth="1"/>
    <col min="2819" max="2819" width="41.7265625" customWidth="1"/>
    <col min="2820" max="2820" width="14.7265625" customWidth="1"/>
    <col min="2821" max="2821" width="14.90625" customWidth="1"/>
    <col min="2822" max="2823" width="11.7265625" customWidth="1"/>
    <col min="2824" max="2824" width="11.90625" bestFit="1" customWidth="1"/>
    <col min="2826" max="2826" width="10.26953125" bestFit="1" customWidth="1"/>
    <col min="2827" max="2827" width="11.26953125" customWidth="1"/>
    <col min="2828" max="2828" width="5" customWidth="1"/>
    <col min="2829" max="2834" width="15" customWidth="1"/>
    <col min="3074" max="3074" width="5.08984375" customWidth="1"/>
    <col min="3075" max="3075" width="41.7265625" customWidth="1"/>
    <col min="3076" max="3076" width="14.7265625" customWidth="1"/>
    <col min="3077" max="3077" width="14.90625" customWidth="1"/>
    <col min="3078" max="3079" width="11.7265625" customWidth="1"/>
    <col min="3080" max="3080" width="11.90625" bestFit="1" customWidth="1"/>
    <col min="3082" max="3082" width="10.26953125" bestFit="1" customWidth="1"/>
    <col min="3083" max="3083" width="11.26953125" customWidth="1"/>
    <col min="3084" max="3084" width="5" customWidth="1"/>
    <col min="3085" max="3090" width="15" customWidth="1"/>
    <col min="3330" max="3330" width="5.08984375" customWidth="1"/>
    <col min="3331" max="3331" width="41.7265625" customWidth="1"/>
    <col min="3332" max="3332" width="14.7265625" customWidth="1"/>
    <col min="3333" max="3333" width="14.90625" customWidth="1"/>
    <col min="3334" max="3335" width="11.7265625" customWidth="1"/>
    <col min="3336" max="3336" width="11.90625" bestFit="1" customWidth="1"/>
    <col min="3338" max="3338" width="10.26953125" bestFit="1" customWidth="1"/>
    <col min="3339" max="3339" width="11.26953125" customWidth="1"/>
    <col min="3340" max="3340" width="5" customWidth="1"/>
    <col min="3341" max="3346" width="15" customWidth="1"/>
    <col min="3586" max="3586" width="5.08984375" customWidth="1"/>
    <col min="3587" max="3587" width="41.7265625" customWidth="1"/>
    <col min="3588" max="3588" width="14.7265625" customWidth="1"/>
    <col min="3589" max="3589" width="14.90625" customWidth="1"/>
    <col min="3590" max="3591" width="11.7265625" customWidth="1"/>
    <col min="3592" max="3592" width="11.90625" bestFit="1" customWidth="1"/>
    <col min="3594" max="3594" width="10.26953125" bestFit="1" customWidth="1"/>
    <col min="3595" max="3595" width="11.26953125" customWidth="1"/>
    <col min="3596" max="3596" width="5" customWidth="1"/>
    <col min="3597" max="3602" width="15" customWidth="1"/>
    <col min="3842" max="3842" width="5.08984375" customWidth="1"/>
    <col min="3843" max="3843" width="41.7265625" customWidth="1"/>
    <col min="3844" max="3844" width="14.7265625" customWidth="1"/>
    <col min="3845" max="3845" width="14.90625" customWidth="1"/>
    <col min="3846" max="3847" width="11.7265625" customWidth="1"/>
    <col min="3848" max="3848" width="11.90625" bestFit="1" customWidth="1"/>
    <col min="3850" max="3850" width="10.26953125" bestFit="1" customWidth="1"/>
    <col min="3851" max="3851" width="11.26953125" customWidth="1"/>
    <col min="3852" max="3852" width="5" customWidth="1"/>
    <col min="3853" max="3858" width="15" customWidth="1"/>
    <col min="4098" max="4098" width="5.08984375" customWidth="1"/>
    <col min="4099" max="4099" width="41.7265625" customWidth="1"/>
    <col min="4100" max="4100" width="14.7265625" customWidth="1"/>
    <col min="4101" max="4101" width="14.90625" customWidth="1"/>
    <col min="4102" max="4103" width="11.7265625" customWidth="1"/>
    <col min="4104" max="4104" width="11.90625" bestFit="1" customWidth="1"/>
    <col min="4106" max="4106" width="10.26953125" bestFit="1" customWidth="1"/>
    <col min="4107" max="4107" width="11.26953125" customWidth="1"/>
    <col min="4108" max="4108" width="5" customWidth="1"/>
    <col min="4109" max="4114" width="15" customWidth="1"/>
    <col min="4354" max="4354" width="5.08984375" customWidth="1"/>
    <col min="4355" max="4355" width="41.7265625" customWidth="1"/>
    <col min="4356" max="4356" width="14.7265625" customWidth="1"/>
    <col min="4357" max="4357" width="14.90625" customWidth="1"/>
    <col min="4358" max="4359" width="11.7265625" customWidth="1"/>
    <col min="4360" max="4360" width="11.90625" bestFit="1" customWidth="1"/>
    <col min="4362" max="4362" width="10.26953125" bestFit="1" customWidth="1"/>
    <col min="4363" max="4363" width="11.26953125" customWidth="1"/>
    <col min="4364" max="4364" width="5" customWidth="1"/>
    <col min="4365" max="4370" width="15" customWidth="1"/>
    <col min="4610" max="4610" width="5.08984375" customWidth="1"/>
    <col min="4611" max="4611" width="41.7265625" customWidth="1"/>
    <col min="4612" max="4612" width="14.7265625" customWidth="1"/>
    <col min="4613" max="4613" width="14.90625" customWidth="1"/>
    <col min="4614" max="4615" width="11.7265625" customWidth="1"/>
    <col min="4616" max="4616" width="11.90625" bestFit="1" customWidth="1"/>
    <col min="4618" max="4618" width="10.26953125" bestFit="1" customWidth="1"/>
    <col min="4619" max="4619" width="11.26953125" customWidth="1"/>
    <col min="4620" max="4620" width="5" customWidth="1"/>
    <col min="4621" max="4626" width="15" customWidth="1"/>
    <col min="4866" max="4866" width="5.08984375" customWidth="1"/>
    <col min="4867" max="4867" width="41.7265625" customWidth="1"/>
    <col min="4868" max="4868" width="14.7265625" customWidth="1"/>
    <col min="4869" max="4869" width="14.90625" customWidth="1"/>
    <col min="4870" max="4871" width="11.7265625" customWidth="1"/>
    <col min="4872" max="4872" width="11.90625" bestFit="1" customWidth="1"/>
    <col min="4874" max="4874" width="10.26953125" bestFit="1" customWidth="1"/>
    <col min="4875" max="4875" width="11.26953125" customWidth="1"/>
    <col min="4876" max="4876" width="5" customWidth="1"/>
    <col min="4877" max="4882" width="15" customWidth="1"/>
    <col min="5122" max="5122" width="5.08984375" customWidth="1"/>
    <col min="5123" max="5123" width="41.7265625" customWidth="1"/>
    <col min="5124" max="5124" width="14.7265625" customWidth="1"/>
    <col min="5125" max="5125" width="14.90625" customWidth="1"/>
    <col min="5126" max="5127" width="11.7265625" customWidth="1"/>
    <col min="5128" max="5128" width="11.90625" bestFit="1" customWidth="1"/>
    <col min="5130" max="5130" width="10.26953125" bestFit="1" customWidth="1"/>
    <col min="5131" max="5131" width="11.26953125" customWidth="1"/>
    <col min="5132" max="5132" width="5" customWidth="1"/>
    <col min="5133" max="5138" width="15" customWidth="1"/>
    <col min="5378" max="5378" width="5.08984375" customWidth="1"/>
    <col min="5379" max="5379" width="41.7265625" customWidth="1"/>
    <col min="5380" max="5380" width="14.7265625" customWidth="1"/>
    <col min="5381" max="5381" width="14.90625" customWidth="1"/>
    <col min="5382" max="5383" width="11.7265625" customWidth="1"/>
    <col min="5384" max="5384" width="11.90625" bestFit="1" customWidth="1"/>
    <col min="5386" max="5386" width="10.26953125" bestFit="1" customWidth="1"/>
    <col min="5387" max="5387" width="11.26953125" customWidth="1"/>
    <col min="5388" max="5388" width="5" customWidth="1"/>
    <col min="5389" max="5394" width="15" customWidth="1"/>
    <col min="5634" max="5634" width="5.08984375" customWidth="1"/>
    <col min="5635" max="5635" width="41.7265625" customWidth="1"/>
    <col min="5636" max="5636" width="14.7265625" customWidth="1"/>
    <col min="5637" max="5637" width="14.90625" customWidth="1"/>
    <col min="5638" max="5639" width="11.7265625" customWidth="1"/>
    <col min="5640" max="5640" width="11.90625" bestFit="1" customWidth="1"/>
    <col min="5642" max="5642" width="10.26953125" bestFit="1" customWidth="1"/>
    <col min="5643" max="5643" width="11.26953125" customWidth="1"/>
    <col min="5644" max="5644" width="5" customWidth="1"/>
    <col min="5645" max="5650" width="15" customWidth="1"/>
    <col min="5890" max="5890" width="5.08984375" customWidth="1"/>
    <col min="5891" max="5891" width="41.7265625" customWidth="1"/>
    <col min="5892" max="5892" width="14.7265625" customWidth="1"/>
    <col min="5893" max="5893" width="14.90625" customWidth="1"/>
    <col min="5894" max="5895" width="11.7265625" customWidth="1"/>
    <col min="5896" max="5896" width="11.90625" bestFit="1" customWidth="1"/>
    <col min="5898" max="5898" width="10.26953125" bestFit="1" customWidth="1"/>
    <col min="5899" max="5899" width="11.26953125" customWidth="1"/>
    <col min="5900" max="5900" width="5" customWidth="1"/>
    <col min="5901" max="5906" width="15" customWidth="1"/>
    <col min="6146" max="6146" width="5.08984375" customWidth="1"/>
    <col min="6147" max="6147" width="41.7265625" customWidth="1"/>
    <col min="6148" max="6148" width="14.7265625" customWidth="1"/>
    <col min="6149" max="6149" width="14.90625" customWidth="1"/>
    <col min="6150" max="6151" width="11.7265625" customWidth="1"/>
    <col min="6152" max="6152" width="11.90625" bestFit="1" customWidth="1"/>
    <col min="6154" max="6154" width="10.26953125" bestFit="1" customWidth="1"/>
    <col min="6155" max="6155" width="11.26953125" customWidth="1"/>
    <col min="6156" max="6156" width="5" customWidth="1"/>
    <col min="6157" max="6162" width="15" customWidth="1"/>
    <col min="6402" max="6402" width="5.08984375" customWidth="1"/>
    <col min="6403" max="6403" width="41.7265625" customWidth="1"/>
    <col min="6404" max="6404" width="14.7265625" customWidth="1"/>
    <col min="6405" max="6405" width="14.90625" customWidth="1"/>
    <col min="6406" max="6407" width="11.7265625" customWidth="1"/>
    <col min="6408" max="6408" width="11.90625" bestFit="1" customWidth="1"/>
    <col min="6410" max="6410" width="10.26953125" bestFit="1" customWidth="1"/>
    <col min="6411" max="6411" width="11.26953125" customWidth="1"/>
    <col min="6412" max="6412" width="5" customWidth="1"/>
    <col min="6413" max="6418" width="15" customWidth="1"/>
    <col min="6658" max="6658" width="5.08984375" customWidth="1"/>
    <col min="6659" max="6659" width="41.7265625" customWidth="1"/>
    <col min="6660" max="6660" width="14.7265625" customWidth="1"/>
    <col min="6661" max="6661" width="14.90625" customWidth="1"/>
    <col min="6662" max="6663" width="11.7265625" customWidth="1"/>
    <col min="6664" max="6664" width="11.90625" bestFit="1" customWidth="1"/>
    <col min="6666" max="6666" width="10.26953125" bestFit="1" customWidth="1"/>
    <col min="6667" max="6667" width="11.26953125" customWidth="1"/>
    <col min="6668" max="6668" width="5" customWidth="1"/>
    <col min="6669" max="6674" width="15" customWidth="1"/>
    <col min="6914" max="6914" width="5.08984375" customWidth="1"/>
    <col min="6915" max="6915" width="41.7265625" customWidth="1"/>
    <col min="6916" max="6916" width="14.7265625" customWidth="1"/>
    <col min="6917" max="6917" width="14.90625" customWidth="1"/>
    <col min="6918" max="6919" width="11.7265625" customWidth="1"/>
    <col min="6920" max="6920" width="11.90625" bestFit="1" customWidth="1"/>
    <col min="6922" max="6922" width="10.26953125" bestFit="1" customWidth="1"/>
    <col min="6923" max="6923" width="11.26953125" customWidth="1"/>
    <col min="6924" max="6924" width="5" customWidth="1"/>
    <col min="6925" max="6930" width="15" customWidth="1"/>
    <col min="7170" max="7170" width="5.08984375" customWidth="1"/>
    <col min="7171" max="7171" width="41.7265625" customWidth="1"/>
    <col min="7172" max="7172" width="14.7265625" customWidth="1"/>
    <col min="7173" max="7173" width="14.90625" customWidth="1"/>
    <col min="7174" max="7175" width="11.7265625" customWidth="1"/>
    <col min="7176" max="7176" width="11.90625" bestFit="1" customWidth="1"/>
    <col min="7178" max="7178" width="10.26953125" bestFit="1" customWidth="1"/>
    <col min="7179" max="7179" width="11.26953125" customWidth="1"/>
    <col min="7180" max="7180" width="5" customWidth="1"/>
    <col min="7181" max="7186" width="15" customWidth="1"/>
    <col min="7426" max="7426" width="5.08984375" customWidth="1"/>
    <col min="7427" max="7427" width="41.7265625" customWidth="1"/>
    <col min="7428" max="7428" width="14.7265625" customWidth="1"/>
    <col min="7429" max="7429" width="14.90625" customWidth="1"/>
    <col min="7430" max="7431" width="11.7265625" customWidth="1"/>
    <col min="7432" max="7432" width="11.90625" bestFit="1" customWidth="1"/>
    <col min="7434" max="7434" width="10.26953125" bestFit="1" customWidth="1"/>
    <col min="7435" max="7435" width="11.26953125" customWidth="1"/>
    <col min="7436" max="7436" width="5" customWidth="1"/>
    <col min="7437" max="7442" width="15" customWidth="1"/>
    <col min="7682" max="7682" width="5.08984375" customWidth="1"/>
    <col min="7683" max="7683" width="41.7265625" customWidth="1"/>
    <col min="7684" max="7684" width="14.7265625" customWidth="1"/>
    <col min="7685" max="7685" width="14.90625" customWidth="1"/>
    <col min="7686" max="7687" width="11.7265625" customWidth="1"/>
    <col min="7688" max="7688" width="11.90625" bestFit="1" customWidth="1"/>
    <col min="7690" max="7690" width="10.26953125" bestFit="1" customWidth="1"/>
    <col min="7691" max="7691" width="11.26953125" customWidth="1"/>
    <col min="7692" max="7692" width="5" customWidth="1"/>
    <col min="7693" max="7698" width="15" customWidth="1"/>
    <col min="7938" max="7938" width="5.08984375" customWidth="1"/>
    <col min="7939" max="7939" width="41.7265625" customWidth="1"/>
    <col min="7940" max="7940" width="14.7265625" customWidth="1"/>
    <col min="7941" max="7941" width="14.90625" customWidth="1"/>
    <col min="7942" max="7943" width="11.7265625" customWidth="1"/>
    <col min="7944" max="7944" width="11.90625" bestFit="1" customWidth="1"/>
    <col min="7946" max="7946" width="10.26953125" bestFit="1" customWidth="1"/>
    <col min="7947" max="7947" width="11.26953125" customWidth="1"/>
    <col min="7948" max="7948" width="5" customWidth="1"/>
    <col min="7949" max="7954" width="15" customWidth="1"/>
    <col min="8194" max="8194" width="5.08984375" customWidth="1"/>
    <col min="8195" max="8195" width="41.7265625" customWidth="1"/>
    <col min="8196" max="8196" width="14.7265625" customWidth="1"/>
    <col min="8197" max="8197" width="14.90625" customWidth="1"/>
    <col min="8198" max="8199" width="11.7265625" customWidth="1"/>
    <col min="8200" max="8200" width="11.90625" bestFit="1" customWidth="1"/>
    <col min="8202" max="8202" width="10.26953125" bestFit="1" customWidth="1"/>
    <col min="8203" max="8203" width="11.26953125" customWidth="1"/>
    <col min="8204" max="8204" width="5" customWidth="1"/>
    <col min="8205" max="8210" width="15" customWidth="1"/>
    <col min="8450" max="8450" width="5.08984375" customWidth="1"/>
    <col min="8451" max="8451" width="41.7265625" customWidth="1"/>
    <col min="8452" max="8452" width="14.7265625" customWidth="1"/>
    <col min="8453" max="8453" width="14.90625" customWidth="1"/>
    <col min="8454" max="8455" width="11.7265625" customWidth="1"/>
    <col min="8456" max="8456" width="11.90625" bestFit="1" customWidth="1"/>
    <col min="8458" max="8458" width="10.26953125" bestFit="1" customWidth="1"/>
    <col min="8459" max="8459" width="11.26953125" customWidth="1"/>
    <col min="8460" max="8460" width="5" customWidth="1"/>
    <col min="8461" max="8466" width="15" customWidth="1"/>
    <col min="8706" max="8706" width="5.08984375" customWidth="1"/>
    <col min="8707" max="8707" width="41.7265625" customWidth="1"/>
    <col min="8708" max="8708" width="14.7265625" customWidth="1"/>
    <col min="8709" max="8709" width="14.90625" customWidth="1"/>
    <col min="8710" max="8711" width="11.7265625" customWidth="1"/>
    <col min="8712" max="8712" width="11.90625" bestFit="1" customWidth="1"/>
    <col min="8714" max="8714" width="10.26953125" bestFit="1" customWidth="1"/>
    <col min="8715" max="8715" width="11.26953125" customWidth="1"/>
    <col min="8716" max="8716" width="5" customWidth="1"/>
    <col min="8717" max="8722" width="15" customWidth="1"/>
    <col min="8962" max="8962" width="5.08984375" customWidth="1"/>
    <col min="8963" max="8963" width="41.7265625" customWidth="1"/>
    <col min="8964" max="8964" width="14.7265625" customWidth="1"/>
    <col min="8965" max="8965" width="14.90625" customWidth="1"/>
    <col min="8966" max="8967" width="11.7265625" customWidth="1"/>
    <col min="8968" max="8968" width="11.90625" bestFit="1" customWidth="1"/>
    <col min="8970" max="8970" width="10.26953125" bestFit="1" customWidth="1"/>
    <col min="8971" max="8971" width="11.26953125" customWidth="1"/>
    <col min="8972" max="8972" width="5" customWidth="1"/>
    <col min="8973" max="8978" width="15" customWidth="1"/>
    <col min="9218" max="9218" width="5.08984375" customWidth="1"/>
    <col min="9219" max="9219" width="41.7265625" customWidth="1"/>
    <col min="9220" max="9220" width="14.7265625" customWidth="1"/>
    <col min="9221" max="9221" width="14.90625" customWidth="1"/>
    <col min="9222" max="9223" width="11.7265625" customWidth="1"/>
    <col min="9224" max="9224" width="11.90625" bestFit="1" customWidth="1"/>
    <col min="9226" max="9226" width="10.26953125" bestFit="1" customWidth="1"/>
    <col min="9227" max="9227" width="11.26953125" customWidth="1"/>
    <col min="9228" max="9228" width="5" customWidth="1"/>
    <col min="9229" max="9234" width="15" customWidth="1"/>
    <col min="9474" max="9474" width="5.08984375" customWidth="1"/>
    <col min="9475" max="9475" width="41.7265625" customWidth="1"/>
    <col min="9476" max="9476" width="14.7265625" customWidth="1"/>
    <col min="9477" max="9477" width="14.90625" customWidth="1"/>
    <col min="9478" max="9479" width="11.7265625" customWidth="1"/>
    <col min="9480" max="9480" width="11.90625" bestFit="1" customWidth="1"/>
    <col min="9482" max="9482" width="10.26953125" bestFit="1" customWidth="1"/>
    <col min="9483" max="9483" width="11.26953125" customWidth="1"/>
    <col min="9484" max="9484" width="5" customWidth="1"/>
    <col min="9485" max="9490" width="15" customWidth="1"/>
    <col min="9730" max="9730" width="5.08984375" customWidth="1"/>
    <col min="9731" max="9731" width="41.7265625" customWidth="1"/>
    <col min="9732" max="9732" width="14.7265625" customWidth="1"/>
    <col min="9733" max="9733" width="14.90625" customWidth="1"/>
    <col min="9734" max="9735" width="11.7265625" customWidth="1"/>
    <col min="9736" max="9736" width="11.90625" bestFit="1" customWidth="1"/>
    <col min="9738" max="9738" width="10.26953125" bestFit="1" customWidth="1"/>
    <col min="9739" max="9739" width="11.26953125" customWidth="1"/>
    <col min="9740" max="9740" width="5" customWidth="1"/>
    <col min="9741" max="9746" width="15" customWidth="1"/>
    <col min="9986" max="9986" width="5.08984375" customWidth="1"/>
    <col min="9987" max="9987" width="41.7265625" customWidth="1"/>
    <col min="9988" max="9988" width="14.7265625" customWidth="1"/>
    <col min="9989" max="9989" width="14.90625" customWidth="1"/>
    <col min="9990" max="9991" width="11.7265625" customWidth="1"/>
    <col min="9992" max="9992" width="11.90625" bestFit="1" customWidth="1"/>
    <col min="9994" max="9994" width="10.26953125" bestFit="1" customWidth="1"/>
    <col min="9995" max="9995" width="11.26953125" customWidth="1"/>
    <col min="9996" max="9996" width="5" customWidth="1"/>
    <col min="9997" max="10002" width="15" customWidth="1"/>
    <col min="10242" max="10242" width="5.08984375" customWidth="1"/>
    <col min="10243" max="10243" width="41.7265625" customWidth="1"/>
    <col min="10244" max="10244" width="14.7265625" customWidth="1"/>
    <col min="10245" max="10245" width="14.90625" customWidth="1"/>
    <col min="10246" max="10247" width="11.7265625" customWidth="1"/>
    <col min="10248" max="10248" width="11.90625" bestFit="1" customWidth="1"/>
    <col min="10250" max="10250" width="10.26953125" bestFit="1" customWidth="1"/>
    <col min="10251" max="10251" width="11.26953125" customWidth="1"/>
    <col min="10252" max="10252" width="5" customWidth="1"/>
    <col min="10253" max="10258" width="15" customWidth="1"/>
    <col min="10498" max="10498" width="5.08984375" customWidth="1"/>
    <col min="10499" max="10499" width="41.7265625" customWidth="1"/>
    <col min="10500" max="10500" width="14.7265625" customWidth="1"/>
    <col min="10501" max="10501" width="14.90625" customWidth="1"/>
    <col min="10502" max="10503" width="11.7265625" customWidth="1"/>
    <col min="10504" max="10504" width="11.90625" bestFit="1" customWidth="1"/>
    <col min="10506" max="10506" width="10.26953125" bestFit="1" customWidth="1"/>
    <col min="10507" max="10507" width="11.26953125" customWidth="1"/>
    <col min="10508" max="10508" width="5" customWidth="1"/>
    <col min="10509" max="10514" width="15" customWidth="1"/>
    <col min="10754" max="10754" width="5.08984375" customWidth="1"/>
    <col min="10755" max="10755" width="41.7265625" customWidth="1"/>
    <col min="10756" max="10756" width="14.7265625" customWidth="1"/>
    <col min="10757" max="10757" width="14.90625" customWidth="1"/>
    <col min="10758" max="10759" width="11.7265625" customWidth="1"/>
    <col min="10760" max="10760" width="11.90625" bestFit="1" customWidth="1"/>
    <col min="10762" max="10762" width="10.26953125" bestFit="1" customWidth="1"/>
    <col min="10763" max="10763" width="11.26953125" customWidth="1"/>
    <col min="10764" max="10764" width="5" customWidth="1"/>
    <col min="10765" max="10770" width="15" customWidth="1"/>
    <col min="11010" max="11010" width="5.08984375" customWidth="1"/>
    <col min="11011" max="11011" width="41.7265625" customWidth="1"/>
    <col min="11012" max="11012" width="14.7265625" customWidth="1"/>
    <col min="11013" max="11013" width="14.90625" customWidth="1"/>
    <col min="11014" max="11015" width="11.7265625" customWidth="1"/>
    <col min="11016" max="11016" width="11.90625" bestFit="1" customWidth="1"/>
    <col min="11018" max="11018" width="10.26953125" bestFit="1" customWidth="1"/>
    <col min="11019" max="11019" width="11.26953125" customWidth="1"/>
    <col min="11020" max="11020" width="5" customWidth="1"/>
    <col min="11021" max="11026" width="15" customWidth="1"/>
    <col min="11266" max="11266" width="5.08984375" customWidth="1"/>
    <col min="11267" max="11267" width="41.7265625" customWidth="1"/>
    <col min="11268" max="11268" width="14.7265625" customWidth="1"/>
    <col min="11269" max="11269" width="14.90625" customWidth="1"/>
    <col min="11270" max="11271" width="11.7265625" customWidth="1"/>
    <col min="11272" max="11272" width="11.90625" bestFit="1" customWidth="1"/>
    <col min="11274" max="11274" width="10.26953125" bestFit="1" customWidth="1"/>
    <col min="11275" max="11275" width="11.26953125" customWidth="1"/>
    <col min="11276" max="11276" width="5" customWidth="1"/>
    <col min="11277" max="11282" width="15" customWidth="1"/>
    <col min="11522" max="11522" width="5.08984375" customWidth="1"/>
    <col min="11523" max="11523" width="41.7265625" customWidth="1"/>
    <col min="11524" max="11524" width="14.7265625" customWidth="1"/>
    <col min="11525" max="11525" width="14.90625" customWidth="1"/>
    <col min="11526" max="11527" width="11.7265625" customWidth="1"/>
    <col min="11528" max="11528" width="11.90625" bestFit="1" customWidth="1"/>
    <col min="11530" max="11530" width="10.26953125" bestFit="1" customWidth="1"/>
    <col min="11531" max="11531" width="11.26953125" customWidth="1"/>
    <col min="11532" max="11532" width="5" customWidth="1"/>
    <col min="11533" max="11538" width="15" customWidth="1"/>
    <col min="11778" max="11778" width="5.08984375" customWidth="1"/>
    <col min="11779" max="11779" width="41.7265625" customWidth="1"/>
    <col min="11780" max="11780" width="14.7265625" customWidth="1"/>
    <col min="11781" max="11781" width="14.90625" customWidth="1"/>
    <col min="11782" max="11783" width="11.7265625" customWidth="1"/>
    <col min="11784" max="11784" width="11.90625" bestFit="1" customWidth="1"/>
    <col min="11786" max="11786" width="10.26953125" bestFit="1" customWidth="1"/>
    <col min="11787" max="11787" width="11.26953125" customWidth="1"/>
    <col min="11788" max="11788" width="5" customWidth="1"/>
    <col min="11789" max="11794" width="15" customWidth="1"/>
    <col min="12034" max="12034" width="5.08984375" customWidth="1"/>
    <col min="12035" max="12035" width="41.7265625" customWidth="1"/>
    <col min="12036" max="12036" width="14.7265625" customWidth="1"/>
    <col min="12037" max="12037" width="14.90625" customWidth="1"/>
    <col min="12038" max="12039" width="11.7265625" customWidth="1"/>
    <col min="12040" max="12040" width="11.90625" bestFit="1" customWidth="1"/>
    <col min="12042" max="12042" width="10.26953125" bestFit="1" customWidth="1"/>
    <col min="12043" max="12043" width="11.26953125" customWidth="1"/>
    <col min="12044" max="12044" width="5" customWidth="1"/>
    <col min="12045" max="12050" width="15" customWidth="1"/>
    <col min="12290" max="12290" width="5.08984375" customWidth="1"/>
    <col min="12291" max="12291" width="41.7265625" customWidth="1"/>
    <col min="12292" max="12292" width="14.7265625" customWidth="1"/>
    <col min="12293" max="12293" width="14.90625" customWidth="1"/>
    <col min="12294" max="12295" width="11.7265625" customWidth="1"/>
    <col min="12296" max="12296" width="11.90625" bestFit="1" customWidth="1"/>
    <col min="12298" max="12298" width="10.26953125" bestFit="1" customWidth="1"/>
    <col min="12299" max="12299" width="11.26953125" customWidth="1"/>
    <col min="12300" max="12300" width="5" customWidth="1"/>
    <col min="12301" max="12306" width="15" customWidth="1"/>
    <col min="12546" max="12546" width="5.08984375" customWidth="1"/>
    <col min="12547" max="12547" width="41.7265625" customWidth="1"/>
    <col min="12548" max="12548" width="14.7265625" customWidth="1"/>
    <col min="12549" max="12549" width="14.90625" customWidth="1"/>
    <col min="12550" max="12551" width="11.7265625" customWidth="1"/>
    <col min="12552" max="12552" width="11.90625" bestFit="1" customWidth="1"/>
    <col min="12554" max="12554" width="10.26953125" bestFit="1" customWidth="1"/>
    <col min="12555" max="12555" width="11.26953125" customWidth="1"/>
    <col min="12556" max="12556" width="5" customWidth="1"/>
    <col min="12557" max="12562" width="15" customWidth="1"/>
    <col min="12802" max="12802" width="5.08984375" customWidth="1"/>
    <col min="12803" max="12803" width="41.7265625" customWidth="1"/>
    <col min="12804" max="12804" width="14.7265625" customWidth="1"/>
    <col min="12805" max="12805" width="14.90625" customWidth="1"/>
    <col min="12806" max="12807" width="11.7265625" customWidth="1"/>
    <col min="12808" max="12808" width="11.90625" bestFit="1" customWidth="1"/>
    <col min="12810" max="12810" width="10.26953125" bestFit="1" customWidth="1"/>
    <col min="12811" max="12811" width="11.26953125" customWidth="1"/>
    <col min="12812" max="12812" width="5" customWidth="1"/>
    <col min="12813" max="12818" width="15" customWidth="1"/>
    <col min="13058" max="13058" width="5.08984375" customWidth="1"/>
    <col min="13059" max="13059" width="41.7265625" customWidth="1"/>
    <col min="13060" max="13060" width="14.7265625" customWidth="1"/>
    <col min="13061" max="13061" width="14.90625" customWidth="1"/>
    <col min="13062" max="13063" width="11.7265625" customWidth="1"/>
    <col min="13064" max="13064" width="11.90625" bestFit="1" customWidth="1"/>
    <col min="13066" max="13066" width="10.26953125" bestFit="1" customWidth="1"/>
    <col min="13067" max="13067" width="11.26953125" customWidth="1"/>
    <col min="13068" max="13068" width="5" customWidth="1"/>
    <col min="13069" max="13074" width="15" customWidth="1"/>
    <col min="13314" max="13314" width="5.08984375" customWidth="1"/>
    <col min="13315" max="13315" width="41.7265625" customWidth="1"/>
    <col min="13316" max="13316" width="14.7265625" customWidth="1"/>
    <col min="13317" max="13317" width="14.90625" customWidth="1"/>
    <col min="13318" max="13319" width="11.7265625" customWidth="1"/>
    <col min="13320" max="13320" width="11.90625" bestFit="1" customWidth="1"/>
    <col min="13322" max="13322" width="10.26953125" bestFit="1" customWidth="1"/>
    <col min="13323" max="13323" width="11.26953125" customWidth="1"/>
    <col min="13324" max="13324" width="5" customWidth="1"/>
    <col min="13325" max="13330" width="15" customWidth="1"/>
    <col min="13570" max="13570" width="5.08984375" customWidth="1"/>
    <col min="13571" max="13571" width="41.7265625" customWidth="1"/>
    <col min="13572" max="13572" width="14.7265625" customWidth="1"/>
    <col min="13573" max="13573" width="14.90625" customWidth="1"/>
    <col min="13574" max="13575" width="11.7265625" customWidth="1"/>
    <col min="13576" max="13576" width="11.90625" bestFit="1" customWidth="1"/>
    <col min="13578" max="13578" width="10.26953125" bestFit="1" customWidth="1"/>
    <col min="13579" max="13579" width="11.26953125" customWidth="1"/>
    <col min="13580" max="13580" width="5" customWidth="1"/>
    <col min="13581" max="13586" width="15" customWidth="1"/>
    <col min="13826" max="13826" width="5.08984375" customWidth="1"/>
    <col min="13827" max="13827" width="41.7265625" customWidth="1"/>
    <col min="13828" max="13828" width="14.7265625" customWidth="1"/>
    <col min="13829" max="13829" width="14.90625" customWidth="1"/>
    <col min="13830" max="13831" width="11.7265625" customWidth="1"/>
    <col min="13832" max="13832" width="11.90625" bestFit="1" customWidth="1"/>
    <col min="13834" max="13834" width="10.26953125" bestFit="1" customWidth="1"/>
    <col min="13835" max="13835" width="11.26953125" customWidth="1"/>
    <col min="13836" max="13836" width="5" customWidth="1"/>
    <col min="13837" max="13842" width="15" customWidth="1"/>
    <col min="14082" max="14082" width="5.08984375" customWidth="1"/>
    <col min="14083" max="14083" width="41.7265625" customWidth="1"/>
    <col min="14084" max="14084" width="14.7265625" customWidth="1"/>
    <col min="14085" max="14085" width="14.90625" customWidth="1"/>
    <col min="14086" max="14087" width="11.7265625" customWidth="1"/>
    <col min="14088" max="14088" width="11.90625" bestFit="1" customWidth="1"/>
    <col min="14090" max="14090" width="10.26953125" bestFit="1" customWidth="1"/>
    <col min="14091" max="14091" width="11.26953125" customWidth="1"/>
    <col min="14092" max="14092" width="5" customWidth="1"/>
    <col min="14093" max="14098" width="15" customWidth="1"/>
    <col min="14338" max="14338" width="5.08984375" customWidth="1"/>
    <col min="14339" max="14339" width="41.7265625" customWidth="1"/>
    <col min="14340" max="14340" width="14.7265625" customWidth="1"/>
    <col min="14341" max="14341" width="14.90625" customWidth="1"/>
    <col min="14342" max="14343" width="11.7265625" customWidth="1"/>
    <col min="14344" max="14344" width="11.90625" bestFit="1" customWidth="1"/>
    <col min="14346" max="14346" width="10.26953125" bestFit="1" customWidth="1"/>
    <col min="14347" max="14347" width="11.26953125" customWidth="1"/>
    <col min="14348" max="14348" width="5" customWidth="1"/>
    <col min="14349" max="14354" width="15" customWidth="1"/>
    <col min="14594" max="14594" width="5.08984375" customWidth="1"/>
    <col min="14595" max="14595" width="41.7265625" customWidth="1"/>
    <col min="14596" max="14596" width="14.7265625" customWidth="1"/>
    <col min="14597" max="14597" width="14.90625" customWidth="1"/>
    <col min="14598" max="14599" width="11.7265625" customWidth="1"/>
    <col min="14600" max="14600" width="11.90625" bestFit="1" customWidth="1"/>
    <col min="14602" max="14602" width="10.26953125" bestFit="1" customWidth="1"/>
    <col min="14603" max="14603" width="11.26953125" customWidth="1"/>
    <col min="14604" max="14604" width="5" customWidth="1"/>
    <col min="14605" max="14610" width="15" customWidth="1"/>
    <col min="14850" max="14850" width="5.08984375" customWidth="1"/>
    <col min="14851" max="14851" width="41.7265625" customWidth="1"/>
    <col min="14852" max="14852" width="14.7265625" customWidth="1"/>
    <col min="14853" max="14853" width="14.90625" customWidth="1"/>
    <col min="14854" max="14855" width="11.7265625" customWidth="1"/>
    <col min="14856" max="14856" width="11.90625" bestFit="1" customWidth="1"/>
    <col min="14858" max="14858" width="10.26953125" bestFit="1" customWidth="1"/>
    <col min="14859" max="14859" width="11.26953125" customWidth="1"/>
    <col min="14860" max="14860" width="5" customWidth="1"/>
    <col min="14861" max="14866" width="15" customWidth="1"/>
    <col min="15106" max="15106" width="5.08984375" customWidth="1"/>
    <col min="15107" max="15107" width="41.7265625" customWidth="1"/>
    <col min="15108" max="15108" width="14.7265625" customWidth="1"/>
    <col min="15109" max="15109" width="14.90625" customWidth="1"/>
    <col min="15110" max="15111" width="11.7265625" customWidth="1"/>
    <col min="15112" max="15112" width="11.90625" bestFit="1" customWidth="1"/>
    <col min="15114" max="15114" width="10.26953125" bestFit="1" customWidth="1"/>
    <col min="15115" max="15115" width="11.26953125" customWidth="1"/>
    <col min="15116" max="15116" width="5" customWidth="1"/>
    <col min="15117" max="15122" width="15" customWidth="1"/>
    <col min="15362" max="15362" width="5.08984375" customWidth="1"/>
    <col min="15363" max="15363" width="41.7265625" customWidth="1"/>
    <col min="15364" max="15364" width="14.7265625" customWidth="1"/>
    <col min="15365" max="15365" width="14.90625" customWidth="1"/>
    <col min="15366" max="15367" width="11.7265625" customWidth="1"/>
    <col min="15368" max="15368" width="11.90625" bestFit="1" customWidth="1"/>
    <col min="15370" max="15370" width="10.26953125" bestFit="1" customWidth="1"/>
    <col min="15371" max="15371" width="11.26953125" customWidth="1"/>
    <col min="15372" max="15372" width="5" customWidth="1"/>
    <col min="15373" max="15378" width="15" customWidth="1"/>
    <col min="15618" max="15618" width="5.08984375" customWidth="1"/>
    <col min="15619" max="15619" width="41.7265625" customWidth="1"/>
    <col min="15620" max="15620" width="14.7265625" customWidth="1"/>
    <col min="15621" max="15621" width="14.90625" customWidth="1"/>
    <col min="15622" max="15623" width="11.7265625" customWidth="1"/>
    <col min="15624" max="15624" width="11.90625" bestFit="1" customWidth="1"/>
    <col min="15626" max="15626" width="10.26953125" bestFit="1" customWidth="1"/>
    <col min="15627" max="15627" width="11.26953125" customWidth="1"/>
    <col min="15628" max="15628" width="5" customWidth="1"/>
    <col min="15629" max="15634" width="15" customWidth="1"/>
    <col min="15874" max="15874" width="5.08984375" customWidth="1"/>
    <col min="15875" max="15875" width="41.7265625" customWidth="1"/>
    <col min="15876" max="15876" width="14.7265625" customWidth="1"/>
    <col min="15877" max="15877" width="14.90625" customWidth="1"/>
    <col min="15878" max="15879" width="11.7265625" customWidth="1"/>
    <col min="15880" max="15880" width="11.90625" bestFit="1" customWidth="1"/>
    <col min="15882" max="15882" width="10.26953125" bestFit="1" customWidth="1"/>
    <col min="15883" max="15883" width="11.26953125" customWidth="1"/>
    <col min="15884" max="15884" width="5" customWidth="1"/>
    <col min="15885" max="15890" width="15" customWidth="1"/>
    <col min="16130" max="16130" width="5.08984375" customWidth="1"/>
    <col min="16131" max="16131" width="41.7265625" customWidth="1"/>
    <col min="16132" max="16132" width="14.7265625" customWidth="1"/>
    <col min="16133" max="16133" width="14.90625" customWidth="1"/>
    <col min="16134" max="16135" width="11.7265625" customWidth="1"/>
    <col min="16136" max="16136" width="11.90625" bestFit="1" customWidth="1"/>
    <col min="16138" max="16138" width="10.26953125" bestFit="1" customWidth="1"/>
    <col min="16139" max="16139" width="11.26953125" customWidth="1"/>
    <col min="16140" max="16140" width="5" customWidth="1"/>
    <col min="16141" max="16146" width="15" customWidth="1"/>
  </cols>
  <sheetData>
    <row r="1" spans="1:19" ht="26.25" customHeight="1" x14ac:dyDescent="0.35">
      <c r="A1" s="6"/>
      <c r="B1" s="7" t="s">
        <v>18</v>
      </c>
      <c r="C1" s="8"/>
      <c r="D1" s="8"/>
      <c r="E1" s="8"/>
      <c r="F1" s="8"/>
      <c r="G1" s="8"/>
      <c r="H1" s="8"/>
      <c r="I1" s="8"/>
      <c r="K1" s="1"/>
      <c r="L1" s="1"/>
      <c r="M1" s="1"/>
      <c r="N1" s="1"/>
      <c r="P1" s="1"/>
      <c r="Q1" s="1"/>
      <c r="R1" s="1"/>
      <c r="S1" s="1"/>
    </row>
    <row r="2" spans="1:19" ht="13.5" customHeight="1" x14ac:dyDescent="0.35">
      <c r="A2" s="9"/>
      <c r="B2" s="10" t="s">
        <v>19</v>
      </c>
      <c r="C2" s="9"/>
      <c r="D2" s="9"/>
      <c r="E2" s="9"/>
      <c r="F2" s="9"/>
      <c r="G2" s="9"/>
      <c r="H2" s="9"/>
      <c r="I2" s="9"/>
      <c r="J2" s="9"/>
      <c r="K2" s="9"/>
      <c r="L2" s="9"/>
      <c r="P2" s="1"/>
      <c r="Q2" s="1"/>
      <c r="R2" s="1"/>
      <c r="S2" s="1"/>
    </row>
    <row r="3" spans="1:19" ht="11.25" customHeight="1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P3" s="1"/>
      <c r="Q3" s="1"/>
      <c r="R3" s="1"/>
      <c r="S3" s="1"/>
    </row>
    <row r="4" spans="1:19" ht="12.75" customHeight="1" x14ac:dyDescent="0.35">
      <c r="A4" s="9"/>
      <c r="B4" s="11"/>
      <c r="C4" s="155"/>
      <c r="D4" s="155"/>
      <c r="E4" s="155"/>
      <c r="F4" s="155"/>
      <c r="G4" s="155"/>
      <c r="H4" s="155"/>
      <c r="I4" s="155"/>
      <c r="J4" s="155"/>
      <c r="K4" s="155"/>
      <c r="L4" s="155"/>
      <c r="P4" s="1"/>
      <c r="Q4" s="1"/>
      <c r="R4" s="1"/>
      <c r="S4" s="1"/>
    </row>
    <row r="5" spans="1:19" ht="21.75" customHeight="1" x14ac:dyDescent="0.35">
      <c r="A5" s="9"/>
      <c r="B5" s="12" t="s">
        <v>20</v>
      </c>
      <c r="C5" s="13"/>
      <c r="D5" s="13"/>
      <c r="E5" s="13"/>
      <c r="F5" s="13"/>
      <c r="G5" s="13"/>
      <c r="H5" s="13"/>
      <c r="I5" s="13"/>
      <c r="J5" s="13"/>
      <c r="K5" s="13"/>
      <c r="L5" s="14"/>
      <c r="P5" s="1"/>
      <c r="Q5" s="1"/>
      <c r="R5" s="1"/>
      <c r="S5" s="1"/>
    </row>
    <row r="6" spans="1:19" ht="4.5" customHeight="1" x14ac:dyDescent="0.35">
      <c r="A6" s="9"/>
      <c r="P6" s="1"/>
      <c r="Q6" s="1"/>
      <c r="R6" s="1"/>
      <c r="S6" s="1"/>
    </row>
    <row r="7" spans="1:19" ht="29.5" thickBot="1" x14ac:dyDescent="0.4">
      <c r="A7" s="9"/>
      <c r="B7" s="15" t="s">
        <v>0</v>
      </c>
      <c r="C7" s="16" t="s">
        <v>21</v>
      </c>
      <c r="D7" s="16" t="s">
        <v>22</v>
      </c>
      <c r="E7" s="16" t="s">
        <v>183</v>
      </c>
      <c r="F7" s="16" t="s">
        <v>212</v>
      </c>
      <c r="H7" s="15" t="s">
        <v>1</v>
      </c>
      <c r="I7" s="15"/>
      <c r="J7" s="16" t="s">
        <v>23</v>
      </c>
      <c r="K7" s="16" t="s">
        <v>24</v>
      </c>
      <c r="L7" s="16" t="s">
        <v>25</v>
      </c>
      <c r="P7" s="1"/>
      <c r="Q7" s="1"/>
      <c r="R7" s="1"/>
      <c r="S7" s="1"/>
    </row>
    <row r="8" spans="1:19" ht="15" thickTop="1" x14ac:dyDescent="0.35">
      <c r="A8" s="278">
        <f>ROW()</f>
        <v>8</v>
      </c>
      <c r="B8" t="s">
        <v>182</v>
      </c>
      <c r="C8" s="17"/>
      <c r="D8" s="18">
        <f>+C8/$C$16</f>
        <v>0</v>
      </c>
      <c r="E8" s="156"/>
      <c r="H8" t="s">
        <v>2</v>
      </c>
      <c r="J8" s="5"/>
      <c r="K8" s="5"/>
      <c r="L8" s="19">
        <v>0</v>
      </c>
      <c r="P8" s="1"/>
      <c r="Q8" s="1"/>
      <c r="R8" s="1"/>
      <c r="S8" s="1"/>
    </row>
    <row r="9" spans="1:19" x14ac:dyDescent="0.35">
      <c r="A9" s="278">
        <f>ROW()</f>
        <v>9</v>
      </c>
      <c r="B9" t="s">
        <v>3</v>
      </c>
      <c r="C9" s="17">
        <v>1000000</v>
      </c>
      <c r="D9" s="18">
        <f t="shared" ref="D9:D16" si="0">+C9/$C$16</f>
        <v>0.13606724170950801</v>
      </c>
      <c r="E9" s="20">
        <f>+C9/E18</f>
        <v>1.2052040711793524</v>
      </c>
      <c r="F9" s="158">
        <f>+'Debt Schedule'!H25</f>
        <v>8.4417703111410614E-2</v>
      </c>
      <c r="H9" t="s">
        <v>26</v>
      </c>
      <c r="J9" s="21">
        <v>22.5</v>
      </c>
      <c r="K9" s="22">
        <v>184662.39999999999</v>
      </c>
      <c r="L9" s="22">
        <f>+K9*J9</f>
        <v>4154904</v>
      </c>
      <c r="P9" s="1"/>
      <c r="Q9" s="1"/>
      <c r="R9" s="1"/>
      <c r="S9" s="1"/>
    </row>
    <row r="10" spans="1:19" x14ac:dyDescent="0.35">
      <c r="A10" s="278">
        <f>ROW()</f>
        <v>10</v>
      </c>
      <c r="B10" t="s">
        <v>4</v>
      </c>
      <c r="C10" s="17">
        <v>1300000</v>
      </c>
      <c r="D10" s="18">
        <f t="shared" si="0"/>
        <v>0.1768874142223604</v>
      </c>
      <c r="E10" s="156">
        <f>+C10/$E$18</f>
        <v>1.5667652925331581</v>
      </c>
      <c r="F10" s="158">
        <f>+'Debt Schedule'!H35</f>
        <v>0.10079572149007432</v>
      </c>
      <c r="H10" t="s">
        <v>27</v>
      </c>
      <c r="L10" s="17">
        <f>+'Proforma Cap'!D8</f>
        <v>2980346</v>
      </c>
      <c r="P10" s="1"/>
      <c r="Q10" s="157"/>
      <c r="R10" s="157"/>
      <c r="S10" s="157"/>
    </row>
    <row r="11" spans="1:19" x14ac:dyDescent="0.35">
      <c r="A11" s="278">
        <f>ROW()</f>
        <v>11</v>
      </c>
      <c r="B11" s="23" t="s">
        <v>5</v>
      </c>
      <c r="C11" s="24">
        <f>C10+C9</f>
        <v>2300000</v>
      </c>
      <c r="D11" s="25">
        <f t="shared" si="0"/>
        <v>0.31295465593186839</v>
      </c>
      <c r="E11" s="26">
        <f t="shared" ref="E11:E16" si="1">+C11/$E$18</f>
        <v>2.7719693637125107</v>
      </c>
      <c r="G11" s="27"/>
      <c r="H11" t="s">
        <v>6</v>
      </c>
      <c r="J11" s="158">
        <v>0.03</v>
      </c>
      <c r="L11" s="17">
        <f>+J11*(L9+L10)</f>
        <v>214057.5</v>
      </c>
      <c r="P11" s="1"/>
    </row>
    <row r="12" spans="1:19" x14ac:dyDescent="0.35">
      <c r="A12" s="278">
        <f>ROW()</f>
        <v>12</v>
      </c>
      <c r="B12" t="s">
        <v>28</v>
      </c>
      <c r="C12" s="17">
        <v>1500000</v>
      </c>
      <c r="D12" s="18">
        <f t="shared" si="0"/>
        <v>0.20410086256426202</v>
      </c>
      <c r="E12" s="20">
        <f t="shared" si="1"/>
        <v>1.8078061067690288</v>
      </c>
      <c r="F12" s="158">
        <f>'Debt Schedule'!H54</f>
        <v>0.10999999999999988</v>
      </c>
      <c r="G12" s="27"/>
      <c r="L12" s="28"/>
      <c r="P12" s="1"/>
    </row>
    <row r="13" spans="1:19" x14ac:dyDescent="0.35">
      <c r="A13" s="278">
        <f>ROW()</f>
        <v>13</v>
      </c>
      <c r="B13" s="23" t="s">
        <v>29</v>
      </c>
      <c r="C13" s="24">
        <f>+C12+C11</f>
        <v>3800000</v>
      </c>
      <c r="D13" s="29">
        <f t="shared" si="0"/>
        <v>0.51705551849613041</v>
      </c>
      <c r="E13" s="26">
        <f t="shared" si="1"/>
        <v>4.5797754704815397</v>
      </c>
      <c r="G13" s="30"/>
      <c r="L13" s="28"/>
      <c r="P13" s="1"/>
    </row>
    <row r="14" spans="1:19" ht="12" customHeight="1" x14ac:dyDescent="0.35">
      <c r="A14" s="278">
        <f>ROW()</f>
        <v>14</v>
      </c>
      <c r="B14" s="31"/>
      <c r="C14" s="31"/>
      <c r="D14" s="31"/>
      <c r="E14" s="31"/>
      <c r="G14" s="31"/>
      <c r="L14" s="28"/>
      <c r="P14" s="1"/>
    </row>
    <row r="15" spans="1:19" x14ac:dyDescent="0.35">
      <c r="A15" s="278">
        <f>ROW()</f>
        <v>15</v>
      </c>
      <c r="B15" s="31" t="s">
        <v>8</v>
      </c>
      <c r="C15" s="17">
        <f>+L16-C13</f>
        <v>3549307.5</v>
      </c>
      <c r="D15" s="18">
        <f t="shared" si="0"/>
        <v>0.48294448150386959</v>
      </c>
      <c r="E15" s="156">
        <f t="shared" si="1"/>
        <v>4.2776398488674099</v>
      </c>
      <c r="G15" s="30"/>
      <c r="L15" s="28"/>
      <c r="P15" s="1"/>
    </row>
    <row r="16" spans="1:19" ht="15" thickBot="1" x14ac:dyDescent="0.4">
      <c r="A16" s="278">
        <f>ROW()</f>
        <v>16</v>
      </c>
      <c r="B16" s="23" t="s">
        <v>30</v>
      </c>
      <c r="C16" s="32">
        <f>C15+C13</f>
        <v>7349307.5</v>
      </c>
      <c r="D16" s="33">
        <f t="shared" si="0"/>
        <v>1</v>
      </c>
      <c r="E16" s="34">
        <f t="shared" si="1"/>
        <v>8.8574153193489487</v>
      </c>
      <c r="G16" s="35"/>
      <c r="H16" s="23" t="s">
        <v>31</v>
      </c>
      <c r="I16" s="36"/>
      <c r="J16" s="36"/>
      <c r="K16" s="36"/>
      <c r="L16" s="32">
        <f>SUM(L9:L15)</f>
        <v>7349307.5</v>
      </c>
      <c r="P16" s="1"/>
    </row>
    <row r="17" spans="1:16" ht="21.75" customHeight="1" thickTop="1" thickBot="1" x14ac:dyDescent="0.4">
      <c r="A17" s="278">
        <f>ROW()</f>
        <v>17</v>
      </c>
      <c r="C17" s="3"/>
      <c r="P17" s="1"/>
    </row>
    <row r="18" spans="1:16" ht="15" thickBot="1" x14ac:dyDescent="0.4">
      <c r="A18" s="278">
        <f>ROW()</f>
        <v>18</v>
      </c>
      <c r="B18" s="37"/>
      <c r="D18" s="37" t="s">
        <v>184</v>
      </c>
      <c r="E18" s="249">
        <v>829735</v>
      </c>
      <c r="F18" s="3"/>
      <c r="H18" s="344" t="s">
        <v>238</v>
      </c>
      <c r="P18" s="1"/>
    </row>
    <row r="19" spans="1:16" ht="21.75" customHeight="1" thickBot="1" x14ac:dyDescent="0.4">
      <c r="A19" s="278">
        <f>ROW()</f>
        <v>19</v>
      </c>
      <c r="B19" s="37"/>
      <c r="C19" s="37" t="s">
        <v>179</v>
      </c>
      <c r="D19" s="294">
        <f>+'Debt Schedule'!I9</f>
        <v>0.03</v>
      </c>
    </row>
    <row r="20" spans="1:16" ht="21.75" customHeight="1" thickBot="1" x14ac:dyDescent="0.4">
      <c r="A20" s="9"/>
      <c r="C20" s="292" t="s">
        <v>211</v>
      </c>
      <c r="D20" s="293">
        <f>C9/C13*F9+C10/C13*F10+C12/C13*F12</f>
        <v>0.10011898448644922</v>
      </c>
      <c r="E20" s="159"/>
      <c r="F20" s="159"/>
      <c r="G20" s="159"/>
      <c r="H20" s="159"/>
      <c r="I20" s="159"/>
      <c r="J20" s="159"/>
      <c r="K20" s="159"/>
      <c r="L20" s="159"/>
    </row>
    <row r="21" spans="1:16" ht="21.75" customHeight="1" x14ac:dyDescent="0.35">
      <c r="A21" s="9"/>
      <c r="D21" s="159"/>
      <c r="E21" s="159"/>
      <c r="F21" s="159"/>
      <c r="G21" s="159"/>
      <c r="H21" s="159"/>
      <c r="I21" s="159"/>
      <c r="J21" s="159"/>
      <c r="K21" s="159"/>
      <c r="L21" s="39"/>
    </row>
    <row r="22" spans="1:16" ht="21.75" customHeight="1" x14ac:dyDescent="0.35">
      <c r="A22" s="9"/>
      <c r="D22" s="159"/>
      <c r="E22" s="159"/>
      <c r="F22" s="159"/>
      <c r="G22" s="159"/>
      <c r="H22" s="159"/>
      <c r="I22" s="159"/>
      <c r="J22" s="159"/>
      <c r="K22" s="159"/>
      <c r="L22" s="159"/>
    </row>
    <row r="23" spans="1:16" ht="21.75" customHeight="1" x14ac:dyDescent="0.35">
      <c r="A23" s="9"/>
      <c r="D23" s="159"/>
      <c r="E23" s="159"/>
      <c r="F23" s="159"/>
      <c r="G23" s="159"/>
      <c r="H23" s="159"/>
      <c r="I23" s="159"/>
      <c r="J23" s="159"/>
      <c r="K23" s="159"/>
      <c r="L23" s="159"/>
    </row>
    <row r="24" spans="1:16" ht="21.75" customHeight="1" x14ac:dyDescent="0.35">
      <c r="A24"/>
      <c r="D24" s="159"/>
      <c r="E24" s="159"/>
      <c r="F24" s="159"/>
      <c r="G24" s="159"/>
      <c r="H24" s="159"/>
      <c r="I24" s="159"/>
      <c r="J24" s="159"/>
      <c r="K24" s="159"/>
      <c r="L24" s="159"/>
    </row>
    <row r="25" spans="1:16" ht="21.75" customHeight="1" x14ac:dyDescent="0.35">
      <c r="A25"/>
    </row>
    <row r="26" spans="1:16" ht="21.75" customHeight="1" x14ac:dyDescent="0.35">
      <c r="A26"/>
    </row>
    <row r="27" spans="1:16" ht="21.75" customHeight="1" x14ac:dyDescent="0.35">
      <c r="A27"/>
    </row>
    <row r="28" spans="1:16" ht="21.75" customHeight="1" x14ac:dyDescent="0.35">
      <c r="A28"/>
    </row>
    <row r="29" spans="1:16" ht="21.75" customHeight="1" x14ac:dyDescent="0.35">
      <c r="A29"/>
    </row>
    <row r="30" spans="1:16" ht="21.75" customHeight="1" x14ac:dyDescent="0.35">
      <c r="A30"/>
    </row>
    <row r="31" spans="1:16" ht="21.75" customHeight="1" x14ac:dyDescent="0.35">
      <c r="A31"/>
    </row>
    <row r="32" spans="1:16" ht="21.75" customHeight="1" x14ac:dyDescent="0.35">
      <c r="A32"/>
    </row>
    <row r="33" spans="1:1" ht="21.75" customHeight="1" x14ac:dyDescent="0.35">
      <c r="A33"/>
    </row>
    <row r="34" spans="1:1" ht="21.75" customHeight="1" x14ac:dyDescent="0.35">
      <c r="A34"/>
    </row>
    <row r="35" spans="1:1" ht="21.75" customHeight="1" x14ac:dyDescent="0.35">
      <c r="A35"/>
    </row>
    <row r="36" spans="1:1" ht="21.75" customHeight="1" x14ac:dyDescent="0.35">
      <c r="A36"/>
    </row>
    <row r="37" spans="1:1" ht="21.75" customHeight="1" x14ac:dyDescent="0.35">
      <c r="A37"/>
    </row>
    <row r="38" spans="1:1" ht="21.75" customHeight="1" x14ac:dyDescent="0.35">
      <c r="A38"/>
    </row>
    <row r="39" spans="1:1" ht="21.75" customHeight="1" x14ac:dyDescent="0.35">
      <c r="A39"/>
    </row>
    <row r="40" spans="1:1" ht="21.75" customHeight="1" x14ac:dyDescent="0.35">
      <c r="A40"/>
    </row>
    <row r="41" spans="1:1" ht="21.75" customHeight="1" x14ac:dyDescent="0.35">
      <c r="A41"/>
    </row>
    <row r="42" spans="1:1" ht="21.75" customHeight="1" x14ac:dyDescent="0.35">
      <c r="A42"/>
    </row>
    <row r="43" spans="1:1" ht="21.75" customHeight="1" x14ac:dyDescent="0.35">
      <c r="A43"/>
    </row>
    <row r="44" spans="1:1" ht="21.75" customHeight="1" x14ac:dyDescent="0.35">
      <c r="A44"/>
    </row>
    <row r="45" spans="1:1" ht="21.75" customHeight="1" x14ac:dyDescent="0.35">
      <c r="A45"/>
    </row>
    <row r="46" spans="1:1" ht="21.75" customHeight="1" x14ac:dyDescent="0.35">
      <c r="A46"/>
    </row>
    <row r="47" spans="1:1" ht="21.75" customHeight="1" x14ac:dyDescent="0.35">
      <c r="A47"/>
    </row>
    <row r="48" spans="1:1" ht="21.75" customHeight="1" x14ac:dyDescent="0.35">
      <c r="A48"/>
    </row>
    <row r="49" spans="1:1" ht="21.75" customHeight="1" x14ac:dyDescent="0.35">
      <c r="A49"/>
    </row>
    <row r="50" spans="1:1" ht="21.75" customHeight="1" x14ac:dyDescent="0.35">
      <c r="A50"/>
    </row>
    <row r="51" spans="1:1" ht="21.75" customHeight="1" x14ac:dyDescent="0.35">
      <c r="A51"/>
    </row>
    <row r="52" spans="1:1" ht="21.75" customHeight="1" x14ac:dyDescent="0.35">
      <c r="A52"/>
    </row>
    <row r="53" spans="1:1" ht="21.75" customHeight="1" x14ac:dyDescent="0.35">
      <c r="A53"/>
    </row>
    <row r="54" spans="1:1" ht="21.75" customHeight="1" x14ac:dyDescent="0.35">
      <c r="A54"/>
    </row>
    <row r="55" spans="1:1" ht="21.75" customHeight="1" x14ac:dyDescent="0.35">
      <c r="A55"/>
    </row>
    <row r="56" spans="1:1" ht="21.75" customHeight="1" x14ac:dyDescent="0.35">
      <c r="A56"/>
    </row>
    <row r="57" spans="1:1" ht="21.75" customHeight="1" x14ac:dyDescent="0.35">
      <c r="A57"/>
    </row>
    <row r="58" spans="1:1" ht="21.75" customHeight="1" x14ac:dyDescent="0.35">
      <c r="A58"/>
    </row>
    <row r="59" spans="1:1" ht="21.75" customHeight="1" x14ac:dyDescent="0.35">
      <c r="A59"/>
    </row>
    <row r="60" spans="1:1" ht="21.75" customHeight="1" x14ac:dyDescent="0.35">
      <c r="A60"/>
    </row>
    <row r="61" spans="1:1" ht="21.75" customHeight="1" x14ac:dyDescent="0.35">
      <c r="A61"/>
    </row>
    <row r="62" spans="1:1" ht="21.75" customHeight="1" x14ac:dyDescent="0.35">
      <c r="A62"/>
    </row>
    <row r="63" spans="1:1" ht="21.75" customHeight="1" x14ac:dyDescent="0.35">
      <c r="A63"/>
    </row>
    <row r="64" spans="1:1" ht="21.75" customHeight="1" x14ac:dyDescent="0.35">
      <c r="A64"/>
    </row>
    <row r="65" spans="1:1" ht="21.75" customHeight="1" x14ac:dyDescent="0.35">
      <c r="A65"/>
    </row>
    <row r="66" spans="1:1" ht="21.75" customHeight="1" x14ac:dyDescent="0.35">
      <c r="A66"/>
    </row>
    <row r="67" spans="1:1" ht="21.75" customHeight="1" x14ac:dyDescent="0.35">
      <c r="A67"/>
    </row>
    <row r="68" spans="1:1" ht="21.75" customHeight="1" x14ac:dyDescent="0.35">
      <c r="A68"/>
    </row>
    <row r="69" spans="1:1" ht="21.75" customHeight="1" x14ac:dyDescent="0.35">
      <c r="A69"/>
    </row>
    <row r="70" spans="1:1" ht="21.75" customHeight="1" x14ac:dyDescent="0.35">
      <c r="A70"/>
    </row>
    <row r="71" spans="1:1" ht="21.75" customHeight="1" x14ac:dyDescent="0.35">
      <c r="A7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  <row r="115" spans="1:1" ht="21.75" customHeight="1" x14ac:dyDescent="0.35">
      <c r="A115"/>
    </row>
    <row r="116" spans="1:1" ht="21.75" customHeight="1" x14ac:dyDescent="0.35">
      <c r="A116"/>
    </row>
    <row r="117" spans="1:1" ht="21.75" customHeight="1" x14ac:dyDescent="0.35">
      <c r="A117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C9F0D-FFAC-4C9B-8706-0E71ACB8C5DF}">
  <sheetPr>
    <tabColor rgb="FFFFFF00"/>
  </sheetPr>
  <dimension ref="A1:Y287"/>
  <sheetViews>
    <sheetView showGridLines="0" workbookViewId="0">
      <selection activeCell="H20" sqref="H20"/>
    </sheetView>
  </sheetViews>
  <sheetFormatPr defaultRowHeight="14.5" x14ac:dyDescent="0.35"/>
  <cols>
    <col min="1" max="1" width="3.08984375" style="5" customWidth="1"/>
    <col min="2" max="2" width="21.6328125" customWidth="1"/>
    <col min="3" max="3" width="4.54296875" customWidth="1"/>
    <col min="4" max="4" width="3.54296875" customWidth="1"/>
    <col min="5" max="8" width="2.453125" customWidth="1"/>
    <col min="9" max="9" width="12.6328125" style="112" customWidth="1"/>
    <col min="10" max="16" width="12.6328125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1" x14ac:dyDescent="0.35">
      <c r="A1" s="6"/>
      <c r="B1" s="7" t="s">
        <v>18</v>
      </c>
      <c r="C1" s="8"/>
      <c r="D1" s="8"/>
      <c r="E1" s="8"/>
      <c r="F1" s="8"/>
      <c r="G1" s="8"/>
      <c r="H1" s="8"/>
      <c r="I1" s="110"/>
      <c r="J1" s="8"/>
      <c r="K1" s="8"/>
      <c r="L1" s="1"/>
      <c r="M1" s="1"/>
      <c r="N1" s="1"/>
      <c r="O1" s="1"/>
      <c r="P1" s="1"/>
      <c r="Q1" s="1"/>
      <c r="R1" s="1"/>
      <c r="S1" s="1"/>
      <c r="T1" s="1"/>
    </row>
    <row r="2" spans="1:21" ht="14.5" customHeight="1" x14ac:dyDescent="0.35">
      <c r="A2" s="9"/>
      <c r="B2" s="10" t="str">
        <f>Assumptions!B2</f>
        <v>Stress Case</v>
      </c>
      <c r="C2" s="9"/>
      <c r="D2" s="9"/>
      <c r="E2" s="9"/>
      <c r="F2" s="9"/>
      <c r="G2" s="9"/>
      <c r="H2" s="9"/>
      <c r="I2" s="111"/>
      <c r="J2" s="9"/>
      <c r="K2" s="9"/>
      <c r="L2" s="9"/>
      <c r="M2" s="9"/>
      <c r="Q2" s="1"/>
      <c r="R2" s="1"/>
      <c r="S2" s="1"/>
      <c r="T2" s="1"/>
    </row>
    <row r="3" spans="1:21" ht="14.5" customHeight="1" x14ac:dyDescent="0.35">
      <c r="A3" s="9"/>
    </row>
    <row r="4" spans="1:21" ht="14.5" customHeight="1" x14ac:dyDescent="0.3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21" ht="14.5" customHeight="1" x14ac:dyDescent="0.35">
      <c r="B5" s="113" t="s">
        <v>108</v>
      </c>
      <c r="C5" s="12"/>
      <c r="D5" s="12"/>
      <c r="E5" s="12"/>
      <c r="F5" s="12"/>
      <c r="G5" s="12"/>
      <c r="H5" s="12"/>
      <c r="I5" s="114"/>
      <c r="J5" s="12"/>
      <c r="K5" s="12"/>
      <c r="L5" s="12"/>
      <c r="M5" s="12"/>
      <c r="N5" s="12"/>
      <c r="O5" s="12"/>
      <c r="P5" s="12"/>
    </row>
    <row r="6" spans="1:21" ht="14.5" customHeight="1" x14ac:dyDescent="0.35">
      <c r="A6" s="278">
        <f>ROW()</f>
        <v>6</v>
      </c>
      <c r="B6" s="63"/>
      <c r="C6" s="64"/>
      <c r="D6" s="65"/>
      <c r="E6" s="64"/>
      <c r="F6" s="64"/>
      <c r="G6" s="69"/>
      <c r="H6" s="69"/>
      <c r="I6" s="343"/>
      <c r="J6" s="343"/>
      <c r="K6" s="343"/>
      <c r="L6" s="343"/>
      <c r="M6" s="343"/>
    </row>
    <row r="7" spans="1:21" ht="14.5" customHeight="1" x14ac:dyDescent="0.35">
      <c r="A7" s="278">
        <f>ROW()</f>
        <v>7</v>
      </c>
      <c r="C7" s="64"/>
      <c r="D7" s="65"/>
      <c r="E7" s="64"/>
      <c r="F7" s="64"/>
      <c r="G7" s="69"/>
      <c r="H7" s="69"/>
      <c r="I7" s="115">
        <f>+'Balance Sheet'!I7</f>
        <v>45291</v>
      </c>
      <c r="J7" s="115">
        <f>+'Balance Sheet'!J7</f>
        <v>45657</v>
      </c>
      <c r="K7" s="115">
        <f>+'Balance Sheet'!K7</f>
        <v>46021</v>
      </c>
      <c r="L7" s="115">
        <f>+'Balance Sheet'!L7</f>
        <v>46386</v>
      </c>
      <c r="M7" s="115">
        <f>+'Balance Sheet'!M7</f>
        <v>46751</v>
      </c>
      <c r="N7" s="115">
        <f>+'Balance Sheet'!N7</f>
        <v>47117</v>
      </c>
      <c r="O7" s="115">
        <f>+'Balance Sheet'!O7</f>
        <v>47481</v>
      </c>
      <c r="P7" s="115">
        <f>+'Balance Sheet'!P7</f>
        <v>47846</v>
      </c>
    </row>
    <row r="8" spans="1:21" ht="14.5" customHeight="1" x14ac:dyDescent="0.35">
      <c r="A8" s="278">
        <f>ROW()</f>
        <v>8</v>
      </c>
      <c r="B8" s="116" t="s">
        <v>168</v>
      </c>
      <c r="C8" s="70"/>
      <c r="D8" s="65"/>
      <c r="E8" s="65"/>
      <c r="F8" s="65"/>
      <c r="G8" s="65"/>
      <c r="H8" s="65"/>
      <c r="I8" s="37"/>
      <c r="J8" s="65"/>
      <c r="K8" s="65"/>
      <c r="L8" s="65"/>
      <c r="M8" s="65"/>
      <c r="N8" s="65"/>
      <c r="O8" s="65"/>
      <c r="P8" s="65"/>
      <c r="Q8" s="65"/>
    </row>
    <row r="9" spans="1:21" x14ac:dyDescent="0.35">
      <c r="A9" s="278">
        <f>ROW()</f>
        <v>9</v>
      </c>
      <c r="B9" t="s">
        <v>109</v>
      </c>
      <c r="C9" s="70"/>
      <c r="D9" s="65"/>
      <c r="E9" s="64"/>
      <c r="F9" s="64"/>
      <c r="H9" s="69"/>
      <c r="I9" s="117">
        <f>'Income Statement'!I16/'Income Statement'!I31</f>
        <v>2.2892748016237552</v>
      </c>
      <c r="J9" s="117">
        <f>'Income Statement'!J16/'Income Statement'!J31</f>
        <v>1.3778194726670741</v>
      </c>
      <c r="K9" s="117">
        <f>'Income Statement'!K16/'Income Statement'!K31</f>
        <v>1.2231525817317197</v>
      </c>
      <c r="L9" s="117">
        <f>'Income Statement'!L16/'Income Statement'!L31</f>
        <v>0.98087295128597896</v>
      </c>
      <c r="M9" s="117">
        <f>'Income Statement'!M16/'Income Statement'!M31</f>
        <v>1.7021576162237329</v>
      </c>
      <c r="N9" s="117">
        <f>'Income Statement'!N16/'Income Statement'!N31</f>
        <v>1.9603946135013297</v>
      </c>
      <c r="O9" s="117">
        <f>'Income Statement'!O16/'Income Statement'!O31</f>
        <v>2.43592875453847</v>
      </c>
      <c r="P9" s="117">
        <f>'Income Statement'!P16/'Income Statement'!P31</f>
        <v>2.56860242921476</v>
      </c>
    </row>
    <row r="10" spans="1:21" x14ac:dyDescent="0.35">
      <c r="A10" s="278">
        <f>ROW()</f>
        <v>10</v>
      </c>
      <c r="B10" t="s">
        <v>110</v>
      </c>
      <c r="C10" s="70"/>
      <c r="H10" s="69"/>
      <c r="I10" s="274">
        <v>1.75</v>
      </c>
      <c r="J10" s="274">
        <v>1.75</v>
      </c>
      <c r="K10" s="274">
        <v>1.75</v>
      </c>
      <c r="L10" s="274">
        <v>2</v>
      </c>
      <c r="M10" s="274">
        <v>2</v>
      </c>
      <c r="N10" s="274">
        <v>2</v>
      </c>
      <c r="O10" s="274">
        <v>2</v>
      </c>
      <c r="P10" s="274">
        <v>2</v>
      </c>
    </row>
    <row r="11" spans="1:21" x14ac:dyDescent="0.35">
      <c r="A11" s="278">
        <f>ROW()</f>
        <v>11</v>
      </c>
      <c r="B11" s="31" t="s">
        <v>169</v>
      </c>
      <c r="C11" s="70"/>
      <c r="H11" s="72"/>
      <c r="I11" s="118">
        <f>I10*'Income Statement'!I31-'Income Statement'!I16</f>
        <v>-194138.9285845519</v>
      </c>
      <c r="J11" s="118">
        <f>J10*'Income Statement'!J31-'Income Statement'!J16</f>
        <v>137892.8853768491</v>
      </c>
      <c r="K11" s="118">
        <f>K10*'Income Statement'!K31-'Income Statement'!K16</f>
        <v>204224.49898042483</v>
      </c>
      <c r="L11" s="118">
        <f>L10*'Income Statement'!L31-'Income Statement'!L16</f>
        <v>384486.06166833872</v>
      </c>
      <c r="M11" s="118">
        <f>M10*'Income Statement'!M31-'Income Statement'!M16</f>
        <v>109279.85981943132</v>
      </c>
      <c r="N11" s="118">
        <f>N10*'Income Statement'!N31-'Income Statement'!N16</f>
        <v>13942.680262991926</v>
      </c>
      <c r="O11" s="118">
        <f>O10*'Income Statement'!O31-'Income Statement'!O16</f>
        <v>-129329.16325270059</v>
      </c>
      <c r="P11" s="118">
        <f>P10*'Income Statement'!P31-'Income Statement'!P16</f>
        <v>-167913.98337141075</v>
      </c>
    </row>
    <row r="12" spans="1:21" x14ac:dyDescent="0.35">
      <c r="A12" s="278">
        <f>ROW()</f>
        <v>12</v>
      </c>
      <c r="C12" s="70"/>
      <c r="H12" s="69"/>
      <c r="I12" s="93"/>
      <c r="J12" s="69"/>
      <c r="K12" s="69"/>
      <c r="L12" s="69"/>
      <c r="M12" s="69"/>
      <c r="N12" s="69"/>
      <c r="O12" s="69"/>
      <c r="P12" s="69"/>
      <c r="U12" s="64"/>
    </row>
    <row r="13" spans="1:21" x14ac:dyDescent="0.35">
      <c r="A13" s="278">
        <f>ROW()</f>
        <v>13</v>
      </c>
      <c r="B13" s="73" t="s">
        <v>170</v>
      </c>
      <c r="C13" s="70"/>
      <c r="H13" s="69"/>
      <c r="I13" s="93"/>
      <c r="J13" s="69"/>
      <c r="K13" s="69"/>
      <c r="L13" s="69"/>
      <c r="M13" s="69"/>
      <c r="N13" s="69"/>
      <c r="O13" s="69"/>
      <c r="P13" s="69"/>
      <c r="U13" s="64"/>
    </row>
    <row r="14" spans="1:21" x14ac:dyDescent="0.35">
      <c r="A14" s="278">
        <f>ROW()</f>
        <v>14</v>
      </c>
      <c r="B14" s="31" t="s">
        <v>111</v>
      </c>
      <c r="C14" s="70"/>
      <c r="H14" s="69"/>
      <c r="I14" s="117">
        <f>'Debt Schedule'!J60/'Income Statement'!I16</f>
        <v>2.7907916010595697</v>
      </c>
      <c r="J14" s="117">
        <f>'Debt Schedule'!K60/'Income Statement'!J16</f>
        <v>4.3821319805717431</v>
      </c>
      <c r="K14" s="117">
        <f>'Debt Schedule'!L60/'Income Statement'!K16</f>
        <v>4.4797202398518747</v>
      </c>
      <c r="L14" s="117">
        <f>'Debt Schedule'!M60/'Income Statement'!L16</f>
        <v>5.4343429205653768</v>
      </c>
      <c r="M14" s="117">
        <f>'Debt Schedule'!N60/'Income Statement'!M16</f>
        <v>2.9590245227647345</v>
      </c>
      <c r="N14" s="117">
        <f>'Debt Schedule'!O60/'Income Statement'!N16</f>
        <v>1.7894989369226169</v>
      </c>
      <c r="O14" s="117">
        <f>'Debt Schedule'!P60/'Income Statement'!O16</f>
        <v>1.6909301694820014</v>
      </c>
      <c r="P14" s="117">
        <f>'Debt Schedule'!Q60/'Income Statement'!P16</f>
        <v>0</v>
      </c>
      <c r="U14" s="64"/>
    </row>
    <row r="15" spans="1:21" x14ac:dyDescent="0.35">
      <c r="A15" s="278">
        <f>ROW()</f>
        <v>15</v>
      </c>
      <c r="B15" s="31" t="s">
        <v>171</v>
      </c>
      <c r="C15" s="70"/>
      <c r="H15" s="69"/>
      <c r="I15" s="117">
        <f>('Debt Schedule'!J60-'Balance Sheet'!H9)/'Income Statement'!I16</f>
        <v>1.5219254381712153</v>
      </c>
      <c r="J15" s="117">
        <f>('Debt Schedule'!K60-'Balance Sheet'!I9)/'Income Statement'!J16</f>
        <v>2.0642442605717326</v>
      </c>
      <c r="K15" s="117">
        <f>('Debt Schedule'!L60-'Balance Sheet'!J9)/'Income Statement'!K16</f>
        <v>1.9748098579869913</v>
      </c>
      <c r="L15" s="117">
        <f>('Debt Schedule'!M60-'Balance Sheet'!K9)/'Income Statement'!L16</f>
        <v>2.4179684206666781</v>
      </c>
      <c r="M15" s="117">
        <f>('Debt Schedule'!N60-'Balance Sheet'!L9)/'Income Statement'!M16</f>
        <v>1.4259223499559448</v>
      </c>
      <c r="N15" s="117">
        <f>('Debt Schedule'!O60-'Balance Sheet'!M9)/'Income Statement'!N16</f>
        <v>0.57581581688457006</v>
      </c>
      <c r="O15" s="117">
        <f>('Debt Schedule'!P60-'Balance Sheet'!N9)/'Income Statement'!O16</f>
        <v>1.2637099339920612</v>
      </c>
      <c r="P15" s="117">
        <f>('Debt Schedule'!Q60-'Balance Sheet'!O9)/'Income Statement'!P16</f>
        <v>-0.57328472257011021</v>
      </c>
      <c r="U15" s="64"/>
    </row>
    <row r="16" spans="1:21" x14ac:dyDescent="0.35">
      <c r="A16" s="278">
        <f>ROW()</f>
        <v>16</v>
      </c>
      <c r="B16" t="s">
        <v>172</v>
      </c>
      <c r="C16" s="70"/>
      <c r="D16" s="74"/>
      <c r="E16" s="74"/>
      <c r="F16" s="74"/>
      <c r="H16" s="69"/>
      <c r="I16" s="274">
        <v>4.25</v>
      </c>
      <c r="J16" s="275">
        <v>4.25</v>
      </c>
      <c r="K16" s="275">
        <v>3.75</v>
      </c>
      <c r="L16" s="275">
        <v>3.75</v>
      </c>
      <c r="M16" s="275">
        <v>3.25</v>
      </c>
      <c r="N16" s="275">
        <v>3.25</v>
      </c>
      <c r="O16" s="275">
        <v>3.25</v>
      </c>
      <c r="P16" s="275">
        <v>3.25</v>
      </c>
    </row>
    <row r="17" spans="1:23" x14ac:dyDescent="0.35">
      <c r="A17" s="278">
        <f>ROW()</f>
        <v>17</v>
      </c>
      <c r="B17" s="31" t="s">
        <v>169</v>
      </c>
      <c r="C17" s="70"/>
      <c r="D17" s="74"/>
      <c r="E17" s="74"/>
      <c r="F17" s="74"/>
      <c r="H17" s="69"/>
      <c r="I17" s="119">
        <f>+('Debt Schedule'!J60-'Balance Sheet'!H9)/'Ratio &amp; Cov Analysis'!I16-'Income Statement'!I16</f>
        <v>-529014.69329043431</v>
      </c>
      <c r="J17" s="119">
        <f>+('Debt Schedule'!K60-'Balance Sheet'!I9)/'Ratio &amp; Cov Analysis'!J16-'Income Statement'!J16</f>
        <v>-262538.63809718372</v>
      </c>
      <c r="K17" s="119">
        <f>+('Debt Schedule'!L60-'Balance Sheet'!J9)/'Ratio &amp; Cov Analysis'!K16-'Income Statement'!K16</f>
        <v>-224448.76970027367</v>
      </c>
      <c r="L17" s="119">
        <f>+('Debt Schedule'!M60-'Balance Sheet'!K9)/'Ratio &amp; Cov Analysis'!L16-'Income Statement'!L16</f>
        <v>-131446.27517718359</v>
      </c>
      <c r="M17" s="119">
        <f>+('Debt Schedule'!N60-'Balance Sheet'!L9)/'Ratio &amp; Cov Analysis'!M16-'Income Statement'!M16</f>
        <v>-350520.45245607878</v>
      </c>
      <c r="N17" s="119">
        <f>+('Debt Schedule'!O60-'Balance Sheet'!M9)/'Ratio &amp; Cov Analysis'!N16-'Income Statement'!N16</f>
        <v>-567862.8629595025</v>
      </c>
      <c r="O17" s="119">
        <f>+('Debt Schedule'!P60-'Balance Sheet'!N9)/'Ratio &amp; Cov Analysis'!O16-'Income Statement'!O16</f>
        <v>-441677.05934762111</v>
      </c>
      <c r="P17" s="119">
        <f>+('Debt Schedule'!Q60-'Balance Sheet'!O9)/'Ratio &amp; Cov Analysis'!P16-'Income Statement'!P16</f>
        <v>-892335.81236128148</v>
      </c>
    </row>
    <row r="18" spans="1:23" x14ac:dyDescent="0.35">
      <c r="A18" s="278">
        <f>ROW()</f>
        <v>18</v>
      </c>
      <c r="C18" s="70"/>
      <c r="D18" s="74"/>
      <c r="E18" s="74"/>
      <c r="F18" s="74"/>
      <c r="H18" s="69"/>
      <c r="I18" s="119"/>
      <c r="J18" s="94"/>
      <c r="K18" s="94"/>
      <c r="L18" s="94"/>
      <c r="M18" s="94"/>
      <c r="N18" s="94"/>
      <c r="O18" s="94"/>
      <c r="P18" s="94"/>
    </row>
    <row r="19" spans="1:23" x14ac:dyDescent="0.35">
      <c r="A19" s="278">
        <f>ROW()</f>
        <v>19</v>
      </c>
      <c r="B19" s="73" t="s">
        <v>173</v>
      </c>
      <c r="C19" s="70"/>
      <c r="H19" s="69"/>
      <c r="I19" s="93"/>
      <c r="J19" s="69"/>
      <c r="K19" s="69"/>
      <c r="L19" s="69"/>
      <c r="M19" s="69"/>
      <c r="N19" s="69"/>
      <c r="O19" s="69"/>
      <c r="P19" s="69"/>
      <c r="U19" s="64"/>
    </row>
    <row r="20" spans="1:23" x14ac:dyDescent="0.35">
      <c r="A20" s="278">
        <f>ROW()</f>
        <v>20</v>
      </c>
      <c r="B20" s="31" t="s">
        <v>112</v>
      </c>
      <c r="C20" s="70"/>
      <c r="H20" s="69"/>
      <c r="I20" s="117">
        <f>'Debt Schedule'!J61/'Income Statement'!I16</f>
        <v>4.610873080011463</v>
      </c>
      <c r="J20" s="117">
        <f>'Debt Schedule'!K61/'Income Statement'!J16</f>
        <v>7.3205307158679505</v>
      </c>
      <c r="K20" s="117">
        <f>'Debt Schedule'!L61/'Income Statement'!K16</f>
        <v>7.6433644770354023</v>
      </c>
      <c r="L20" s="117">
        <f>'Debt Schedule'!M61/'Income Statement'!L16</f>
        <v>9.4878060637021573</v>
      </c>
      <c r="M20" s="117">
        <f>'Debt Schedule'!N61/'Income Statement'!M16</f>
        <v>5.3608301418919542</v>
      </c>
      <c r="N20" s="117">
        <f>'Debt Schedule'!O61/'Income Statement'!N16</f>
        <v>3.96297942711203</v>
      </c>
      <c r="O20" s="117">
        <f>'Debt Schedule'!P61/'Income Statement'!O16</f>
        <v>3.7665400338216104</v>
      </c>
      <c r="P20" s="117">
        <f>'Debt Schedule'!Q61/'Income Statement'!P16</f>
        <v>1.9774987447932648</v>
      </c>
      <c r="U20" s="64"/>
    </row>
    <row r="21" spans="1:23" x14ac:dyDescent="0.35">
      <c r="A21" s="278">
        <f>ROW()</f>
        <v>21</v>
      </c>
      <c r="B21" s="31" t="s">
        <v>174</v>
      </c>
      <c r="C21" s="70"/>
      <c r="H21" s="69"/>
      <c r="I21" s="117">
        <f>('Debt Schedule'!J61-'Balance Sheet'!H9)/'Income Statement'!I16</f>
        <v>3.3420069171231086</v>
      </c>
      <c r="J21" s="117">
        <f>('Debt Schedule'!K61-'Balance Sheet'!I9)/'Income Statement'!J16</f>
        <v>5.002642995867939</v>
      </c>
      <c r="K21" s="117">
        <f>('Debt Schedule'!L61-'Balance Sheet'!J9)/'Income Statement'!K16</f>
        <v>5.1384540951705189</v>
      </c>
      <c r="L21" s="117">
        <f>('Debt Schedule'!M61-'Balance Sheet'!K9)/'Income Statement'!L16</f>
        <v>6.4714315638034581</v>
      </c>
      <c r="M21" s="117">
        <f>('Debt Schedule'!N61-'Balance Sheet'!L9)/'Income Statement'!M16</f>
        <v>3.8277279690831643</v>
      </c>
      <c r="N21" s="117">
        <f>('Debt Schedule'!O61-'Balance Sheet'!M9)/'Income Statement'!N16</f>
        <v>2.7492963070739833</v>
      </c>
      <c r="O21" s="117">
        <f>('Debt Schedule'!P61-'Balance Sheet'!N9)/'Income Statement'!O16</f>
        <v>3.3393197983316703</v>
      </c>
      <c r="P21" s="117">
        <f>('Debt Schedule'!Q61-'Balance Sheet'!O9)/'Income Statement'!P16</f>
        <v>1.4042140222231547</v>
      </c>
      <c r="U21" s="64"/>
    </row>
    <row r="22" spans="1:23" x14ac:dyDescent="0.35">
      <c r="A22" s="278">
        <f>ROW()</f>
        <v>22</v>
      </c>
      <c r="B22" t="s">
        <v>175</v>
      </c>
      <c r="C22" s="70"/>
      <c r="D22" s="74"/>
      <c r="E22" s="74"/>
      <c r="F22" s="74"/>
      <c r="H22" s="69"/>
      <c r="I22" s="274">
        <v>6</v>
      </c>
      <c r="J22" s="275">
        <v>6</v>
      </c>
      <c r="K22" s="275">
        <v>5</v>
      </c>
      <c r="L22" s="275">
        <v>5</v>
      </c>
      <c r="M22" s="275">
        <v>4</v>
      </c>
      <c r="N22" s="275">
        <v>4</v>
      </c>
      <c r="O22" s="275">
        <v>4</v>
      </c>
      <c r="P22" s="275">
        <v>4</v>
      </c>
    </row>
    <row r="23" spans="1:23" x14ac:dyDescent="0.35">
      <c r="A23" s="278">
        <f>ROW()</f>
        <v>23</v>
      </c>
      <c r="B23" s="31" t="s">
        <v>169</v>
      </c>
      <c r="C23" s="70"/>
      <c r="D23" s="74"/>
      <c r="E23" s="74"/>
      <c r="F23" s="74"/>
      <c r="H23" s="69"/>
      <c r="I23" s="119">
        <f>('Debt Schedule'!J61-'Balance Sheet'!H9)/'Ratio &amp; Cov Analysis'!I22-'Income Statement'!I16</f>
        <v>-365092.59525121859</v>
      </c>
      <c r="J23" s="119">
        <f>('Debt Schedule'!K61-'Balance Sheet'!I9)/'Ratio &amp; Cov Analysis'!J22-'Income Statement'!J16</f>
        <v>-84855.485417257471</v>
      </c>
      <c r="K23" s="119">
        <f>('Debt Schedule'!L61-'Balance Sheet'!J9)/'Ratio &amp; Cov Analysis'!K22-'Income Statement'!K16</f>
        <v>13129.234969901037</v>
      </c>
      <c r="L23" s="119">
        <f>('Debt Schedule'!M61-'Balance Sheet'!K9)/'Ratio &amp; Cov Analysis'!L22-'Income Statement'!L16</f>
        <v>108901.80903419695</v>
      </c>
      <c r="M23" s="119">
        <f>('Debt Schedule'!N61-'Balance Sheet'!L9)/'Ratio &amp; Cov Analysis'!M22-'Income Statement'!M16</f>
        <v>-26897.268904420664</v>
      </c>
      <c r="N23" s="119">
        <f>('Debt Schedule'!O61-'Balance Sheet'!M9)/'Ratio &amp; Cov Analysis'!N22-'Income Statement'!N16</f>
        <v>-215789.32360528479</v>
      </c>
      <c r="O23" s="119">
        <f>('Debt Schedule'!P61-'Balance Sheet'!N9)/'Ratio &amp; Cov Analysis'!O22-'Income Statement'!O16</f>
        <v>-119364.95382982353</v>
      </c>
      <c r="P23" s="119">
        <f>('Debt Schedule'!Q61-'Balance Sheet'!O9)/'Ratio &amp; Cov Analysis'!P22-'Income Statement'!P16</f>
        <v>-492247.9694256807</v>
      </c>
    </row>
    <row r="24" spans="1:23" x14ac:dyDescent="0.35">
      <c r="A24" s="278">
        <f>ROW()</f>
        <v>24</v>
      </c>
      <c r="C24" s="70"/>
      <c r="D24" s="74"/>
      <c r="E24" s="74"/>
      <c r="F24" s="74"/>
      <c r="H24" s="69"/>
      <c r="I24" s="119"/>
      <c r="J24" s="94"/>
      <c r="K24" s="94"/>
      <c r="L24" s="94"/>
      <c r="M24" s="94"/>
      <c r="N24" s="94"/>
      <c r="O24" s="94"/>
      <c r="P24" s="94"/>
    </row>
    <row r="25" spans="1:23" x14ac:dyDescent="0.35">
      <c r="A25" s="278">
        <f>ROW()</f>
        <v>25</v>
      </c>
      <c r="B25" t="s">
        <v>176</v>
      </c>
      <c r="C25" s="70"/>
      <c r="D25" s="74"/>
      <c r="E25" s="74"/>
      <c r="F25" s="74"/>
      <c r="H25" s="69"/>
      <c r="I25" s="120">
        <f>'Balance Sheet'!I34/('Balance Sheet'!I34+'Balance Sheet'!I43)</f>
        <v>0.50762882931595543</v>
      </c>
      <c r="J25" s="120">
        <f>'Balance Sheet'!J34/('Balance Sheet'!J34+'Balance Sheet'!J43)</f>
        <v>0.50616584621856286</v>
      </c>
      <c r="K25" s="120">
        <f>'Balance Sheet'!K34/('Balance Sheet'!K34+'Balance Sheet'!K43)</f>
        <v>0.50317551978942099</v>
      </c>
      <c r="L25" s="120">
        <f>'Balance Sheet'!L34/('Balance Sheet'!L34+'Balance Sheet'!L43)</f>
        <v>0.50707456813921636</v>
      </c>
      <c r="M25" s="120">
        <f>'Balance Sheet'!M34/('Balance Sheet'!M34+'Balance Sheet'!M43)</f>
        <v>0.49461690173326056</v>
      </c>
      <c r="N25" s="120">
        <f>'Balance Sheet'!N34/('Balance Sheet'!N34+'Balance Sheet'!N43)</f>
        <v>0.44033127805567085</v>
      </c>
      <c r="O25" s="120">
        <f>'Balance Sheet'!O34/('Balance Sheet'!O34+'Balance Sheet'!O43)</f>
        <v>0.43168459126454034</v>
      </c>
      <c r="P25" s="120">
        <f>'Balance Sheet'!P34/('Balance Sheet'!P34+'Balance Sheet'!P43)</f>
        <v>0.28688764282223433</v>
      </c>
    </row>
    <row r="26" spans="1:23" x14ac:dyDescent="0.35">
      <c r="A26" s="278">
        <f>ROW()</f>
        <v>26</v>
      </c>
      <c r="B26" s="121" t="s">
        <v>177</v>
      </c>
      <c r="C26" s="70"/>
      <c r="D26" s="74"/>
      <c r="E26" s="74"/>
      <c r="F26" s="74"/>
      <c r="H26" s="69"/>
      <c r="I26" s="120"/>
      <c r="J26" s="66"/>
      <c r="K26" s="66"/>
      <c r="L26" s="66"/>
      <c r="M26" s="66"/>
      <c r="N26" s="66"/>
      <c r="O26" s="66"/>
      <c r="P26" s="66"/>
    </row>
    <row r="27" spans="1:23" ht="21.75" customHeight="1" x14ac:dyDescent="0.35">
      <c r="B27" s="36"/>
      <c r="C27" s="70"/>
      <c r="I27" s="119"/>
      <c r="J27" s="94"/>
      <c r="K27" s="94"/>
      <c r="L27" s="94"/>
      <c r="M27" s="94"/>
      <c r="N27" s="94"/>
      <c r="O27" s="94"/>
      <c r="P27" s="94"/>
    </row>
    <row r="28" spans="1:23" ht="21.75" customHeight="1" x14ac:dyDescent="0.35">
      <c r="C28" s="70"/>
      <c r="P28" s="94"/>
    </row>
    <row r="29" spans="1:23" ht="21.75" customHeight="1" x14ac:dyDescent="0.35">
      <c r="B29" s="73"/>
      <c r="C29" s="70"/>
    </row>
    <row r="30" spans="1:23" ht="21.75" customHeight="1" x14ac:dyDescent="0.35">
      <c r="C30" s="70"/>
      <c r="D30" s="74"/>
      <c r="E30" s="74"/>
      <c r="F30" s="74"/>
      <c r="G30" s="74"/>
      <c r="H30" s="74"/>
      <c r="I30" s="122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</row>
    <row r="31" spans="1:23" ht="21.75" customHeight="1" x14ac:dyDescent="0.35">
      <c r="C31" s="70"/>
      <c r="D31" s="74"/>
      <c r="E31" s="74"/>
      <c r="F31" s="74"/>
      <c r="G31" s="74"/>
      <c r="H31" s="74"/>
      <c r="I31" s="122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</row>
    <row r="32" spans="1:23" ht="21.75" customHeight="1" x14ac:dyDescent="0.35">
      <c r="B32" s="36"/>
      <c r="C32" s="70"/>
    </row>
    <row r="33" spans="2:25" ht="21.75" customHeight="1" x14ac:dyDescent="0.35">
      <c r="C33" s="70"/>
    </row>
    <row r="34" spans="2:25" ht="21.75" customHeight="1" x14ac:dyDescent="0.35">
      <c r="B34" s="36"/>
      <c r="C34" s="70"/>
    </row>
    <row r="35" spans="2:25" ht="21.75" customHeight="1" x14ac:dyDescent="0.35">
      <c r="C35" s="70"/>
    </row>
    <row r="36" spans="2:25" ht="21.75" customHeight="1" x14ac:dyDescent="0.35">
      <c r="B36" s="73"/>
      <c r="C36" s="70"/>
    </row>
    <row r="37" spans="2:25" ht="21.75" customHeight="1" x14ac:dyDescent="0.35">
      <c r="C37" s="70"/>
    </row>
    <row r="38" spans="2:25" ht="21.75" customHeight="1" x14ac:dyDescent="0.35">
      <c r="C38" s="70"/>
    </row>
    <row r="39" spans="2:25" ht="21.75" customHeight="1" x14ac:dyDescent="0.35">
      <c r="C39" s="70"/>
    </row>
    <row r="40" spans="2:25" ht="21.75" customHeight="1" x14ac:dyDescent="0.35">
      <c r="C40" s="70"/>
    </row>
    <row r="41" spans="2:25" ht="21.75" customHeight="1" x14ac:dyDescent="0.35">
      <c r="B41" s="36"/>
      <c r="C41" s="70"/>
    </row>
    <row r="42" spans="2:25" ht="21.75" customHeight="1" x14ac:dyDescent="0.35">
      <c r="C42" s="70"/>
    </row>
    <row r="43" spans="2:25" ht="21.75" customHeight="1" x14ac:dyDescent="0.35">
      <c r="B43" s="31"/>
      <c r="C43" s="70"/>
    </row>
    <row r="44" spans="2:25" ht="21.75" customHeight="1" x14ac:dyDescent="0.35">
      <c r="B44" s="36"/>
      <c r="C44" s="70"/>
    </row>
    <row r="45" spans="2:25" ht="21.75" customHeight="1" x14ac:dyDescent="0.35">
      <c r="B45" s="31"/>
      <c r="C45" s="70"/>
      <c r="X45" s="64"/>
      <c r="Y45" s="64"/>
    </row>
    <row r="46" spans="2:25" ht="21.75" customHeight="1" x14ac:dyDescent="0.35">
      <c r="C46" s="70"/>
    </row>
    <row r="47" spans="2:25" ht="21.75" customHeight="1" x14ac:dyDescent="0.35">
      <c r="C47" s="70"/>
      <c r="H47" s="69"/>
      <c r="I47" s="93"/>
      <c r="J47" s="69"/>
      <c r="K47" s="69"/>
      <c r="L47" s="69"/>
      <c r="M47" s="69"/>
      <c r="U47" s="64"/>
    </row>
    <row r="63" spans="1:21" ht="21.75" customHeight="1" x14ac:dyDescent="0.35">
      <c r="A63"/>
      <c r="B63" s="31"/>
      <c r="C63" s="67"/>
      <c r="H63" s="2"/>
      <c r="I63" s="123"/>
      <c r="J63" s="2"/>
      <c r="K63" s="2"/>
      <c r="L63" s="2"/>
      <c r="M63" s="2"/>
      <c r="U63" s="2"/>
    </row>
    <row r="64" spans="1:21" ht="21.75" customHeight="1" x14ac:dyDescent="0.35">
      <c r="A64"/>
    </row>
    <row r="65" spans="1:1" ht="21.75" customHeight="1" x14ac:dyDescent="0.35">
      <c r="A65"/>
    </row>
    <row r="66" spans="1:1" ht="21.75" customHeight="1" x14ac:dyDescent="0.35">
      <c r="A66"/>
    </row>
    <row r="67" spans="1:1" ht="21.75" customHeight="1" x14ac:dyDescent="0.35">
      <c r="A67"/>
    </row>
    <row r="68" spans="1:1" ht="21.75" customHeight="1" x14ac:dyDescent="0.35">
      <c r="A68"/>
    </row>
    <row r="69" spans="1:1" ht="21.75" customHeight="1" x14ac:dyDescent="0.35">
      <c r="A69"/>
    </row>
    <row r="70" spans="1:1" ht="21.75" customHeight="1" x14ac:dyDescent="0.35">
      <c r="A70"/>
    </row>
    <row r="71" spans="1:1" ht="21.75" customHeight="1" x14ac:dyDescent="0.35">
      <c r="A7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  <row r="115" spans="1:1" ht="21.75" customHeight="1" x14ac:dyDescent="0.35">
      <c r="A115"/>
    </row>
    <row r="116" spans="1:1" ht="21.75" customHeight="1" x14ac:dyDescent="0.35">
      <c r="A116"/>
    </row>
    <row r="117" spans="1:1" ht="21.75" customHeight="1" x14ac:dyDescent="0.35">
      <c r="A117"/>
    </row>
    <row r="118" spans="1:1" ht="21.75" customHeight="1" x14ac:dyDescent="0.35">
      <c r="A118"/>
    </row>
    <row r="119" spans="1:1" ht="21.75" customHeight="1" x14ac:dyDescent="0.35">
      <c r="A119"/>
    </row>
    <row r="120" spans="1:1" ht="21.75" customHeight="1" x14ac:dyDescent="0.35">
      <c r="A120"/>
    </row>
    <row r="121" spans="1:1" ht="21.75" customHeight="1" x14ac:dyDescent="0.35">
      <c r="A121"/>
    </row>
    <row r="122" spans="1:1" ht="21.75" customHeight="1" x14ac:dyDescent="0.35">
      <c r="A122"/>
    </row>
    <row r="123" spans="1:1" ht="21.75" customHeight="1" x14ac:dyDescent="0.35">
      <c r="A123"/>
    </row>
    <row r="124" spans="1:1" ht="21.75" customHeight="1" x14ac:dyDescent="0.35">
      <c r="A124"/>
    </row>
    <row r="125" spans="1:1" ht="21.75" customHeight="1" x14ac:dyDescent="0.35">
      <c r="A125"/>
    </row>
    <row r="126" spans="1:1" ht="21.75" customHeight="1" x14ac:dyDescent="0.35">
      <c r="A126"/>
    </row>
    <row r="127" spans="1:1" ht="21.75" customHeight="1" x14ac:dyDescent="0.35">
      <c r="A127"/>
    </row>
    <row r="128" spans="1:1" ht="21.75" customHeight="1" x14ac:dyDescent="0.35">
      <c r="A128"/>
    </row>
    <row r="129" spans="1:1" ht="21.75" customHeight="1" x14ac:dyDescent="0.35">
      <c r="A129"/>
    </row>
    <row r="130" spans="1:1" ht="21.75" customHeight="1" x14ac:dyDescent="0.35">
      <c r="A130"/>
    </row>
    <row r="131" spans="1:1" ht="21.75" customHeight="1" x14ac:dyDescent="0.35">
      <c r="A131"/>
    </row>
    <row r="132" spans="1:1" ht="21.75" customHeight="1" x14ac:dyDescent="0.35">
      <c r="A132"/>
    </row>
    <row r="133" spans="1:1" ht="21.75" customHeight="1" x14ac:dyDescent="0.35">
      <c r="A133"/>
    </row>
    <row r="134" spans="1:1" ht="21.75" customHeight="1" x14ac:dyDescent="0.35">
      <c r="A134"/>
    </row>
    <row r="135" spans="1:1" ht="21.75" customHeight="1" x14ac:dyDescent="0.35">
      <c r="A135"/>
    </row>
    <row r="136" spans="1:1" ht="21.75" customHeight="1" x14ac:dyDescent="0.35">
      <c r="A136"/>
    </row>
    <row r="137" spans="1:1" ht="21.75" customHeight="1" x14ac:dyDescent="0.35">
      <c r="A137"/>
    </row>
    <row r="138" spans="1:1" ht="21.75" customHeight="1" x14ac:dyDescent="0.35">
      <c r="A138"/>
    </row>
    <row r="139" spans="1:1" ht="21.75" customHeight="1" x14ac:dyDescent="0.35">
      <c r="A139"/>
    </row>
    <row r="140" spans="1:1" ht="21.75" customHeight="1" x14ac:dyDescent="0.35">
      <c r="A140"/>
    </row>
    <row r="141" spans="1:1" ht="21.75" customHeight="1" x14ac:dyDescent="0.35">
      <c r="A141"/>
    </row>
    <row r="142" spans="1:1" ht="21.75" customHeight="1" x14ac:dyDescent="0.35">
      <c r="A142"/>
    </row>
    <row r="143" spans="1:1" ht="21.75" customHeight="1" x14ac:dyDescent="0.35">
      <c r="A143"/>
    </row>
    <row r="144" spans="1:1" ht="21.75" customHeight="1" x14ac:dyDescent="0.35">
      <c r="A144"/>
    </row>
    <row r="145" spans="1:1" ht="21.75" customHeight="1" x14ac:dyDescent="0.35">
      <c r="A145"/>
    </row>
    <row r="146" spans="1:1" ht="21.75" customHeight="1" x14ac:dyDescent="0.35">
      <c r="A146"/>
    </row>
    <row r="147" spans="1:1" ht="21.75" customHeight="1" x14ac:dyDescent="0.35">
      <c r="A147"/>
    </row>
    <row r="148" spans="1:1" ht="21.75" customHeight="1" x14ac:dyDescent="0.35">
      <c r="A148"/>
    </row>
    <row r="149" spans="1:1" ht="21.75" customHeight="1" x14ac:dyDescent="0.35">
      <c r="A149"/>
    </row>
    <row r="150" spans="1:1" ht="21.75" customHeight="1" x14ac:dyDescent="0.35">
      <c r="A150"/>
    </row>
    <row r="151" spans="1:1" ht="21.75" customHeight="1" x14ac:dyDescent="0.35">
      <c r="A151"/>
    </row>
    <row r="152" spans="1:1" ht="21.75" customHeight="1" x14ac:dyDescent="0.35">
      <c r="A152"/>
    </row>
    <row r="153" spans="1:1" ht="21.75" customHeight="1" x14ac:dyDescent="0.35">
      <c r="A153"/>
    </row>
    <row r="154" spans="1:1" ht="21.75" customHeight="1" x14ac:dyDescent="0.35">
      <c r="A154"/>
    </row>
    <row r="155" spans="1:1" ht="21.75" customHeight="1" x14ac:dyDescent="0.35">
      <c r="A155"/>
    </row>
    <row r="156" spans="1:1" ht="21.75" customHeight="1" x14ac:dyDescent="0.35">
      <c r="A156"/>
    </row>
    <row r="157" spans="1:1" ht="21.75" customHeight="1" x14ac:dyDescent="0.35">
      <c r="A157"/>
    </row>
    <row r="158" spans="1:1" ht="21.75" customHeight="1" x14ac:dyDescent="0.35">
      <c r="A158"/>
    </row>
    <row r="159" spans="1:1" ht="21.75" customHeight="1" x14ac:dyDescent="0.35">
      <c r="A159"/>
    </row>
    <row r="160" spans="1:1" ht="21.75" customHeight="1" x14ac:dyDescent="0.35">
      <c r="A160"/>
    </row>
    <row r="161" spans="1:1" ht="21.75" customHeight="1" x14ac:dyDescent="0.35">
      <c r="A161"/>
    </row>
    <row r="162" spans="1:1" ht="21.75" customHeight="1" x14ac:dyDescent="0.35">
      <c r="A162"/>
    </row>
    <row r="163" spans="1:1" ht="21.75" customHeight="1" x14ac:dyDescent="0.35">
      <c r="A163"/>
    </row>
    <row r="164" spans="1:1" ht="21.75" customHeight="1" x14ac:dyDescent="0.35">
      <c r="A164"/>
    </row>
    <row r="165" spans="1:1" ht="21.75" customHeight="1" x14ac:dyDescent="0.35">
      <c r="A165"/>
    </row>
    <row r="166" spans="1:1" ht="21.75" customHeight="1" x14ac:dyDescent="0.35">
      <c r="A166"/>
    </row>
    <row r="167" spans="1:1" ht="21.75" customHeight="1" x14ac:dyDescent="0.35">
      <c r="A167"/>
    </row>
    <row r="168" spans="1:1" ht="21.75" customHeight="1" x14ac:dyDescent="0.35">
      <c r="A168"/>
    </row>
    <row r="169" spans="1:1" ht="21.75" customHeight="1" x14ac:dyDescent="0.35">
      <c r="A169"/>
    </row>
    <row r="170" spans="1:1" ht="21.75" customHeight="1" x14ac:dyDescent="0.35">
      <c r="A170"/>
    </row>
    <row r="171" spans="1:1" ht="21.75" customHeight="1" x14ac:dyDescent="0.35">
      <c r="A171"/>
    </row>
    <row r="172" spans="1:1" ht="21.75" customHeight="1" x14ac:dyDescent="0.35">
      <c r="A172"/>
    </row>
    <row r="173" spans="1:1" ht="21.75" customHeight="1" x14ac:dyDescent="0.35">
      <c r="A173"/>
    </row>
    <row r="174" spans="1:1" ht="21.75" customHeight="1" x14ac:dyDescent="0.35">
      <c r="A174"/>
    </row>
    <row r="175" spans="1:1" ht="21.75" customHeight="1" x14ac:dyDescent="0.35">
      <c r="A175"/>
    </row>
    <row r="176" spans="1:1" ht="21.75" customHeight="1" x14ac:dyDescent="0.35">
      <c r="A176"/>
    </row>
    <row r="177" spans="1:1" ht="21.75" customHeight="1" x14ac:dyDescent="0.35">
      <c r="A177"/>
    </row>
    <row r="178" spans="1:1" ht="21.75" customHeight="1" x14ac:dyDescent="0.35">
      <c r="A178"/>
    </row>
    <row r="179" spans="1:1" ht="21.75" customHeight="1" x14ac:dyDescent="0.35">
      <c r="A179"/>
    </row>
    <row r="180" spans="1:1" ht="21.75" customHeight="1" x14ac:dyDescent="0.35">
      <c r="A180"/>
    </row>
    <row r="181" spans="1:1" ht="21.75" customHeight="1" x14ac:dyDescent="0.35">
      <c r="A181"/>
    </row>
    <row r="182" spans="1:1" ht="21.75" customHeight="1" x14ac:dyDescent="0.35">
      <c r="A182"/>
    </row>
    <row r="183" spans="1:1" ht="21.75" customHeight="1" x14ac:dyDescent="0.35">
      <c r="A183"/>
    </row>
    <row r="184" spans="1:1" ht="21.75" customHeight="1" x14ac:dyDescent="0.35">
      <c r="A184"/>
    </row>
    <row r="185" spans="1:1" ht="21.75" customHeight="1" x14ac:dyDescent="0.35">
      <c r="A185"/>
    </row>
    <row r="186" spans="1:1" ht="21.75" customHeight="1" x14ac:dyDescent="0.35">
      <c r="A186"/>
    </row>
    <row r="187" spans="1:1" ht="21.75" customHeight="1" x14ac:dyDescent="0.35">
      <c r="A187"/>
    </row>
    <row r="188" spans="1:1" ht="21.75" customHeight="1" x14ac:dyDescent="0.35">
      <c r="A188"/>
    </row>
    <row r="189" spans="1:1" ht="21.75" customHeight="1" x14ac:dyDescent="0.35">
      <c r="A189"/>
    </row>
    <row r="190" spans="1:1" ht="21.75" customHeight="1" x14ac:dyDescent="0.35">
      <c r="A190"/>
    </row>
    <row r="191" spans="1:1" ht="21.75" customHeight="1" x14ac:dyDescent="0.35">
      <c r="A191"/>
    </row>
    <row r="192" spans="1:1" ht="21.75" customHeight="1" x14ac:dyDescent="0.35">
      <c r="A192"/>
    </row>
    <row r="193" spans="1:1" ht="21.75" customHeight="1" x14ac:dyDescent="0.35">
      <c r="A193"/>
    </row>
    <row r="194" spans="1:1" ht="21.75" customHeight="1" x14ac:dyDescent="0.35">
      <c r="A194"/>
    </row>
    <row r="195" spans="1:1" ht="21.75" customHeight="1" x14ac:dyDescent="0.35">
      <c r="A195"/>
    </row>
    <row r="196" spans="1:1" ht="21.75" customHeight="1" x14ac:dyDescent="0.35">
      <c r="A196"/>
    </row>
    <row r="197" spans="1:1" ht="21.75" customHeight="1" x14ac:dyDescent="0.35">
      <c r="A197"/>
    </row>
    <row r="198" spans="1:1" ht="21.75" customHeight="1" x14ac:dyDescent="0.35">
      <c r="A198"/>
    </row>
    <row r="199" spans="1:1" ht="21.75" customHeight="1" x14ac:dyDescent="0.35">
      <c r="A199"/>
    </row>
    <row r="200" spans="1:1" ht="21.75" customHeight="1" x14ac:dyDescent="0.35">
      <c r="A200"/>
    </row>
    <row r="201" spans="1:1" ht="21.75" customHeight="1" x14ac:dyDescent="0.35">
      <c r="A201"/>
    </row>
    <row r="202" spans="1:1" ht="21.75" customHeight="1" x14ac:dyDescent="0.35">
      <c r="A202"/>
    </row>
    <row r="203" spans="1:1" ht="21.75" customHeight="1" x14ac:dyDescent="0.35">
      <c r="A203"/>
    </row>
    <row r="204" spans="1:1" ht="21.75" customHeight="1" x14ac:dyDescent="0.35">
      <c r="A204"/>
    </row>
    <row r="205" spans="1:1" ht="21.75" customHeight="1" x14ac:dyDescent="0.35">
      <c r="A205"/>
    </row>
    <row r="206" spans="1:1" ht="21.75" customHeight="1" x14ac:dyDescent="0.35">
      <c r="A206"/>
    </row>
    <row r="207" spans="1:1" ht="21.75" customHeight="1" x14ac:dyDescent="0.35">
      <c r="A207"/>
    </row>
    <row r="208" spans="1:1" ht="21.75" customHeight="1" x14ac:dyDescent="0.35">
      <c r="A208"/>
    </row>
    <row r="209" spans="1:1" ht="21.75" customHeight="1" x14ac:dyDescent="0.35">
      <c r="A209"/>
    </row>
    <row r="210" spans="1:1" ht="21.75" customHeight="1" x14ac:dyDescent="0.35">
      <c r="A210"/>
    </row>
    <row r="211" spans="1:1" ht="21.75" customHeight="1" x14ac:dyDescent="0.35">
      <c r="A211"/>
    </row>
    <row r="212" spans="1:1" ht="21.75" customHeight="1" x14ac:dyDescent="0.35">
      <c r="A212"/>
    </row>
    <row r="213" spans="1:1" ht="21.75" customHeight="1" x14ac:dyDescent="0.35">
      <c r="A213"/>
    </row>
    <row r="214" spans="1:1" ht="21.75" customHeight="1" x14ac:dyDescent="0.35">
      <c r="A214"/>
    </row>
    <row r="215" spans="1:1" ht="21.75" customHeight="1" x14ac:dyDescent="0.35">
      <c r="A215"/>
    </row>
    <row r="216" spans="1:1" ht="21.75" customHeight="1" x14ac:dyDescent="0.35">
      <c r="A216"/>
    </row>
    <row r="217" spans="1:1" ht="21.75" customHeight="1" x14ac:dyDescent="0.35">
      <c r="A217"/>
    </row>
    <row r="218" spans="1:1" ht="21.75" customHeight="1" x14ac:dyDescent="0.35">
      <c r="A218"/>
    </row>
    <row r="219" spans="1:1" ht="21.75" customHeight="1" x14ac:dyDescent="0.35">
      <c r="A219"/>
    </row>
    <row r="220" spans="1:1" ht="21.75" customHeight="1" x14ac:dyDescent="0.35">
      <c r="A220"/>
    </row>
    <row r="221" spans="1:1" ht="21.75" customHeight="1" x14ac:dyDescent="0.35">
      <c r="A221"/>
    </row>
    <row r="222" spans="1:1" ht="21.75" customHeight="1" x14ac:dyDescent="0.35">
      <c r="A222"/>
    </row>
    <row r="223" spans="1:1" ht="21.75" customHeight="1" x14ac:dyDescent="0.35">
      <c r="A223"/>
    </row>
    <row r="224" spans="1:1" ht="21.75" customHeight="1" x14ac:dyDescent="0.35">
      <c r="A224"/>
    </row>
    <row r="225" spans="1:1" ht="21.75" customHeight="1" x14ac:dyDescent="0.35">
      <c r="A225"/>
    </row>
    <row r="226" spans="1:1" ht="21.75" customHeight="1" x14ac:dyDescent="0.35">
      <c r="A226"/>
    </row>
    <row r="227" spans="1:1" ht="21.75" customHeight="1" x14ac:dyDescent="0.35">
      <c r="A227"/>
    </row>
    <row r="228" spans="1:1" ht="21.75" customHeight="1" x14ac:dyDescent="0.35">
      <c r="A228"/>
    </row>
    <row r="229" spans="1:1" ht="21.75" customHeight="1" x14ac:dyDescent="0.35">
      <c r="A229"/>
    </row>
    <row r="230" spans="1:1" ht="21.75" customHeight="1" x14ac:dyDescent="0.35">
      <c r="A230"/>
    </row>
    <row r="231" spans="1:1" ht="21.75" customHeight="1" x14ac:dyDescent="0.35">
      <c r="A231"/>
    </row>
    <row r="232" spans="1:1" ht="21.75" customHeight="1" x14ac:dyDescent="0.35">
      <c r="A232"/>
    </row>
    <row r="233" spans="1:1" ht="21.75" customHeight="1" x14ac:dyDescent="0.35">
      <c r="A233"/>
    </row>
    <row r="234" spans="1:1" ht="21.75" customHeight="1" x14ac:dyDescent="0.35">
      <c r="A234"/>
    </row>
    <row r="235" spans="1:1" ht="21.75" customHeight="1" x14ac:dyDescent="0.35">
      <c r="A235"/>
    </row>
    <row r="236" spans="1:1" ht="21.75" customHeight="1" x14ac:dyDescent="0.35">
      <c r="A236"/>
    </row>
    <row r="237" spans="1:1" ht="21.75" customHeight="1" x14ac:dyDescent="0.35">
      <c r="A237"/>
    </row>
    <row r="238" spans="1:1" ht="21.75" customHeight="1" x14ac:dyDescent="0.35">
      <c r="A238"/>
    </row>
    <row r="239" spans="1:1" ht="21.75" customHeight="1" x14ac:dyDescent="0.35">
      <c r="A239"/>
    </row>
    <row r="240" spans="1:1" ht="21.75" customHeight="1" x14ac:dyDescent="0.35">
      <c r="A240"/>
    </row>
    <row r="241" spans="1:1" ht="21.75" customHeight="1" x14ac:dyDescent="0.35">
      <c r="A241"/>
    </row>
    <row r="242" spans="1:1" ht="21.75" customHeight="1" x14ac:dyDescent="0.35">
      <c r="A242"/>
    </row>
    <row r="243" spans="1:1" ht="21.75" customHeight="1" x14ac:dyDescent="0.35">
      <c r="A243"/>
    </row>
    <row r="244" spans="1:1" ht="21.75" customHeight="1" x14ac:dyDescent="0.35">
      <c r="A244"/>
    </row>
    <row r="245" spans="1:1" ht="21.75" customHeight="1" x14ac:dyDescent="0.35">
      <c r="A245"/>
    </row>
    <row r="246" spans="1:1" ht="21.75" customHeight="1" x14ac:dyDescent="0.35">
      <c r="A246"/>
    </row>
    <row r="247" spans="1:1" ht="21.75" customHeight="1" x14ac:dyDescent="0.35">
      <c r="A247"/>
    </row>
    <row r="248" spans="1:1" ht="21.75" customHeight="1" x14ac:dyDescent="0.35">
      <c r="A248"/>
    </row>
    <row r="249" spans="1:1" ht="21.75" customHeight="1" x14ac:dyDescent="0.35">
      <c r="A249"/>
    </row>
    <row r="250" spans="1:1" ht="21.75" customHeight="1" x14ac:dyDescent="0.35">
      <c r="A250"/>
    </row>
    <row r="251" spans="1:1" ht="21.75" customHeight="1" x14ac:dyDescent="0.35">
      <c r="A251"/>
    </row>
    <row r="252" spans="1:1" ht="21.75" customHeight="1" x14ac:dyDescent="0.35">
      <c r="A252"/>
    </row>
    <row r="253" spans="1:1" ht="21.75" customHeight="1" x14ac:dyDescent="0.35">
      <c r="A253"/>
    </row>
    <row r="254" spans="1:1" ht="21.75" customHeight="1" x14ac:dyDescent="0.35">
      <c r="A254"/>
    </row>
    <row r="255" spans="1:1" ht="21.75" customHeight="1" x14ac:dyDescent="0.35">
      <c r="A255"/>
    </row>
    <row r="256" spans="1:1" ht="21.75" customHeight="1" x14ac:dyDescent="0.35">
      <c r="A256"/>
    </row>
    <row r="257" spans="1:1" ht="21.75" customHeight="1" x14ac:dyDescent="0.35">
      <c r="A257"/>
    </row>
    <row r="258" spans="1:1" ht="21.75" customHeight="1" x14ac:dyDescent="0.35">
      <c r="A258"/>
    </row>
    <row r="259" spans="1:1" ht="21.75" customHeight="1" x14ac:dyDescent="0.35">
      <c r="A259"/>
    </row>
    <row r="260" spans="1:1" ht="21.75" customHeight="1" x14ac:dyDescent="0.35">
      <c r="A260"/>
    </row>
    <row r="261" spans="1:1" ht="21.75" customHeight="1" x14ac:dyDescent="0.35">
      <c r="A261"/>
    </row>
    <row r="262" spans="1:1" ht="21.75" customHeight="1" x14ac:dyDescent="0.35">
      <c r="A262"/>
    </row>
    <row r="263" spans="1:1" ht="21.75" customHeight="1" x14ac:dyDescent="0.35">
      <c r="A263"/>
    </row>
    <row r="264" spans="1:1" ht="21.75" customHeight="1" x14ac:dyDescent="0.35">
      <c r="A264"/>
    </row>
    <row r="265" spans="1:1" ht="21.75" customHeight="1" x14ac:dyDescent="0.35">
      <c r="A265"/>
    </row>
    <row r="266" spans="1:1" ht="21.75" customHeight="1" x14ac:dyDescent="0.35">
      <c r="A266"/>
    </row>
    <row r="267" spans="1:1" ht="21.75" customHeight="1" x14ac:dyDescent="0.35">
      <c r="A267"/>
    </row>
    <row r="268" spans="1:1" ht="21.75" customHeight="1" x14ac:dyDescent="0.35">
      <c r="A268"/>
    </row>
    <row r="269" spans="1:1" ht="21.75" customHeight="1" x14ac:dyDescent="0.35">
      <c r="A269"/>
    </row>
    <row r="270" spans="1:1" ht="21.75" customHeight="1" x14ac:dyDescent="0.35">
      <c r="A270"/>
    </row>
    <row r="271" spans="1:1" ht="21.75" customHeight="1" x14ac:dyDescent="0.35">
      <c r="A271"/>
    </row>
    <row r="272" spans="1:1" ht="21.75" customHeight="1" x14ac:dyDescent="0.35">
      <c r="A272"/>
    </row>
    <row r="273" spans="1:1" ht="21.75" customHeight="1" x14ac:dyDescent="0.35">
      <c r="A273"/>
    </row>
    <row r="274" spans="1:1" ht="21.75" customHeight="1" x14ac:dyDescent="0.35">
      <c r="A274"/>
    </row>
    <row r="275" spans="1:1" ht="21.75" customHeight="1" x14ac:dyDescent="0.35">
      <c r="A275"/>
    </row>
    <row r="276" spans="1:1" ht="21.75" customHeight="1" x14ac:dyDescent="0.35">
      <c r="A276"/>
    </row>
    <row r="277" spans="1:1" ht="21.75" customHeight="1" x14ac:dyDescent="0.35">
      <c r="A277"/>
    </row>
    <row r="278" spans="1:1" ht="21.75" customHeight="1" x14ac:dyDescent="0.35">
      <c r="A278"/>
    </row>
    <row r="279" spans="1:1" ht="21.75" customHeight="1" x14ac:dyDescent="0.35">
      <c r="A279"/>
    </row>
    <row r="280" spans="1:1" ht="21.75" customHeight="1" x14ac:dyDescent="0.35">
      <c r="A280"/>
    </row>
    <row r="281" spans="1:1" ht="21.75" customHeight="1" x14ac:dyDescent="0.35">
      <c r="A281"/>
    </row>
    <row r="282" spans="1:1" ht="21.75" customHeight="1" x14ac:dyDescent="0.35">
      <c r="A282"/>
    </row>
    <row r="283" spans="1:1" ht="21.75" customHeight="1" x14ac:dyDescent="0.35">
      <c r="A283"/>
    </row>
    <row r="284" spans="1:1" ht="21.75" customHeight="1" x14ac:dyDescent="0.35">
      <c r="A284"/>
    </row>
    <row r="285" spans="1:1" ht="21.75" customHeight="1" x14ac:dyDescent="0.35">
      <c r="A285"/>
    </row>
    <row r="286" spans="1:1" ht="21.75" customHeight="1" x14ac:dyDescent="0.35">
      <c r="A286"/>
    </row>
    <row r="287" spans="1:1" ht="21.75" customHeight="1" x14ac:dyDescent="0.35">
      <c r="A287"/>
    </row>
  </sheetData>
  <mergeCells count="1">
    <mergeCell ref="I6:M6"/>
  </mergeCells>
  <conditionalFormatting sqref="I9:P9">
    <cfRule type="expression" dxfId="2" priority="1">
      <formula>(I9&lt;I10)</formula>
    </cfRule>
  </conditionalFormatting>
  <conditionalFormatting sqref="I15:P15">
    <cfRule type="expression" dxfId="1" priority="2">
      <formula>(I15&gt;I16)</formula>
    </cfRule>
  </conditionalFormatting>
  <conditionalFormatting sqref="I21:P21">
    <cfRule type="expression" dxfId="0" priority="3">
      <formula>(I21&gt;I22)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0B328-B44A-4ECB-916E-C15CE044B355}">
  <sheetPr>
    <tabColor rgb="FFFF0000"/>
  </sheetPr>
  <dimension ref="A1:K18"/>
  <sheetViews>
    <sheetView showGridLines="0" workbookViewId="0">
      <selection activeCell="I20" sqref="I20"/>
    </sheetView>
  </sheetViews>
  <sheetFormatPr defaultRowHeight="14.5" x14ac:dyDescent="0.35"/>
  <cols>
    <col min="1" max="1" width="4" customWidth="1"/>
    <col min="2" max="2" width="2.08984375" customWidth="1"/>
    <col min="3" max="3" width="24.54296875" customWidth="1"/>
    <col min="4" max="4" width="15.6328125" customWidth="1"/>
    <col min="5" max="5" width="12.54296875" customWidth="1"/>
    <col min="6" max="6" width="11.36328125" style="5" customWidth="1"/>
    <col min="7" max="7" width="15.6328125" customWidth="1"/>
    <col min="8" max="8" width="13.36328125" hidden="1" customWidth="1"/>
    <col min="9" max="9" width="12.54296875" customWidth="1"/>
  </cols>
  <sheetData>
    <row r="1" spans="1:11" x14ac:dyDescent="0.35">
      <c r="C1" s="36" t="s">
        <v>32</v>
      </c>
      <c r="D1" s="36"/>
      <c r="E1" s="36"/>
      <c r="F1" s="154"/>
      <c r="G1" s="36"/>
      <c r="I1" s="36"/>
    </row>
    <row r="2" spans="1:11" x14ac:dyDescent="0.35">
      <c r="C2" s="36" t="s">
        <v>33</v>
      </c>
      <c r="D2" s="36"/>
      <c r="E2" s="36"/>
      <c r="F2" s="154"/>
      <c r="G2" s="5"/>
      <c r="H2" s="5"/>
      <c r="I2" s="5"/>
    </row>
    <row r="3" spans="1:11" ht="13" customHeight="1" x14ac:dyDescent="0.35">
      <c r="C3" s="11"/>
      <c r="D3" s="155"/>
      <c r="E3" s="155"/>
      <c r="F3" s="155"/>
      <c r="G3" s="155"/>
      <c r="H3" s="155"/>
      <c r="I3" s="155"/>
    </row>
    <row r="4" spans="1:11" ht="22" customHeight="1" thickBot="1" x14ac:dyDescent="0.4">
      <c r="C4" s="12" t="s">
        <v>34</v>
      </c>
      <c r="D4" s="12"/>
      <c r="E4" s="12"/>
      <c r="F4" s="12"/>
      <c r="G4" s="12"/>
      <c r="H4" s="12"/>
      <c r="I4" s="12"/>
    </row>
    <row r="5" spans="1:11" ht="29.5" thickBot="1" x14ac:dyDescent="0.4">
      <c r="C5" s="124"/>
      <c r="D5" s="125" t="s">
        <v>185</v>
      </c>
      <c r="E5" s="16" t="s">
        <v>183</v>
      </c>
      <c r="F5" s="126" t="s">
        <v>35</v>
      </c>
      <c r="G5" s="127" t="s">
        <v>187</v>
      </c>
      <c r="H5" s="126" t="s">
        <v>36</v>
      </c>
      <c r="I5" s="16" t="s">
        <v>183</v>
      </c>
    </row>
    <row r="6" spans="1:11" x14ac:dyDescent="0.35">
      <c r="A6">
        <f>ROW()</f>
        <v>6</v>
      </c>
      <c r="C6" s="160" t="s">
        <v>2</v>
      </c>
      <c r="D6" s="248">
        <v>1045722</v>
      </c>
      <c r="E6" s="128"/>
      <c r="F6" s="129"/>
      <c r="G6" s="60"/>
      <c r="H6" s="66"/>
      <c r="I6" s="130"/>
    </row>
    <row r="7" spans="1:11" x14ac:dyDescent="0.35">
      <c r="A7">
        <f>ROW()</f>
        <v>7</v>
      </c>
      <c r="E7" s="131"/>
      <c r="F7" s="132"/>
      <c r="G7" s="60"/>
      <c r="H7" s="66"/>
      <c r="I7" s="130"/>
    </row>
    <row r="8" spans="1:11" x14ac:dyDescent="0.35">
      <c r="A8">
        <f>ROW()</f>
        <v>8</v>
      </c>
      <c r="C8" t="s">
        <v>37</v>
      </c>
      <c r="D8" s="248">
        <v>2980346</v>
      </c>
      <c r="E8" s="133"/>
      <c r="F8" s="134">
        <f>-D8</f>
        <v>-2980346</v>
      </c>
      <c r="G8" s="60">
        <v>0</v>
      </c>
      <c r="H8" s="66"/>
      <c r="I8" s="135"/>
    </row>
    <row r="9" spans="1:11" x14ac:dyDescent="0.35">
      <c r="A9">
        <f>ROW()</f>
        <v>9</v>
      </c>
      <c r="C9" t="s">
        <v>38</v>
      </c>
      <c r="D9" s="136">
        <v>0</v>
      </c>
      <c r="E9" s="131"/>
      <c r="F9" s="134">
        <f>+'Transaction S&amp;U'!C8</f>
        <v>0</v>
      </c>
      <c r="G9" s="60">
        <v>0</v>
      </c>
      <c r="H9" s="66"/>
      <c r="I9" s="137"/>
      <c r="K9" s="40"/>
    </row>
    <row r="10" spans="1:11" x14ac:dyDescent="0.35">
      <c r="A10">
        <f>ROW()</f>
        <v>10</v>
      </c>
      <c r="C10" t="s">
        <v>3</v>
      </c>
      <c r="D10" s="136">
        <v>0</v>
      </c>
      <c r="E10" s="131"/>
      <c r="F10" s="134">
        <f>+'Transaction S&amp;U'!C9</f>
        <v>1000000</v>
      </c>
      <c r="G10" s="60">
        <f>+F10+D10</f>
        <v>1000000</v>
      </c>
      <c r="H10" s="66"/>
      <c r="I10" s="137"/>
      <c r="K10" s="40"/>
    </row>
    <row r="11" spans="1:11" x14ac:dyDescent="0.35">
      <c r="A11">
        <f>ROW()</f>
        <v>11</v>
      </c>
      <c r="C11" t="s">
        <v>4</v>
      </c>
      <c r="D11" s="41">
        <v>0</v>
      </c>
      <c r="E11" s="131"/>
      <c r="F11" s="134">
        <f>+'Transaction S&amp;U'!C10</f>
        <v>1300000</v>
      </c>
      <c r="G11" s="60">
        <f>+F11+D11</f>
        <v>1300000</v>
      </c>
      <c r="H11" s="66">
        <v>0.10531154699862307</v>
      </c>
      <c r="I11" s="137"/>
      <c r="K11" s="40"/>
    </row>
    <row r="12" spans="1:11" x14ac:dyDescent="0.35">
      <c r="A12">
        <f>ROW()</f>
        <v>12</v>
      </c>
      <c r="C12" s="167" t="s">
        <v>39</v>
      </c>
      <c r="D12" s="168">
        <f>SUM(D8:D11)</f>
        <v>2980346</v>
      </c>
      <c r="E12" s="169">
        <f>+D12/$E$18</f>
        <v>3.5919251327230985</v>
      </c>
      <c r="F12" s="170">
        <f>SUM(F6:F11)</f>
        <v>-680346</v>
      </c>
      <c r="G12" s="168">
        <f>SUM(G6:G11)</f>
        <v>2300000</v>
      </c>
      <c r="H12" s="171"/>
      <c r="I12" s="172">
        <f>+G12/$E$18</f>
        <v>2.7719693637125107</v>
      </c>
      <c r="K12" s="41"/>
    </row>
    <row r="13" spans="1:11" x14ac:dyDescent="0.35">
      <c r="A13">
        <f>ROW()</f>
        <v>13</v>
      </c>
      <c r="C13" s="89" t="s">
        <v>40</v>
      </c>
      <c r="D13" s="161"/>
      <c r="E13" s="144"/>
      <c r="F13" s="138">
        <f>'Transaction S&amp;U'!C12</f>
        <v>1500000</v>
      </c>
      <c r="G13" s="139">
        <f>+F13+D13</f>
        <v>1500000</v>
      </c>
      <c r="H13" s="140">
        <v>0.10465334982988167</v>
      </c>
      <c r="I13" s="141">
        <f t="shared" ref="I13:I16" si="0">+G13/$E$18</f>
        <v>1.8078061067690288</v>
      </c>
      <c r="K13" s="42"/>
    </row>
    <row r="14" spans="1:11" x14ac:dyDescent="0.35">
      <c r="A14">
        <f>ROW()</f>
        <v>14</v>
      </c>
      <c r="C14" s="23" t="s">
        <v>41</v>
      </c>
      <c r="D14" s="42">
        <f>SUM(D12:D13)</f>
        <v>2980346</v>
      </c>
      <c r="E14" s="142">
        <f t="shared" ref="E14:E16" si="1">+D14/$E$18</f>
        <v>3.5919251327230985</v>
      </c>
      <c r="F14" s="145">
        <f>SUM(F12:F13)</f>
        <v>819654</v>
      </c>
      <c r="G14" s="42">
        <f>SUM(G12:G13)</f>
        <v>3800000</v>
      </c>
      <c r="H14" s="66">
        <v>0.30211250045229993</v>
      </c>
      <c r="I14" s="143">
        <f t="shared" si="0"/>
        <v>4.5797754704815397</v>
      </c>
      <c r="K14" s="41"/>
    </row>
    <row r="15" spans="1:11" x14ac:dyDescent="0.35">
      <c r="A15">
        <f>ROW()</f>
        <v>15</v>
      </c>
      <c r="C15" s="89" t="s">
        <v>42</v>
      </c>
      <c r="D15" s="248">
        <v>2139916</v>
      </c>
      <c r="E15" s="144">
        <f t="shared" si="1"/>
        <v>2.579035475181835</v>
      </c>
      <c r="F15" s="138">
        <f>+'Transaction S&amp;U'!C15-'Proforma Cap'!D15</f>
        <v>1409391.5</v>
      </c>
      <c r="G15" s="139">
        <f>+F15+D15</f>
        <v>3549307.5</v>
      </c>
      <c r="H15" s="140">
        <v>0.69788749954770013</v>
      </c>
      <c r="I15" s="141">
        <f t="shared" si="0"/>
        <v>4.2776398488674099</v>
      </c>
      <c r="K15" s="42"/>
    </row>
    <row r="16" spans="1:11" ht="15" thickBot="1" x14ac:dyDescent="0.4">
      <c r="A16">
        <f>ROW()</f>
        <v>16</v>
      </c>
      <c r="C16" s="146" t="s">
        <v>43</v>
      </c>
      <c r="D16" s="147">
        <f>+D15+D14</f>
        <v>5120262</v>
      </c>
      <c r="E16" s="148">
        <f t="shared" si="1"/>
        <v>6.1709606079049335</v>
      </c>
      <c r="F16" s="149">
        <f>SUM(F14:F15)</f>
        <v>2229045.5</v>
      </c>
      <c r="G16" s="147">
        <f>SUM(G14:G15)</f>
        <v>7349307.5</v>
      </c>
      <c r="H16" s="150">
        <v>1</v>
      </c>
      <c r="I16" s="151">
        <f t="shared" si="0"/>
        <v>8.8574153193489487</v>
      </c>
      <c r="K16" s="40"/>
    </row>
    <row r="17" spans="1:11" ht="15" thickTop="1" x14ac:dyDescent="0.35">
      <c r="A17">
        <f>ROW()</f>
        <v>17</v>
      </c>
      <c r="G17" s="57"/>
      <c r="H17" s="57"/>
      <c r="I17" s="57"/>
      <c r="K17" s="42"/>
    </row>
    <row r="18" spans="1:11" x14ac:dyDescent="0.35">
      <c r="A18">
        <f>ROW()</f>
        <v>18</v>
      </c>
      <c r="C18" s="37"/>
      <c r="D18" s="37" t="s">
        <v>186</v>
      </c>
      <c r="E18" s="38">
        <f>+'Transaction S&amp;U'!E18</f>
        <v>829735</v>
      </c>
      <c r="F18" s="15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2F362-AA61-4DCB-89CD-3130F6E63134}">
  <sheetPr>
    <tabColor theme="9" tint="-0.249977111117893"/>
  </sheetPr>
  <dimension ref="A1:AF231"/>
  <sheetViews>
    <sheetView showGridLines="0" zoomScaleNormal="100" workbookViewId="0">
      <selection activeCell="M2" sqref="M2"/>
    </sheetView>
  </sheetViews>
  <sheetFormatPr defaultRowHeight="14.5" x14ac:dyDescent="0.35"/>
  <cols>
    <col min="1" max="1" width="5.90625" style="5" customWidth="1"/>
    <col min="2" max="2" width="46" customWidth="1"/>
    <col min="3" max="3" width="3.81640625" customWidth="1"/>
    <col min="4" max="12" width="10.54296875" customWidth="1"/>
    <col min="13" max="13" width="2.453125" customWidth="1"/>
    <col min="14" max="14" width="9.6328125" customWidth="1"/>
    <col min="15" max="22" width="9.54296875" bestFit="1" customWidth="1"/>
    <col min="23" max="23" width="3.7265625" customWidth="1"/>
    <col min="24" max="32" width="9.54296875" bestFit="1" customWidth="1"/>
    <col min="254" max="254" width="5.08984375" customWidth="1"/>
    <col min="255" max="255" width="41.7265625" customWidth="1"/>
    <col min="256" max="256" width="14.7265625" customWidth="1"/>
    <col min="257" max="257" width="14.90625" customWidth="1"/>
    <col min="258" max="259" width="11.7265625" customWidth="1"/>
    <col min="260" max="260" width="11.90625" bestFit="1" customWidth="1"/>
    <col min="262" max="262" width="10.26953125" bestFit="1" customWidth="1"/>
    <col min="263" max="263" width="11.26953125" customWidth="1"/>
    <col min="264" max="264" width="5" customWidth="1"/>
    <col min="265" max="270" width="15" customWidth="1"/>
    <col min="510" max="510" width="5.08984375" customWidth="1"/>
    <col min="511" max="511" width="41.7265625" customWidth="1"/>
    <col min="512" max="512" width="14.7265625" customWidth="1"/>
    <col min="513" max="513" width="14.90625" customWidth="1"/>
    <col min="514" max="515" width="11.7265625" customWidth="1"/>
    <col min="516" max="516" width="11.90625" bestFit="1" customWidth="1"/>
    <col min="518" max="518" width="10.26953125" bestFit="1" customWidth="1"/>
    <col min="519" max="519" width="11.26953125" customWidth="1"/>
    <col min="520" max="520" width="5" customWidth="1"/>
    <col min="521" max="526" width="15" customWidth="1"/>
    <col min="766" max="766" width="5.08984375" customWidth="1"/>
    <col min="767" max="767" width="41.7265625" customWidth="1"/>
    <col min="768" max="768" width="14.7265625" customWidth="1"/>
    <col min="769" max="769" width="14.90625" customWidth="1"/>
    <col min="770" max="771" width="11.7265625" customWidth="1"/>
    <col min="772" max="772" width="11.90625" bestFit="1" customWidth="1"/>
    <col min="774" max="774" width="10.26953125" bestFit="1" customWidth="1"/>
    <col min="775" max="775" width="11.26953125" customWidth="1"/>
    <col min="776" max="776" width="5" customWidth="1"/>
    <col min="777" max="782" width="15" customWidth="1"/>
    <col min="1022" max="1022" width="5.08984375" customWidth="1"/>
    <col min="1023" max="1023" width="41.7265625" customWidth="1"/>
    <col min="1024" max="1024" width="14.7265625" customWidth="1"/>
    <col min="1025" max="1025" width="14.90625" customWidth="1"/>
    <col min="1026" max="1027" width="11.7265625" customWidth="1"/>
    <col min="1028" max="1028" width="11.90625" bestFit="1" customWidth="1"/>
    <col min="1030" max="1030" width="10.26953125" bestFit="1" customWidth="1"/>
    <col min="1031" max="1031" width="11.26953125" customWidth="1"/>
    <col min="1032" max="1032" width="5" customWidth="1"/>
    <col min="1033" max="1038" width="15" customWidth="1"/>
    <col min="1278" max="1278" width="5.08984375" customWidth="1"/>
    <col min="1279" max="1279" width="41.7265625" customWidth="1"/>
    <col min="1280" max="1280" width="14.7265625" customWidth="1"/>
    <col min="1281" max="1281" width="14.90625" customWidth="1"/>
    <col min="1282" max="1283" width="11.7265625" customWidth="1"/>
    <col min="1284" max="1284" width="11.90625" bestFit="1" customWidth="1"/>
    <col min="1286" max="1286" width="10.26953125" bestFit="1" customWidth="1"/>
    <col min="1287" max="1287" width="11.26953125" customWidth="1"/>
    <col min="1288" max="1288" width="5" customWidth="1"/>
    <col min="1289" max="1294" width="15" customWidth="1"/>
    <col min="1534" max="1534" width="5.08984375" customWidth="1"/>
    <col min="1535" max="1535" width="41.7265625" customWidth="1"/>
    <col min="1536" max="1536" width="14.7265625" customWidth="1"/>
    <col min="1537" max="1537" width="14.90625" customWidth="1"/>
    <col min="1538" max="1539" width="11.7265625" customWidth="1"/>
    <col min="1540" max="1540" width="11.90625" bestFit="1" customWidth="1"/>
    <col min="1542" max="1542" width="10.26953125" bestFit="1" customWidth="1"/>
    <col min="1543" max="1543" width="11.26953125" customWidth="1"/>
    <col min="1544" max="1544" width="5" customWidth="1"/>
    <col min="1545" max="1550" width="15" customWidth="1"/>
    <col min="1790" max="1790" width="5.08984375" customWidth="1"/>
    <col min="1791" max="1791" width="41.7265625" customWidth="1"/>
    <col min="1792" max="1792" width="14.7265625" customWidth="1"/>
    <col min="1793" max="1793" width="14.90625" customWidth="1"/>
    <col min="1794" max="1795" width="11.7265625" customWidth="1"/>
    <col min="1796" max="1796" width="11.90625" bestFit="1" customWidth="1"/>
    <col min="1798" max="1798" width="10.26953125" bestFit="1" customWidth="1"/>
    <col min="1799" max="1799" width="11.26953125" customWidth="1"/>
    <col min="1800" max="1800" width="5" customWidth="1"/>
    <col min="1801" max="1806" width="15" customWidth="1"/>
    <col min="2046" max="2046" width="5.08984375" customWidth="1"/>
    <col min="2047" max="2047" width="41.7265625" customWidth="1"/>
    <col min="2048" max="2048" width="14.7265625" customWidth="1"/>
    <col min="2049" max="2049" width="14.90625" customWidth="1"/>
    <col min="2050" max="2051" width="11.7265625" customWidth="1"/>
    <col min="2052" max="2052" width="11.90625" bestFit="1" customWidth="1"/>
    <col min="2054" max="2054" width="10.26953125" bestFit="1" customWidth="1"/>
    <col min="2055" max="2055" width="11.26953125" customWidth="1"/>
    <col min="2056" max="2056" width="5" customWidth="1"/>
    <col min="2057" max="2062" width="15" customWidth="1"/>
    <col min="2302" max="2302" width="5.08984375" customWidth="1"/>
    <col min="2303" max="2303" width="41.7265625" customWidth="1"/>
    <col min="2304" max="2304" width="14.7265625" customWidth="1"/>
    <col min="2305" max="2305" width="14.90625" customWidth="1"/>
    <col min="2306" max="2307" width="11.7265625" customWidth="1"/>
    <col min="2308" max="2308" width="11.90625" bestFit="1" customWidth="1"/>
    <col min="2310" max="2310" width="10.26953125" bestFit="1" customWidth="1"/>
    <col min="2311" max="2311" width="11.26953125" customWidth="1"/>
    <col min="2312" max="2312" width="5" customWidth="1"/>
    <col min="2313" max="2318" width="15" customWidth="1"/>
    <col min="2558" max="2558" width="5.08984375" customWidth="1"/>
    <col min="2559" max="2559" width="41.7265625" customWidth="1"/>
    <col min="2560" max="2560" width="14.7265625" customWidth="1"/>
    <col min="2561" max="2561" width="14.90625" customWidth="1"/>
    <col min="2562" max="2563" width="11.7265625" customWidth="1"/>
    <col min="2564" max="2564" width="11.90625" bestFit="1" customWidth="1"/>
    <col min="2566" max="2566" width="10.26953125" bestFit="1" customWidth="1"/>
    <col min="2567" max="2567" width="11.26953125" customWidth="1"/>
    <col min="2568" max="2568" width="5" customWidth="1"/>
    <col min="2569" max="2574" width="15" customWidth="1"/>
    <col min="2814" max="2814" width="5.08984375" customWidth="1"/>
    <col min="2815" max="2815" width="41.7265625" customWidth="1"/>
    <col min="2816" max="2816" width="14.7265625" customWidth="1"/>
    <col min="2817" max="2817" width="14.90625" customWidth="1"/>
    <col min="2818" max="2819" width="11.7265625" customWidth="1"/>
    <col min="2820" max="2820" width="11.90625" bestFit="1" customWidth="1"/>
    <col min="2822" max="2822" width="10.26953125" bestFit="1" customWidth="1"/>
    <col min="2823" max="2823" width="11.26953125" customWidth="1"/>
    <col min="2824" max="2824" width="5" customWidth="1"/>
    <col min="2825" max="2830" width="15" customWidth="1"/>
    <col min="3070" max="3070" width="5.08984375" customWidth="1"/>
    <col min="3071" max="3071" width="41.7265625" customWidth="1"/>
    <col min="3072" max="3072" width="14.7265625" customWidth="1"/>
    <col min="3073" max="3073" width="14.90625" customWidth="1"/>
    <col min="3074" max="3075" width="11.7265625" customWidth="1"/>
    <col min="3076" max="3076" width="11.90625" bestFit="1" customWidth="1"/>
    <col min="3078" max="3078" width="10.26953125" bestFit="1" customWidth="1"/>
    <col min="3079" max="3079" width="11.26953125" customWidth="1"/>
    <col min="3080" max="3080" width="5" customWidth="1"/>
    <col min="3081" max="3086" width="15" customWidth="1"/>
    <col min="3326" max="3326" width="5.08984375" customWidth="1"/>
    <col min="3327" max="3327" width="41.7265625" customWidth="1"/>
    <col min="3328" max="3328" width="14.7265625" customWidth="1"/>
    <col min="3329" max="3329" width="14.90625" customWidth="1"/>
    <col min="3330" max="3331" width="11.7265625" customWidth="1"/>
    <col min="3332" max="3332" width="11.90625" bestFit="1" customWidth="1"/>
    <col min="3334" max="3334" width="10.26953125" bestFit="1" customWidth="1"/>
    <col min="3335" max="3335" width="11.26953125" customWidth="1"/>
    <col min="3336" max="3336" width="5" customWidth="1"/>
    <col min="3337" max="3342" width="15" customWidth="1"/>
    <col min="3582" max="3582" width="5.08984375" customWidth="1"/>
    <col min="3583" max="3583" width="41.7265625" customWidth="1"/>
    <col min="3584" max="3584" width="14.7265625" customWidth="1"/>
    <col min="3585" max="3585" width="14.90625" customWidth="1"/>
    <col min="3586" max="3587" width="11.7265625" customWidth="1"/>
    <col min="3588" max="3588" width="11.90625" bestFit="1" customWidth="1"/>
    <col min="3590" max="3590" width="10.26953125" bestFit="1" customWidth="1"/>
    <col min="3591" max="3591" width="11.26953125" customWidth="1"/>
    <col min="3592" max="3592" width="5" customWidth="1"/>
    <col min="3593" max="3598" width="15" customWidth="1"/>
    <col min="3838" max="3838" width="5.08984375" customWidth="1"/>
    <col min="3839" max="3839" width="41.7265625" customWidth="1"/>
    <col min="3840" max="3840" width="14.7265625" customWidth="1"/>
    <col min="3841" max="3841" width="14.90625" customWidth="1"/>
    <col min="3842" max="3843" width="11.7265625" customWidth="1"/>
    <col min="3844" max="3844" width="11.90625" bestFit="1" customWidth="1"/>
    <col min="3846" max="3846" width="10.26953125" bestFit="1" customWidth="1"/>
    <col min="3847" max="3847" width="11.26953125" customWidth="1"/>
    <col min="3848" max="3848" width="5" customWidth="1"/>
    <col min="3849" max="3854" width="15" customWidth="1"/>
    <col min="4094" max="4094" width="5.08984375" customWidth="1"/>
    <col min="4095" max="4095" width="41.7265625" customWidth="1"/>
    <col min="4096" max="4096" width="14.7265625" customWidth="1"/>
    <col min="4097" max="4097" width="14.90625" customWidth="1"/>
    <col min="4098" max="4099" width="11.7265625" customWidth="1"/>
    <col min="4100" max="4100" width="11.90625" bestFit="1" customWidth="1"/>
    <col min="4102" max="4102" width="10.26953125" bestFit="1" customWidth="1"/>
    <col min="4103" max="4103" width="11.26953125" customWidth="1"/>
    <col min="4104" max="4104" width="5" customWidth="1"/>
    <col min="4105" max="4110" width="15" customWidth="1"/>
    <col min="4350" max="4350" width="5.08984375" customWidth="1"/>
    <col min="4351" max="4351" width="41.7265625" customWidth="1"/>
    <col min="4352" max="4352" width="14.7265625" customWidth="1"/>
    <col min="4353" max="4353" width="14.90625" customWidth="1"/>
    <col min="4354" max="4355" width="11.7265625" customWidth="1"/>
    <col min="4356" max="4356" width="11.90625" bestFit="1" customWidth="1"/>
    <col min="4358" max="4358" width="10.26953125" bestFit="1" customWidth="1"/>
    <col min="4359" max="4359" width="11.26953125" customWidth="1"/>
    <col min="4360" max="4360" width="5" customWidth="1"/>
    <col min="4361" max="4366" width="15" customWidth="1"/>
    <col min="4606" max="4606" width="5.08984375" customWidth="1"/>
    <col min="4607" max="4607" width="41.7265625" customWidth="1"/>
    <col min="4608" max="4608" width="14.7265625" customWidth="1"/>
    <col min="4609" max="4609" width="14.90625" customWidth="1"/>
    <col min="4610" max="4611" width="11.7265625" customWidth="1"/>
    <col min="4612" max="4612" width="11.90625" bestFit="1" customWidth="1"/>
    <col min="4614" max="4614" width="10.26953125" bestFit="1" customWidth="1"/>
    <col min="4615" max="4615" width="11.26953125" customWidth="1"/>
    <col min="4616" max="4616" width="5" customWidth="1"/>
    <col min="4617" max="4622" width="15" customWidth="1"/>
    <col min="4862" max="4862" width="5.08984375" customWidth="1"/>
    <col min="4863" max="4863" width="41.7265625" customWidth="1"/>
    <col min="4864" max="4864" width="14.7265625" customWidth="1"/>
    <col min="4865" max="4865" width="14.90625" customWidth="1"/>
    <col min="4866" max="4867" width="11.7265625" customWidth="1"/>
    <col min="4868" max="4868" width="11.90625" bestFit="1" customWidth="1"/>
    <col min="4870" max="4870" width="10.26953125" bestFit="1" customWidth="1"/>
    <col min="4871" max="4871" width="11.26953125" customWidth="1"/>
    <col min="4872" max="4872" width="5" customWidth="1"/>
    <col min="4873" max="4878" width="15" customWidth="1"/>
    <col min="5118" max="5118" width="5.08984375" customWidth="1"/>
    <col min="5119" max="5119" width="41.7265625" customWidth="1"/>
    <col min="5120" max="5120" width="14.7265625" customWidth="1"/>
    <col min="5121" max="5121" width="14.90625" customWidth="1"/>
    <col min="5122" max="5123" width="11.7265625" customWidth="1"/>
    <col min="5124" max="5124" width="11.90625" bestFit="1" customWidth="1"/>
    <col min="5126" max="5126" width="10.26953125" bestFit="1" customWidth="1"/>
    <col min="5127" max="5127" width="11.26953125" customWidth="1"/>
    <col min="5128" max="5128" width="5" customWidth="1"/>
    <col min="5129" max="5134" width="15" customWidth="1"/>
    <col min="5374" max="5374" width="5.08984375" customWidth="1"/>
    <col min="5375" max="5375" width="41.7265625" customWidth="1"/>
    <col min="5376" max="5376" width="14.7265625" customWidth="1"/>
    <col min="5377" max="5377" width="14.90625" customWidth="1"/>
    <col min="5378" max="5379" width="11.7265625" customWidth="1"/>
    <col min="5380" max="5380" width="11.90625" bestFit="1" customWidth="1"/>
    <col min="5382" max="5382" width="10.26953125" bestFit="1" customWidth="1"/>
    <col min="5383" max="5383" width="11.26953125" customWidth="1"/>
    <col min="5384" max="5384" width="5" customWidth="1"/>
    <col min="5385" max="5390" width="15" customWidth="1"/>
    <col min="5630" max="5630" width="5.08984375" customWidth="1"/>
    <col min="5631" max="5631" width="41.7265625" customWidth="1"/>
    <col min="5632" max="5632" width="14.7265625" customWidth="1"/>
    <col min="5633" max="5633" width="14.90625" customWidth="1"/>
    <col min="5634" max="5635" width="11.7265625" customWidth="1"/>
    <col min="5636" max="5636" width="11.90625" bestFit="1" customWidth="1"/>
    <col min="5638" max="5638" width="10.26953125" bestFit="1" customWidth="1"/>
    <col min="5639" max="5639" width="11.26953125" customWidth="1"/>
    <col min="5640" max="5640" width="5" customWidth="1"/>
    <col min="5641" max="5646" width="15" customWidth="1"/>
    <col min="5886" max="5886" width="5.08984375" customWidth="1"/>
    <col min="5887" max="5887" width="41.7265625" customWidth="1"/>
    <col min="5888" max="5888" width="14.7265625" customWidth="1"/>
    <col min="5889" max="5889" width="14.90625" customWidth="1"/>
    <col min="5890" max="5891" width="11.7265625" customWidth="1"/>
    <col min="5892" max="5892" width="11.90625" bestFit="1" customWidth="1"/>
    <col min="5894" max="5894" width="10.26953125" bestFit="1" customWidth="1"/>
    <col min="5895" max="5895" width="11.26953125" customWidth="1"/>
    <col min="5896" max="5896" width="5" customWidth="1"/>
    <col min="5897" max="5902" width="15" customWidth="1"/>
    <col min="6142" max="6142" width="5.08984375" customWidth="1"/>
    <col min="6143" max="6143" width="41.7265625" customWidth="1"/>
    <col min="6144" max="6144" width="14.7265625" customWidth="1"/>
    <col min="6145" max="6145" width="14.90625" customWidth="1"/>
    <col min="6146" max="6147" width="11.7265625" customWidth="1"/>
    <col min="6148" max="6148" width="11.90625" bestFit="1" customWidth="1"/>
    <col min="6150" max="6150" width="10.26953125" bestFit="1" customWidth="1"/>
    <col min="6151" max="6151" width="11.26953125" customWidth="1"/>
    <col min="6152" max="6152" width="5" customWidth="1"/>
    <col min="6153" max="6158" width="15" customWidth="1"/>
    <col min="6398" max="6398" width="5.08984375" customWidth="1"/>
    <col min="6399" max="6399" width="41.7265625" customWidth="1"/>
    <col min="6400" max="6400" width="14.7265625" customWidth="1"/>
    <col min="6401" max="6401" width="14.90625" customWidth="1"/>
    <col min="6402" max="6403" width="11.7265625" customWidth="1"/>
    <col min="6404" max="6404" width="11.90625" bestFit="1" customWidth="1"/>
    <col min="6406" max="6406" width="10.26953125" bestFit="1" customWidth="1"/>
    <col min="6407" max="6407" width="11.26953125" customWidth="1"/>
    <col min="6408" max="6408" width="5" customWidth="1"/>
    <col min="6409" max="6414" width="15" customWidth="1"/>
    <col min="6654" max="6654" width="5.08984375" customWidth="1"/>
    <col min="6655" max="6655" width="41.7265625" customWidth="1"/>
    <col min="6656" max="6656" width="14.7265625" customWidth="1"/>
    <col min="6657" max="6657" width="14.90625" customWidth="1"/>
    <col min="6658" max="6659" width="11.7265625" customWidth="1"/>
    <col min="6660" max="6660" width="11.90625" bestFit="1" customWidth="1"/>
    <col min="6662" max="6662" width="10.26953125" bestFit="1" customWidth="1"/>
    <col min="6663" max="6663" width="11.26953125" customWidth="1"/>
    <col min="6664" max="6664" width="5" customWidth="1"/>
    <col min="6665" max="6670" width="15" customWidth="1"/>
    <col min="6910" max="6910" width="5.08984375" customWidth="1"/>
    <col min="6911" max="6911" width="41.7265625" customWidth="1"/>
    <col min="6912" max="6912" width="14.7265625" customWidth="1"/>
    <col min="6913" max="6913" width="14.90625" customWidth="1"/>
    <col min="6914" max="6915" width="11.7265625" customWidth="1"/>
    <col min="6916" max="6916" width="11.90625" bestFit="1" customWidth="1"/>
    <col min="6918" max="6918" width="10.26953125" bestFit="1" customWidth="1"/>
    <col min="6919" max="6919" width="11.26953125" customWidth="1"/>
    <col min="6920" max="6920" width="5" customWidth="1"/>
    <col min="6921" max="6926" width="15" customWidth="1"/>
    <col min="7166" max="7166" width="5.08984375" customWidth="1"/>
    <col min="7167" max="7167" width="41.7265625" customWidth="1"/>
    <col min="7168" max="7168" width="14.7265625" customWidth="1"/>
    <col min="7169" max="7169" width="14.90625" customWidth="1"/>
    <col min="7170" max="7171" width="11.7265625" customWidth="1"/>
    <col min="7172" max="7172" width="11.90625" bestFit="1" customWidth="1"/>
    <col min="7174" max="7174" width="10.26953125" bestFit="1" customWidth="1"/>
    <col min="7175" max="7175" width="11.26953125" customWidth="1"/>
    <col min="7176" max="7176" width="5" customWidth="1"/>
    <col min="7177" max="7182" width="15" customWidth="1"/>
    <col min="7422" max="7422" width="5.08984375" customWidth="1"/>
    <col min="7423" max="7423" width="41.7265625" customWidth="1"/>
    <col min="7424" max="7424" width="14.7265625" customWidth="1"/>
    <col min="7425" max="7425" width="14.90625" customWidth="1"/>
    <col min="7426" max="7427" width="11.7265625" customWidth="1"/>
    <col min="7428" max="7428" width="11.90625" bestFit="1" customWidth="1"/>
    <col min="7430" max="7430" width="10.26953125" bestFit="1" customWidth="1"/>
    <col min="7431" max="7431" width="11.26953125" customWidth="1"/>
    <col min="7432" max="7432" width="5" customWidth="1"/>
    <col min="7433" max="7438" width="15" customWidth="1"/>
    <col min="7678" max="7678" width="5.08984375" customWidth="1"/>
    <col min="7679" max="7679" width="41.7265625" customWidth="1"/>
    <col min="7680" max="7680" width="14.7265625" customWidth="1"/>
    <col min="7681" max="7681" width="14.90625" customWidth="1"/>
    <col min="7682" max="7683" width="11.7265625" customWidth="1"/>
    <col min="7684" max="7684" width="11.90625" bestFit="1" customWidth="1"/>
    <col min="7686" max="7686" width="10.26953125" bestFit="1" customWidth="1"/>
    <col min="7687" max="7687" width="11.26953125" customWidth="1"/>
    <col min="7688" max="7688" width="5" customWidth="1"/>
    <col min="7689" max="7694" width="15" customWidth="1"/>
    <col min="7934" max="7934" width="5.08984375" customWidth="1"/>
    <col min="7935" max="7935" width="41.7265625" customWidth="1"/>
    <col min="7936" max="7936" width="14.7265625" customWidth="1"/>
    <col min="7937" max="7937" width="14.90625" customWidth="1"/>
    <col min="7938" max="7939" width="11.7265625" customWidth="1"/>
    <col min="7940" max="7940" width="11.90625" bestFit="1" customWidth="1"/>
    <col min="7942" max="7942" width="10.26953125" bestFit="1" customWidth="1"/>
    <col min="7943" max="7943" width="11.26953125" customWidth="1"/>
    <col min="7944" max="7944" width="5" customWidth="1"/>
    <col min="7945" max="7950" width="15" customWidth="1"/>
    <col min="8190" max="8190" width="5.08984375" customWidth="1"/>
    <col min="8191" max="8191" width="41.7265625" customWidth="1"/>
    <col min="8192" max="8192" width="14.7265625" customWidth="1"/>
    <col min="8193" max="8193" width="14.90625" customWidth="1"/>
    <col min="8194" max="8195" width="11.7265625" customWidth="1"/>
    <col min="8196" max="8196" width="11.90625" bestFit="1" customWidth="1"/>
    <col min="8198" max="8198" width="10.26953125" bestFit="1" customWidth="1"/>
    <col min="8199" max="8199" width="11.26953125" customWidth="1"/>
    <col min="8200" max="8200" width="5" customWidth="1"/>
    <col min="8201" max="8206" width="15" customWidth="1"/>
    <col min="8446" max="8446" width="5.08984375" customWidth="1"/>
    <col min="8447" max="8447" width="41.7265625" customWidth="1"/>
    <col min="8448" max="8448" width="14.7265625" customWidth="1"/>
    <col min="8449" max="8449" width="14.90625" customWidth="1"/>
    <col min="8450" max="8451" width="11.7265625" customWidth="1"/>
    <col min="8452" max="8452" width="11.90625" bestFit="1" customWidth="1"/>
    <col min="8454" max="8454" width="10.26953125" bestFit="1" customWidth="1"/>
    <col min="8455" max="8455" width="11.26953125" customWidth="1"/>
    <col min="8456" max="8456" width="5" customWidth="1"/>
    <col min="8457" max="8462" width="15" customWidth="1"/>
    <col min="8702" max="8702" width="5.08984375" customWidth="1"/>
    <col min="8703" max="8703" width="41.7265625" customWidth="1"/>
    <col min="8704" max="8704" width="14.7265625" customWidth="1"/>
    <col min="8705" max="8705" width="14.90625" customWidth="1"/>
    <col min="8706" max="8707" width="11.7265625" customWidth="1"/>
    <col min="8708" max="8708" width="11.90625" bestFit="1" customWidth="1"/>
    <col min="8710" max="8710" width="10.26953125" bestFit="1" customWidth="1"/>
    <col min="8711" max="8711" width="11.26953125" customWidth="1"/>
    <col min="8712" max="8712" width="5" customWidth="1"/>
    <col min="8713" max="8718" width="15" customWidth="1"/>
    <col min="8958" max="8958" width="5.08984375" customWidth="1"/>
    <col min="8959" max="8959" width="41.7265625" customWidth="1"/>
    <col min="8960" max="8960" width="14.7265625" customWidth="1"/>
    <col min="8961" max="8961" width="14.90625" customWidth="1"/>
    <col min="8962" max="8963" width="11.7265625" customWidth="1"/>
    <col min="8964" max="8964" width="11.90625" bestFit="1" customWidth="1"/>
    <col min="8966" max="8966" width="10.26953125" bestFit="1" customWidth="1"/>
    <col min="8967" max="8967" width="11.26953125" customWidth="1"/>
    <col min="8968" max="8968" width="5" customWidth="1"/>
    <col min="8969" max="8974" width="15" customWidth="1"/>
    <col min="9214" max="9214" width="5.08984375" customWidth="1"/>
    <col min="9215" max="9215" width="41.7265625" customWidth="1"/>
    <col min="9216" max="9216" width="14.7265625" customWidth="1"/>
    <col min="9217" max="9217" width="14.90625" customWidth="1"/>
    <col min="9218" max="9219" width="11.7265625" customWidth="1"/>
    <col min="9220" max="9220" width="11.90625" bestFit="1" customWidth="1"/>
    <col min="9222" max="9222" width="10.26953125" bestFit="1" customWidth="1"/>
    <col min="9223" max="9223" width="11.26953125" customWidth="1"/>
    <col min="9224" max="9224" width="5" customWidth="1"/>
    <col min="9225" max="9230" width="15" customWidth="1"/>
    <col min="9470" max="9470" width="5.08984375" customWidth="1"/>
    <col min="9471" max="9471" width="41.7265625" customWidth="1"/>
    <col min="9472" max="9472" width="14.7265625" customWidth="1"/>
    <col min="9473" max="9473" width="14.90625" customWidth="1"/>
    <col min="9474" max="9475" width="11.7265625" customWidth="1"/>
    <col min="9476" max="9476" width="11.90625" bestFit="1" customWidth="1"/>
    <col min="9478" max="9478" width="10.26953125" bestFit="1" customWidth="1"/>
    <col min="9479" max="9479" width="11.26953125" customWidth="1"/>
    <col min="9480" max="9480" width="5" customWidth="1"/>
    <col min="9481" max="9486" width="15" customWidth="1"/>
    <col min="9726" max="9726" width="5.08984375" customWidth="1"/>
    <col min="9727" max="9727" width="41.7265625" customWidth="1"/>
    <col min="9728" max="9728" width="14.7265625" customWidth="1"/>
    <col min="9729" max="9729" width="14.90625" customWidth="1"/>
    <col min="9730" max="9731" width="11.7265625" customWidth="1"/>
    <col min="9732" max="9732" width="11.90625" bestFit="1" customWidth="1"/>
    <col min="9734" max="9734" width="10.26953125" bestFit="1" customWidth="1"/>
    <col min="9735" max="9735" width="11.26953125" customWidth="1"/>
    <col min="9736" max="9736" width="5" customWidth="1"/>
    <col min="9737" max="9742" width="15" customWidth="1"/>
    <col min="9982" max="9982" width="5.08984375" customWidth="1"/>
    <col min="9983" max="9983" width="41.7265625" customWidth="1"/>
    <col min="9984" max="9984" width="14.7265625" customWidth="1"/>
    <col min="9985" max="9985" width="14.90625" customWidth="1"/>
    <col min="9986" max="9987" width="11.7265625" customWidth="1"/>
    <col min="9988" max="9988" width="11.90625" bestFit="1" customWidth="1"/>
    <col min="9990" max="9990" width="10.26953125" bestFit="1" customWidth="1"/>
    <col min="9991" max="9991" width="11.26953125" customWidth="1"/>
    <col min="9992" max="9992" width="5" customWidth="1"/>
    <col min="9993" max="9998" width="15" customWidth="1"/>
    <col min="10238" max="10238" width="5.08984375" customWidth="1"/>
    <col min="10239" max="10239" width="41.7265625" customWidth="1"/>
    <col min="10240" max="10240" width="14.7265625" customWidth="1"/>
    <col min="10241" max="10241" width="14.90625" customWidth="1"/>
    <col min="10242" max="10243" width="11.7265625" customWidth="1"/>
    <col min="10244" max="10244" width="11.90625" bestFit="1" customWidth="1"/>
    <col min="10246" max="10246" width="10.26953125" bestFit="1" customWidth="1"/>
    <col min="10247" max="10247" width="11.26953125" customWidth="1"/>
    <col min="10248" max="10248" width="5" customWidth="1"/>
    <col min="10249" max="10254" width="15" customWidth="1"/>
    <col min="10494" max="10494" width="5.08984375" customWidth="1"/>
    <col min="10495" max="10495" width="41.7265625" customWidth="1"/>
    <col min="10496" max="10496" width="14.7265625" customWidth="1"/>
    <col min="10497" max="10497" width="14.90625" customWidth="1"/>
    <col min="10498" max="10499" width="11.7265625" customWidth="1"/>
    <col min="10500" max="10500" width="11.90625" bestFit="1" customWidth="1"/>
    <col min="10502" max="10502" width="10.26953125" bestFit="1" customWidth="1"/>
    <col min="10503" max="10503" width="11.26953125" customWidth="1"/>
    <col min="10504" max="10504" width="5" customWidth="1"/>
    <col min="10505" max="10510" width="15" customWidth="1"/>
    <col min="10750" max="10750" width="5.08984375" customWidth="1"/>
    <col min="10751" max="10751" width="41.7265625" customWidth="1"/>
    <col min="10752" max="10752" width="14.7265625" customWidth="1"/>
    <col min="10753" max="10753" width="14.90625" customWidth="1"/>
    <col min="10754" max="10755" width="11.7265625" customWidth="1"/>
    <col min="10756" max="10756" width="11.90625" bestFit="1" customWidth="1"/>
    <col min="10758" max="10758" width="10.26953125" bestFit="1" customWidth="1"/>
    <col min="10759" max="10759" width="11.26953125" customWidth="1"/>
    <col min="10760" max="10760" width="5" customWidth="1"/>
    <col min="10761" max="10766" width="15" customWidth="1"/>
    <col min="11006" max="11006" width="5.08984375" customWidth="1"/>
    <col min="11007" max="11007" width="41.7265625" customWidth="1"/>
    <col min="11008" max="11008" width="14.7265625" customWidth="1"/>
    <col min="11009" max="11009" width="14.90625" customWidth="1"/>
    <col min="11010" max="11011" width="11.7265625" customWidth="1"/>
    <col min="11012" max="11012" width="11.90625" bestFit="1" customWidth="1"/>
    <col min="11014" max="11014" width="10.26953125" bestFit="1" customWidth="1"/>
    <col min="11015" max="11015" width="11.26953125" customWidth="1"/>
    <col min="11016" max="11016" width="5" customWidth="1"/>
    <col min="11017" max="11022" width="15" customWidth="1"/>
    <col min="11262" max="11262" width="5.08984375" customWidth="1"/>
    <col min="11263" max="11263" width="41.7265625" customWidth="1"/>
    <col min="11264" max="11264" width="14.7265625" customWidth="1"/>
    <col min="11265" max="11265" width="14.90625" customWidth="1"/>
    <col min="11266" max="11267" width="11.7265625" customWidth="1"/>
    <col min="11268" max="11268" width="11.90625" bestFit="1" customWidth="1"/>
    <col min="11270" max="11270" width="10.26953125" bestFit="1" customWidth="1"/>
    <col min="11271" max="11271" width="11.26953125" customWidth="1"/>
    <col min="11272" max="11272" width="5" customWidth="1"/>
    <col min="11273" max="11278" width="15" customWidth="1"/>
    <col min="11518" max="11518" width="5.08984375" customWidth="1"/>
    <col min="11519" max="11519" width="41.7265625" customWidth="1"/>
    <col min="11520" max="11520" width="14.7265625" customWidth="1"/>
    <col min="11521" max="11521" width="14.90625" customWidth="1"/>
    <col min="11522" max="11523" width="11.7265625" customWidth="1"/>
    <col min="11524" max="11524" width="11.90625" bestFit="1" customWidth="1"/>
    <col min="11526" max="11526" width="10.26953125" bestFit="1" customWidth="1"/>
    <col min="11527" max="11527" width="11.26953125" customWidth="1"/>
    <col min="11528" max="11528" width="5" customWidth="1"/>
    <col min="11529" max="11534" width="15" customWidth="1"/>
    <col min="11774" max="11774" width="5.08984375" customWidth="1"/>
    <col min="11775" max="11775" width="41.7265625" customWidth="1"/>
    <col min="11776" max="11776" width="14.7265625" customWidth="1"/>
    <col min="11777" max="11777" width="14.90625" customWidth="1"/>
    <col min="11778" max="11779" width="11.7265625" customWidth="1"/>
    <col min="11780" max="11780" width="11.90625" bestFit="1" customWidth="1"/>
    <col min="11782" max="11782" width="10.26953125" bestFit="1" customWidth="1"/>
    <col min="11783" max="11783" width="11.26953125" customWidth="1"/>
    <col min="11784" max="11784" width="5" customWidth="1"/>
    <col min="11785" max="11790" width="15" customWidth="1"/>
    <col min="12030" max="12030" width="5.08984375" customWidth="1"/>
    <col min="12031" max="12031" width="41.7265625" customWidth="1"/>
    <col min="12032" max="12032" width="14.7265625" customWidth="1"/>
    <col min="12033" max="12033" width="14.90625" customWidth="1"/>
    <col min="12034" max="12035" width="11.7265625" customWidth="1"/>
    <col min="12036" max="12036" width="11.90625" bestFit="1" customWidth="1"/>
    <col min="12038" max="12038" width="10.26953125" bestFit="1" customWidth="1"/>
    <col min="12039" max="12039" width="11.26953125" customWidth="1"/>
    <col min="12040" max="12040" width="5" customWidth="1"/>
    <col min="12041" max="12046" width="15" customWidth="1"/>
    <col min="12286" max="12286" width="5.08984375" customWidth="1"/>
    <col min="12287" max="12287" width="41.7265625" customWidth="1"/>
    <col min="12288" max="12288" width="14.7265625" customWidth="1"/>
    <col min="12289" max="12289" width="14.90625" customWidth="1"/>
    <col min="12290" max="12291" width="11.7265625" customWidth="1"/>
    <col min="12292" max="12292" width="11.90625" bestFit="1" customWidth="1"/>
    <col min="12294" max="12294" width="10.26953125" bestFit="1" customWidth="1"/>
    <col min="12295" max="12295" width="11.26953125" customWidth="1"/>
    <col min="12296" max="12296" width="5" customWidth="1"/>
    <col min="12297" max="12302" width="15" customWidth="1"/>
    <col min="12542" max="12542" width="5.08984375" customWidth="1"/>
    <col min="12543" max="12543" width="41.7265625" customWidth="1"/>
    <col min="12544" max="12544" width="14.7265625" customWidth="1"/>
    <col min="12545" max="12545" width="14.90625" customWidth="1"/>
    <col min="12546" max="12547" width="11.7265625" customWidth="1"/>
    <col min="12548" max="12548" width="11.90625" bestFit="1" customWidth="1"/>
    <col min="12550" max="12550" width="10.26953125" bestFit="1" customWidth="1"/>
    <col min="12551" max="12551" width="11.26953125" customWidth="1"/>
    <col min="12552" max="12552" width="5" customWidth="1"/>
    <col min="12553" max="12558" width="15" customWidth="1"/>
    <col min="12798" max="12798" width="5.08984375" customWidth="1"/>
    <col min="12799" max="12799" width="41.7265625" customWidth="1"/>
    <col min="12800" max="12800" width="14.7265625" customWidth="1"/>
    <col min="12801" max="12801" width="14.90625" customWidth="1"/>
    <col min="12802" max="12803" width="11.7265625" customWidth="1"/>
    <col min="12804" max="12804" width="11.90625" bestFit="1" customWidth="1"/>
    <col min="12806" max="12806" width="10.26953125" bestFit="1" customWidth="1"/>
    <col min="12807" max="12807" width="11.26953125" customWidth="1"/>
    <col min="12808" max="12808" width="5" customWidth="1"/>
    <col min="12809" max="12814" width="15" customWidth="1"/>
    <col min="13054" max="13054" width="5.08984375" customWidth="1"/>
    <col min="13055" max="13055" width="41.7265625" customWidth="1"/>
    <col min="13056" max="13056" width="14.7265625" customWidth="1"/>
    <col min="13057" max="13057" width="14.90625" customWidth="1"/>
    <col min="13058" max="13059" width="11.7265625" customWidth="1"/>
    <col min="13060" max="13060" width="11.90625" bestFit="1" customWidth="1"/>
    <col min="13062" max="13062" width="10.26953125" bestFit="1" customWidth="1"/>
    <col min="13063" max="13063" width="11.26953125" customWidth="1"/>
    <col min="13064" max="13064" width="5" customWidth="1"/>
    <col min="13065" max="13070" width="15" customWidth="1"/>
    <col min="13310" max="13310" width="5.08984375" customWidth="1"/>
    <col min="13311" max="13311" width="41.7265625" customWidth="1"/>
    <col min="13312" max="13312" width="14.7265625" customWidth="1"/>
    <col min="13313" max="13313" width="14.90625" customWidth="1"/>
    <col min="13314" max="13315" width="11.7265625" customWidth="1"/>
    <col min="13316" max="13316" width="11.90625" bestFit="1" customWidth="1"/>
    <col min="13318" max="13318" width="10.26953125" bestFit="1" customWidth="1"/>
    <col min="13319" max="13319" width="11.26953125" customWidth="1"/>
    <col min="13320" max="13320" width="5" customWidth="1"/>
    <col min="13321" max="13326" width="15" customWidth="1"/>
    <col min="13566" max="13566" width="5.08984375" customWidth="1"/>
    <col min="13567" max="13567" width="41.7265625" customWidth="1"/>
    <col min="13568" max="13568" width="14.7265625" customWidth="1"/>
    <col min="13569" max="13569" width="14.90625" customWidth="1"/>
    <col min="13570" max="13571" width="11.7265625" customWidth="1"/>
    <col min="13572" max="13572" width="11.90625" bestFit="1" customWidth="1"/>
    <col min="13574" max="13574" width="10.26953125" bestFit="1" customWidth="1"/>
    <col min="13575" max="13575" width="11.26953125" customWidth="1"/>
    <col min="13576" max="13576" width="5" customWidth="1"/>
    <col min="13577" max="13582" width="15" customWidth="1"/>
    <col min="13822" max="13822" width="5.08984375" customWidth="1"/>
    <col min="13823" max="13823" width="41.7265625" customWidth="1"/>
    <col min="13824" max="13824" width="14.7265625" customWidth="1"/>
    <col min="13825" max="13825" width="14.90625" customWidth="1"/>
    <col min="13826" max="13827" width="11.7265625" customWidth="1"/>
    <col min="13828" max="13828" width="11.90625" bestFit="1" customWidth="1"/>
    <col min="13830" max="13830" width="10.26953125" bestFit="1" customWidth="1"/>
    <col min="13831" max="13831" width="11.26953125" customWidth="1"/>
    <col min="13832" max="13832" width="5" customWidth="1"/>
    <col min="13833" max="13838" width="15" customWidth="1"/>
    <col min="14078" max="14078" width="5.08984375" customWidth="1"/>
    <col min="14079" max="14079" width="41.7265625" customWidth="1"/>
    <col min="14080" max="14080" width="14.7265625" customWidth="1"/>
    <col min="14081" max="14081" width="14.90625" customWidth="1"/>
    <col min="14082" max="14083" width="11.7265625" customWidth="1"/>
    <col min="14084" max="14084" width="11.90625" bestFit="1" customWidth="1"/>
    <col min="14086" max="14086" width="10.26953125" bestFit="1" customWidth="1"/>
    <col min="14087" max="14087" width="11.26953125" customWidth="1"/>
    <col min="14088" max="14088" width="5" customWidth="1"/>
    <col min="14089" max="14094" width="15" customWidth="1"/>
    <col min="14334" max="14334" width="5.08984375" customWidth="1"/>
    <col min="14335" max="14335" width="41.7265625" customWidth="1"/>
    <col min="14336" max="14336" width="14.7265625" customWidth="1"/>
    <col min="14337" max="14337" width="14.90625" customWidth="1"/>
    <col min="14338" max="14339" width="11.7265625" customWidth="1"/>
    <col min="14340" max="14340" width="11.90625" bestFit="1" customWidth="1"/>
    <col min="14342" max="14342" width="10.26953125" bestFit="1" customWidth="1"/>
    <col min="14343" max="14343" width="11.26953125" customWidth="1"/>
    <col min="14344" max="14344" width="5" customWidth="1"/>
    <col min="14345" max="14350" width="15" customWidth="1"/>
    <col min="14590" max="14590" width="5.08984375" customWidth="1"/>
    <col min="14591" max="14591" width="41.7265625" customWidth="1"/>
    <col min="14592" max="14592" width="14.7265625" customWidth="1"/>
    <col min="14593" max="14593" width="14.90625" customWidth="1"/>
    <col min="14594" max="14595" width="11.7265625" customWidth="1"/>
    <col min="14596" max="14596" width="11.90625" bestFit="1" customWidth="1"/>
    <col min="14598" max="14598" width="10.26953125" bestFit="1" customWidth="1"/>
    <col min="14599" max="14599" width="11.26953125" customWidth="1"/>
    <col min="14600" max="14600" width="5" customWidth="1"/>
    <col min="14601" max="14606" width="15" customWidth="1"/>
    <col min="14846" max="14846" width="5.08984375" customWidth="1"/>
    <col min="14847" max="14847" width="41.7265625" customWidth="1"/>
    <col min="14848" max="14848" width="14.7265625" customWidth="1"/>
    <col min="14849" max="14849" width="14.90625" customWidth="1"/>
    <col min="14850" max="14851" width="11.7265625" customWidth="1"/>
    <col min="14852" max="14852" width="11.90625" bestFit="1" customWidth="1"/>
    <col min="14854" max="14854" width="10.26953125" bestFit="1" customWidth="1"/>
    <col min="14855" max="14855" width="11.26953125" customWidth="1"/>
    <col min="14856" max="14856" width="5" customWidth="1"/>
    <col min="14857" max="14862" width="15" customWidth="1"/>
    <col min="15102" max="15102" width="5.08984375" customWidth="1"/>
    <col min="15103" max="15103" width="41.7265625" customWidth="1"/>
    <col min="15104" max="15104" width="14.7265625" customWidth="1"/>
    <col min="15105" max="15105" width="14.90625" customWidth="1"/>
    <col min="15106" max="15107" width="11.7265625" customWidth="1"/>
    <col min="15108" max="15108" width="11.90625" bestFit="1" customWidth="1"/>
    <col min="15110" max="15110" width="10.26953125" bestFit="1" customWidth="1"/>
    <col min="15111" max="15111" width="11.26953125" customWidth="1"/>
    <col min="15112" max="15112" width="5" customWidth="1"/>
    <col min="15113" max="15118" width="15" customWidth="1"/>
    <col min="15358" max="15358" width="5.08984375" customWidth="1"/>
    <col min="15359" max="15359" width="41.7265625" customWidth="1"/>
    <col min="15360" max="15360" width="14.7265625" customWidth="1"/>
    <col min="15361" max="15361" width="14.90625" customWidth="1"/>
    <col min="15362" max="15363" width="11.7265625" customWidth="1"/>
    <col min="15364" max="15364" width="11.90625" bestFit="1" customWidth="1"/>
    <col min="15366" max="15366" width="10.26953125" bestFit="1" customWidth="1"/>
    <col min="15367" max="15367" width="11.26953125" customWidth="1"/>
    <col min="15368" max="15368" width="5" customWidth="1"/>
    <col min="15369" max="15374" width="15" customWidth="1"/>
    <col min="15614" max="15614" width="5.08984375" customWidth="1"/>
    <col min="15615" max="15615" width="41.7265625" customWidth="1"/>
    <col min="15616" max="15616" width="14.7265625" customWidth="1"/>
    <col min="15617" max="15617" width="14.90625" customWidth="1"/>
    <col min="15618" max="15619" width="11.7265625" customWidth="1"/>
    <col min="15620" max="15620" width="11.90625" bestFit="1" customWidth="1"/>
    <col min="15622" max="15622" width="10.26953125" bestFit="1" customWidth="1"/>
    <col min="15623" max="15623" width="11.26953125" customWidth="1"/>
    <col min="15624" max="15624" width="5" customWidth="1"/>
    <col min="15625" max="15630" width="15" customWidth="1"/>
    <col min="15870" max="15870" width="5.08984375" customWidth="1"/>
    <col min="15871" max="15871" width="41.7265625" customWidth="1"/>
    <col min="15872" max="15872" width="14.7265625" customWidth="1"/>
    <col min="15873" max="15873" width="14.90625" customWidth="1"/>
    <col min="15874" max="15875" width="11.7265625" customWidth="1"/>
    <col min="15876" max="15876" width="11.90625" bestFit="1" customWidth="1"/>
    <col min="15878" max="15878" width="10.26953125" bestFit="1" customWidth="1"/>
    <col min="15879" max="15879" width="11.26953125" customWidth="1"/>
    <col min="15880" max="15880" width="5" customWidth="1"/>
    <col min="15881" max="15886" width="15" customWidth="1"/>
    <col min="16126" max="16126" width="5.08984375" customWidth="1"/>
    <col min="16127" max="16127" width="41.7265625" customWidth="1"/>
    <col min="16128" max="16128" width="14.7265625" customWidth="1"/>
    <col min="16129" max="16129" width="14.90625" customWidth="1"/>
    <col min="16130" max="16131" width="11.7265625" customWidth="1"/>
    <col min="16132" max="16132" width="11.90625" bestFit="1" customWidth="1"/>
    <col min="16134" max="16134" width="10.26953125" bestFit="1" customWidth="1"/>
    <col min="16135" max="16135" width="11.26953125" customWidth="1"/>
    <col min="16136" max="16136" width="5" customWidth="1"/>
    <col min="16137" max="16142" width="15" customWidth="1"/>
    <col min="16379" max="16382" width="8.7265625" customWidth="1"/>
  </cols>
  <sheetData>
    <row r="1" spans="1:32" ht="26.25" customHeight="1" thickBot="1" x14ac:dyDescent="0.4">
      <c r="A1" s="6"/>
      <c r="B1" s="7" t="s">
        <v>18</v>
      </c>
      <c r="C1" s="8"/>
      <c r="D1" s="8"/>
      <c r="E1" s="8"/>
      <c r="F1" s="8"/>
      <c r="G1" s="1"/>
      <c r="H1" s="1"/>
      <c r="I1" s="1"/>
      <c r="J1" s="1"/>
      <c r="K1" s="1"/>
      <c r="L1" s="1"/>
      <c r="M1" s="277">
        <v>2</v>
      </c>
      <c r="N1" s="247">
        <v>1</v>
      </c>
      <c r="O1" s="246" t="s">
        <v>44</v>
      </c>
    </row>
    <row r="2" spans="1:32" ht="14" customHeight="1" x14ac:dyDescent="0.35">
      <c r="A2" s="9"/>
      <c r="B2" s="10" t="str">
        <f>IF($M$1=1,O1,O2)</f>
        <v>Stress Case</v>
      </c>
      <c r="C2" s="9"/>
      <c r="D2" s="9"/>
      <c r="E2" s="9"/>
      <c r="F2" s="9"/>
      <c r="G2" s="9"/>
      <c r="H2" s="9"/>
      <c r="M2" s="112"/>
      <c r="N2" s="245">
        <v>2</v>
      </c>
      <c r="O2" s="246" t="s">
        <v>45</v>
      </c>
    </row>
    <row r="3" spans="1:32" ht="14" customHeight="1" x14ac:dyDescent="0.35">
      <c r="A3" s="9"/>
      <c r="B3" s="9"/>
      <c r="C3" s="9"/>
      <c r="D3" s="9"/>
      <c r="E3" s="9"/>
      <c r="F3" s="9"/>
      <c r="G3" s="9"/>
      <c r="H3" s="9"/>
      <c r="M3" s="112"/>
    </row>
    <row r="4" spans="1:32" ht="12" customHeight="1" x14ac:dyDescent="0.3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"/>
      <c r="N4" s="188"/>
      <c r="O4" s="188"/>
      <c r="P4" s="11"/>
      <c r="Q4" s="11"/>
      <c r="R4" s="11"/>
      <c r="S4" s="11"/>
      <c r="T4" s="11"/>
      <c r="U4" s="11"/>
      <c r="V4" s="11"/>
      <c r="X4" s="188"/>
      <c r="Y4" s="11"/>
      <c r="Z4" s="11"/>
      <c r="AA4" s="11"/>
      <c r="AB4" s="11"/>
      <c r="AC4" s="11"/>
      <c r="AD4" s="11"/>
      <c r="AE4" s="11"/>
      <c r="AF4" s="11"/>
    </row>
    <row r="5" spans="1:32" s="83" customFormat="1" ht="21.75" customHeight="1" x14ac:dyDescent="0.35">
      <c r="A5" s="215"/>
      <c r="B5" s="216" t="s">
        <v>46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5"/>
      <c r="N5" s="216" t="str">
        <f>+O1</f>
        <v>Base Case</v>
      </c>
      <c r="O5" s="216"/>
      <c r="P5" s="216"/>
      <c r="Q5" s="216"/>
      <c r="R5" s="216"/>
      <c r="S5" s="216"/>
      <c r="T5" s="216"/>
      <c r="U5" s="216"/>
      <c r="V5" s="216"/>
      <c r="X5" s="216" t="str">
        <f>+O2</f>
        <v>Stress Case</v>
      </c>
      <c r="Y5" s="216"/>
      <c r="Z5" s="216"/>
      <c r="AA5" s="216"/>
      <c r="AB5" s="216"/>
      <c r="AC5" s="216"/>
      <c r="AD5" s="216"/>
      <c r="AE5" s="216"/>
      <c r="AF5" s="216"/>
    </row>
    <row r="6" spans="1:32" ht="14.5" customHeight="1" x14ac:dyDescent="0.35">
      <c r="B6" s="46"/>
      <c r="C6" s="6"/>
      <c r="D6" s="166"/>
      <c r="E6" s="332" t="s">
        <v>11</v>
      </c>
      <c r="F6" s="333"/>
      <c r="G6" s="333"/>
      <c r="H6" s="333"/>
      <c r="I6" s="333"/>
      <c r="J6" s="333"/>
      <c r="K6" s="333"/>
      <c r="L6" s="215"/>
      <c r="M6" s="1"/>
      <c r="N6" s="190"/>
      <c r="O6" s="330" t="s">
        <v>11</v>
      </c>
      <c r="P6" s="331"/>
      <c r="Q6" s="331"/>
      <c r="R6" s="331"/>
      <c r="S6" s="331"/>
      <c r="T6" s="331"/>
      <c r="U6" s="331"/>
      <c r="V6" s="276"/>
      <c r="X6" s="218"/>
      <c r="Y6" s="334" t="s">
        <v>11</v>
      </c>
      <c r="Z6" s="335"/>
      <c r="AA6" s="335"/>
      <c r="AB6" s="335"/>
      <c r="AC6" s="335"/>
      <c r="AD6" s="335"/>
      <c r="AE6" s="335"/>
      <c r="AF6" s="336"/>
    </row>
    <row r="7" spans="1:32" ht="14.5" customHeight="1" x14ac:dyDescent="0.35">
      <c r="A7" s="5">
        <f>ROW()</f>
        <v>7</v>
      </c>
      <c r="B7" s="46" t="s">
        <v>47</v>
      </c>
      <c r="C7" s="6"/>
      <c r="D7" s="47">
        <v>44926</v>
      </c>
      <c r="E7" s="48">
        <v>45291</v>
      </c>
      <c r="F7" s="47">
        <v>45657</v>
      </c>
      <c r="G7" s="47">
        <v>46021</v>
      </c>
      <c r="H7" s="47">
        <v>46386</v>
      </c>
      <c r="I7" s="47">
        <v>46751</v>
      </c>
      <c r="J7" s="47">
        <v>47117</v>
      </c>
      <c r="K7" s="47">
        <v>47481</v>
      </c>
      <c r="L7" s="47">
        <v>47846</v>
      </c>
      <c r="M7" s="1"/>
      <c r="N7" s="47">
        <f t="shared" ref="N7:V7" si="0">+D7</f>
        <v>44926</v>
      </c>
      <c r="O7" s="48">
        <f t="shared" si="0"/>
        <v>45291</v>
      </c>
      <c r="P7" s="47">
        <f t="shared" si="0"/>
        <v>45657</v>
      </c>
      <c r="Q7" s="47">
        <f t="shared" si="0"/>
        <v>46021</v>
      </c>
      <c r="R7" s="47">
        <f t="shared" si="0"/>
        <v>46386</v>
      </c>
      <c r="S7" s="47">
        <f t="shared" si="0"/>
        <v>46751</v>
      </c>
      <c r="T7" s="47">
        <f t="shared" si="0"/>
        <v>47117</v>
      </c>
      <c r="U7" s="47">
        <f t="shared" si="0"/>
        <v>47481</v>
      </c>
      <c r="V7" s="47">
        <f t="shared" si="0"/>
        <v>47846</v>
      </c>
      <c r="X7" s="47">
        <f t="shared" ref="X7:AF7" si="1">+N7</f>
        <v>44926</v>
      </c>
      <c r="Y7" s="47">
        <f t="shared" si="1"/>
        <v>45291</v>
      </c>
      <c r="Z7" s="47">
        <f t="shared" si="1"/>
        <v>45657</v>
      </c>
      <c r="AA7" s="47">
        <f t="shared" si="1"/>
        <v>46021</v>
      </c>
      <c r="AB7" s="47">
        <f t="shared" si="1"/>
        <v>46386</v>
      </c>
      <c r="AC7" s="47">
        <f t="shared" si="1"/>
        <v>46751</v>
      </c>
      <c r="AD7" s="47">
        <f t="shared" si="1"/>
        <v>47117</v>
      </c>
      <c r="AE7" s="47">
        <f t="shared" si="1"/>
        <v>47481</v>
      </c>
      <c r="AF7" s="47">
        <f t="shared" si="1"/>
        <v>47846</v>
      </c>
    </row>
    <row r="8" spans="1:32" ht="14.5" customHeight="1" x14ac:dyDescent="0.35">
      <c r="A8" s="5">
        <f>ROW()</f>
        <v>8</v>
      </c>
      <c r="B8" s="46" t="s">
        <v>48</v>
      </c>
      <c r="C8" s="6"/>
      <c r="E8" s="50">
        <f t="shared" ref="E8:L8" si="2">IF($M$1=1,O8,Y8)</f>
        <v>365</v>
      </c>
      <c r="F8" s="50">
        <f t="shared" si="2"/>
        <v>365</v>
      </c>
      <c r="G8" s="50">
        <f t="shared" si="2"/>
        <v>365</v>
      </c>
      <c r="H8" s="50">
        <f t="shared" si="2"/>
        <v>365</v>
      </c>
      <c r="I8" s="50">
        <f t="shared" si="2"/>
        <v>365</v>
      </c>
      <c r="J8" s="50">
        <f t="shared" si="2"/>
        <v>365</v>
      </c>
      <c r="K8" s="50">
        <f t="shared" si="2"/>
        <v>365</v>
      </c>
      <c r="L8" s="50">
        <f t="shared" si="2"/>
        <v>366</v>
      </c>
      <c r="M8" s="1"/>
      <c r="N8" s="213">
        <v>365</v>
      </c>
      <c r="O8" s="214">
        <v>365</v>
      </c>
      <c r="P8" s="214">
        <v>365</v>
      </c>
      <c r="Q8" s="214">
        <v>365</v>
      </c>
      <c r="R8" s="214">
        <v>365</v>
      </c>
      <c r="S8" s="214">
        <v>365</v>
      </c>
      <c r="T8" s="214">
        <v>365</v>
      </c>
      <c r="U8" s="214">
        <v>365</v>
      </c>
      <c r="V8" s="214">
        <v>366</v>
      </c>
      <c r="X8" s="219">
        <v>365</v>
      </c>
      <c r="Y8" s="220">
        <v>365</v>
      </c>
      <c r="Z8" s="220">
        <v>365</v>
      </c>
      <c r="AA8" s="220">
        <v>365</v>
      </c>
      <c r="AB8" s="220">
        <v>365</v>
      </c>
      <c r="AC8" s="220">
        <v>365</v>
      </c>
      <c r="AD8" s="220">
        <v>365</v>
      </c>
      <c r="AE8" s="220">
        <v>365</v>
      </c>
      <c r="AF8" s="220">
        <v>366</v>
      </c>
    </row>
    <row r="9" spans="1:32" ht="14.5" customHeight="1" x14ac:dyDescent="0.35">
      <c r="A9" s="5">
        <f>ROW()</f>
        <v>9</v>
      </c>
      <c r="B9" s="51" t="s">
        <v>49</v>
      </c>
      <c r="C9" s="6"/>
      <c r="D9" s="173">
        <v>75</v>
      </c>
      <c r="E9" s="52">
        <f>+D9*(1+E10)</f>
        <v>77.25</v>
      </c>
      <c r="F9" s="52">
        <f t="shared" ref="F9:L9" si="3">+E9*(1+F10)</f>
        <v>65.662499999999994</v>
      </c>
      <c r="G9" s="52">
        <f t="shared" si="3"/>
        <v>65.662499999999994</v>
      </c>
      <c r="H9" s="52">
        <f t="shared" si="3"/>
        <v>66.319125</v>
      </c>
      <c r="I9" s="52">
        <f t="shared" si="3"/>
        <v>67.645507500000008</v>
      </c>
      <c r="J9" s="52">
        <f t="shared" si="3"/>
        <v>69.674872725000014</v>
      </c>
      <c r="K9" s="52">
        <f t="shared" si="3"/>
        <v>71.765118906750018</v>
      </c>
      <c r="L9" s="52">
        <f t="shared" si="3"/>
        <v>73.91807247395252</v>
      </c>
      <c r="M9" s="1"/>
      <c r="N9" s="191">
        <f>+D9</f>
        <v>75</v>
      </c>
      <c r="O9" s="192">
        <f>+N9*(1+O10)</f>
        <v>77.25</v>
      </c>
      <c r="P9" s="192">
        <f t="shared" ref="P9" si="4">+O9*(1+P10)</f>
        <v>79.567499999999995</v>
      </c>
      <c r="Q9" s="192">
        <f t="shared" ref="Q9" si="5">+P9*(1+Q10)</f>
        <v>81.954525000000004</v>
      </c>
      <c r="R9" s="192">
        <f t="shared" ref="R9" si="6">+Q9*(1+R10)</f>
        <v>84.413160750000003</v>
      </c>
      <c r="S9" s="192">
        <f t="shared" ref="S9" si="7">+R9*(1+S10)</f>
        <v>86.945555572499998</v>
      </c>
      <c r="T9" s="192">
        <f t="shared" ref="T9" si="8">+S9*(1+T10)</f>
        <v>89.553922239675003</v>
      </c>
      <c r="U9" s="192">
        <f t="shared" ref="U9:V9" si="9">+T9*(1+U10)</f>
        <v>92.240539906865251</v>
      </c>
      <c r="V9" s="192">
        <f t="shared" si="9"/>
        <v>95.007756104071206</v>
      </c>
      <c r="X9" s="221">
        <f>+N9</f>
        <v>75</v>
      </c>
      <c r="Y9" s="222">
        <f>+X9*(1+Y10)</f>
        <v>77.25</v>
      </c>
      <c r="Z9" s="222">
        <f t="shared" ref="Z9" si="10">+Y9*(1+Z10)</f>
        <v>65.662499999999994</v>
      </c>
      <c r="AA9" s="222">
        <f t="shared" ref="AA9" si="11">+Z9*(1+AA10)</f>
        <v>65.662499999999994</v>
      </c>
      <c r="AB9" s="222">
        <f t="shared" ref="AB9" si="12">+AA9*(1+AB10)</f>
        <v>66.319125</v>
      </c>
      <c r="AC9" s="222">
        <f t="shared" ref="AC9" si="13">+AB9*(1+AC10)</f>
        <v>67.645507500000008</v>
      </c>
      <c r="AD9" s="222">
        <f t="shared" ref="AD9" si="14">+AC9*(1+AD10)</f>
        <v>69.674872725000014</v>
      </c>
      <c r="AE9" s="222">
        <f t="shared" ref="AE9:AF9" si="15">+AD9*(1+AE10)</f>
        <v>71.765118906750018</v>
      </c>
      <c r="AF9" s="222">
        <f t="shared" si="15"/>
        <v>73.91807247395252</v>
      </c>
    </row>
    <row r="10" spans="1:32" ht="14.5" customHeight="1" x14ac:dyDescent="0.35">
      <c r="A10" s="5">
        <f>ROW()</f>
        <v>10</v>
      </c>
      <c r="B10" s="51" t="s">
        <v>50</v>
      </c>
      <c r="C10" s="6"/>
      <c r="D10" s="174"/>
      <c r="E10" s="186">
        <f t="shared" ref="E10:L11" si="16">IF($M$1=1,O10,Y10)</f>
        <v>0.03</v>
      </c>
      <c r="F10" s="186">
        <f t="shared" si="16"/>
        <v>-0.15</v>
      </c>
      <c r="G10" s="186">
        <f t="shared" si="16"/>
        <v>0</v>
      </c>
      <c r="H10" s="186">
        <f t="shared" si="16"/>
        <v>0.01</v>
      </c>
      <c r="I10" s="186">
        <f t="shared" si="16"/>
        <v>0.02</v>
      </c>
      <c r="J10" s="186">
        <f t="shared" si="16"/>
        <v>0.03</v>
      </c>
      <c r="K10" s="186">
        <f t="shared" si="16"/>
        <v>0.03</v>
      </c>
      <c r="L10" s="186">
        <f t="shared" si="16"/>
        <v>0.03</v>
      </c>
      <c r="M10" s="1"/>
      <c r="N10" s="193"/>
      <c r="O10" s="194">
        <v>0.03</v>
      </c>
      <c r="P10" s="194">
        <v>0.03</v>
      </c>
      <c r="Q10" s="194">
        <v>0.03</v>
      </c>
      <c r="R10" s="194">
        <v>0.03</v>
      </c>
      <c r="S10" s="194">
        <v>0.03</v>
      </c>
      <c r="T10" s="194">
        <v>0.03</v>
      </c>
      <c r="U10" s="194">
        <v>0.03</v>
      </c>
      <c r="V10" s="194">
        <v>0.03</v>
      </c>
      <c r="X10" s="223"/>
      <c r="Y10" s="224">
        <v>0.03</v>
      </c>
      <c r="Z10" s="224">
        <v>-0.15</v>
      </c>
      <c r="AA10" s="224">
        <v>0</v>
      </c>
      <c r="AB10" s="224">
        <v>0.01</v>
      </c>
      <c r="AC10" s="224">
        <v>0.02</v>
      </c>
      <c r="AD10" s="224">
        <v>0.03</v>
      </c>
      <c r="AE10" s="224">
        <v>0.03</v>
      </c>
      <c r="AF10" s="224">
        <v>0.03</v>
      </c>
    </row>
    <row r="11" spans="1:32" ht="14.5" customHeight="1" x14ac:dyDescent="0.35">
      <c r="A11" s="5">
        <f>ROW()</f>
        <v>11</v>
      </c>
      <c r="B11" s="51" t="s">
        <v>51</v>
      </c>
      <c r="C11" s="6"/>
      <c r="D11" s="184">
        <f>(D15/D13)/(D9*365)*1000</f>
        <v>0.80491964656348214</v>
      </c>
      <c r="E11" s="186">
        <f t="shared" si="16"/>
        <v>0.8</v>
      </c>
      <c r="F11" s="186">
        <f t="shared" si="16"/>
        <v>0.55000000000000004</v>
      </c>
      <c r="G11" s="186">
        <f t="shared" si="16"/>
        <v>0.5</v>
      </c>
      <c r="H11" s="186">
        <f t="shared" si="16"/>
        <v>0.7</v>
      </c>
      <c r="I11" s="186">
        <f t="shared" si="16"/>
        <v>0.7</v>
      </c>
      <c r="J11" s="186">
        <f t="shared" si="16"/>
        <v>0.7</v>
      </c>
      <c r="K11" s="186">
        <f t="shared" si="16"/>
        <v>0.7</v>
      </c>
      <c r="L11" s="186">
        <f t="shared" si="16"/>
        <v>0.7</v>
      </c>
      <c r="M11" s="1"/>
      <c r="N11" s="217">
        <f>+D11</f>
        <v>0.80491964656348214</v>
      </c>
      <c r="O11" s="194">
        <v>0.8</v>
      </c>
      <c r="P11" s="194">
        <v>0.75</v>
      </c>
      <c r="Q11" s="194">
        <v>0.75</v>
      </c>
      <c r="R11" s="194">
        <v>0.75</v>
      </c>
      <c r="S11" s="194">
        <v>0.75</v>
      </c>
      <c r="T11" s="194">
        <v>0.75</v>
      </c>
      <c r="U11" s="194">
        <v>0.75</v>
      </c>
      <c r="V11" s="194">
        <v>0.75</v>
      </c>
      <c r="X11" s="225">
        <f>+N11</f>
        <v>0.80491964656348214</v>
      </c>
      <c r="Y11" s="224">
        <v>0.8</v>
      </c>
      <c r="Z11" s="224">
        <v>0.55000000000000004</v>
      </c>
      <c r="AA11" s="224">
        <v>0.5</v>
      </c>
      <c r="AB11" s="224">
        <v>0.7</v>
      </c>
      <c r="AC11" s="224">
        <v>0.7</v>
      </c>
      <c r="AD11" s="224">
        <v>0.7</v>
      </c>
      <c r="AE11" s="224">
        <f>+AD11</f>
        <v>0.7</v>
      </c>
      <c r="AF11" s="224">
        <f>+AE11</f>
        <v>0.7</v>
      </c>
    </row>
    <row r="12" spans="1:32" ht="14.5" customHeight="1" x14ac:dyDescent="0.35">
      <c r="A12" s="5">
        <f>ROW()</f>
        <v>12</v>
      </c>
      <c r="B12" s="51" t="s">
        <v>52</v>
      </c>
      <c r="C12" s="6"/>
      <c r="D12" s="175">
        <f>+D11*D9</f>
        <v>60.368973492261162</v>
      </c>
      <c r="E12" s="54">
        <f t="shared" ref="E12:K12" si="17">+E11*E9</f>
        <v>61.800000000000004</v>
      </c>
      <c r="F12" s="54">
        <f t="shared" si="17"/>
        <v>36.114375000000003</v>
      </c>
      <c r="G12" s="54">
        <f t="shared" si="17"/>
        <v>32.831249999999997</v>
      </c>
      <c r="H12" s="54">
        <f t="shared" si="17"/>
        <v>46.423387499999997</v>
      </c>
      <c r="I12" s="54">
        <f t="shared" si="17"/>
        <v>47.35185525</v>
      </c>
      <c r="J12" s="54">
        <f t="shared" si="17"/>
        <v>48.77241090750001</v>
      </c>
      <c r="K12" s="54">
        <f t="shared" si="17"/>
        <v>50.235583234725013</v>
      </c>
      <c r="L12" s="54">
        <f t="shared" ref="L12" si="18">+L11*L9</f>
        <v>51.742650731766759</v>
      </c>
      <c r="M12" s="1"/>
      <c r="N12" s="195">
        <f>+N11*N9</f>
        <v>60.368973492261162</v>
      </c>
      <c r="O12" s="196">
        <f t="shared" ref="O12:U12" si="19">+O11*O9</f>
        <v>61.800000000000004</v>
      </c>
      <c r="P12" s="196">
        <f t="shared" si="19"/>
        <v>59.675624999999997</v>
      </c>
      <c r="Q12" s="196">
        <f t="shared" si="19"/>
        <v>61.465893750000006</v>
      </c>
      <c r="R12" s="196">
        <f t="shared" si="19"/>
        <v>63.309870562500002</v>
      </c>
      <c r="S12" s="196">
        <f t="shared" si="19"/>
        <v>65.209166679375002</v>
      </c>
      <c r="T12" s="196">
        <f t="shared" si="19"/>
        <v>67.165441679756256</v>
      </c>
      <c r="U12" s="196">
        <f t="shared" si="19"/>
        <v>69.180404930148939</v>
      </c>
      <c r="V12" s="196">
        <f t="shared" ref="V12" si="20">+V11*V9</f>
        <v>71.255817078053411</v>
      </c>
      <c r="X12" s="226">
        <f>+X11*X9</f>
        <v>60.368973492261162</v>
      </c>
      <c r="Y12" s="227">
        <f t="shared" ref="Y12:AE12" si="21">+Y11*Y9</f>
        <v>61.800000000000004</v>
      </c>
      <c r="Z12" s="227">
        <f t="shared" si="21"/>
        <v>36.114375000000003</v>
      </c>
      <c r="AA12" s="227">
        <f t="shared" si="21"/>
        <v>32.831249999999997</v>
      </c>
      <c r="AB12" s="227">
        <f t="shared" si="21"/>
        <v>46.423387499999997</v>
      </c>
      <c r="AC12" s="227">
        <f t="shared" si="21"/>
        <v>47.35185525</v>
      </c>
      <c r="AD12" s="227">
        <f t="shared" si="21"/>
        <v>48.77241090750001</v>
      </c>
      <c r="AE12" s="227">
        <f t="shared" si="21"/>
        <v>50.235583234725013</v>
      </c>
      <c r="AF12" s="227">
        <f t="shared" ref="AF12" si="22">+AF11*AF9</f>
        <v>51.742650731766759</v>
      </c>
    </row>
    <row r="13" spans="1:32" s="4" customFormat="1" ht="14.5" customHeight="1" x14ac:dyDescent="0.35">
      <c r="A13" s="5">
        <f>ROW()</f>
        <v>13</v>
      </c>
      <c r="B13" s="55" t="s">
        <v>53</v>
      </c>
      <c r="C13" s="56"/>
      <c r="D13" s="182">
        <v>77000</v>
      </c>
      <c r="E13" s="57">
        <f>+D13*(1+E14)</f>
        <v>78540</v>
      </c>
      <c r="F13" s="57">
        <f t="shared" ref="F13:L13" si="23">+E13*(1+F14)</f>
        <v>78540</v>
      </c>
      <c r="G13" s="57">
        <f t="shared" si="23"/>
        <v>78540</v>
      </c>
      <c r="H13" s="57">
        <f t="shared" si="23"/>
        <v>79325.399999999994</v>
      </c>
      <c r="I13" s="57">
        <f t="shared" si="23"/>
        <v>80911.907999999996</v>
      </c>
      <c r="J13" s="57">
        <f t="shared" si="23"/>
        <v>82530.146160000004</v>
      </c>
      <c r="K13" s="57">
        <f t="shared" si="23"/>
        <v>84180.749083200004</v>
      </c>
      <c r="L13" s="57">
        <f t="shared" si="23"/>
        <v>85864.364064863999</v>
      </c>
      <c r="M13" s="1"/>
      <c r="N13" s="163">
        <f>+D13</f>
        <v>77000</v>
      </c>
      <c r="O13" s="164">
        <f>+N13*(1+O14)</f>
        <v>78540</v>
      </c>
      <c r="P13" s="164">
        <f t="shared" ref="P13" si="24">+O13*(1+P14)</f>
        <v>80110.8</v>
      </c>
      <c r="Q13" s="164">
        <f t="shared" ref="Q13" si="25">+P13*(1+Q14)</f>
        <v>81713.016000000003</v>
      </c>
      <c r="R13" s="164">
        <f t="shared" ref="R13" si="26">+Q13*(1+R14)</f>
        <v>83347.276320000004</v>
      </c>
      <c r="S13" s="164">
        <f t="shared" ref="S13" si="27">+R13*(1+S14)</f>
        <v>85014.221846400003</v>
      </c>
      <c r="T13" s="164">
        <f t="shared" ref="T13" si="28">+S13*(1+T14)</f>
        <v>86714.50628332801</v>
      </c>
      <c r="U13" s="164">
        <f t="shared" ref="U13:V13" si="29">+T13*(1+U14)</f>
        <v>88448.796408994574</v>
      </c>
      <c r="V13" s="164">
        <f t="shared" si="29"/>
        <v>90217.772337174465</v>
      </c>
      <c r="X13" s="228">
        <f>+N13</f>
        <v>77000</v>
      </c>
      <c r="Y13" s="229">
        <f>+X13*(1+Y14)</f>
        <v>78540</v>
      </c>
      <c r="Z13" s="229">
        <f t="shared" ref="Z13" si="30">+Y13*(1+Z14)</f>
        <v>78540</v>
      </c>
      <c r="AA13" s="229">
        <f t="shared" ref="AA13" si="31">+Z13*(1+AA14)</f>
        <v>78540</v>
      </c>
      <c r="AB13" s="229">
        <f t="shared" ref="AB13" si="32">+AA13*(1+AB14)</f>
        <v>79325.399999999994</v>
      </c>
      <c r="AC13" s="229">
        <f t="shared" ref="AC13" si="33">+AB13*(1+AC14)</f>
        <v>80911.907999999996</v>
      </c>
      <c r="AD13" s="229">
        <f t="shared" ref="AD13" si="34">+AC13*(1+AD14)</f>
        <v>82530.146160000004</v>
      </c>
      <c r="AE13" s="229">
        <f t="shared" ref="AE13:AF13" si="35">+AD13*(1+AE14)</f>
        <v>84180.749083200004</v>
      </c>
      <c r="AF13" s="229">
        <f t="shared" si="35"/>
        <v>85864.364064863999</v>
      </c>
    </row>
    <row r="14" spans="1:32" ht="14.5" customHeight="1" x14ac:dyDescent="0.35">
      <c r="A14" s="5">
        <f>ROW()</f>
        <v>14</v>
      </c>
      <c r="B14" s="51" t="s">
        <v>54</v>
      </c>
      <c r="C14" s="6"/>
      <c r="D14" s="177"/>
      <c r="E14" s="187">
        <f t="shared" ref="E14:L14" si="36">IF($M$1=1,O14,Y14)</f>
        <v>0.02</v>
      </c>
      <c r="F14" s="187">
        <f t="shared" si="36"/>
        <v>0</v>
      </c>
      <c r="G14" s="187">
        <f t="shared" si="36"/>
        <v>0</v>
      </c>
      <c r="H14" s="187">
        <f t="shared" si="36"/>
        <v>0.01</v>
      </c>
      <c r="I14" s="187">
        <f t="shared" si="36"/>
        <v>0.02</v>
      </c>
      <c r="J14" s="187">
        <f t="shared" si="36"/>
        <v>0.02</v>
      </c>
      <c r="K14" s="187">
        <f t="shared" si="36"/>
        <v>0.02</v>
      </c>
      <c r="L14" s="187">
        <f t="shared" si="36"/>
        <v>0.02</v>
      </c>
      <c r="M14" s="1"/>
      <c r="N14" s="197"/>
      <c r="O14" s="198">
        <v>0.02</v>
      </c>
      <c r="P14" s="198">
        <v>0.02</v>
      </c>
      <c r="Q14" s="198">
        <v>0.02</v>
      </c>
      <c r="R14" s="198">
        <v>0.02</v>
      </c>
      <c r="S14" s="198">
        <v>0.02</v>
      </c>
      <c r="T14" s="198">
        <v>0.02</v>
      </c>
      <c r="U14" s="198">
        <v>0.02</v>
      </c>
      <c r="V14" s="198">
        <v>0.02</v>
      </c>
      <c r="X14" s="230"/>
      <c r="Y14" s="231">
        <v>0.02</v>
      </c>
      <c r="Z14" s="231">
        <v>0</v>
      </c>
      <c r="AA14" s="231">
        <v>0</v>
      </c>
      <c r="AB14" s="231">
        <v>0.01</v>
      </c>
      <c r="AC14" s="231">
        <v>0.02</v>
      </c>
      <c r="AD14" s="231">
        <v>0.02</v>
      </c>
      <c r="AE14" s="231">
        <f>+AD14</f>
        <v>0.02</v>
      </c>
      <c r="AF14" s="231">
        <f>+AE14</f>
        <v>0.02</v>
      </c>
    </row>
    <row r="15" spans="1:32" ht="14.5" customHeight="1" thickBot="1" x14ac:dyDescent="0.4">
      <c r="A15" s="5">
        <f>ROW()</f>
        <v>15</v>
      </c>
      <c r="B15" s="51" t="s">
        <v>55</v>
      </c>
      <c r="C15" s="6"/>
      <c r="D15" s="183">
        <v>1696670</v>
      </c>
      <c r="E15" s="45">
        <f>+E13*E12*E8/1000</f>
        <v>1771626.78</v>
      </c>
      <c r="F15" s="45">
        <f t="shared" ref="F15:K15" si="37">+F13*F12*F8/1000</f>
        <v>1035294.3995625001</v>
      </c>
      <c r="G15" s="45">
        <f t="shared" si="37"/>
        <v>941176.72687500005</v>
      </c>
      <c r="H15" s="45">
        <f t="shared" si="37"/>
        <v>1344132.1307192622</v>
      </c>
      <c r="I15" s="45">
        <f t="shared" si="37"/>
        <v>1398435.0688003206</v>
      </c>
      <c r="J15" s="45">
        <f t="shared" si="37"/>
        <v>1469195.8832816174</v>
      </c>
      <c r="K15" s="45">
        <f t="shared" si="37"/>
        <v>1543537.1949756672</v>
      </c>
      <c r="L15" s="45">
        <f t="shared" ref="L15" si="38">+L13*L12*L8/1000</f>
        <v>1626083.0268415492</v>
      </c>
      <c r="M15" s="1"/>
      <c r="N15" s="199">
        <f>+N13*N12*365/1000</f>
        <v>1696670</v>
      </c>
      <c r="O15" s="200">
        <f t="shared" ref="O15:U15" si="39">+O13*O12*365/1000</f>
        <v>1771626.78</v>
      </c>
      <c r="P15" s="200">
        <f t="shared" si="39"/>
        <v>1744941.65162625</v>
      </c>
      <c r="Q15" s="200">
        <f t="shared" si="39"/>
        <v>1833235.6991985382</v>
      </c>
      <c r="R15" s="200">
        <f t="shared" si="39"/>
        <v>1925997.4255779847</v>
      </c>
      <c r="S15" s="200">
        <f t="shared" si="39"/>
        <v>2023452.8953122303</v>
      </c>
      <c r="T15" s="200">
        <f t="shared" si="39"/>
        <v>2125839.6118150293</v>
      </c>
      <c r="U15" s="200">
        <f t="shared" si="39"/>
        <v>2233407.0961728701</v>
      </c>
      <c r="V15" s="200">
        <f t="shared" ref="V15" si="40">+V13*V12*365/1000</f>
        <v>2346417.4952392173</v>
      </c>
      <c r="X15" s="232">
        <f>+X13*X12*365/1000</f>
        <v>1696670</v>
      </c>
      <c r="Y15" s="233">
        <f t="shared" ref="Y15:AE15" si="41">+Y13*Y12*365/1000</f>
        <v>1771626.78</v>
      </c>
      <c r="Z15" s="233">
        <f t="shared" si="41"/>
        <v>1035294.3995625001</v>
      </c>
      <c r="AA15" s="233">
        <f t="shared" si="41"/>
        <v>941176.72687500005</v>
      </c>
      <c r="AB15" s="233">
        <f t="shared" si="41"/>
        <v>1344132.1307192622</v>
      </c>
      <c r="AC15" s="233">
        <f t="shared" si="41"/>
        <v>1398435.0688003206</v>
      </c>
      <c r="AD15" s="233">
        <f t="shared" si="41"/>
        <v>1469195.8832816174</v>
      </c>
      <c r="AE15" s="233">
        <f t="shared" si="41"/>
        <v>1543537.1949756672</v>
      </c>
      <c r="AF15" s="233">
        <f t="shared" ref="AF15" si="42">+AF13*AF12*365/1000</f>
        <v>1621640.1770414356</v>
      </c>
    </row>
    <row r="16" spans="1:32" ht="14.5" customHeight="1" thickTop="1" x14ac:dyDescent="0.35">
      <c r="A16" s="5">
        <f>ROW()</f>
        <v>16</v>
      </c>
      <c r="B16" s="51" t="s">
        <v>56</v>
      </c>
      <c r="C16" s="6"/>
      <c r="D16" s="185">
        <v>270165</v>
      </c>
      <c r="E16" s="59">
        <f>+D16*(1+E17)</f>
        <v>278269.95</v>
      </c>
      <c r="F16" s="59">
        <f t="shared" ref="F16:L16" si="43">+E16*(1+F17)</f>
        <v>286618.04850000003</v>
      </c>
      <c r="G16" s="59">
        <f t="shared" si="43"/>
        <v>286618.04850000003</v>
      </c>
      <c r="H16" s="59">
        <f t="shared" si="43"/>
        <v>286618.04850000003</v>
      </c>
      <c r="I16" s="59">
        <f t="shared" si="43"/>
        <v>289484.22898500005</v>
      </c>
      <c r="J16" s="59">
        <f t="shared" si="43"/>
        <v>295273.91356470005</v>
      </c>
      <c r="K16" s="59">
        <f t="shared" si="43"/>
        <v>304132.13097164105</v>
      </c>
      <c r="L16" s="59">
        <f t="shared" si="43"/>
        <v>313256.09490079031</v>
      </c>
      <c r="M16" s="1"/>
      <c r="N16" s="201">
        <f>+D16</f>
        <v>270165</v>
      </c>
      <c r="O16" s="202">
        <f>+N16*(1+O17)</f>
        <v>278269.95</v>
      </c>
      <c r="P16" s="202">
        <f t="shared" ref="P16" si="44">+O16*(1+P17)</f>
        <v>286618.04850000003</v>
      </c>
      <c r="Q16" s="202">
        <f t="shared" ref="Q16" si="45">+P16*(1+Q17)</f>
        <v>295216.58995500003</v>
      </c>
      <c r="R16" s="202">
        <f t="shared" ref="R16" si="46">+Q16*(1+R17)</f>
        <v>304073.08765365003</v>
      </c>
      <c r="S16" s="202">
        <f t="shared" ref="S16" si="47">+R16*(1+S17)</f>
        <v>313195.28028325952</v>
      </c>
      <c r="T16" s="202">
        <f t="shared" ref="T16" si="48">+S16*(1+T17)</f>
        <v>322591.13869175734</v>
      </c>
      <c r="U16" s="202">
        <f t="shared" ref="U16:V16" si="49">+T16*(1+U17)</f>
        <v>332268.87285251007</v>
      </c>
      <c r="V16" s="202">
        <f t="shared" si="49"/>
        <v>342236.9390380854</v>
      </c>
      <c r="X16" s="234">
        <f>+N16</f>
        <v>270165</v>
      </c>
      <c r="Y16" s="235">
        <f>+X16*(1+Y17)</f>
        <v>278269.95</v>
      </c>
      <c r="Z16" s="235">
        <f t="shared" ref="Z16" si="50">+Y16*(1+Z17)</f>
        <v>286618.04850000003</v>
      </c>
      <c r="AA16" s="235">
        <f t="shared" ref="AA16" si="51">+Z16*(1+AA17)</f>
        <v>286618.04850000003</v>
      </c>
      <c r="AB16" s="235">
        <f t="shared" ref="AB16" si="52">+AA16*(1+AB17)</f>
        <v>286618.04850000003</v>
      </c>
      <c r="AC16" s="235">
        <f t="shared" ref="AC16" si="53">+AB16*(1+AC17)</f>
        <v>289484.22898500005</v>
      </c>
      <c r="AD16" s="235">
        <f t="shared" ref="AD16" si="54">+AC16*(1+AD17)</f>
        <v>295273.91356470005</v>
      </c>
      <c r="AE16" s="235">
        <f t="shared" ref="AE16:AF16" si="55">+AD16*(1+AE17)</f>
        <v>304132.13097164105</v>
      </c>
      <c r="AF16" s="235">
        <f t="shared" si="55"/>
        <v>313256.09490079031</v>
      </c>
    </row>
    <row r="17" spans="1:32" ht="14.5" customHeight="1" x14ac:dyDescent="0.35">
      <c r="A17" s="5">
        <f>ROW()</f>
        <v>17</v>
      </c>
      <c r="B17" s="51" t="s">
        <v>57</v>
      </c>
      <c r="C17" s="6"/>
      <c r="D17" s="177"/>
      <c r="E17" s="187">
        <f t="shared" ref="E17:L17" si="56">IF($M$1=1,O17,Y17)</f>
        <v>0.03</v>
      </c>
      <c r="F17" s="187">
        <f t="shared" si="56"/>
        <v>0.03</v>
      </c>
      <c r="G17" s="187">
        <f t="shared" si="56"/>
        <v>0</v>
      </c>
      <c r="H17" s="187">
        <f t="shared" si="56"/>
        <v>0</v>
      </c>
      <c r="I17" s="187">
        <f t="shared" si="56"/>
        <v>0.01</v>
      </c>
      <c r="J17" s="187">
        <f t="shared" si="56"/>
        <v>0.02</v>
      </c>
      <c r="K17" s="187">
        <f t="shared" si="56"/>
        <v>0.03</v>
      </c>
      <c r="L17" s="187">
        <f t="shared" si="56"/>
        <v>0.03</v>
      </c>
      <c r="M17" s="1"/>
      <c r="N17" s="197"/>
      <c r="O17" s="198">
        <v>0.03</v>
      </c>
      <c r="P17" s="198">
        <v>0.03</v>
      </c>
      <c r="Q17" s="198">
        <v>0.03</v>
      </c>
      <c r="R17" s="198">
        <v>0.03</v>
      </c>
      <c r="S17" s="198">
        <v>0.03</v>
      </c>
      <c r="T17" s="198">
        <v>0.03</v>
      </c>
      <c r="U17" s="198">
        <v>0.03</v>
      </c>
      <c r="V17" s="198">
        <f>+U17</f>
        <v>0.03</v>
      </c>
      <c r="X17" s="230"/>
      <c r="Y17" s="231">
        <v>0.03</v>
      </c>
      <c r="Z17" s="231">
        <v>0.03</v>
      </c>
      <c r="AA17" s="231">
        <v>0</v>
      </c>
      <c r="AB17" s="231">
        <v>0</v>
      </c>
      <c r="AC17" s="231">
        <v>0.01</v>
      </c>
      <c r="AD17" s="231">
        <v>0.02</v>
      </c>
      <c r="AE17" s="231">
        <v>0.03</v>
      </c>
      <c r="AF17" s="231">
        <f>+AE17</f>
        <v>0.03</v>
      </c>
    </row>
    <row r="18" spans="1:32" ht="14.5" customHeight="1" thickBot="1" x14ac:dyDescent="0.4">
      <c r="A18" s="5">
        <f>ROW()</f>
        <v>18</v>
      </c>
      <c r="B18" s="46" t="s">
        <v>58</v>
      </c>
      <c r="C18" s="6"/>
      <c r="D18" s="178">
        <f>+D16+D15</f>
        <v>1966835</v>
      </c>
      <c r="E18" s="45">
        <f t="shared" ref="E18:K18" si="57">+E16+E15</f>
        <v>2049896.73</v>
      </c>
      <c r="F18" s="45">
        <f t="shared" si="57"/>
        <v>1321912.4480625</v>
      </c>
      <c r="G18" s="45">
        <f t="shared" si="57"/>
        <v>1227794.7753750002</v>
      </c>
      <c r="H18" s="45">
        <f t="shared" si="57"/>
        <v>1630750.1792192622</v>
      </c>
      <c r="I18" s="45">
        <f t="shared" si="57"/>
        <v>1687919.2977853208</v>
      </c>
      <c r="J18" s="45">
        <f t="shared" si="57"/>
        <v>1764469.7968463176</v>
      </c>
      <c r="K18" s="45">
        <f t="shared" si="57"/>
        <v>1847669.3259473082</v>
      </c>
      <c r="L18" s="45">
        <f t="shared" ref="L18" si="58">+L16+L15</f>
        <v>1939339.1217423396</v>
      </c>
      <c r="M18" s="1"/>
      <c r="N18" s="199">
        <f>+N16+N15</f>
        <v>1966835</v>
      </c>
      <c r="O18" s="200">
        <f t="shared" ref="O18:U18" si="59">+O16+O15</f>
        <v>2049896.73</v>
      </c>
      <c r="P18" s="200">
        <f t="shared" si="59"/>
        <v>2031559.70012625</v>
      </c>
      <c r="Q18" s="200">
        <f t="shared" si="59"/>
        <v>2128452.2891535382</v>
      </c>
      <c r="R18" s="200">
        <f t="shared" si="59"/>
        <v>2230070.5132316346</v>
      </c>
      <c r="S18" s="200">
        <f t="shared" si="59"/>
        <v>2336648.1755954898</v>
      </c>
      <c r="T18" s="200">
        <f t="shared" si="59"/>
        <v>2448430.7505067866</v>
      </c>
      <c r="U18" s="200">
        <f t="shared" si="59"/>
        <v>2565675.96902538</v>
      </c>
      <c r="V18" s="200">
        <f t="shared" ref="V18" si="60">+V16+V15</f>
        <v>2688654.4342773026</v>
      </c>
      <c r="X18" s="232">
        <f>+X16+X15</f>
        <v>1966835</v>
      </c>
      <c r="Y18" s="233">
        <f t="shared" ref="Y18:AE18" si="61">+Y16+Y15</f>
        <v>2049896.73</v>
      </c>
      <c r="Z18" s="233">
        <f t="shared" si="61"/>
        <v>1321912.4480625</v>
      </c>
      <c r="AA18" s="233">
        <f t="shared" si="61"/>
        <v>1227794.7753750002</v>
      </c>
      <c r="AB18" s="233">
        <f t="shared" si="61"/>
        <v>1630750.1792192622</v>
      </c>
      <c r="AC18" s="233">
        <f t="shared" si="61"/>
        <v>1687919.2977853208</v>
      </c>
      <c r="AD18" s="233">
        <f t="shared" si="61"/>
        <v>1764469.7968463176</v>
      </c>
      <c r="AE18" s="233">
        <f t="shared" si="61"/>
        <v>1847669.3259473082</v>
      </c>
      <c r="AF18" s="233">
        <f t="shared" ref="AF18" si="62">+AF16+AF15</f>
        <v>1934896.271942226</v>
      </c>
    </row>
    <row r="19" spans="1:32" ht="14.5" customHeight="1" thickTop="1" x14ac:dyDescent="0.35">
      <c r="A19" s="5">
        <f>ROW()</f>
        <v>19</v>
      </c>
      <c r="B19" s="46"/>
      <c r="C19" s="6"/>
      <c r="D19" s="179"/>
      <c r="E19" s="46"/>
      <c r="F19" s="46"/>
      <c r="G19" s="46"/>
      <c r="H19" s="46"/>
      <c r="I19" s="46"/>
      <c r="J19" s="46"/>
      <c r="K19" s="46"/>
      <c r="L19" s="46"/>
      <c r="M19" s="1"/>
      <c r="N19" s="203"/>
      <c r="O19" s="204"/>
      <c r="P19" s="204"/>
      <c r="Q19" s="204"/>
      <c r="R19" s="204"/>
      <c r="S19" s="204"/>
      <c r="T19" s="204"/>
      <c r="U19" s="204"/>
      <c r="V19" s="204"/>
      <c r="X19" s="236"/>
      <c r="Y19" s="237"/>
      <c r="Z19" s="237"/>
      <c r="AA19" s="237"/>
      <c r="AB19" s="237"/>
      <c r="AC19" s="237"/>
      <c r="AD19" s="237"/>
      <c r="AE19" s="237"/>
      <c r="AF19" s="237"/>
    </row>
    <row r="20" spans="1:32" ht="14.5" customHeight="1" x14ac:dyDescent="0.35">
      <c r="A20" s="5">
        <f>ROW()</f>
        <v>20</v>
      </c>
      <c r="B20" s="60" t="s">
        <v>59</v>
      </c>
      <c r="C20" s="6"/>
      <c r="D20" s="174">
        <v>0.47299999999999998</v>
      </c>
      <c r="E20" s="186">
        <f t="shared" ref="E20:L23" si="63">IF($M$1=1,O20,Y20)</f>
        <v>0.48886985939316829</v>
      </c>
      <c r="F20" s="186">
        <f t="shared" si="63"/>
        <v>0.48886985939316829</v>
      </c>
      <c r="G20" s="186">
        <f t="shared" si="63"/>
        <v>0.6</v>
      </c>
      <c r="H20" s="186">
        <f t="shared" si="63"/>
        <v>0.5</v>
      </c>
      <c r="I20" s="186">
        <f t="shared" si="63"/>
        <v>0.48886985939316829</v>
      </c>
      <c r="J20" s="186">
        <f t="shared" si="63"/>
        <v>0.48886985939316829</v>
      </c>
      <c r="K20" s="186">
        <f t="shared" si="63"/>
        <v>0.48886985939316829</v>
      </c>
      <c r="L20" s="186">
        <f t="shared" si="63"/>
        <v>0.48886985939316829</v>
      </c>
      <c r="M20" s="1"/>
      <c r="N20" s="205">
        <f>+D20</f>
        <v>0.47299999999999998</v>
      </c>
      <c r="O20" s="194">
        <f>+N20</f>
        <v>0.47299999999999998</v>
      </c>
      <c r="P20" s="194">
        <f t="shared" ref="P20:U20" si="64">+O20</f>
        <v>0.47299999999999998</v>
      </c>
      <c r="Q20" s="194">
        <f t="shared" si="64"/>
        <v>0.47299999999999998</v>
      </c>
      <c r="R20" s="194">
        <f t="shared" si="64"/>
        <v>0.47299999999999998</v>
      </c>
      <c r="S20" s="194">
        <f t="shared" si="64"/>
        <v>0.47299999999999998</v>
      </c>
      <c r="T20" s="194">
        <f t="shared" si="64"/>
        <v>0.47299999999999998</v>
      </c>
      <c r="U20" s="194">
        <f t="shared" si="64"/>
        <v>0.47299999999999998</v>
      </c>
      <c r="V20" s="194">
        <f t="shared" ref="V20" si="65">+U20</f>
        <v>0.47299999999999998</v>
      </c>
      <c r="X20" s="225">
        <f>+N20</f>
        <v>0.47299999999999998</v>
      </c>
      <c r="Y20" s="224">
        <v>0.48886985939316829</v>
      </c>
      <c r="Z20" s="224">
        <v>0.48886985939316829</v>
      </c>
      <c r="AA20" s="224">
        <v>0.6</v>
      </c>
      <c r="AB20" s="224">
        <v>0.5</v>
      </c>
      <c r="AC20" s="224">
        <v>0.48886985939316829</v>
      </c>
      <c r="AD20" s="224">
        <v>0.48886985939316829</v>
      </c>
      <c r="AE20" s="224">
        <v>0.48886985939316829</v>
      </c>
      <c r="AF20" s="224">
        <f t="shared" ref="AF20" si="66">+AE20</f>
        <v>0.48886985939316829</v>
      </c>
    </row>
    <row r="21" spans="1:32" ht="14.5" customHeight="1" x14ac:dyDescent="0.35">
      <c r="A21" s="5">
        <f>ROW()</f>
        <v>21</v>
      </c>
      <c r="B21" s="60" t="s">
        <v>60</v>
      </c>
      <c r="C21" s="6"/>
      <c r="D21" s="174">
        <f>'Income Statement'!H15/'Income Statement'!H8</f>
        <v>0.10522997607831872</v>
      </c>
      <c r="E21" s="186">
        <f t="shared" si="63"/>
        <v>0.12496075747457203</v>
      </c>
      <c r="F21" s="186">
        <f t="shared" si="63"/>
        <v>0.12496075747457203</v>
      </c>
      <c r="G21" s="186">
        <f t="shared" si="63"/>
        <v>0.17307748112048146</v>
      </c>
      <c r="H21" s="186">
        <f t="shared" si="63"/>
        <v>0.13</v>
      </c>
      <c r="I21" s="186">
        <f t="shared" si="63"/>
        <v>0.12</v>
      </c>
      <c r="J21" s="186">
        <f t="shared" si="63"/>
        <v>0.12</v>
      </c>
      <c r="K21" s="186">
        <f t="shared" si="63"/>
        <v>0.12</v>
      </c>
      <c r="L21" s="186">
        <f t="shared" si="63"/>
        <v>0.12</v>
      </c>
      <c r="M21" s="1"/>
      <c r="N21" s="205">
        <f>+D21</f>
        <v>0.10522997607831872</v>
      </c>
      <c r="O21" s="194">
        <f>+N21</f>
        <v>0.10522997607831872</v>
      </c>
      <c r="P21" s="194">
        <f t="shared" ref="P21:U21" si="67">+O21</f>
        <v>0.10522997607831872</v>
      </c>
      <c r="Q21" s="194">
        <f t="shared" si="67"/>
        <v>0.10522997607831872</v>
      </c>
      <c r="R21" s="194">
        <f t="shared" si="67"/>
        <v>0.10522997607831872</v>
      </c>
      <c r="S21" s="194">
        <f t="shared" si="67"/>
        <v>0.10522997607831872</v>
      </c>
      <c r="T21" s="194">
        <f t="shared" si="67"/>
        <v>0.10522997607831872</v>
      </c>
      <c r="U21" s="194">
        <f t="shared" si="67"/>
        <v>0.10522997607831872</v>
      </c>
      <c r="V21" s="194">
        <f t="shared" ref="V21" si="68">+U21</f>
        <v>0.10522997607831872</v>
      </c>
      <c r="X21" s="225">
        <f t="shared" ref="X21:X23" si="69">+N21</f>
        <v>0.10522997607831872</v>
      </c>
      <c r="Y21" s="224">
        <v>0.12496075747457203</v>
      </c>
      <c r="Z21" s="224">
        <v>0.12496075747457203</v>
      </c>
      <c r="AA21" s="224">
        <v>0.17307748112048146</v>
      </c>
      <c r="AB21" s="224">
        <v>0.13</v>
      </c>
      <c r="AC21" s="224">
        <v>0.12</v>
      </c>
      <c r="AD21" s="224">
        <v>0.12</v>
      </c>
      <c r="AE21" s="224">
        <v>0.12</v>
      </c>
      <c r="AF21" s="224">
        <f t="shared" ref="AF21" si="70">+AE21</f>
        <v>0.12</v>
      </c>
    </row>
    <row r="22" spans="1:32" ht="14.5" customHeight="1" x14ac:dyDescent="0.35">
      <c r="A22" s="5">
        <f>ROW()</f>
        <v>22</v>
      </c>
      <c r="B22" s="60" t="s">
        <v>61</v>
      </c>
      <c r="C22" s="6"/>
      <c r="D22" s="174">
        <f>'Income Statement'!H19/'Income Statement'!H8</f>
        <v>0.1124293598598764</v>
      </c>
      <c r="E22" s="186">
        <f t="shared" si="63"/>
        <v>0.12759658304229476</v>
      </c>
      <c r="F22" s="186">
        <f t="shared" si="63"/>
        <v>0.12759658304229476</v>
      </c>
      <c r="G22" s="186">
        <f t="shared" si="63"/>
        <v>0.12759658304229476</v>
      </c>
      <c r="H22" s="186">
        <f t="shared" si="63"/>
        <v>0.12759658304229476</v>
      </c>
      <c r="I22" s="186">
        <f t="shared" si="63"/>
        <v>0.12759658304229476</v>
      </c>
      <c r="J22" s="186">
        <f t="shared" si="63"/>
        <v>0.12759658304229476</v>
      </c>
      <c r="K22" s="186">
        <f t="shared" si="63"/>
        <v>0.12759658304229476</v>
      </c>
      <c r="L22" s="186">
        <f t="shared" si="63"/>
        <v>0.12759658304229476</v>
      </c>
      <c r="M22" s="1"/>
      <c r="N22" s="205">
        <f>+D22</f>
        <v>0.1124293598598764</v>
      </c>
      <c r="O22" s="194">
        <f>+N22</f>
        <v>0.1124293598598764</v>
      </c>
      <c r="P22" s="194">
        <f t="shared" ref="P22:U22" si="71">+O22</f>
        <v>0.1124293598598764</v>
      </c>
      <c r="Q22" s="194">
        <f t="shared" si="71"/>
        <v>0.1124293598598764</v>
      </c>
      <c r="R22" s="194">
        <f t="shared" si="71"/>
        <v>0.1124293598598764</v>
      </c>
      <c r="S22" s="194">
        <f t="shared" si="71"/>
        <v>0.1124293598598764</v>
      </c>
      <c r="T22" s="194">
        <f t="shared" si="71"/>
        <v>0.1124293598598764</v>
      </c>
      <c r="U22" s="194">
        <f t="shared" si="71"/>
        <v>0.1124293598598764</v>
      </c>
      <c r="V22" s="194">
        <f t="shared" ref="V22" si="72">+U22</f>
        <v>0.1124293598598764</v>
      </c>
      <c r="X22" s="225">
        <f t="shared" si="69"/>
        <v>0.1124293598598764</v>
      </c>
      <c r="Y22" s="224">
        <v>0.12759658304229476</v>
      </c>
      <c r="Z22" s="224">
        <v>0.12759658304229476</v>
      </c>
      <c r="AA22" s="224">
        <v>0.12759658304229476</v>
      </c>
      <c r="AB22" s="224">
        <v>0.12759658304229476</v>
      </c>
      <c r="AC22" s="224">
        <v>0.12759658304229476</v>
      </c>
      <c r="AD22" s="224">
        <v>0.12759658304229476</v>
      </c>
      <c r="AE22" s="224">
        <v>0.12759658304229476</v>
      </c>
      <c r="AF22" s="224">
        <f t="shared" ref="AF22" si="73">+AE22</f>
        <v>0.12759658304229476</v>
      </c>
    </row>
    <row r="23" spans="1:32" ht="14.5" customHeight="1" x14ac:dyDescent="0.35">
      <c r="A23" s="5">
        <f>ROW()</f>
        <v>23</v>
      </c>
      <c r="B23" s="60" t="s">
        <v>62</v>
      </c>
      <c r="C23" s="6"/>
      <c r="D23" s="174">
        <v>0.32800000000000001</v>
      </c>
      <c r="E23" s="186">
        <f t="shared" si="63"/>
        <v>0.32800000000000001</v>
      </c>
      <c r="F23" s="186">
        <f t="shared" si="63"/>
        <v>0.32800000000000001</v>
      </c>
      <c r="G23" s="186">
        <f t="shared" si="63"/>
        <v>0.32800000000000001</v>
      </c>
      <c r="H23" s="186">
        <f t="shared" si="63"/>
        <v>0.32800000000000001</v>
      </c>
      <c r="I23" s="186">
        <f t="shared" si="63"/>
        <v>0.32800000000000001</v>
      </c>
      <c r="J23" s="186">
        <f t="shared" si="63"/>
        <v>0.32800000000000001</v>
      </c>
      <c r="K23" s="186">
        <f t="shared" si="63"/>
        <v>0.32800000000000001</v>
      </c>
      <c r="L23" s="186">
        <f t="shared" si="63"/>
        <v>0.32800000000000001</v>
      </c>
      <c r="M23" s="53"/>
      <c r="N23" s="205">
        <f>+D23</f>
        <v>0.32800000000000001</v>
      </c>
      <c r="O23" s="194">
        <f>+N23</f>
        <v>0.32800000000000001</v>
      </c>
      <c r="P23" s="194">
        <f t="shared" ref="P23:U23" si="74">+O23</f>
        <v>0.32800000000000001</v>
      </c>
      <c r="Q23" s="194">
        <f t="shared" si="74"/>
        <v>0.32800000000000001</v>
      </c>
      <c r="R23" s="194">
        <f t="shared" si="74"/>
        <v>0.32800000000000001</v>
      </c>
      <c r="S23" s="194">
        <f t="shared" si="74"/>
        <v>0.32800000000000001</v>
      </c>
      <c r="T23" s="194">
        <f t="shared" si="74"/>
        <v>0.32800000000000001</v>
      </c>
      <c r="U23" s="194">
        <f t="shared" si="74"/>
        <v>0.32800000000000001</v>
      </c>
      <c r="V23" s="194">
        <f t="shared" ref="V23" si="75">+U23</f>
        <v>0.32800000000000001</v>
      </c>
      <c r="X23" s="225">
        <f t="shared" si="69"/>
        <v>0.32800000000000001</v>
      </c>
      <c r="Y23" s="224">
        <f>+X23</f>
        <v>0.32800000000000001</v>
      </c>
      <c r="Z23" s="224">
        <f t="shared" ref="Z23:AE23" si="76">+Y23</f>
        <v>0.32800000000000001</v>
      </c>
      <c r="AA23" s="224">
        <f t="shared" si="76"/>
        <v>0.32800000000000001</v>
      </c>
      <c r="AB23" s="224">
        <f t="shared" si="76"/>
        <v>0.32800000000000001</v>
      </c>
      <c r="AC23" s="224">
        <f t="shared" si="76"/>
        <v>0.32800000000000001</v>
      </c>
      <c r="AD23" s="224">
        <f t="shared" si="76"/>
        <v>0.32800000000000001</v>
      </c>
      <c r="AE23" s="224">
        <f t="shared" si="76"/>
        <v>0.32800000000000001</v>
      </c>
      <c r="AF23" s="224">
        <f t="shared" ref="AF23" si="77">+AE23</f>
        <v>0.32800000000000001</v>
      </c>
    </row>
    <row r="24" spans="1:32" ht="14.5" customHeight="1" x14ac:dyDescent="0.35">
      <c r="A24" s="5">
        <f>ROW()</f>
        <v>24</v>
      </c>
      <c r="B24" s="60"/>
      <c r="C24" s="6"/>
      <c r="D24" s="180"/>
      <c r="E24" s="60"/>
      <c r="F24" s="60"/>
      <c r="G24" s="60"/>
      <c r="H24" s="60"/>
      <c r="I24" s="60"/>
      <c r="J24" s="60"/>
      <c r="K24" s="60"/>
      <c r="L24" s="60"/>
      <c r="M24" s="60"/>
      <c r="N24" s="206"/>
      <c r="O24" s="207"/>
      <c r="P24" s="207"/>
      <c r="Q24" s="207"/>
      <c r="R24" s="207"/>
      <c r="S24" s="207"/>
      <c r="T24" s="207"/>
      <c r="U24" s="207"/>
      <c r="V24" s="207"/>
      <c r="X24" s="238"/>
      <c r="Y24" s="239"/>
      <c r="Z24" s="239"/>
      <c r="AA24" s="239"/>
      <c r="AB24" s="239"/>
      <c r="AC24" s="239"/>
      <c r="AD24" s="239"/>
      <c r="AE24" s="239"/>
      <c r="AF24" s="239"/>
    </row>
    <row r="25" spans="1:32" ht="14.5" customHeight="1" x14ac:dyDescent="0.35">
      <c r="A25" s="5">
        <f>ROW()</f>
        <v>25</v>
      </c>
      <c r="B25" s="46" t="s">
        <v>63</v>
      </c>
      <c r="C25" s="6"/>
      <c r="D25" s="181"/>
      <c r="E25" s="49"/>
      <c r="F25" s="49"/>
      <c r="G25" s="49"/>
      <c r="H25" s="49"/>
      <c r="I25" s="49"/>
      <c r="J25" s="49"/>
      <c r="K25" s="49"/>
      <c r="L25" s="49"/>
      <c r="M25" s="49"/>
      <c r="N25" s="208"/>
      <c r="O25" s="209"/>
      <c r="P25" s="209"/>
      <c r="Q25" s="209"/>
      <c r="R25" s="209"/>
      <c r="S25" s="209"/>
      <c r="T25" s="209"/>
      <c r="U25" s="209"/>
      <c r="V25" s="209"/>
      <c r="X25" s="240"/>
      <c r="Y25" s="241"/>
      <c r="Z25" s="241"/>
      <c r="AA25" s="241"/>
      <c r="AB25" s="241"/>
      <c r="AC25" s="241"/>
      <c r="AD25" s="241"/>
      <c r="AE25" s="241"/>
      <c r="AF25" s="241"/>
    </row>
    <row r="26" spans="1:32" ht="14.5" customHeight="1" x14ac:dyDescent="0.35">
      <c r="A26" s="5">
        <f>ROW()</f>
        <v>26</v>
      </c>
      <c r="B26" s="60" t="s">
        <v>64</v>
      </c>
      <c r="C26" s="6"/>
      <c r="D26" s="174">
        <v>0.13</v>
      </c>
      <c r="E26" s="186">
        <f t="shared" ref="E26:L27" si="78">IF($M$1=1,O26,Y26)</f>
        <v>0.13</v>
      </c>
      <c r="F26" s="186">
        <f t="shared" si="78"/>
        <v>0.06</v>
      </c>
      <c r="G26" s="186">
        <f t="shared" si="78"/>
        <v>0.06</v>
      </c>
      <c r="H26" s="186">
        <f t="shared" si="78"/>
        <v>0.08</v>
      </c>
      <c r="I26" s="186">
        <f t="shared" si="78"/>
        <v>0.12</v>
      </c>
      <c r="J26" s="186">
        <f t="shared" si="78"/>
        <v>0.13</v>
      </c>
      <c r="K26" s="186">
        <f t="shared" si="78"/>
        <v>0.13</v>
      </c>
      <c r="L26" s="186">
        <f t="shared" si="78"/>
        <v>0.13</v>
      </c>
      <c r="M26" s="53"/>
      <c r="N26" s="205">
        <f>+D26</f>
        <v>0.13</v>
      </c>
      <c r="O26" s="194">
        <f t="shared" ref="O26:U33" si="79">+N26</f>
        <v>0.13</v>
      </c>
      <c r="P26" s="194">
        <f t="shared" si="79"/>
        <v>0.13</v>
      </c>
      <c r="Q26" s="194">
        <f t="shared" si="79"/>
        <v>0.13</v>
      </c>
      <c r="R26" s="194">
        <f t="shared" si="79"/>
        <v>0.13</v>
      </c>
      <c r="S26" s="194">
        <f t="shared" si="79"/>
        <v>0.13</v>
      </c>
      <c r="T26" s="194">
        <f t="shared" si="79"/>
        <v>0.13</v>
      </c>
      <c r="U26" s="194">
        <f t="shared" si="79"/>
        <v>0.13</v>
      </c>
      <c r="V26" s="194">
        <f t="shared" ref="V26" si="80">+U26</f>
        <v>0.13</v>
      </c>
      <c r="X26" s="225">
        <f t="shared" ref="X26:X27" si="81">+N26</f>
        <v>0.13</v>
      </c>
      <c r="Y26" s="224">
        <f t="shared" ref="Y26:AE26" si="82">+X26</f>
        <v>0.13</v>
      </c>
      <c r="Z26" s="224">
        <v>0.06</v>
      </c>
      <c r="AA26" s="224">
        <v>0.06</v>
      </c>
      <c r="AB26" s="224">
        <v>0.08</v>
      </c>
      <c r="AC26" s="224">
        <v>0.12</v>
      </c>
      <c r="AD26" s="224">
        <v>0.13</v>
      </c>
      <c r="AE26" s="224">
        <f t="shared" si="82"/>
        <v>0.13</v>
      </c>
      <c r="AF26" s="224">
        <f t="shared" ref="AF26:AF27" si="83">+AE26</f>
        <v>0.13</v>
      </c>
    </row>
    <row r="27" spans="1:32" ht="14.5" customHeight="1" x14ac:dyDescent="0.35">
      <c r="A27" s="5">
        <f>ROW()</f>
        <v>27</v>
      </c>
      <c r="B27" s="17" t="s">
        <v>65</v>
      </c>
      <c r="C27" s="6"/>
      <c r="D27" s="177">
        <v>0.08</v>
      </c>
      <c r="E27" s="187">
        <f t="shared" si="78"/>
        <v>0.08</v>
      </c>
      <c r="F27" s="187">
        <f t="shared" si="78"/>
        <v>0.08</v>
      </c>
      <c r="G27" s="187">
        <f t="shared" si="78"/>
        <v>0.08</v>
      </c>
      <c r="H27" s="187">
        <f t="shared" si="78"/>
        <v>0.08</v>
      </c>
      <c r="I27" s="187">
        <f t="shared" si="78"/>
        <v>0.08</v>
      </c>
      <c r="J27" s="187">
        <f t="shared" si="78"/>
        <v>0.08</v>
      </c>
      <c r="K27" s="187">
        <f t="shared" si="78"/>
        <v>0.08</v>
      </c>
      <c r="L27" s="187">
        <f t="shared" si="78"/>
        <v>0.08</v>
      </c>
      <c r="M27" s="58"/>
      <c r="N27" s="205">
        <f>+D27</f>
        <v>0.08</v>
      </c>
      <c r="O27" s="198">
        <f t="shared" si="79"/>
        <v>0.08</v>
      </c>
      <c r="P27" s="198">
        <f t="shared" si="79"/>
        <v>0.08</v>
      </c>
      <c r="Q27" s="198">
        <f t="shared" si="79"/>
        <v>0.08</v>
      </c>
      <c r="R27" s="198">
        <f t="shared" si="79"/>
        <v>0.08</v>
      </c>
      <c r="S27" s="198">
        <f t="shared" si="79"/>
        <v>0.08</v>
      </c>
      <c r="T27" s="198">
        <f t="shared" si="79"/>
        <v>0.08</v>
      </c>
      <c r="U27" s="198">
        <f t="shared" si="79"/>
        <v>0.08</v>
      </c>
      <c r="V27" s="198">
        <f t="shared" ref="V27" si="84">+U27</f>
        <v>0.08</v>
      </c>
      <c r="X27" s="225">
        <f t="shared" si="81"/>
        <v>0.08</v>
      </c>
      <c r="Y27" s="231">
        <f t="shared" ref="Y27" si="85">+X27</f>
        <v>0.08</v>
      </c>
      <c r="Z27" s="231">
        <f>+Y27</f>
        <v>0.08</v>
      </c>
      <c r="AA27" s="231">
        <f t="shared" ref="AA27:AE27" si="86">+Z27</f>
        <v>0.08</v>
      </c>
      <c r="AB27" s="231">
        <f t="shared" si="86"/>
        <v>0.08</v>
      </c>
      <c r="AC27" s="231">
        <f t="shared" si="86"/>
        <v>0.08</v>
      </c>
      <c r="AD27" s="231">
        <f t="shared" si="86"/>
        <v>0.08</v>
      </c>
      <c r="AE27" s="231">
        <f t="shared" si="86"/>
        <v>0.08</v>
      </c>
      <c r="AF27" s="231">
        <f t="shared" si="83"/>
        <v>0.08</v>
      </c>
    </row>
    <row r="28" spans="1:32" ht="14.5" customHeight="1" x14ac:dyDescent="0.35">
      <c r="A28" s="5">
        <f>ROW()</f>
        <v>28</v>
      </c>
      <c r="B28" s="46"/>
      <c r="C28" s="6"/>
      <c r="D28" s="181"/>
      <c r="E28" s="49"/>
      <c r="F28" s="49"/>
      <c r="G28" s="49"/>
      <c r="H28" s="49"/>
      <c r="I28" s="49"/>
      <c r="J28" s="49"/>
      <c r="K28" s="49"/>
      <c r="L28" s="49"/>
      <c r="M28" s="49"/>
      <c r="N28" s="208"/>
      <c r="O28" s="209"/>
      <c r="P28" s="209"/>
      <c r="Q28" s="209"/>
      <c r="R28" s="209"/>
      <c r="S28" s="209"/>
      <c r="T28" s="209"/>
      <c r="U28" s="209"/>
      <c r="V28" s="209"/>
      <c r="X28" s="240"/>
      <c r="Y28" s="241"/>
      <c r="Z28" s="241"/>
      <c r="AA28" s="241"/>
      <c r="AB28" s="241"/>
      <c r="AC28" s="241"/>
      <c r="AD28" s="241"/>
      <c r="AE28" s="241"/>
      <c r="AF28" s="241"/>
    </row>
    <row r="29" spans="1:32" ht="14.5" customHeight="1" x14ac:dyDescent="0.35">
      <c r="A29" s="5">
        <f>ROW()</f>
        <v>29</v>
      </c>
      <c r="B29" s="46" t="s">
        <v>66</v>
      </c>
      <c r="C29" s="6"/>
      <c r="D29" s="181"/>
      <c r="E29" s="49"/>
      <c r="F29" s="49"/>
      <c r="G29" s="49"/>
      <c r="H29" s="49"/>
      <c r="I29" s="49"/>
      <c r="J29" s="49"/>
      <c r="K29" s="49"/>
      <c r="L29" s="49"/>
      <c r="M29" s="49"/>
      <c r="N29" s="208"/>
      <c r="O29" s="209"/>
      <c r="P29" s="209"/>
      <c r="Q29" s="209"/>
      <c r="R29" s="209"/>
      <c r="S29" s="209"/>
      <c r="T29" s="209"/>
      <c r="U29" s="209"/>
      <c r="V29" s="209"/>
      <c r="X29" s="240"/>
      <c r="Y29" s="241"/>
      <c r="Z29" s="241"/>
      <c r="AA29" s="241"/>
      <c r="AB29" s="241"/>
      <c r="AC29" s="241"/>
      <c r="AD29" s="241"/>
      <c r="AE29" s="241"/>
      <c r="AF29" s="241"/>
    </row>
    <row r="30" spans="1:32" ht="14.5" customHeight="1" x14ac:dyDescent="0.35">
      <c r="A30" s="5">
        <f>ROW()</f>
        <v>30</v>
      </c>
      <c r="B30" s="60" t="s">
        <v>67</v>
      </c>
      <c r="C30" s="6"/>
      <c r="D30" s="173">
        <v>3.84</v>
      </c>
      <c r="E30" s="153">
        <f t="shared" ref="E30:L33" si="87">IF($M$1=1,O30,Y30)</f>
        <v>3.84</v>
      </c>
      <c r="F30" s="153">
        <f t="shared" si="87"/>
        <v>3.84</v>
      </c>
      <c r="G30" s="153">
        <f t="shared" si="87"/>
        <v>3.84</v>
      </c>
      <c r="H30" s="153">
        <f t="shared" si="87"/>
        <v>3.84</v>
      </c>
      <c r="I30" s="153">
        <f t="shared" si="87"/>
        <v>3.84</v>
      </c>
      <c r="J30" s="153">
        <f t="shared" si="87"/>
        <v>3.84</v>
      </c>
      <c r="K30" s="153">
        <f t="shared" si="87"/>
        <v>3.84</v>
      </c>
      <c r="L30" s="153">
        <f t="shared" si="87"/>
        <v>3.84</v>
      </c>
      <c r="M30" s="61"/>
      <c r="N30" s="210">
        <f>+D30</f>
        <v>3.84</v>
      </c>
      <c r="O30" s="211">
        <f t="shared" si="79"/>
        <v>3.84</v>
      </c>
      <c r="P30" s="211">
        <f t="shared" si="79"/>
        <v>3.84</v>
      </c>
      <c r="Q30" s="211">
        <f t="shared" si="79"/>
        <v>3.84</v>
      </c>
      <c r="R30" s="211">
        <f t="shared" si="79"/>
        <v>3.84</v>
      </c>
      <c r="S30" s="211">
        <f t="shared" si="79"/>
        <v>3.84</v>
      </c>
      <c r="T30" s="211">
        <f t="shared" si="79"/>
        <v>3.84</v>
      </c>
      <c r="U30" s="211">
        <f t="shared" si="79"/>
        <v>3.84</v>
      </c>
      <c r="V30" s="211">
        <f t="shared" ref="V30" si="88">+U30</f>
        <v>3.84</v>
      </c>
      <c r="X30" s="242">
        <f t="shared" ref="X30:X34" si="89">+N30</f>
        <v>3.84</v>
      </c>
      <c r="Y30" s="243">
        <f t="shared" ref="Y30:AE30" si="90">+X30</f>
        <v>3.84</v>
      </c>
      <c r="Z30" s="243">
        <f t="shared" si="90"/>
        <v>3.84</v>
      </c>
      <c r="AA30" s="243">
        <f t="shared" si="90"/>
        <v>3.84</v>
      </c>
      <c r="AB30" s="243">
        <f t="shared" si="90"/>
        <v>3.84</v>
      </c>
      <c r="AC30" s="243">
        <f t="shared" si="90"/>
        <v>3.84</v>
      </c>
      <c r="AD30" s="243">
        <f t="shared" si="90"/>
        <v>3.84</v>
      </c>
      <c r="AE30" s="243">
        <f t="shared" si="90"/>
        <v>3.84</v>
      </c>
      <c r="AF30" s="243">
        <f t="shared" ref="AF30" si="91">+AE30</f>
        <v>3.84</v>
      </c>
    </row>
    <row r="31" spans="1:32" ht="14.5" customHeight="1" x14ac:dyDescent="0.35">
      <c r="A31" s="5">
        <f>ROW()</f>
        <v>31</v>
      </c>
      <c r="B31" s="60" t="s">
        <v>68</v>
      </c>
      <c r="C31" s="6"/>
      <c r="D31" s="173">
        <v>0</v>
      </c>
      <c r="E31" s="153">
        <f t="shared" si="87"/>
        <v>0</v>
      </c>
      <c r="F31" s="153">
        <f t="shared" si="87"/>
        <v>0</v>
      </c>
      <c r="G31" s="153">
        <f t="shared" si="87"/>
        <v>0</v>
      </c>
      <c r="H31" s="153">
        <f t="shared" si="87"/>
        <v>0</v>
      </c>
      <c r="I31" s="153">
        <f t="shared" si="87"/>
        <v>0</v>
      </c>
      <c r="J31" s="153">
        <f t="shared" si="87"/>
        <v>0</v>
      </c>
      <c r="K31" s="153">
        <f t="shared" si="87"/>
        <v>0</v>
      </c>
      <c r="L31" s="153">
        <f t="shared" si="87"/>
        <v>0</v>
      </c>
      <c r="M31" s="61"/>
      <c r="N31" s="210">
        <f>+D31</f>
        <v>0</v>
      </c>
      <c r="O31" s="211">
        <f t="shared" si="79"/>
        <v>0</v>
      </c>
      <c r="P31" s="211">
        <f t="shared" si="79"/>
        <v>0</v>
      </c>
      <c r="Q31" s="211">
        <f t="shared" si="79"/>
        <v>0</v>
      </c>
      <c r="R31" s="211">
        <f t="shared" si="79"/>
        <v>0</v>
      </c>
      <c r="S31" s="211">
        <f t="shared" si="79"/>
        <v>0</v>
      </c>
      <c r="T31" s="211">
        <f t="shared" si="79"/>
        <v>0</v>
      </c>
      <c r="U31" s="211">
        <f t="shared" si="79"/>
        <v>0</v>
      </c>
      <c r="V31" s="211">
        <f t="shared" ref="V31" si="92">+U31</f>
        <v>0</v>
      </c>
      <c r="X31" s="242">
        <f t="shared" si="89"/>
        <v>0</v>
      </c>
      <c r="Y31" s="243">
        <f t="shared" ref="Y31:AE31" si="93">+X31</f>
        <v>0</v>
      </c>
      <c r="Z31" s="243">
        <f t="shared" si="93"/>
        <v>0</v>
      </c>
      <c r="AA31" s="243">
        <f t="shared" si="93"/>
        <v>0</v>
      </c>
      <c r="AB31" s="243">
        <f t="shared" si="93"/>
        <v>0</v>
      </c>
      <c r="AC31" s="243">
        <f t="shared" si="93"/>
        <v>0</v>
      </c>
      <c r="AD31" s="243">
        <f t="shared" si="93"/>
        <v>0</v>
      </c>
      <c r="AE31" s="243">
        <f t="shared" si="93"/>
        <v>0</v>
      </c>
      <c r="AF31" s="243">
        <f t="shared" ref="AF31" si="94">+AE31</f>
        <v>0</v>
      </c>
    </row>
    <row r="32" spans="1:32" ht="14.5" customHeight="1" x14ac:dyDescent="0.35">
      <c r="A32" s="5">
        <f>ROW()</f>
        <v>32</v>
      </c>
      <c r="B32" s="60" t="s">
        <v>69</v>
      </c>
      <c r="C32" s="6"/>
      <c r="D32" s="173">
        <v>0</v>
      </c>
      <c r="E32" s="153">
        <f t="shared" si="87"/>
        <v>0</v>
      </c>
      <c r="F32" s="153">
        <f t="shared" si="87"/>
        <v>0</v>
      </c>
      <c r="G32" s="153">
        <f t="shared" si="87"/>
        <v>0</v>
      </c>
      <c r="H32" s="153">
        <f t="shared" si="87"/>
        <v>0</v>
      </c>
      <c r="I32" s="153">
        <f t="shared" si="87"/>
        <v>0</v>
      </c>
      <c r="J32" s="153">
        <f t="shared" si="87"/>
        <v>0</v>
      </c>
      <c r="K32" s="153">
        <f t="shared" si="87"/>
        <v>0</v>
      </c>
      <c r="L32" s="153">
        <f t="shared" si="87"/>
        <v>0</v>
      </c>
      <c r="M32" s="61"/>
      <c r="N32" s="210">
        <f>+D32</f>
        <v>0</v>
      </c>
      <c r="O32" s="211">
        <f t="shared" si="79"/>
        <v>0</v>
      </c>
      <c r="P32" s="211">
        <f t="shared" si="79"/>
        <v>0</v>
      </c>
      <c r="Q32" s="211">
        <f t="shared" si="79"/>
        <v>0</v>
      </c>
      <c r="R32" s="211">
        <f t="shared" si="79"/>
        <v>0</v>
      </c>
      <c r="S32" s="211">
        <f t="shared" si="79"/>
        <v>0</v>
      </c>
      <c r="T32" s="211">
        <f t="shared" si="79"/>
        <v>0</v>
      </c>
      <c r="U32" s="211">
        <f t="shared" si="79"/>
        <v>0</v>
      </c>
      <c r="V32" s="211">
        <f t="shared" ref="V32" si="95">+U32</f>
        <v>0</v>
      </c>
      <c r="X32" s="242">
        <f t="shared" si="89"/>
        <v>0</v>
      </c>
      <c r="Y32" s="243">
        <f t="shared" ref="Y32:AE32" si="96">+X32</f>
        <v>0</v>
      </c>
      <c r="Z32" s="243">
        <f t="shared" si="96"/>
        <v>0</v>
      </c>
      <c r="AA32" s="243">
        <f t="shared" si="96"/>
        <v>0</v>
      </c>
      <c r="AB32" s="243">
        <f t="shared" si="96"/>
        <v>0</v>
      </c>
      <c r="AC32" s="243">
        <f t="shared" si="96"/>
        <v>0</v>
      </c>
      <c r="AD32" s="243">
        <f t="shared" si="96"/>
        <v>0</v>
      </c>
      <c r="AE32" s="243">
        <f t="shared" si="96"/>
        <v>0</v>
      </c>
      <c r="AF32" s="243">
        <f t="shared" ref="AF32" si="97">+AE32</f>
        <v>0</v>
      </c>
    </row>
    <row r="33" spans="1:32" ht="14.5" customHeight="1" x14ac:dyDescent="0.35">
      <c r="A33" s="5">
        <f>ROW()</f>
        <v>33</v>
      </c>
      <c r="B33" s="60" t="s">
        <v>70</v>
      </c>
      <c r="C33" s="6"/>
      <c r="D33" s="173">
        <v>21.2</v>
      </c>
      <c r="E33" s="153">
        <f t="shared" si="87"/>
        <v>21.2</v>
      </c>
      <c r="F33" s="153">
        <f t="shared" si="87"/>
        <v>21.2</v>
      </c>
      <c r="G33" s="153">
        <f t="shared" si="87"/>
        <v>21.2</v>
      </c>
      <c r="H33" s="153">
        <f t="shared" si="87"/>
        <v>21.2</v>
      </c>
      <c r="I33" s="153">
        <f t="shared" si="87"/>
        <v>21.2</v>
      </c>
      <c r="J33" s="153">
        <f t="shared" si="87"/>
        <v>21.2</v>
      </c>
      <c r="K33" s="153">
        <f t="shared" si="87"/>
        <v>21.2</v>
      </c>
      <c r="L33" s="153">
        <f t="shared" si="87"/>
        <v>21.2</v>
      </c>
      <c r="M33" s="61"/>
      <c r="N33" s="210">
        <f>+D33</f>
        <v>21.2</v>
      </c>
      <c r="O33" s="211">
        <f t="shared" si="79"/>
        <v>21.2</v>
      </c>
      <c r="P33" s="211">
        <f t="shared" si="79"/>
        <v>21.2</v>
      </c>
      <c r="Q33" s="211">
        <f t="shared" si="79"/>
        <v>21.2</v>
      </c>
      <c r="R33" s="211">
        <f t="shared" si="79"/>
        <v>21.2</v>
      </c>
      <c r="S33" s="211">
        <f t="shared" si="79"/>
        <v>21.2</v>
      </c>
      <c r="T33" s="211">
        <f t="shared" si="79"/>
        <v>21.2</v>
      </c>
      <c r="U33" s="211">
        <f t="shared" si="79"/>
        <v>21.2</v>
      </c>
      <c r="V33" s="211">
        <f t="shared" ref="V33" si="98">+U33</f>
        <v>21.2</v>
      </c>
      <c r="X33" s="242">
        <f t="shared" si="89"/>
        <v>21.2</v>
      </c>
      <c r="Y33" s="243">
        <f t="shared" ref="Y33:AE33" si="99">+X33</f>
        <v>21.2</v>
      </c>
      <c r="Z33" s="243">
        <f t="shared" si="99"/>
        <v>21.2</v>
      </c>
      <c r="AA33" s="243">
        <f t="shared" si="99"/>
        <v>21.2</v>
      </c>
      <c r="AB33" s="243">
        <f t="shared" si="99"/>
        <v>21.2</v>
      </c>
      <c r="AC33" s="243">
        <f t="shared" si="99"/>
        <v>21.2</v>
      </c>
      <c r="AD33" s="243">
        <f t="shared" si="99"/>
        <v>21.2</v>
      </c>
      <c r="AE33" s="243">
        <f t="shared" si="99"/>
        <v>21.2</v>
      </c>
      <c r="AF33" s="243">
        <f t="shared" ref="AF33" si="100">+AE33</f>
        <v>21.2</v>
      </c>
    </row>
    <row r="34" spans="1:32" ht="14.5" customHeight="1" x14ac:dyDescent="0.35">
      <c r="A34" s="5">
        <f>ROW()</f>
        <v>34</v>
      </c>
      <c r="B34" s="60" t="s">
        <v>71</v>
      </c>
      <c r="C34" s="6"/>
      <c r="D34" s="173"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/>
      <c r="N34" s="212">
        <v>0</v>
      </c>
      <c r="O34" s="211">
        <v>0</v>
      </c>
      <c r="P34" s="211">
        <v>0</v>
      </c>
      <c r="Q34" s="211">
        <v>0</v>
      </c>
      <c r="R34" s="211">
        <v>0</v>
      </c>
      <c r="S34" s="211">
        <v>0</v>
      </c>
      <c r="T34" s="211">
        <v>0</v>
      </c>
      <c r="U34" s="211">
        <v>0</v>
      </c>
      <c r="V34" s="211">
        <v>0</v>
      </c>
      <c r="X34" s="242">
        <f t="shared" si="89"/>
        <v>0</v>
      </c>
      <c r="Y34" s="243">
        <v>0</v>
      </c>
      <c r="Z34" s="243">
        <v>0</v>
      </c>
      <c r="AA34" s="243">
        <v>0</v>
      </c>
      <c r="AB34" s="243">
        <v>0</v>
      </c>
      <c r="AC34" s="243">
        <v>0</v>
      </c>
      <c r="AD34" s="243">
        <v>0</v>
      </c>
      <c r="AE34" s="243">
        <v>0</v>
      </c>
      <c r="AF34" s="243">
        <v>0</v>
      </c>
    </row>
    <row r="35" spans="1:32" ht="14.5" customHeight="1" x14ac:dyDescent="0.35">
      <c r="B35" s="46"/>
      <c r="C35" s="6"/>
      <c r="D35" s="176"/>
      <c r="E35" s="57"/>
      <c r="F35" s="57"/>
      <c r="G35" s="57"/>
      <c r="H35" s="57"/>
      <c r="I35" s="57"/>
      <c r="J35" s="57"/>
      <c r="K35" s="57"/>
      <c r="L35" s="57"/>
      <c r="M35" s="57"/>
      <c r="N35" s="165"/>
      <c r="O35" s="165"/>
      <c r="P35" s="165"/>
      <c r="Q35" s="165"/>
      <c r="R35" s="165"/>
      <c r="S35" s="165"/>
      <c r="T35" s="165"/>
      <c r="U35" s="165"/>
      <c r="V35" s="165"/>
      <c r="X35" s="244"/>
      <c r="Y35" s="244"/>
      <c r="Z35" s="244"/>
      <c r="AA35" s="244"/>
      <c r="AB35" s="244"/>
      <c r="AC35" s="244"/>
      <c r="AD35" s="244"/>
      <c r="AE35" s="244"/>
      <c r="AF35" s="244"/>
    </row>
    <row r="36" spans="1:32" ht="14.5" customHeight="1" x14ac:dyDescent="0.35">
      <c r="B36" s="46"/>
      <c r="C36" s="6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32" ht="14.5" customHeight="1" x14ac:dyDescent="0.35">
      <c r="B37" s="46"/>
      <c r="C37" s="6"/>
      <c r="D37" s="57"/>
      <c r="E37" s="57"/>
      <c r="F37" s="57"/>
      <c r="G37" s="57"/>
      <c r="H37" s="57"/>
      <c r="I37" s="57"/>
      <c r="J37" s="57"/>
      <c r="K37" s="62"/>
      <c r="L37" s="62"/>
      <c r="M37" s="62"/>
    </row>
    <row r="38" spans="1:32" ht="14.5" customHeight="1" x14ac:dyDescent="0.35">
      <c r="B38" s="46"/>
      <c r="C38" s="6"/>
      <c r="D38" s="57"/>
      <c r="E38" s="57"/>
      <c r="F38" s="57"/>
      <c r="G38" s="57"/>
      <c r="H38" s="57"/>
      <c r="I38" s="57"/>
      <c r="J38" s="57"/>
      <c r="K38" s="57"/>
      <c r="L38" s="57"/>
      <c r="M38" s="57"/>
    </row>
    <row r="39" spans="1:32" ht="14.5" customHeight="1" x14ac:dyDescent="0.35">
      <c r="B39" s="46"/>
      <c r="C39" s="6"/>
      <c r="D39" s="57"/>
      <c r="E39" s="57"/>
      <c r="F39" s="57"/>
      <c r="G39" s="57"/>
      <c r="H39" s="57"/>
      <c r="I39" s="57"/>
      <c r="J39" s="57"/>
      <c r="K39" s="57"/>
      <c r="L39" s="57"/>
      <c r="M39" s="57"/>
    </row>
    <row r="40" spans="1:32" ht="14.5" customHeight="1" x14ac:dyDescent="0.35">
      <c r="B40" s="46"/>
      <c r="C40" s="6"/>
      <c r="D40" s="57"/>
      <c r="E40" s="57"/>
      <c r="F40" s="57"/>
      <c r="G40" s="57"/>
      <c r="H40" s="57"/>
      <c r="I40" s="57"/>
      <c r="J40" s="57"/>
      <c r="K40" s="57"/>
      <c r="L40" s="57"/>
      <c r="M40" s="57"/>
    </row>
    <row r="41" spans="1:32" ht="14.5" customHeight="1" x14ac:dyDescent="0.35">
      <c r="B41" s="46"/>
      <c r="C41" s="6"/>
      <c r="D41" s="57"/>
      <c r="E41" s="57"/>
      <c r="F41" s="57"/>
      <c r="G41" s="57"/>
      <c r="H41" s="57"/>
      <c r="I41" s="57"/>
      <c r="J41" s="57"/>
      <c r="K41" s="57"/>
      <c r="L41" s="57"/>
      <c r="M41" s="57"/>
    </row>
    <row r="42" spans="1:32" ht="14.5" customHeight="1" x14ac:dyDescent="0.35">
      <c r="B42" s="46"/>
      <c r="C42" s="6"/>
      <c r="D42" s="57"/>
      <c r="E42" s="57"/>
      <c r="F42" s="57"/>
      <c r="G42" s="57"/>
      <c r="H42" s="57"/>
      <c r="I42" s="57"/>
      <c r="J42" s="57"/>
      <c r="K42" s="57"/>
      <c r="L42" s="57"/>
      <c r="M42" s="57"/>
    </row>
    <row r="43" spans="1:32" ht="14.5" customHeight="1" x14ac:dyDescent="0.35">
      <c r="B43" s="46"/>
      <c r="C43" s="6"/>
      <c r="D43" s="57"/>
      <c r="E43" s="57"/>
      <c r="F43" s="57"/>
      <c r="G43" s="57"/>
      <c r="H43" s="57"/>
      <c r="I43" s="57"/>
      <c r="J43" s="57"/>
      <c r="K43" s="57"/>
      <c r="L43" s="57"/>
      <c r="M43" s="57"/>
    </row>
    <row r="44" spans="1:32" ht="14.5" customHeight="1" x14ac:dyDescent="0.35">
      <c r="B44" s="46"/>
      <c r="C44" s="6"/>
      <c r="D44" s="57"/>
      <c r="E44" s="57"/>
      <c r="F44" s="57"/>
      <c r="G44" s="57"/>
      <c r="H44" s="57"/>
      <c r="I44" s="57"/>
      <c r="J44" s="57"/>
      <c r="K44" s="57"/>
      <c r="L44" s="57"/>
      <c r="M44" s="57"/>
    </row>
    <row r="45" spans="1:32" ht="14.5" customHeight="1" x14ac:dyDescent="0.35">
      <c r="B45" s="46"/>
      <c r="C45" s="6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32" ht="14.5" customHeight="1" x14ac:dyDescent="0.35">
      <c r="B46" s="46"/>
      <c r="C46" s="6"/>
      <c r="D46" s="57"/>
      <c r="E46" s="57"/>
      <c r="F46" s="57"/>
      <c r="G46" s="57"/>
      <c r="H46" s="57"/>
      <c r="I46" s="57"/>
      <c r="J46" s="57"/>
      <c r="K46" s="57"/>
      <c r="L46" s="57"/>
      <c r="M46" s="57"/>
    </row>
    <row r="47" spans="1:32" ht="21.75" customHeight="1" x14ac:dyDescent="0.35">
      <c r="A47"/>
    </row>
    <row r="48" spans="1:32" ht="21.75" customHeight="1" x14ac:dyDescent="0.35">
      <c r="A48"/>
    </row>
    <row r="49" spans="1:1" ht="21.75" customHeight="1" x14ac:dyDescent="0.35">
      <c r="A49"/>
    </row>
    <row r="50" spans="1:1" ht="21.75" customHeight="1" x14ac:dyDescent="0.35">
      <c r="A50"/>
    </row>
    <row r="51" spans="1:1" ht="21.75" customHeight="1" x14ac:dyDescent="0.35">
      <c r="A51"/>
    </row>
    <row r="52" spans="1:1" ht="21.75" customHeight="1" x14ac:dyDescent="0.35">
      <c r="A52"/>
    </row>
    <row r="53" spans="1:1" ht="21.75" customHeight="1" x14ac:dyDescent="0.35">
      <c r="A53"/>
    </row>
    <row r="54" spans="1:1" ht="21.75" customHeight="1" x14ac:dyDescent="0.35">
      <c r="A54"/>
    </row>
    <row r="55" spans="1:1" ht="21.75" customHeight="1" x14ac:dyDescent="0.35">
      <c r="A55"/>
    </row>
    <row r="56" spans="1:1" ht="21.75" customHeight="1" x14ac:dyDescent="0.35">
      <c r="A56"/>
    </row>
    <row r="57" spans="1:1" ht="21.75" customHeight="1" x14ac:dyDescent="0.35">
      <c r="A57"/>
    </row>
    <row r="58" spans="1:1" ht="21.75" customHeight="1" x14ac:dyDescent="0.35">
      <c r="A58"/>
    </row>
    <row r="59" spans="1:1" ht="21.75" customHeight="1" x14ac:dyDescent="0.35">
      <c r="A59"/>
    </row>
    <row r="60" spans="1:1" ht="21.75" customHeight="1" x14ac:dyDescent="0.35">
      <c r="A60"/>
    </row>
    <row r="61" spans="1:1" ht="21.75" customHeight="1" x14ac:dyDescent="0.35">
      <c r="A61"/>
    </row>
    <row r="62" spans="1:1" ht="21.75" customHeight="1" x14ac:dyDescent="0.35">
      <c r="A62"/>
    </row>
    <row r="63" spans="1:1" ht="21.75" customHeight="1" x14ac:dyDescent="0.35">
      <c r="A63"/>
    </row>
    <row r="64" spans="1:1" ht="21.75" customHeight="1" x14ac:dyDescent="0.35">
      <c r="A64"/>
    </row>
    <row r="65" spans="1:1" ht="21.75" customHeight="1" x14ac:dyDescent="0.35">
      <c r="A65"/>
    </row>
    <row r="66" spans="1:1" ht="21.75" customHeight="1" x14ac:dyDescent="0.35">
      <c r="A66"/>
    </row>
    <row r="67" spans="1:1" ht="21.75" customHeight="1" x14ac:dyDescent="0.35">
      <c r="A67"/>
    </row>
    <row r="68" spans="1:1" ht="21.75" customHeight="1" x14ac:dyDescent="0.35">
      <c r="A68"/>
    </row>
    <row r="69" spans="1:1" ht="21.75" customHeight="1" x14ac:dyDescent="0.35">
      <c r="A69"/>
    </row>
    <row r="70" spans="1:1" ht="21.75" customHeight="1" x14ac:dyDescent="0.35">
      <c r="A70"/>
    </row>
    <row r="71" spans="1:1" ht="21.75" customHeight="1" x14ac:dyDescent="0.35">
      <c r="A7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  <row r="115" spans="1:1" ht="21.75" customHeight="1" x14ac:dyDescent="0.35">
      <c r="A115"/>
    </row>
    <row r="116" spans="1:1" ht="21.75" customHeight="1" x14ac:dyDescent="0.35">
      <c r="A116"/>
    </row>
    <row r="117" spans="1:1" ht="21.75" customHeight="1" x14ac:dyDescent="0.35">
      <c r="A117"/>
    </row>
    <row r="118" spans="1:1" ht="21.75" customHeight="1" x14ac:dyDescent="0.35">
      <c r="A118"/>
    </row>
    <row r="119" spans="1:1" ht="21.75" customHeight="1" x14ac:dyDescent="0.35">
      <c r="A119"/>
    </row>
    <row r="120" spans="1:1" ht="21.75" customHeight="1" x14ac:dyDescent="0.35">
      <c r="A120"/>
    </row>
    <row r="121" spans="1:1" ht="21.75" customHeight="1" x14ac:dyDescent="0.35">
      <c r="A121"/>
    </row>
    <row r="122" spans="1:1" ht="21.75" customHeight="1" x14ac:dyDescent="0.35">
      <c r="A122"/>
    </row>
    <row r="123" spans="1:1" ht="21.75" customHeight="1" x14ac:dyDescent="0.35">
      <c r="A123"/>
    </row>
    <row r="124" spans="1:1" ht="21.75" customHeight="1" x14ac:dyDescent="0.35">
      <c r="A124"/>
    </row>
    <row r="125" spans="1:1" ht="21.75" customHeight="1" x14ac:dyDescent="0.35">
      <c r="A125"/>
    </row>
    <row r="126" spans="1:1" ht="21.75" customHeight="1" x14ac:dyDescent="0.35">
      <c r="A126"/>
    </row>
    <row r="127" spans="1:1" ht="21.75" customHeight="1" x14ac:dyDescent="0.35">
      <c r="A127"/>
    </row>
    <row r="128" spans="1:1" ht="21.75" customHeight="1" x14ac:dyDescent="0.35">
      <c r="A128"/>
    </row>
    <row r="129" spans="1:1" ht="21.75" customHeight="1" x14ac:dyDescent="0.35">
      <c r="A129"/>
    </row>
    <row r="130" spans="1:1" ht="21.75" customHeight="1" x14ac:dyDescent="0.35">
      <c r="A130"/>
    </row>
    <row r="131" spans="1:1" ht="21.75" customHeight="1" x14ac:dyDescent="0.35">
      <c r="A131"/>
    </row>
    <row r="132" spans="1:1" ht="21.75" customHeight="1" x14ac:dyDescent="0.35">
      <c r="A132"/>
    </row>
    <row r="133" spans="1:1" ht="21.75" customHeight="1" x14ac:dyDescent="0.35">
      <c r="A133"/>
    </row>
    <row r="134" spans="1:1" ht="21.75" customHeight="1" x14ac:dyDescent="0.35">
      <c r="A134"/>
    </row>
    <row r="135" spans="1:1" ht="21.75" customHeight="1" x14ac:dyDescent="0.35">
      <c r="A135"/>
    </row>
    <row r="136" spans="1:1" ht="21.75" customHeight="1" x14ac:dyDescent="0.35">
      <c r="A136"/>
    </row>
    <row r="137" spans="1:1" ht="21.75" customHeight="1" x14ac:dyDescent="0.35">
      <c r="A137"/>
    </row>
    <row r="138" spans="1:1" ht="21.75" customHeight="1" x14ac:dyDescent="0.35">
      <c r="A138"/>
    </row>
    <row r="139" spans="1:1" ht="21.75" customHeight="1" x14ac:dyDescent="0.35">
      <c r="A139"/>
    </row>
    <row r="140" spans="1:1" ht="21.75" customHeight="1" x14ac:dyDescent="0.35">
      <c r="A140"/>
    </row>
    <row r="141" spans="1:1" ht="21.75" customHeight="1" x14ac:dyDescent="0.35">
      <c r="A141"/>
    </row>
    <row r="142" spans="1:1" ht="21.75" customHeight="1" x14ac:dyDescent="0.35">
      <c r="A142"/>
    </row>
    <row r="143" spans="1:1" ht="21.75" customHeight="1" x14ac:dyDescent="0.35">
      <c r="A143"/>
    </row>
    <row r="144" spans="1:1" ht="21.75" customHeight="1" x14ac:dyDescent="0.35">
      <c r="A144"/>
    </row>
    <row r="145" spans="1:1" ht="21.75" customHeight="1" x14ac:dyDescent="0.35">
      <c r="A145"/>
    </row>
    <row r="146" spans="1:1" ht="21.75" customHeight="1" x14ac:dyDescent="0.35">
      <c r="A146"/>
    </row>
    <row r="147" spans="1:1" ht="21.75" customHeight="1" x14ac:dyDescent="0.35">
      <c r="A147"/>
    </row>
    <row r="148" spans="1:1" ht="21.75" customHeight="1" x14ac:dyDescent="0.35">
      <c r="A148"/>
    </row>
    <row r="149" spans="1:1" ht="21.75" customHeight="1" x14ac:dyDescent="0.35">
      <c r="A149"/>
    </row>
    <row r="150" spans="1:1" ht="21.75" customHeight="1" x14ac:dyDescent="0.35">
      <c r="A150"/>
    </row>
    <row r="151" spans="1:1" ht="21.75" customHeight="1" x14ac:dyDescent="0.35">
      <c r="A151"/>
    </row>
    <row r="152" spans="1:1" ht="21.75" customHeight="1" x14ac:dyDescent="0.35">
      <c r="A152"/>
    </row>
    <row r="153" spans="1:1" ht="21.75" customHeight="1" x14ac:dyDescent="0.35">
      <c r="A153"/>
    </row>
    <row r="154" spans="1:1" ht="21.75" customHeight="1" x14ac:dyDescent="0.35">
      <c r="A154"/>
    </row>
    <row r="155" spans="1:1" ht="21.75" customHeight="1" x14ac:dyDescent="0.35">
      <c r="A155"/>
    </row>
    <row r="156" spans="1:1" ht="21.75" customHeight="1" x14ac:dyDescent="0.35">
      <c r="A156"/>
    </row>
    <row r="157" spans="1:1" ht="21.75" customHeight="1" x14ac:dyDescent="0.35">
      <c r="A157"/>
    </row>
    <row r="158" spans="1:1" ht="21.75" customHeight="1" x14ac:dyDescent="0.35">
      <c r="A158"/>
    </row>
    <row r="159" spans="1:1" ht="21.75" customHeight="1" x14ac:dyDescent="0.35">
      <c r="A159"/>
    </row>
    <row r="160" spans="1:1" ht="21.75" customHeight="1" x14ac:dyDescent="0.35">
      <c r="A160"/>
    </row>
    <row r="161" spans="1:1" ht="21.75" customHeight="1" x14ac:dyDescent="0.35">
      <c r="A161"/>
    </row>
    <row r="162" spans="1:1" ht="21.75" customHeight="1" x14ac:dyDescent="0.35">
      <c r="A162"/>
    </row>
    <row r="163" spans="1:1" ht="21.75" customHeight="1" x14ac:dyDescent="0.35">
      <c r="A163"/>
    </row>
    <row r="164" spans="1:1" ht="21.75" customHeight="1" x14ac:dyDescent="0.35">
      <c r="A164"/>
    </row>
    <row r="165" spans="1:1" ht="21.75" customHeight="1" x14ac:dyDescent="0.35">
      <c r="A165"/>
    </row>
    <row r="166" spans="1:1" ht="21.75" customHeight="1" x14ac:dyDescent="0.35">
      <c r="A166"/>
    </row>
    <row r="167" spans="1:1" ht="21.75" customHeight="1" x14ac:dyDescent="0.35">
      <c r="A167"/>
    </row>
    <row r="168" spans="1:1" ht="21.75" customHeight="1" x14ac:dyDescent="0.35">
      <c r="A168"/>
    </row>
    <row r="169" spans="1:1" ht="21.75" customHeight="1" x14ac:dyDescent="0.35">
      <c r="A169"/>
    </row>
    <row r="170" spans="1:1" ht="21.75" customHeight="1" x14ac:dyDescent="0.35">
      <c r="A170"/>
    </row>
    <row r="171" spans="1:1" ht="21.75" customHeight="1" x14ac:dyDescent="0.35">
      <c r="A171"/>
    </row>
    <row r="172" spans="1:1" ht="21.75" customHeight="1" x14ac:dyDescent="0.35">
      <c r="A172"/>
    </row>
    <row r="173" spans="1:1" ht="21.75" customHeight="1" x14ac:dyDescent="0.35">
      <c r="A173"/>
    </row>
    <row r="174" spans="1:1" ht="21.75" customHeight="1" x14ac:dyDescent="0.35">
      <c r="A174"/>
    </row>
    <row r="175" spans="1:1" ht="21.75" customHeight="1" x14ac:dyDescent="0.35">
      <c r="A175"/>
    </row>
    <row r="176" spans="1:1" ht="21.75" customHeight="1" x14ac:dyDescent="0.35">
      <c r="A176"/>
    </row>
    <row r="177" spans="1:1" ht="21.75" customHeight="1" x14ac:dyDescent="0.35">
      <c r="A177"/>
    </row>
    <row r="178" spans="1:1" ht="21.75" customHeight="1" x14ac:dyDescent="0.35">
      <c r="A178"/>
    </row>
    <row r="179" spans="1:1" ht="21.75" customHeight="1" x14ac:dyDescent="0.35">
      <c r="A179"/>
    </row>
    <row r="180" spans="1:1" ht="21.75" customHeight="1" x14ac:dyDescent="0.35">
      <c r="A180"/>
    </row>
    <row r="181" spans="1:1" ht="21.75" customHeight="1" x14ac:dyDescent="0.35">
      <c r="A181"/>
    </row>
    <row r="182" spans="1:1" ht="21.75" customHeight="1" x14ac:dyDescent="0.35">
      <c r="A182"/>
    </row>
    <row r="183" spans="1:1" ht="21.75" customHeight="1" x14ac:dyDescent="0.35">
      <c r="A183"/>
    </row>
    <row r="184" spans="1:1" ht="21.75" customHeight="1" x14ac:dyDescent="0.35">
      <c r="A184"/>
    </row>
    <row r="185" spans="1:1" ht="21.75" customHeight="1" x14ac:dyDescent="0.35">
      <c r="A185"/>
    </row>
    <row r="186" spans="1:1" ht="21.75" customHeight="1" x14ac:dyDescent="0.35">
      <c r="A186"/>
    </row>
    <row r="187" spans="1:1" ht="21.75" customHeight="1" x14ac:dyDescent="0.35">
      <c r="A187"/>
    </row>
    <row r="188" spans="1:1" ht="21.75" customHeight="1" x14ac:dyDescent="0.35">
      <c r="A188"/>
    </row>
    <row r="189" spans="1:1" ht="21.75" customHeight="1" x14ac:dyDescent="0.35">
      <c r="A189"/>
    </row>
    <row r="190" spans="1:1" ht="21.75" customHeight="1" x14ac:dyDescent="0.35">
      <c r="A190"/>
    </row>
    <row r="191" spans="1:1" ht="21.75" customHeight="1" x14ac:dyDescent="0.35">
      <c r="A191"/>
    </row>
    <row r="192" spans="1:1" ht="21.75" customHeight="1" x14ac:dyDescent="0.35">
      <c r="A192"/>
    </row>
    <row r="193" spans="1:1" ht="21.75" customHeight="1" x14ac:dyDescent="0.35">
      <c r="A193"/>
    </row>
    <row r="194" spans="1:1" ht="21.75" customHeight="1" x14ac:dyDescent="0.35">
      <c r="A194"/>
    </row>
    <row r="195" spans="1:1" ht="21.75" customHeight="1" x14ac:dyDescent="0.35">
      <c r="A195"/>
    </row>
    <row r="196" spans="1:1" ht="21.75" customHeight="1" x14ac:dyDescent="0.35">
      <c r="A196"/>
    </row>
    <row r="197" spans="1:1" ht="21.75" customHeight="1" x14ac:dyDescent="0.35">
      <c r="A197"/>
    </row>
    <row r="198" spans="1:1" ht="21.75" customHeight="1" x14ac:dyDescent="0.35">
      <c r="A198"/>
    </row>
    <row r="199" spans="1:1" ht="21.75" customHeight="1" x14ac:dyDescent="0.35">
      <c r="A199"/>
    </row>
    <row r="200" spans="1:1" ht="21.75" customHeight="1" x14ac:dyDescent="0.35">
      <c r="A200"/>
    </row>
    <row r="201" spans="1:1" ht="21.75" customHeight="1" x14ac:dyDescent="0.35">
      <c r="A201"/>
    </row>
    <row r="202" spans="1:1" ht="21.75" customHeight="1" x14ac:dyDescent="0.35">
      <c r="A202"/>
    </row>
    <row r="203" spans="1:1" ht="21.75" customHeight="1" x14ac:dyDescent="0.35">
      <c r="A203"/>
    </row>
    <row r="204" spans="1:1" ht="21.75" customHeight="1" x14ac:dyDescent="0.35">
      <c r="A204"/>
    </row>
    <row r="205" spans="1:1" ht="21.75" customHeight="1" x14ac:dyDescent="0.35">
      <c r="A205"/>
    </row>
    <row r="206" spans="1:1" ht="21.75" customHeight="1" x14ac:dyDescent="0.35">
      <c r="A206"/>
    </row>
    <row r="207" spans="1:1" ht="21.75" customHeight="1" x14ac:dyDescent="0.35">
      <c r="A207"/>
    </row>
    <row r="208" spans="1:1" ht="21.75" customHeight="1" x14ac:dyDescent="0.35">
      <c r="A208"/>
    </row>
    <row r="209" spans="1:1" ht="21.75" customHeight="1" x14ac:dyDescent="0.35">
      <c r="A209"/>
    </row>
    <row r="210" spans="1:1" ht="21.75" customHeight="1" x14ac:dyDescent="0.35">
      <c r="A210"/>
    </row>
    <row r="211" spans="1:1" ht="21.75" customHeight="1" x14ac:dyDescent="0.35">
      <c r="A211"/>
    </row>
    <row r="212" spans="1:1" ht="21.75" customHeight="1" x14ac:dyDescent="0.35">
      <c r="A212"/>
    </row>
    <row r="213" spans="1:1" ht="21.75" customHeight="1" x14ac:dyDescent="0.35">
      <c r="A213"/>
    </row>
    <row r="214" spans="1:1" ht="21.75" customHeight="1" x14ac:dyDescent="0.35">
      <c r="A214"/>
    </row>
    <row r="215" spans="1:1" ht="21.75" customHeight="1" x14ac:dyDescent="0.35">
      <c r="A215"/>
    </row>
    <row r="216" spans="1:1" ht="21.75" customHeight="1" x14ac:dyDescent="0.35">
      <c r="A216"/>
    </row>
    <row r="217" spans="1:1" ht="21.75" customHeight="1" x14ac:dyDescent="0.35">
      <c r="A217"/>
    </row>
    <row r="218" spans="1:1" ht="21.75" customHeight="1" x14ac:dyDescent="0.35">
      <c r="A218"/>
    </row>
    <row r="219" spans="1:1" ht="21.75" customHeight="1" x14ac:dyDescent="0.35">
      <c r="A219"/>
    </row>
    <row r="220" spans="1:1" ht="21.75" customHeight="1" x14ac:dyDescent="0.35">
      <c r="A220"/>
    </row>
    <row r="221" spans="1:1" ht="21.75" customHeight="1" x14ac:dyDescent="0.35">
      <c r="A221"/>
    </row>
    <row r="222" spans="1:1" ht="21.75" customHeight="1" x14ac:dyDescent="0.35">
      <c r="A222"/>
    </row>
    <row r="223" spans="1:1" ht="21.75" customHeight="1" x14ac:dyDescent="0.35">
      <c r="A223"/>
    </row>
    <row r="224" spans="1:1" ht="21.75" customHeight="1" x14ac:dyDescent="0.35">
      <c r="A224"/>
    </row>
    <row r="225" spans="1:1" ht="21.75" customHeight="1" x14ac:dyDescent="0.35">
      <c r="A225"/>
    </row>
    <row r="226" spans="1:1" ht="21.75" customHeight="1" x14ac:dyDescent="0.35">
      <c r="A226"/>
    </row>
    <row r="227" spans="1:1" ht="21.75" customHeight="1" x14ac:dyDescent="0.35">
      <c r="A227"/>
    </row>
    <row r="228" spans="1:1" ht="21.75" customHeight="1" x14ac:dyDescent="0.35">
      <c r="A228"/>
    </row>
    <row r="229" spans="1:1" ht="21.75" customHeight="1" x14ac:dyDescent="0.35">
      <c r="A229"/>
    </row>
    <row r="230" spans="1:1" ht="21.75" customHeight="1" x14ac:dyDescent="0.35">
      <c r="A230"/>
    </row>
    <row r="231" spans="1:1" ht="21.75" customHeight="1" x14ac:dyDescent="0.35">
      <c r="A231"/>
    </row>
  </sheetData>
  <mergeCells count="3">
    <mergeCell ref="O6:U6"/>
    <mergeCell ref="E6:K6"/>
    <mergeCell ref="Y6:A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3A9BC-8905-419B-AFDD-F63B5D371270}">
  <sheetPr>
    <tabColor rgb="FF0000FF"/>
  </sheetPr>
  <dimension ref="A1:AA261"/>
  <sheetViews>
    <sheetView showGridLines="0" workbookViewId="0">
      <selection activeCell="H40" sqref="H40"/>
    </sheetView>
  </sheetViews>
  <sheetFormatPr defaultRowHeight="14.5" x14ac:dyDescent="0.35"/>
  <cols>
    <col min="1" max="1" width="5.90625" style="5" customWidth="1"/>
    <col min="2" max="2" width="22.453125" customWidth="1"/>
    <col min="3" max="6" width="3.90625" customWidth="1"/>
    <col min="7" max="7" width="5.90625" customWidth="1"/>
    <col min="8" max="16" width="10.6328125" bestFit="1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0" ht="26.25" customHeight="1" x14ac:dyDescent="0.35">
      <c r="A1" s="6"/>
      <c r="B1" s="7" t="s">
        <v>18</v>
      </c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</row>
    <row r="2" spans="1:20" ht="15.5" customHeight="1" x14ac:dyDescent="0.35">
      <c r="A2" s="9"/>
      <c r="B2" s="10" t="str">
        <f>Assumptions!B2</f>
        <v>Stress Case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Q2" s="1"/>
      <c r="R2" s="1"/>
      <c r="S2" s="1"/>
      <c r="T2" s="1"/>
    </row>
    <row r="3" spans="1:20" ht="11.25" customHeight="1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Q3" s="1"/>
      <c r="R3" s="1"/>
      <c r="S3" s="1"/>
      <c r="T3" s="1"/>
    </row>
    <row r="4" spans="1:20" ht="12" customHeight="1" x14ac:dyDescent="0.3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20" ht="21.75" customHeight="1" thickBot="1" x14ac:dyDescent="0.4">
      <c r="A5" s="9"/>
      <c r="B5" s="12" t="s">
        <v>72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20" s="83" customFormat="1" ht="14.5" customHeight="1" x14ac:dyDescent="0.35">
      <c r="A6" s="278">
        <f>ROW()</f>
        <v>6</v>
      </c>
      <c r="B6" s="84" t="s">
        <v>9</v>
      </c>
      <c r="C6" s="85"/>
      <c r="D6" s="86"/>
      <c r="E6" s="85"/>
      <c r="F6" s="85"/>
      <c r="G6" s="87"/>
      <c r="H6" s="252" t="s">
        <v>10</v>
      </c>
      <c r="I6" s="337" t="s">
        <v>11</v>
      </c>
      <c r="J6" s="333"/>
      <c r="K6" s="333"/>
      <c r="L6" s="333"/>
      <c r="M6" s="333"/>
      <c r="N6" s="338"/>
      <c r="O6" s="338"/>
      <c r="P6" s="338"/>
    </row>
    <row r="7" spans="1:20" ht="14.5" customHeight="1" x14ac:dyDescent="0.35">
      <c r="A7" s="278">
        <f>ROW()</f>
        <v>7</v>
      </c>
      <c r="C7" s="64"/>
      <c r="D7" s="65"/>
      <c r="E7" s="64"/>
      <c r="F7" s="64"/>
      <c r="G7" s="69"/>
      <c r="H7" s="47">
        <f>Assumptions!D7</f>
        <v>44926</v>
      </c>
      <c r="I7" s="48">
        <f>Assumptions!E7</f>
        <v>45291</v>
      </c>
      <c r="J7" s="47">
        <f>Assumptions!F7</f>
        <v>45657</v>
      </c>
      <c r="K7" s="47">
        <f>Assumptions!G7</f>
        <v>46021</v>
      </c>
      <c r="L7" s="47">
        <f>Assumptions!H7</f>
        <v>46386</v>
      </c>
      <c r="M7" s="47">
        <f>Assumptions!I7</f>
        <v>46751</v>
      </c>
      <c r="N7" s="47">
        <f>Assumptions!J7</f>
        <v>47117</v>
      </c>
      <c r="O7" s="47">
        <f>Assumptions!K7</f>
        <v>47481</v>
      </c>
      <c r="P7" s="47">
        <f>Assumptions!L7</f>
        <v>47846</v>
      </c>
    </row>
    <row r="8" spans="1:20" ht="14.5" customHeight="1" x14ac:dyDescent="0.35">
      <c r="A8" s="278">
        <f>ROW()</f>
        <v>8</v>
      </c>
      <c r="B8" s="36" t="s">
        <v>73</v>
      </c>
      <c r="C8" s="64"/>
      <c r="D8" s="65"/>
      <c r="E8" s="64"/>
      <c r="F8" s="64"/>
      <c r="G8" s="253"/>
      <c r="H8" s="254">
        <f>Assumptions!D18</f>
        <v>1966835</v>
      </c>
      <c r="I8" s="22">
        <f>Assumptions!E18</f>
        <v>2049896.73</v>
      </c>
      <c r="J8" s="22">
        <f>Assumptions!F18</f>
        <v>1321912.4480625</v>
      </c>
      <c r="K8" s="22">
        <f>Assumptions!G18</f>
        <v>1227794.7753750002</v>
      </c>
      <c r="L8" s="22">
        <f>Assumptions!H18</f>
        <v>1630750.1792192622</v>
      </c>
      <c r="M8" s="22">
        <f>Assumptions!I18</f>
        <v>1687919.2977853208</v>
      </c>
      <c r="N8" s="22">
        <f>Assumptions!J18</f>
        <v>1764469.7968463176</v>
      </c>
      <c r="O8" s="22">
        <f>Assumptions!K18</f>
        <v>1847669.3259473082</v>
      </c>
      <c r="P8" s="22">
        <f>Assumptions!L18</f>
        <v>1939339.1217423396</v>
      </c>
    </row>
    <row r="9" spans="1:20" ht="14.5" customHeight="1" x14ac:dyDescent="0.35">
      <c r="A9" s="278">
        <f>ROW()</f>
        <v>9</v>
      </c>
      <c r="B9" t="s">
        <v>74</v>
      </c>
      <c r="C9" s="64"/>
      <c r="D9" s="65"/>
      <c r="E9" s="64"/>
      <c r="F9" s="64"/>
      <c r="H9" s="255"/>
      <c r="I9" s="18">
        <f>I8/H8-1</f>
        <v>4.2231163264839111E-2</v>
      </c>
      <c r="J9" s="18">
        <f t="shared" ref="J9:P9" si="0">J8/I8-1</f>
        <v>-0.355132173871754</v>
      </c>
      <c r="K9" s="18">
        <f t="shared" si="0"/>
        <v>-7.119811363108508E-2</v>
      </c>
      <c r="L9" s="18">
        <f t="shared" si="0"/>
        <v>0.3281944278686062</v>
      </c>
      <c r="M9" s="18">
        <f t="shared" si="0"/>
        <v>3.5056944524408218E-2</v>
      </c>
      <c r="N9" s="18">
        <f t="shared" si="0"/>
        <v>4.5351989968618112E-2</v>
      </c>
      <c r="O9" s="18">
        <f t="shared" si="0"/>
        <v>4.7152707997436538E-2</v>
      </c>
      <c r="P9" s="18">
        <f t="shared" si="0"/>
        <v>4.9613745548344745E-2</v>
      </c>
    </row>
    <row r="10" spans="1:20" ht="14.5" customHeight="1" x14ac:dyDescent="0.35">
      <c r="A10" s="278">
        <f>ROW()</f>
        <v>10</v>
      </c>
      <c r="H10" s="255"/>
    </row>
    <row r="11" spans="1:20" ht="14.5" customHeight="1" x14ac:dyDescent="0.35">
      <c r="A11" s="278">
        <f>ROW()</f>
        <v>11</v>
      </c>
      <c r="B11" s="36" t="s">
        <v>127</v>
      </c>
      <c r="C11" s="256"/>
      <c r="D11" s="256"/>
      <c r="E11" s="256"/>
      <c r="F11" s="256"/>
      <c r="G11" s="253"/>
      <c r="H11" s="257">
        <v>930130</v>
      </c>
      <c r="I11" s="22">
        <f>+I8*Assumptions!D20</f>
        <v>969601.15328999993</v>
      </c>
      <c r="J11" s="22">
        <f>+J8*Assumptions!E20</f>
        <v>646243.15261439327</v>
      </c>
      <c r="K11" s="22">
        <f>+K8*Assumptions!F20</f>
        <v>600231.85920124303</v>
      </c>
      <c r="L11" s="22">
        <f>+L8*Assumptions!G20</f>
        <v>978450.10753155733</v>
      </c>
      <c r="M11" s="22">
        <f>+M8*Assumptions!H20</f>
        <v>843959.64889266039</v>
      </c>
      <c r="N11" s="22">
        <f>+N8*Assumptions!I20</f>
        <v>862596.10148775147</v>
      </c>
      <c r="O11" s="22">
        <f>+O8*Assumptions!J20</f>
        <v>903269.84358093061</v>
      </c>
      <c r="P11" s="22">
        <f>+P8*Assumptions!K20</f>
        <v>948084.44376184803</v>
      </c>
    </row>
    <row r="12" spans="1:20" ht="14.5" customHeight="1" x14ac:dyDescent="0.35">
      <c r="A12" s="278">
        <f>ROW()</f>
        <v>12</v>
      </c>
      <c r="B12" s="36" t="s">
        <v>75</v>
      </c>
      <c r="C12" s="64"/>
      <c r="H12" s="258">
        <f>H8-H11</f>
        <v>1036705</v>
      </c>
      <c r="I12" s="96">
        <f>+I8-I11</f>
        <v>1080295.5767100002</v>
      </c>
      <c r="J12" s="96">
        <f t="shared" ref="J12:O12" si="1">+J8-J11</f>
        <v>675669.29544810671</v>
      </c>
      <c r="K12" s="96">
        <f t="shared" si="1"/>
        <v>627562.91617375717</v>
      </c>
      <c r="L12" s="96">
        <f t="shared" si="1"/>
        <v>652300.07168770488</v>
      </c>
      <c r="M12" s="96">
        <f t="shared" si="1"/>
        <v>843959.64889266039</v>
      </c>
      <c r="N12" s="96">
        <f t="shared" si="1"/>
        <v>901873.69535856612</v>
      </c>
      <c r="O12" s="96">
        <f t="shared" si="1"/>
        <v>944399.4823663776</v>
      </c>
      <c r="P12" s="96">
        <f t="shared" ref="P12" si="2">+P8-P11</f>
        <v>991254.67798049154</v>
      </c>
    </row>
    <row r="13" spans="1:20" ht="14.5" customHeight="1" x14ac:dyDescent="0.35">
      <c r="A13" s="278">
        <f>ROW()</f>
        <v>13</v>
      </c>
      <c r="B13" t="s">
        <v>76</v>
      </c>
      <c r="C13" s="64"/>
      <c r="H13" s="259">
        <f>H12/H8</f>
        <v>0.52709302000421998</v>
      </c>
      <c r="I13" s="18">
        <f t="shared" ref="I13:O13" si="3">I12/I8</f>
        <v>0.52700000000000014</v>
      </c>
      <c r="J13" s="18">
        <f t="shared" si="3"/>
        <v>0.51113014060683171</v>
      </c>
      <c r="K13" s="18">
        <f t="shared" si="3"/>
        <v>0.51113014060683171</v>
      </c>
      <c r="L13" s="18">
        <f t="shared" si="3"/>
        <v>0.4</v>
      </c>
      <c r="M13" s="18">
        <f t="shared" si="3"/>
        <v>0.5</v>
      </c>
      <c r="N13" s="18">
        <f t="shared" si="3"/>
        <v>0.51113014060683171</v>
      </c>
      <c r="O13" s="18">
        <f t="shared" si="3"/>
        <v>0.51113014060683171</v>
      </c>
      <c r="P13" s="18">
        <f t="shared" ref="P13" si="4">P12/P8</f>
        <v>0.51113014060683171</v>
      </c>
    </row>
    <row r="14" spans="1:20" ht="14.5" customHeight="1" x14ac:dyDescent="0.35">
      <c r="A14" s="278">
        <f>ROW()</f>
        <v>14</v>
      </c>
      <c r="H14" s="255"/>
    </row>
    <row r="15" spans="1:20" ht="14.5" customHeight="1" x14ac:dyDescent="0.35">
      <c r="A15" s="278">
        <f>ROW()</f>
        <v>15</v>
      </c>
      <c r="B15" s="36" t="s">
        <v>128</v>
      </c>
      <c r="C15" s="64"/>
      <c r="D15" s="256"/>
      <c r="E15" s="256"/>
      <c r="F15" s="256"/>
      <c r="G15" s="253"/>
      <c r="H15" s="260">
        <v>206970</v>
      </c>
      <c r="I15" s="71">
        <f>I8*Assumptions!E21</f>
        <v>256156.64812544826</v>
      </c>
      <c r="J15" s="71">
        <f>J8*Assumptions!E21</f>
        <v>165187.18082495584</v>
      </c>
      <c r="K15" s="71">
        <f>K8*Assumptions!F21</f>
        <v>153426.16515418203</v>
      </c>
      <c r="L15" s="71">
        <f>L8*Assumptions!G21</f>
        <v>282246.1333560436</v>
      </c>
      <c r="M15" s="71">
        <f>M8*Assumptions!H21</f>
        <v>219429.50871209172</v>
      </c>
      <c r="N15" s="71">
        <f>N8*Assumptions!I21</f>
        <v>211736.37562155811</v>
      </c>
      <c r="O15" s="71">
        <f>O8*Assumptions!J21</f>
        <v>221720.31911367699</v>
      </c>
      <c r="P15" s="71">
        <f>P8*Assumptions!K21</f>
        <v>232720.69460908073</v>
      </c>
    </row>
    <row r="16" spans="1:20" ht="14.5" customHeight="1" x14ac:dyDescent="0.35">
      <c r="A16" s="278">
        <f>ROW()</f>
        <v>16</v>
      </c>
      <c r="B16" s="36" t="s">
        <v>77</v>
      </c>
      <c r="C16" s="64"/>
      <c r="H16" s="258">
        <f>+H12-H15</f>
        <v>829735</v>
      </c>
      <c r="I16" s="96">
        <f>+I12-I15</f>
        <v>824138.9285845519</v>
      </c>
      <c r="J16" s="96">
        <f t="shared" ref="J16:O16" si="5">+J12-J15</f>
        <v>510482.1146231509</v>
      </c>
      <c r="K16" s="96">
        <f t="shared" si="5"/>
        <v>474136.75101957517</v>
      </c>
      <c r="L16" s="96">
        <f t="shared" si="5"/>
        <v>370053.93833166128</v>
      </c>
      <c r="M16" s="96">
        <f t="shared" si="5"/>
        <v>624530.14018056868</v>
      </c>
      <c r="N16" s="96">
        <f t="shared" si="5"/>
        <v>690137.31973700807</v>
      </c>
      <c r="O16" s="96">
        <f t="shared" si="5"/>
        <v>722679.16325270059</v>
      </c>
      <c r="P16" s="96">
        <f t="shared" ref="P16" si="6">+P12-P15</f>
        <v>758533.98337141075</v>
      </c>
    </row>
    <row r="17" spans="1:27" ht="14.5" customHeight="1" x14ac:dyDescent="0.35">
      <c r="A17" s="278">
        <f>ROW()</f>
        <v>17</v>
      </c>
      <c r="B17" t="s">
        <v>78</v>
      </c>
      <c r="C17" s="64"/>
      <c r="D17" s="261"/>
      <c r="H17" s="259">
        <f>H16/H8</f>
        <v>0.42186304392590124</v>
      </c>
      <c r="I17" s="18">
        <f>+I16/I8</f>
        <v>0.40203924252542805</v>
      </c>
      <c r="J17" s="18">
        <f t="shared" ref="J17:O17" si="7">+J16/J8</f>
        <v>0.38616938313225968</v>
      </c>
      <c r="K17" s="18">
        <f t="shared" si="7"/>
        <v>0.38616938313225968</v>
      </c>
      <c r="L17" s="18">
        <f t="shared" si="7"/>
        <v>0.22692251887951856</v>
      </c>
      <c r="M17" s="18">
        <f t="shared" si="7"/>
        <v>0.37</v>
      </c>
      <c r="N17" s="18">
        <f t="shared" si="7"/>
        <v>0.39113014060683177</v>
      </c>
      <c r="O17" s="18">
        <f t="shared" si="7"/>
        <v>0.39113014060683171</v>
      </c>
      <c r="P17" s="18">
        <f t="shared" ref="P17" si="8">+P16/P8</f>
        <v>0.39113014060683171</v>
      </c>
    </row>
    <row r="18" spans="1:27" ht="14.5" customHeight="1" x14ac:dyDescent="0.35">
      <c r="A18" s="278">
        <f>ROW()</f>
        <v>18</v>
      </c>
      <c r="H18" s="255"/>
    </row>
    <row r="19" spans="1:27" ht="14.5" customHeight="1" x14ac:dyDescent="0.35">
      <c r="A19" s="278">
        <f>ROW()</f>
        <v>19</v>
      </c>
      <c r="B19" t="s">
        <v>191</v>
      </c>
      <c r="C19" s="261"/>
      <c r="D19" s="261"/>
      <c r="H19" s="260">
        <v>221130</v>
      </c>
      <c r="I19" s="97">
        <f>I8*Assumptions!D22</f>
        <v>230468.57713275388</v>
      </c>
      <c r="J19" s="97">
        <f>J8*Assumptions!E22</f>
        <v>168671.51145384993</v>
      </c>
      <c r="K19" s="97">
        <f>K8*Assumptions!F22</f>
        <v>156662.41801503187</v>
      </c>
      <c r="L19" s="97">
        <f>L8*Assumptions!G22</f>
        <v>208078.15066398765</v>
      </c>
      <c r="M19" s="97">
        <f>M8*Assumptions!H22</f>
        <v>215372.73484855655</v>
      </c>
      <c r="N19" s="97">
        <f>N8*Assumptions!I22</f>
        <v>225140.31695892214</v>
      </c>
      <c r="O19" s="97">
        <f>O8*Assumptions!J22</f>
        <v>235756.2925829365</v>
      </c>
      <c r="P19" s="97">
        <f>P8*Assumptions!K22</f>
        <v>247453.04529456742</v>
      </c>
    </row>
    <row r="20" spans="1:27" ht="14.5" customHeight="1" x14ac:dyDescent="0.35">
      <c r="A20" s="278">
        <f>ROW()</f>
        <v>20</v>
      </c>
      <c r="B20" s="36" t="s">
        <v>130</v>
      </c>
      <c r="C20" s="261"/>
      <c r="D20" s="261"/>
      <c r="H20" s="263">
        <f>+H16-H19</f>
        <v>608605</v>
      </c>
      <c r="I20" s="22">
        <f>+I16-I19</f>
        <v>593670.35145179799</v>
      </c>
      <c r="J20" s="22">
        <f t="shared" ref="J20:O20" si="9">+J16-J19</f>
        <v>341810.60316930094</v>
      </c>
      <c r="K20" s="22">
        <f t="shared" si="9"/>
        <v>317474.33300454332</v>
      </c>
      <c r="L20" s="22">
        <f t="shared" si="9"/>
        <v>161975.78766767363</v>
      </c>
      <c r="M20" s="22">
        <f t="shared" si="9"/>
        <v>409157.4053320121</v>
      </c>
      <c r="N20" s="22">
        <f t="shared" si="9"/>
        <v>464997.00277808594</v>
      </c>
      <c r="O20" s="22">
        <f t="shared" si="9"/>
        <v>486922.87066976412</v>
      </c>
      <c r="P20" s="22">
        <f t="shared" ref="P20" si="10">+P16-P19</f>
        <v>511080.93807684333</v>
      </c>
    </row>
    <row r="21" spans="1:27" ht="14.5" customHeight="1" x14ac:dyDescent="0.35">
      <c r="A21" s="278">
        <f>ROW()</f>
        <v>21</v>
      </c>
      <c r="B21" t="s">
        <v>79</v>
      </c>
      <c r="C21" s="2"/>
      <c r="D21" s="90"/>
      <c r="E21" s="90" t="s">
        <v>131</v>
      </c>
      <c r="F21" s="262">
        <v>7</v>
      </c>
      <c r="H21" s="265"/>
      <c r="I21" s="91">
        <f>+'Transaction S&amp;U'!$L$11/$F$21</f>
        <v>30579.642857142859</v>
      </c>
      <c r="J21" s="91">
        <f>+'Transaction S&amp;U'!$L$11/$F$21</f>
        <v>30579.642857142859</v>
      </c>
      <c r="K21" s="91">
        <f>+'Transaction S&amp;U'!$L$11/$F$21</f>
        <v>30579.642857142859</v>
      </c>
      <c r="L21" s="91">
        <f>+'Transaction S&amp;U'!$L$11/$F$21</f>
        <v>30579.642857142859</v>
      </c>
      <c r="M21" s="91">
        <f>+'Transaction S&amp;U'!$L$11/$F$21</f>
        <v>30579.642857142859</v>
      </c>
      <c r="N21" s="91">
        <f>+'Transaction S&amp;U'!$L$11/$F$21</f>
        <v>30579.642857142859</v>
      </c>
      <c r="O21" s="91">
        <f>+'Transaction S&amp;U'!$L$11/$F$21</f>
        <v>30579.642857142859</v>
      </c>
      <c r="P21" s="91"/>
    </row>
    <row r="22" spans="1:27" ht="14.5" customHeight="1" x14ac:dyDescent="0.35">
      <c r="A22" s="278">
        <f>ROW()</f>
        <v>22</v>
      </c>
      <c r="B22" s="36" t="s">
        <v>80</v>
      </c>
      <c r="C22" s="2"/>
      <c r="D22" s="2"/>
      <c r="H22" s="264">
        <f>+H20</f>
        <v>608605</v>
      </c>
      <c r="I22" s="57">
        <f>+I20-I21</f>
        <v>563090.70859465515</v>
      </c>
      <c r="J22" s="57">
        <f t="shared" ref="J22:O22" si="11">+J20-J21</f>
        <v>311230.9603121581</v>
      </c>
      <c r="K22" s="57">
        <f t="shared" si="11"/>
        <v>286894.69014740048</v>
      </c>
      <c r="L22" s="57">
        <f t="shared" si="11"/>
        <v>131396.14481053076</v>
      </c>
      <c r="M22" s="57">
        <f t="shared" si="11"/>
        <v>378577.76247486926</v>
      </c>
      <c r="N22" s="57">
        <f t="shared" si="11"/>
        <v>434417.3599209431</v>
      </c>
      <c r="O22" s="57">
        <f t="shared" si="11"/>
        <v>456343.22781262128</v>
      </c>
      <c r="P22" s="57">
        <f t="shared" ref="P22" si="12">+P20-P21</f>
        <v>511080.93807684333</v>
      </c>
    </row>
    <row r="23" spans="1:27" ht="14.5" customHeight="1" x14ac:dyDescent="0.35">
      <c r="A23" s="278">
        <f>ROW()</f>
        <v>23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U23" s="3"/>
      <c r="V23" s="3"/>
      <c r="W23" s="3"/>
      <c r="X23" s="3"/>
      <c r="Y23" s="3"/>
      <c r="Z23" s="3"/>
      <c r="AA23" s="3"/>
    </row>
    <row r="24" spans="1:27" ht="14.5" customHeight="1" x14ac:dyDescent="0.35">
      <c r="A24" s="278">
        <f>ROW()</f>
        <v>24</v>
      </c>
      <c r="B24" s="36" t="s">
        <v>81</v>
      </c>
      <c r="C24" s="3"/>
    </row>
    <row r="25" spans="1:27" ht="14.5" customHeight="1" x14ac:dyDescent="0.35">
      <c r="A25" s="278">
        <f>ROW()</f>
        <v>25</v>
      </c>
      <c r="B25" s="31" t="s">
        <v>132</v>
      </c>
      <c r="C25" s="3"/>
      <c r="I25" s="3"/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27" ht="14.5" customHeight="1" x14ac:dyDescent="0.35">
      <c r="A26" s="278">
        <f>ROW()</f>
        <v>26</v>
      </c>
      <c r="B26" t="s">
        <v>160</v>
      </c>
      <c r="C26" s="3"/>
      <c r="I26" s="3">
        <f>'Debt Schedule'!J16</f>
        <v>3000</v>
      </c>
      <c r="J26" s="3">
        <f>'Debt Schedule'!K16</f>
        <v>2000</v>
      </c>
      <c r="K26" s="3">
        <f>'Debt Schedule'!L16</f>
        <v>2000</v>
      </c>
      <c r="L26" s="3">
        <f>'Debt Schedule'!M16</f>
        <v>2000</v>
      </c>
      <c r="M26" s="3">
        <f>'Debt Schedule'!N16</f>
        <v>2000</v>
      </c>
      <c r="N26" s="3">
        <f>'Debt Schedule'!O16</f>
        <v>2000</v>
      </c>
      <c r="O26" s="3">
        <f>'Debt Schedule'!P16</f>
        <v>2000</v>
      </c>
      <c r="P26" s="3">
        <f>'Debt Schedule'!Q16</f>
        <v>2000</v>
      </c>
    </row>
    <row r="27" spans="1:27" ht="14.5" customHeight="1" x14ac:dyDescent="0.35">
      <c r="A27" s="278">
        <f>ROW()</f>
        <v>27</v>
      </c>
      <c r="B27" t="s">
        <v>3</v>
      </c>
      <c r="C27" s="3"/>
      <c r="I27" s="3">
        <f>'Debt Schedule'!J24</f>
        <v>75000</v>
      </c>
      <c r="J27" s="3">
        <f>'Debt Schedule'!K24</f>
        <v>79999.999999999985</v>
      </c>
      <c r="K27" s="3">
        <f>'Debt Schedule'!L24</f>
        <v>85500</v>
      </c>
      <c r="L27" s="3">
        <f>'Debt Schedule'!M24</f>
        <v>76500</v>
      </c>
      <c r="M27" s="3">
        <f>'Debt Schedule'!N24</f>
        <v>67500</v>
      </c>
      <c r="N27" s="3">
        <f>'Debt Schedule'!O24</f>
        <v>54000</v>
      </c>
      <c r="O27" s="3">
        <f>'Debt Schedule'!P24</f>
        <v>0</v>
      </c>
      <c r="P27" s="3">
        <f>'Debt Schedule'!Q24</f>
        <v>0</v>
      </c>
    </row>
    <row r="28" spans="1:27" ht="14.5" customHeight="1" x14ac:dyDescent="0.35">
      <c r="A28" s="278">
        <f>ROW()</f>
        <v>28</v>
      </c>
      <c r="B28" t="s">
        <v>4</v>
      </c>
      <c r="C28" s="3"/>
      <c r="I28" s="3">
        <f>'Debt Schedule'!J34</f>
        <v>117000</v>
      </c>
      <c r="J28" s="3">
        <f>'Debt Schedule'!K34</f>
        <v>123500</v>
      </c>
      <c r="K28" s="3">
        <f>'Debt Schedule'!L34</f>
        <v>135135</v>
      </c>
      <c r="L28" s="3">
        <f>'Debt Schedule'!M34</f>
        <v>133770</v>
      </c>
      <c r="M28" s="3">
        <f>'Debt Schedule'!N34</f>
        <v>132405</v>
      </c>
      <c r="N28" s="3">
        <f>'Debt Schedule'!O34</f>
        <v>131040</v>
      </c>
      <c r="O28" s="3">
        <f>'Debt Schedule'!P34</f>
        <v>129675</v>
      </c>
      <c r="P28" s="3">
        <f>'Debt Schedule'!Q34</f>
        <v>128310</v>
      </c>
    </row>
    <row r="29" spans="1:27" ht="14.5" customHeight="1" x14ac:dyDescent="0.35">
      <c r="A29" s="278">
        <f>ROW()</f>
        <v>29</v>
      </c>
      <c r="B29" t="s">
        <v>126</v>
      </c>
      <c r="C29" s="3"/>
      <c r="I29" s="3">
        <f>'Debt Schedule'!J44</f>
        <v>0</v>
      </c>
      <c r="J29" s="3">
        <f>'Debt Schedule'!K44</f>
        <v>0</v>
      </c>
      <c r="K29" s="3">
        <f>'Debt Schedule'!L44</f>
        <v>0</v>
      </c>
      <c r="L29" s="3">
        <f>'Debt Schedule'!M44</f>
        <v>0</v>
      </c>
      <c r="M29" s="3">
        <f>'Debt Schedule'!N44</f>
        <v>0</v>
      </c>
      <c r="N29" s="3">
        <f>'Debt Schedule'!O44</f>
        <v>0</v>
      </c>
      <c r="O29" s="3">
        <f>'Debt Schedule'!P44</f>
        <v>0</v>
      </c>
      <c r="P29" s="3">
        <f>'Debt Schedule'!Q44</f>
        <v>0</v>
      </c>
    </row>
    <row r="30" spans="1:27" ht="14.5" customHeight="1" x14ac:dyDescent="0.35">
      <c r="A30" s="278">
        <f>ROW()</f>
        <v>30</v>
      </c>
      <c r="B30" t="s">
        <v>28</v>
      </c>
      <c r="C30" s="3"/>
      <c r="I30" s="3">
        <f>'Debt Schedule'!J53</f>
        <v>165000</v>
      </c>
      <c r="J30" s="3">
        <f>'Debt Schedule'!K53</f>
        <v>165000</v>
      </c>
      <c r="K30" s="3">
        <f>'Debt Schedule'!L53</f>
        <v>165000</v>
      </c>
      <c r="L30" s="3">
        <f>'Debt Schedule'!M53</f>
        <v>165000</v>
      </c>
      <c r="M30" s="3">
        <f>'Debt Schedule'!N53</f>
        <v>165000</v>
      </c>
      <c r="N30" s="3">
        <f>'Debt Schedule'!O53</f>
        <v>165000</v>
      </c>
      <c r="O30" s="3">
        <f>'Debt Schedule'!P53</f>
        <v>165000</v>
      </c>
      <c r="P30" s="3">
        <f>'Debt Schedule'!Q53</f>
        <v>165000</v>
      </c>
    </row>
    <row r="31" spans="1:27" ht="14.5" customHeight="1" x14ac:dyDescent="0.35">
      <c r="A31" s="278">
        <f>ROW()</f>
        <v>31</v>
      </c>
      <c r="B31" t="s">
        <v>82</v>
      </c>
      <c r="C31" s="3"/>
      <c r="I31" s="88">
        <f>SUM(I25:I30)</f>
        <v>360000</v>
      </c>
      <c r="J31" s="88">
        <f t="shared" ref="J31:O31" si="13">SUM(J25:J30)</f>
        <v>370500</v>
      </c>
      <c r="K31" s="88">
        <f t="shared" si="13"/>
        <v>387635</v>
      </c>
      <c r="L31" s="88">
        <f t="shared" si="13"/>
        <v>377270</v>
      </c>
      <c r="M31" s="88">
        <f t="shared" si="13"/>
        <v>366905</v>
      </c>
      <c r="N31" s="88">
        <f t="shared" si="13"/>
        <v>352040</v>
      </c>
      <c r="O31" s="88">
        <f t="shared" si="13"/>
        <v>296675</v>
      </c>
      <c r="P31" s="88">
        <f t="shared" ref="P31" si="14">SUM(P25:P30)</f>
        <v>295310</v>
      </c>
    </row>
    <row r="32" spans="1:27" ht="14.5" customHeight="1" x14ac:dyDescent="0.35">
      <c r="A32" s="278">
        <f>ROW()</f>
        <v>32</v>
      </c>
      <c r="C32" s="3"/>
    </row>
    <row r="33" spans="1:16" ht="14.5" customHeight="1" x14ac:dyDescent="0.35">
      <c r="A33" s="278">
        <f>ROW()</f>
        <v>33</v>
      </c>
      <c r="B33" s="31" t="s">
        <v>83</v>
      </c>
      <c r="C33" s="3"/>
      <c r="I33" s="3">
        <f>+I22-I31</f>
        <v>203090.70859465515</v>
      </c>
      <c r="J33" s="3">
        <f t="shared" ref="J33:O33" si="15">+J22-J31</f>
        <v>-59269.039687841898</v>
      </c>
      <c r="K33" s="3">
        <f t="shared" si="15"/>
        <v>-100740.30985259952</v>
      </c>
      <c r="L33" s="3">
        <f t="shared" si="15"/>
        <v>-245873.85518946924</v>
      </c>
      <c r="M33" s="3">
        <f t="shared" si="15"/>
        <v>11672.762474869261</v>
      </c>
      <c r="N33" s="3">
        <f t="shared" si="15"/>
        <v>82377.359920943098</v>
      </c>
      <c r="O33" s="3">
        <f t="shared" si="15"/>
        <v>159668.22781262128</v>
      </c>
      <c r="P33" s="3">
        <f t="shared" ref="P33" si="16">+P22-P31</f>
        <v>215770.93807684333</v>
      </c>
    </row>
    <row r="34" spans="1:16" ht="14.5" customHeight="1" x14ac:dyDescent="0.35">
      <c r="A34" s="278">
        <f>ROW()</f>
        <v>34</v>
      </c>
      <c r="B34" t="s">
        <v>84</v>
      </c>
      <c r="C34" s="3"/>
      <c r="I34" s="189">
        <f>Assumptions!E23</f>
        <v>0.32800000000000001</v>
      </c>
      <c r="J34" s="189">
        <f>Assumptions!F23</f>
        <v>0.32800000000000001</v>
      </c>
      <c r="K34" s="189">
        <f>Assumptions!G23</f>
        <v>0.32800000000000001</v>
      </c>
      <c r="L34" s="189">
        <f>Assumptions!H23</f>
        <v>0.32800000000000001</v>
      </c>
      <c r="M34" s="189">
        <f>Assumptions!I23</f>
        <v>0.32800000000000001</v>
      </c>
      <c r="N34" s="189">
        <f>Assumptions!J23</f>
        <v>0.32800000000000001</v>
      </c>
      <c r="O34" s="189">
        <f>Assumptions!K23</f>
        <v>0.32800000000000001</v>
      </c>
      <c r="P34" s="189">
        <f>Assumptions!L23</f>
        <v>0.32800000000000001</v>
      </c>
    </row>
    <row r="35" spans="1:16" ht="14.5" customHeight="1" x14ac:dyDescent="0.35">
      <c r="A35" s="278">
        <f>ROW()</f>
        <v>35</v>
      </c>
      <c r="B35" t="s">
        <v>85</v>
      </c>
      <c r="C35" s="3"/>
      <c r="I35" s="68">
        <f>+I34*I33</f>
        <v>66613.752419046898</v>
      </c>
      <c r="J35" s="68">
        <f t="shared" ref="J35:O35" si="17">+J34*J33</f>
        <v>-19440.245017612142</v>
      </c>
      <c r="K35" s="68">
        <f t="shared" si="17"/>
        <v>-33042.821631652645</v>
      </c>
      <c r="L35" s="68">
        <f t="shared" si="17"/>
        <v>-80646.624502145918</v>
      </c>
      <c r="M35" s="68">
        <f t="shared" si="17"/>
        <v>3828.666091757118</v>
      </c>
      <c r="N35" s="68">
        <f t="shared" si="17"/>
        <v>27019.774054069338</v>
      </c>
      <c r="O35" s="68">
        <f t="shared" si="17"/>
        <v>52371.178722539778</v>
      </c>
      <c r="P35" s="68">
        <f t="shared" ref="P35" si="18">+P34*P33</f>
        <v>70772.867689204621</v>
      </c>
    </row>
    <row r="36" spans="1:16" ht="14.5" customHeight="1" thickBot="1" x14ac:dyDescent="0.4">
      <c r="A36" s="278">
        <f>ROW()</f>
        <v>36</v>
      </c>
      <c r="B36" s="36" t="s">
        <v>86</v>
      </c>
      <c r="C36" s="3"/>
      <c r="I36" s="92">
        <f>+I33-I35</f>
        <v>136476.95617560827</v>
      </c>
      <c r="J36" s="92">
        <f t="shared" ref="J36:O36" si="19">+J33-J35</f>
        <v>-39828.794670229756</v>
      </c>
      <c r="K36" s="92">
        <f t="shared" si="19"/>
        <v>-67697.488220946863</v>
      </c>
      <c r="L36" s="92">
        <f t="shared" si="19"/>
        <v>-165227.23068732332</v>
      </c>
      <c r="M36" s="92">
        <f t="shared" si="19"/>
        <v>7844.0963831121435</v>
      </c>
      <c r="N36" s="92">
        <f t="shared" si="19"/>
        <v>55357.585866873764</v>
      </c>
      <c r="O36" s="92">
        <f t="shared" si="19"/>
        <v>107297.04909008151</v>
      </c>
      <c r="P36" s="92">
        <f t="shared" ref="P36" si="20">+P33-P35</f>
        <v>144998.0703876387</v>
      </c>
    </row>
    <row r="37" spans="1:16" ht="21.75" customHeight="1" thickTop="1" x14ac:dyDescent="0.35">
      <c r="A37" s="9"/>
      <c r="C37" s="3"/>
    </row>
    <row r="38" spans="1:16" ht="21.75" customHeight="1" x14ac:dyDescent="0.35">
      <c r="A38" s="9"/>
    </row>
    <row r="39" spans="1:16" ht="21.75" customHeight="1" x14ac:dyDescent="0.35">
      <c r="A39" s="9"/>
    </row>
    <row r="40" spans="1:16" ht="21.75" customHeight="1" x14ac:dyDescent="0.35">
      <c r="A40" s="9"/>
    </row>
    <row r="41" spans="1:16" ht="21.75" customHeight="1" x14ac:dyDescent="0.35">
      <c r="A41" s="9"/>
    </row>
    <row r="42" spans="1:16" ht="21.75" customHeight="1" x14ac:dyDescent="0.35">
      <c r="A42" s="9"/>
    </row>
    <row r="43" spans="1:16" ht="21.75" customHeight="1" x14ac:dyDescent="0.35">
      <c r="A43" s="9"/>
    </row>
    <row r="44" spans="1:16" ht="21.75" customHeight="1" x14ac:dyDescent="0.35">
      <c r="A44" s="9"/>
    </row>
    <row r="45" spans="1:16" ht="21.75" customHeight="1" x14ac:dyDescent="0.35">
      <c r="A45" s="9"/>
    </row>
    <row r="46" spans="1:16" ht="21.75" customHeight="1" x14ac:dyDescent="0.35">
      <c r="A46" s="9"/>
    </row>
    <row r="47" spans="1:16" ht="21.75" customHeight="1" x14ac:dyDescent="0.35">
      <c r="A47" s="9"/>
    </row>
    <row r="48" spans="1:16" ht="21.75" customHeight="1" x14ac:dyDescent="0.35">
      <c r="A48" s="9"/>
    </row>
    <row r="49" spans="1:1" ht="21.75" customHeight="1" x14ac:dyDescent="0.35">
      <c r="A49" s="9"/>
    </row>
    <row r="50" spans="1:1" ht="21.75" customHeight="1" x14ac:dyDescent="0.35">
      <c r="A50" s="9"/>
    </row>
    <row r="51" spans="1:1" ht="21.75" customHeight="1" x14ac:dyDescent="0.35">
      <c r="A51" s="9"/>
    </row>
    <row r="52" spans="1:1" ht="21.75" customHeight="1" x14ac:dyDescent="0.35">
      <c r="A52" s="9"/>
    </row>
    <row r="53" spans="1:1" ht="21.75" customHeight="1" x14ac:dyDescent="0.35">
      <c r="A53" s="9"/>
    </row>
    <row r="54" spans="1:1" ht="21.75" customHeight="1" x14ac:dyDescent="0.35">
      <c r="A54" s="9"/>
    </row>
    <row r="55" spans="1:1" ht="21.75" customHeight="1" x14ac:dyDescent="0.35">
      <c r="A55" s="9"/>
    </row>
    <row r="56" spans="1:1" ht="21.75" customHeight="1" x14ac:dyDescent="0.35">
      <c r="A56" s="9"/>
    </row>
    <row r="57" spans="1:1" ht="21.75" customHeight="1" x14ac:dyDescent="0.35">
      <c r="A57" s="9"/>
    </row>
    <row r="58" spans="1:1" ht="21.75" customHeight="1" x14ac:dyDescent="0.35">
      <c r="A58" s="9"/>
    </row>
    <row r="59" spans="1:1" ht="21.75" customHeight="1" x14ac:dyDescent="0.35">
      <c r="A59" s="9"/>
    </row>
    <row r="60" spans="1:1" ht="21.75" customHeight="1" x14ac:dyDescent="0.35">
      <c r="A60" s="9"/>
    </row>
    <row r="61" spans="1:1" ht="21.75" customHeight="1" x14ac:dyDescent="0.35">
      <c r="A61" s="9"/>
    </row>
    <row r="62" spans="1:1" ht="21.75" customHeight="1" x14ac:dyDescent="0.35">
      <c r="A62" s="9"/>
    </row>
    <row r="63" spans="1:1" ht="21.75" customHeight="1" x14ac:dyDescent="0.35">
      <c r="A63" s="9"/>
    </row>
    <row r="64" spans="1:1" ht="21.75" customHeight="1" x14ac:dyDescent="0.35">
      <c r="A64" s="9"/>
    </row>
    <row r="65" spans="1:1" ht="21.75" customHeight="1" x14ac:dyDescent="0.35">
      <c r="A65" s="9"/>
    </row>
    <row r="66" spans="1:1" ht="21.75" customHeight="1" x14ac:dyDescent="0.35">
      <c r="A66" s="9"/>
    </row>
    <row r="67" spans="1:1" ht="21.75" customHeight="1" x14ac:dyDescent="0.35">
      <c r="A67" s="9"/>
    </row>
    <row r="68" spans="1:1" ht="21.75" customHeight="1" x14ac:dyDescent="0.35">
      <c r="A68" s="9"/>
    </row>
    <row r="69" spans="1:1" ht="21.75" customHeight="1" x14ac:dyDescent="0.35">
      <c r="A69" s="9"/>
    </row>
    <row r="70" spans="1:1" ht="21.75" customHeight="1" x14ac:dyDescent="0.35">
      <c r="A70" s="9"/>
    </row>
    <row r="71" spans="1:1" ht="21.75" customHeight="1" x14ac:dyDescent="0.35">
      <c r="A71" s="9"/>
    </row>
    <row r="72" spans="1:1" ht="21.75" customHeight="1" x14ac:dyDescent="0.35">
      <c r="A72" s="9"/>
    </row>
    <row r="73" spans="1:1" ht="21.75" customHeight="1" x14ac:dyDescent="0.35">
      <c r="A73" s="9"/>
    </row>
    <row r="74" spans="1:1" ht="21.75" customHeight="1" x14ac:dyDescent="0.35">
      <c r="A74" s="9"/>
    </row>
    <row r="75" spans="1:1" ht="21.75" customHeight="1" x14ac:dyDescent="0.35">
      <c r="A75" s="9"/>
    </row>
    <row r="76" spans="1:1" ht="21.75" customHeight="1" x14ac:dyDescent="0.35">
      <c r="A76" s="9"/>
    </row>
    <row r="77" spans="1:1" ht="21.75" customHeight="1" x14ac:dyDescent="0.35">
      <c r="A77" s="9"/>
    </row>
    <row r="78" spans="1:1" ht="21.75" customHeight="1" x14ac:dyDescent="0.35">
      <c r="A78" s="9"/>
    </row>
    <row r="79" spans="1:1" ht="21.75" customHeight="1" x14ac:dyDescent="0.35">
      <c r="A79" s="9"/>
    </row>
    <row r="80" spans="1:1" ht="21.75" customHeight="1" x14ac:dyDescent="0.35">
      <c r="A80" s="9"/>
    </row>
    <row r="81" spans="1:1" ht="21.75" customHeight="1" x14ac:dyDescent="0.35">
      <c r="A81" s="9"/>
    </row>
    <row r="82" spans="1:1" ht="21.75" customHeight="1" x14ac:dyDescent="0.35">
      <c r="A82" s="9"/>
    </row>
    <row r="83" spans="1:1" ht="21.75" customHeight="1" x14ac:dyDescent="0.35">
      <c r="A83" s="9"/>
    </row>
    <row r="84" spans="1:1" ht="21.75" customHeight="1" x14ac:dyDescent="0.35">
      <c r="A84" s="9"/>
    </row>
    <row r="85" spans="1:1" ht="21.75" customHeight="1" x14ac:dyDescent="0.35">
      <c r="A85" s="9"/>
    </row>
    <row r="86" spans="1:1" ht="21.75" customHeight="1" x14ac:dyDescent="0.35">
      <c r="A86" s="9"/>
    </row>
    <row r="87" spans="1:1" ht="21.75" customHeight="1" x14ac:dyDescent="0.35">
      <c r="A87" s="9"/>
    </row>
    <row r="88" spans="1:1" ht="21.75" customHeight="1" x14ac:dyDescent="0.35">
      <c r="A88" s="9"/>
    </row>
    <row r="89" spans="1:1" ht="21.75" customHeight="1" x14ac:dyDescent="0.35">
      <c r="A89" s="9"/>
    </row>
    <row r="90" spans="1:1" ht="21.75" customHeight="1" x14ac:dyDescent="0.35">
      <c r="A90" s="9"/>
    </row>
    <row r="91" spans="1:1" ht="21.75" customHeight="1" x14ac:dyDescent="0.35">
      <c r="A91" s="9"/>
    </row>
    <row r="92" spans="1:1" ht="21.75" customHeight="1" x14ac:dyDescent="0.35">
      <c r="A92" s="9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customFormat="1" ht="21.75" customHeight="1" x14ac:dyDescent="0.35"/>
    <row r="98" customFormat="1" ht="21.75" customHeight="1" x14ac:dyDescent="0.35"/>
    <row r="99" customFormat="1" ht="21.75" customHeight="1" x14ac:dyDescent="0.35"/>
    <row r="100" customFormat="1" ht="21.75" customHeight="1" x14ac:dyDescent="0.35"/>
    <row r="101" customFormat="1" ht="21.75" customHeight="1" x14ac:dyDescent="0.35"/>
    <row r="102" customFormat="1" ht="21.75" customHeight="1" x14ac:dyDescent="0.35"/>
    <row r="103" customFormat="1" ht="21.75" customHeight="1" x14ac:dyDescent="0.35"/>
    <row r="104" customFormat="1" ht="21.75" customHeight="1" x14ac:dyDescent="0.35"/>
    <row r="105" customFormat="1" ht="21.75" customHeight="1" x14ac:dyDescent="0.35"/>
    <row r="106" customFormat="1" ht="21.75" customHeight="1" x14ac:dyDescent="0.35"/>
    <row r="107" customFormat="1" ht="21.75" customHeight="1" x14ac:dyDescent="0.35"/>
    <row r="108" customFormat="1" ht="21.75" customHeight="1" x14ac:dyDescent="0.35"/>
    <row r="109" customFormat="1" ht="21.75" customHeight="1" x14ac:dyDescent="0.35"/>
    <row r="110" customFormat="1" ht="21.75" customHeight="1" x14ac:dyDescent="0.35"/>
    <row r="111" customFormat="1" ht="21.75" customHeight="1" x14ac:dyDescent="0.35"/>
    <row r="112" customFormat="1" ht="21.75" customHeight="1" x14ac:dyDescent="0.35"/>
    <row r="113" customFormat="1" ht="21.75" customHeight="1" x14ac:dyDescent="0.35"/>
    <row r="114" customFormat="1" ht="21.75" customHeight="1" x14ac:dyDescent="0.35"/>
    <row r="115" customFormat="1" ht="21.75" customHeight="1" x14ac:dyDescent="0.35"/>
    <row r="116" customFormat="1" ht="21.75" customHeight="1" x14ac:dyDescent="0.35"/>
    <row r="117" customFormat="1" ht="21.75" customHeight="1" x14ac:dyDescent="0.35"/>
    <row r="118" customFormat="1" ht="21.75" customHeight="1" x14ac:dyDescent="0.35"/>
    <row r="119" customFormat="1" ht="21.75" customHeight="1" x14ac:dyDescent="0.35"/>
    <row r="120" customFormat="1" ht="21.75" customHeight="1" x14ac:dyDescent="0.35"/>
    <row r="121" customFormat="1" ht="21.75" customHeight="1" x14ac:dyDescent="0.35"/>
    <row r="122" customFormat="1" ht="21.75" customHeight="1" x14ac:dyDescent="0.35"/>
    <row r="123" customFormat="1" ht="21.75" customHeight="1" x14ac:dyDescent="0.35"/>
    <row r="124" customFormat="1" ht="21.75" customHeight="1" x14ac:dyDescent="0.35"/>
    <row r="125" customFormat="1" ht="21.75" customHeight="1" x14ac:dyDescent="0.35"/>
    <row r="126" customFormat="1" ht="21.75" customHeight="1" x14ac:dyDescent="0.35"/>
    <row r="127" customFormat="1" ht="21.75" customHeight="1" x14ac:dyDescent="0.35"/>
    <row r="128" customFormat="1" ht="21.75" customHeight="1" x14ac:dyDescent="0.35"/>
    <row r="129" customFormat="1" ht="21.75" customHeight="1" x14ac:dyDescent="0.35"/>
    <row r="130" customFormat="1" ht="21.75" customHeight="1" x14ac:dyDescent="0.35"/>
    <row r="131" customFormat="1" ht="21.75" customHeight="1" x14ac:dyDescent="0.35"/>
    <row r="132" customFormat="1" ht="21.75" customHeight="1" x14ac:dyDescent="0.35"/>
    <row r="133" customFormat="1" ht="21.75" customHeight="1" x14ac:dyDescent="0.35"/>
    <row r="134" customFormat="1" ht="21.75" customHeight="1" x14ac:dyDescent="0.35"/>
    <row r="135" customFormat="1" ht="21.75" customHeight="1" x14ac:dyDescent="0.35"/>
    <row r="136" customFormat="1" ht="21.75" customHeight="1" x14ac:dyDescent="0.35"/>
    <row r="137" customFormat="1" ht="21.75" customHeight="1" x14ac:dyDescent="0.35"/>
    <row r="138" customFormat="1" ht="21.75" customHeight="1" x14ac:dyDescent="0.35"/>
    <row r="139" customFormat="1" ht="21.75" customHeight="1" x14ac:dyDescent="0.35"/>
    <row r="140" customFormat="1" ht="21.75" customHeight="1" x14ac:dyDescent="0.35"/>
    <row r="141" customFormat="1" ht="21.75" customHeight="1" x14ac:dyDescent="0.35"/>
    <row r="142" customFormat="1" ht="21.75" customHeight="1" x14ac:dyDescent="0.35"/>
    <row r="143" customFormat="1" ht="21.75" customHeight="1" x14ac:dyDescent="0.35"/>
    <row r="144" customFormat="1" ht="21.75" customHeight="1" x14ac:dyDescent="0.35"/>
    <row r="145" customFormat="1" ht="21.75" customHeight="1" x14ac:dyDescent="0.35"/>
    <row r="146" customFormat="1" ht="21.75" customHeight="1" x14ac:dyDescent="0.35"/>
    <row r="147" customFormat="1" ht="21.75" customHeight="1" x14ac:dyDescent="0.35"/>
    <row r="148" customFormat="1" ht="21.75" customHeight="1" x14ac:dyDescent="0.35"/>
    <row r="149" customFormat="1" ht="21.75" customHeight="1" x14ac:dyDescent="0.35"/>
    <row r="150" customFormat="1" ht="21.75" customHeight="1" x14ac:dyDescent="0.35"/>
    <row r="151" customFormat="1" ht="21.75" customHeight="1" x14ac:dyDescent="0.35"/>
    <row r="152" customFormat="1" ht="21.75" customHeight="1" x14ac:dyDescent="0.35"/>
    <row r="153" customFormat="1" ht="21.75" customHeight="1" x14ac:dyDescent="0.35"/>
    <row r="154" customFormat="1" ht="21.75" customHeight="1" x14ac:dyDescent="0.35"/>
    <row r="155" customFormat="1" ht="21.75" customHeight="1" x14ac:dyDescent="0.35"/>
    <row r="156" customFormat="1" ht="21.75" customHeight="1" x14ac:dyDescent="0.35"/>
    <row r="157" customFormat="1" ht="21.75" customHeight="1" x14ac:dyDescent="0.35"/>
    <row r="158" customFormat="1" ht="21.75" customHeight="1" x14ac:dyDescent="0.35"/>
    <row r="159" customFormat="1" ht="21.75" customHeight="1" x14ac:dyDescent="0.35"/>
    <row r="160" customFormat="1" ht="21.75" customHeight="1" x14ac:dyDescent="0.35"/>
    <row r="161" customFormat="1" ht="21.75" customHeight="1" x14ac:dyDescent="0.35"/>
    <row r="162" customFormat="1" ht="21.75" customHeight="1" x14ac:dyDescent="0.35"/>
    <row r="163" customFormat="1" ht="21.75" customHeight="1" x14ac:dyDescent="0.35"/>
    <row r="164" customFormat="1" ht="21.75" customHeight="1" x14ac:dyDescent="0.35"/>
    <row r="165" customFormat="1" ht="21.75" customHeight="1" x14ac:dyDescent="0.35"/>
    <row r="166" customFormat="1" ht="21.75" customHeight="1" x14ac:dyDescent="0.35"/>
    <row r="167" customFormat="1" ht="21.75" customHeight="1" x14ac:dyDescent="0.35"/>
    <row r="168" customFormat="1" ht="21.75" customHeight="1" x14ac:dyDescent="0.35"/>
    <row r="169" customFormat="1" ht="21.75" customHeight="1" x14ac:dyDescent="0.35"/>
    <row r="170" customFormat="1" ht="21.75" customHeight="1" x14ac:dyDescent="0.35"/>
    <row r="171" customFormat="1" ht="21.75" customHeight="1" x14ac:dyDescent="0.35"/>
    <row r="172" customFormat="1" ht="21.75" customHeight="1" x14ac:dyDescent="0.35"/>
    <row r="173" customFormat="1" ht="21.75" customHeight="1" x14ac:dyDescent="0.35"/>
    <row r="174" customFormat="1" ht="21.75" customHeight="1" x14ac:dyDescent="0.35"/>
    <row r="175" customFormat="1" ht="21.75" customHeight="1" x14ac:dyDescent="0.35"/>
    <row r="176" customFormat="1" ht="21.75" customHeight="1" x14ac:dyDescent="0.35"/>
    <row r="177" customFormat="1" ht="21.75" customHeight="1" x14ac:dyDescent="0.35"/>
    <row r="178" customFormat="1" ht="21.75" customHeight="1" x14ac:dyDescent="0.35"/>
    <row r="179" customFormat="1" ht="21.75" customHeight="1" x14ac:dyDescent="0.35"/>
    <row r="180" customFormat="1" ht="21.75" customHeight="1" x14ac:dyDescent="0.35"/>
    <row r="181" customFormat="1" ht="21.75" customHeight="1" x14ac:dyDescent="0.35"/>
    <row r="182" customFormat="1" ht="21.75" customHeight="1" x14ac:dyDescent="0.35"/>
    <row r="183" customFormat="1" ht="21.75" customHeight="1" x14ac:dyDescent="0.35"/>
    <row r="184" customFormat="1" ht="21.75" customHeight="1" x14ac:dyDescent="0.35"/>
    <row r="185" customFormat="1" ht="21.75" customHeight="1" x14ac:dyDescent="0.35"/>
    <row r="186" customFormat="1" ht="21.75" customHeight="1" x14ac:dyDescent="0.35"/>
    <row r="187" customFormat="1" ht="21.75" customHeight="1" x14ac:dyDescent="0.35"/>
    <row r="188" customFormat="1" ht="21.75" customHeight="1" x14ac:dyDescent="0.35"/>
    <row r="189" customFormat="1" ht="21.75" customHeight="1" x14ac:dyDescent="0.35"/>
    <row r="190" customFormat="1" ht="21.75" customHeight="1" x14ac:dyDescent="0.35"/>
    <row r="191" customFormat="1" ht="21.75" customHeight="1" x14ac:dyDescent="0.35"/>
    <row r="192" customFormat="1" ht="21.75" customHeight="1" x14ac:dyDescent="0.35"/>
    <row r="193" customFormat="1" ht="21.75" customHeight="1" x14ac:dyDescent="0.35"/>
    <row r="194" customFormat="1" ht="21.75" customHeight="1" x14ac:dyDescent="0.35"/>
    <row r="195" customFormat="1" ht="21.75" customHeight="1" x14ac:dyDescent="0.35"/>
    <row r="196" customFormat="1" ht="21.75" customHeight="1" x14ac:dyDescent="0.35"/>
    <row r="197" customFormat="1" ht="21.75" customHeight="1" x14ac:dyDescent="0.35"/>
    <row r="198" customFormat="1" ht="21.75" customHeight="1" x14ac:dyDescent="0.35"/>
    <row r="199" customFormat="1" ht="21.75" customHeight="1" x14ac:dyDescent="0.35"/>
    <row r="200" customFormat="1" ht="21.75" customHeight="1" x14ac:dyDescent="0.35"/>
    <row r="201" customFormat="1" ht="21.75" customHeight="1" x14ac:dyDescent="0.35"/>
    <row r="202" customFormat="1" ht="21.75" customHeight="1" x14ac:dyDescent="0.35"/>
    <row r="203" customFormat="1" ht="21.75" customHeight="1" x14ac:dyDescent="0.35"/>
    <row r="204" customFormat="1" ht="21.75" customHeight="1" x14ac:dyDescent="0.35"/>
    <row r="205" customFormat="1" ht="21.75" customHeight="1" x14ac:dyDescent="0.35"/>
    <row r="206" customFormat="1" ht="21.75" customHeight="1" x14ac:dyDescent="0.35"/>
    <row r="207" customFormat="1" ht="21.75" customHeight="1" x14ac:dyDescent="0.35"/>
    <row r="208" customFormat="1" ht="21.75" customHeight="1" x14ac:dyDescent="0.35"/>
    <row r="209" customFormat="1" ht="21.75" customHeight="1" x14ac:dyDescent="0.35"/>
    <row r="210" customFormat="1" ht="21.75" customHeight="1" x14ac:dyDescent="0.35"/>
    <row r="211" customFormat="1" ht="21.75" customHeight="1" x14ac:dyDescent="0.35"/>
    <row r="212" customFormat="1" ht="21.75" customHeight="1" x14ac:dyDescent="0.35"/>
    <row r="213" customFormat="1" ht="21.75" customHeight="1" x14ac:dyDescent="0.35"/>
    <row r="214" customFormat="1" ht="21.75" customHeight="1" x14ac:dyDescent="0.35"/>
    <row r="215" customFormat="1" ht="21.75" customHeight="1" x14ac:dyDescent="0.35"/>
    <row r="216" customFormat="1" ht="21.75" customHeight="1" x14ac:dyDescent="0.35"/>
    <row r="217" customFormat="1" ht="21.75" customHeight="1" x14ac:dyDescent="0.35"/>
    <row r="218" customFormat="1" ht="21.75" customHeight="1" x14ac:dyDescent="0.35"/>
    <row r="219" customFormat="1" ht="21.75" customHeight="1" x14ac:dyDescent="0.35"/>
    <row r="220" customFormat="1" ht="21.75" customHeight="1" x14ac:dyDescent="0.35"/>
    <row r="221" customFormat="1" ht="21.75" customHeight="1" x14ac:dyDescent="0.35"/>
    <row r="222" customFormat="1" ht="21.75" customHeight="1" x14ac:dyDescent="0.35"/>
    <row r="223" customFormat="1" ht="21.75" customHeight="1" x14ac:dyDescent="0.35"/>
    <row r="224" customFormat="1" ht="21.75" customHeight="1" x14ac:dyDescent="0.35"/>
    <row r="225" customFormat="1" ht="21.75" customHeight="1" x14ac:dyDescent="0.35"/>
    <row r="226" customFormat="1" ht="21.75" customHeight="1" x14ac:dyDescent="0.35"/>
    <row r="227" customFormat="1" ht="21.75" customHeight="1" x14ac:dyDescent="0.35"/>
    <row r="228" customFormat="1" ht="21.75" customHeight="1" x14ac:dyDescent="0.35"/>
    <row r="229" customFormat="1" ht="21.75" customHeight="1" x14ac:dyDescent="0.35"/>
    <row r="230" customFormat="1" ht="21.75" customHeight="1" x14ac:dyDescent="0.35"/>
    <row r="231" customFormat="1" ht="21.75" customHeight="1" x14ac:dyDescent="0.35"/>
    <row r="232" customFormat="1" ht="21.75" customHeight="1" x14ac:dyDescent="0.35"/>
    <row r="233" customFormat="1" ht="21.75" customHeight="1" x14ac:dyDescent="0.35"/>
    <row r="234" customFormat="1" ht="21.75" customHeight="1" x14ac:dyDescent="0.35"/>
    <row r="235" customFormat="1" ht="21.75" customHeight="1" x14ac:dyDescent="0.35"/>
    <row r="236" customFormat="1" ht="21.75" customHeight="1" x14ac:dyDescent="0.35"/>
    <row r="237" customFormat="1" ht="21.75" customHeight="1" x14ac:dyDescent="0.35"/>
    <row r="238" customFormat="1" ht="21.75" customHeight="1" x14ac:dyDescent="0.35"/>
    <row r="239" customFormat="1" ht="21.75" customHeight="1" x14ac:dyDescent="0.35"/>
    <row r="240" customFormat="1" ht="21.75" customHeight="1" x14ac:dyDescent="0.35"/>
    <row r="241" customFormat="1" ht="21.75" customHeight="1" x14ac:dyDescent="0.35"/>
    <row r="242" customFormat="1" ht="21.75" customHeight="1" x14ac:dyDescent="0.35"/>
    <row r="243" customFormat="1" ht="21.75" customHeight="1" x14ac:dyDescent="0.35"/>
    <row r="244" customFormat="1" ht="21.75" customHeight="1" x14ac:dyDescent="0.35"/>
    <row r="245" customFormat="1" ht="21.75" customHeight="1" x14ac:dyDescent="0.35"/>
    <row r="246" customFormat="1" ht="21.75" customHeight="1" x14ac:dyDescent="0.35"/>
    <row r="247" customFormat="1" ht="21.75" customHeight="1" x14ac:dyDescent="0.35"/>
    <row r="248" customFormat="1" ht="21.75" customHeight="1" x14ac:dyDescent="0.35"/>
    <row r="249" customFormat="1" ht="21.75" customHeight="1" x14ac:dyDescent="0.35"/>
    <row r="250" customFormat="1" ht="21.75" customHeight="1" x14ac:dyDescent="0.35"/>
    <row r="251" customFormat="1" ht="21.75" customHeight="1" x14ac:dyDescent="0.35"/>
    <row r="252" customFormat="1" ht="21.75" customHeight="1" x14ac:dyDescent="0.35"/>
    <row r="253" customFormat="1" ht="21.75" customHeight="1" x14ac:dyDescent="0.35"/>
    <row r="254" customFormat="1" ht="21.75" customHeight="1" x14ac:dyDescent="0.35"/>
    <row r="255" customFormat="1" ht="21.75" customHeight="1" x14ac:dyDescent="0.35"/>
    <row r="256" customFormat="1" ht="21.75" customHeight="1" x14ac:dyDescent="0.35"/>
    <row r="257" customFormat="1" ht="21.75" customHeight="1" x14ac:dyDescent="0.35"/>
    <row r="258" customFormat="1" ht="21.75" customHeight="1" x14ac:dyDescent="0.35"/>
    <row r="259" customFormat="1" ht="21.75" customHeight="1" x14ac:dyDescent="0.35"/>
    <row r="260" customFormat="1" ht="21.75" customHeight="1" x14ac:dyDescent="0.35"/>
    <row r="261" customFormat="1" ht="21.75" customHeight="1" x14ac:dyDescent="0.35"/>
  </sheetData>
  <mergeCells count="1">
    <mergeCell ref="I6:P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9AD3F-7B7D-4CF5-BEAE-437352C05A71}">
  <sheetPr>
    <tabColor rgb="FF0000FF"/>
  </sheetPr>
  <dimension ref="A1:Y286"/>
  <sheetViews>
    <sheetView showGridLines="0" workbookViewId="0">
      <selection activeCell="I1" sqref="I1"/>
    </sheetView>
  </sheetViews>
  <sheetFormatPr defaultRowHeight="14.5" x14ac:dyDescent="0.35"/>
  <cols>
    <col min="1" max="1" width="5.90625" style="5" customWidth="1"/>
    <col min="2" max="2" width="28.7265625" customWidth="1"/>
    <col min="3" max="8" width="2.7265625" customWidth="1"/>
    <col min="9" max="16" width="12.6328125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1" ht="26.25" customHeight="1" x14ac:dyDescent="0.35">
      <c r="A1" s="6"/>
      <c r="B1" s="7" t="s">
        <v>18</v>
      </c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</row>
    <row r="2" spans="1:21" ht="17" customHeight="1" x14ac:dyDescent="0.35">
      <c r="A2" s="9"/>
      <c r="B2" s="10" t="str">
        <f>Assumptions!B2</f>
        <v>Stress Case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Q2" s="1"/>
      <c r="R2" s="1"/>
      <c r="S2" s="1"/>
      <c r="T2" s="1"/>
    </row>
    <row r="3" spans="1:21" ht="12.5" customHeight="1" x14ac:dyDescent="0.35"/>
    <row r="4" spans="1:21" ht="12" customHeight="1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21" ht="21.75" customHeight="1" x14ac:dyDescent="0.35">
      <c r="B5" s="12" t="s">
        <v>87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21" s="83" customFormat="1" x14ac:dyDescent="0.35">
      <c r="A6" s="278">
        <f>ROW()</f>
        <v>6</v>
      </c>
      <c r="B6" s="84" t="s">
        <v>9</v>
      </c>
      <c r="C6" s="85"/>
      <c r="D6" s="85"/>
      <c r="E6" s="85"/>
      <c r="F6" s="85"/>
      <c r="G6" s="85"/>
      <c r="H6" s="85"/>
      <c r="I6" s="332" t="s">
        <v>11</v>
      </c>
      <c r="J6" s="332"/>
      <c r="K6" s="332"/>
      <c r="L6" s="332"/>
      <c r="M6" s="332"/>
      <c r="N6" s="338"/>
      <c r="O6" s="338"/>
      <c r="P6" s="338"/>
    </row>
    <row r="7" spans="1:21" ht="14.5" customHeight="1" x14ac:dyDescent="0.35">
      <c r="A7" s="278">
        <f>ROW()</f>
        <v>7</v>
      </c>
      <c r="C7" s="64"/>
      <c r="D7" s="64"/>
      <c r="E7" s="64"/>
      <c r="F7" s="64"/>
      <c r="G7" s="64"/>
      <c r="H7" s="64"/>
      <c r="I7" s="47">
        <f>'Income Statement'!I7</f>
        <v>45291</v>
      </c>
      <c r="J7" s="47">
        <f>'Income Statement'!J7</f>
        <v>45657</v>
      </c>
      <c r="K7" s="47">
        <f>'Income Statement'!K7</f>
        <v>46021</v>
      </c>
      <c r="L7" s="47">
        <f>'Income Statement'!L7</f>
        <v>46386</v>
      </c>
      <c r="M7" s="47">
        <f>'Income Statement'!M7</f>
        <v>46751</v>
      </c>
      <c r="N7" s="47">
        <f>'Income Statement'!N7</f>
        <v>47117</v>
      </c>
      <c r="O7" s="47">
        <f>'Income Statement'!O7</f>
        <v>47481</v>
      </c>
      <c r="P7" s="47">
        <f>'Income Statement'!P7</f>
        <v>47846</v>
      </c>
    </row>
    <row r="8" spans="1:21" ht="14.5" customHeight="1" x14ac:dyDescent="0.35">
      <c r="A8" s="278">
        <f>ROW()</f>
        <v>8</v>
      </c>
      <c r="B8" t="s">
        <v>88</v>
      </c>
      <c r="C8" s="64"/>
      <c r="D8" s="65"/>
      <c r="E8" s="64"/>
      <c r="F8" s="64"/>
      <c r="H8" s="69"/>
      <c r="I8" s="94">
        <f>'Income Statement'!I36</f>
        <v>136476.95617560827</v>
      </c>
      <c r="J8" s="94">
        <f>'Income Statement'!J36</f>
        <v>-39828.794670229756</v>
      </c>
      <c r="K8" s="94">
        <f>'Income Statement'!K36</f>
        <v>-67697.488220946863</v>
      </c>
      <c r="L8" s="94">
        <f>'Income Statement'!L36</f>
        <v>-165227.23068732332</v>
      </c>
      <c r="M8" s="94">
        <f>'Income Statement'!M36</f>
        <v>7844.0963831121435</v>
      </c>
      <c r="N8" s="94">
        <f>'Income Statement'!N36</f>
        <v>55357.585866873764</v>
      </c>
      <c r="O8" s="94">
        <f>'Income Statement'!O36</f>
        <v>107297.04909008151</v>
      </c>
      <c r="P8" s="94">
        <f>'Income Statement'!P36</f>
        <v>144998.0703876387</v>
      </c>
    </row>
    <row r="9" spans="1:21" ht="14.5" customHeight="1" x14ac:dyDescent="0.35">
      <c r="A9" s="278">
        <f>ROW()</f>
        <v>9</v>
      </c>
      <c r="B9" t="s">
        <v>129</v>
      </c>
      <c r="C9" s="68"/>
      <c r="D9" s="65"/>
      <c r="E9" s="64"/>
      <c r="F9" s="64"/>
      <c r="G9" s="69"/>
      <c r="H9" s="69"/>
      <c r="I9" s="71">
        <f>'Income Statement'!I19</f>
        <v>230468.57713275388</v>
      </c>
      <c r="J9" s="71">
        <f>'Income Statement'!J19</f>
        <v>168671.51145384993</v>
      </c>
      <c r="K9" s="71">
        <f>'Income Statement'!K19</f>
        <v>156662.41801503187</v>
      </c>
      <c r="L9" s="71">
        <f>'Income Statement'!L19</f>
        <v>208078.15066398765</v>
      </c>
      <c r="M9" s="71">
        <f>'Income Statement'!M19</f>
        <v>215372.73484855655</v>
      </c>
      <c r="N9" s="71">
        <f>'Income Statement'!N19</f>
        <v>225140.31695892214</v>
      </c>
      <c r="O9" s="71">
        <f>'Income Statement'!O19</f>
        <v>235756.2925829365</v>
      </c>
      <c r="P9" s="71">
        <f>'Income Statement'!P19</f>
        <v>247453.04529456742</v>
      </c>
    </row>
    <row r="10" spans="1:21" ht="14.5" customHeight="1" x14ac:dyDescent="0.35">
      <c r="A10" s="278">
        <f>ROW()</f>
        <v>10</v>
      </c>
      <c r="B10" t="s">
        <v>89</v>
      </c>
      <c r="C10" s="68"/>
      <c r="D10" s="65"/>
      <c r="E10" s="64"/>
      <c r="F10" s="64"/>
      <c r="H10" s="69"/>
      <c r="I10" s="71">
        <f>'Income Statement'!I21</f>
        <v>30579.642857142859</v>
      </c>
      <c r="J10" s="71">
        <f>'Income Statement'!J21</f>
        <v>30579.642857142859</v>
      </c>
      <c r="K10" s="71">
        <f>'Income Statement'!K21</f>
        <v>30579.642857142859</v>
      </c>
      <c r="L10" s="71">
        <f>'Income Statement'!L21</f>
        <v>30579.642857142859</v>
      </c>
      <c r="M10" s="71">
        <f>'Income Statement'!M21</f>
        <v>30579.642857142859</v>
      </c>
      <c r="N10" s="71">
        <f>'Income Statement'!N21</f>
        <v>30579.642857142859</v>
      </c>
      <c r="O10" s="71">
        <f>'Income Statement'!O21</f>
        <v>30579.642857142859</v>
      </c>
      <c r="P10" s="71">
        <f>'Income Statement'!P21</f>
        <v>0</v>
      </c>
    </row>
    <row r="11" spans="1:21" ht="14.5" customHeight="1" x14ac:dyDescent="0.35">
      <c r="A11" s="278">
        <f>ROW()</f>
        <v>11</v>
      </c>
      <c r="B11" t="s">
        <v>90</v>
      </c>
      <c r="C11" s="68"/>
      <c r="H11" s="69"/>
      <c r="I11" s="71">
        <f>'Income Statement'!I35*Assumptions!E27</f>
        <v>5329.1001935237518</v>
      </c>
      <c r="J11" s="71">
        <f>'Income Statement'!J35*Assumptions!F27</f>
        <v>-1555.2196014089714</v>
      </c>
      <c r="K11" s="71">
        <f>'Income Statement'!K35*Assumptions!G27</f>
        <v>-2643.4257305322117</v>
      </c>
      <c r="L11" s="71">
        <f>'Income Statement'!L35*Assumptions!H27</f>
        <v>-6451.7299601716732</v>
      </c>
      <c r="M11" s="71">
        <f>'Income Statement'!M35*Assumptions!I27</f>
        <v>306.29328734056946</v>
      </c>
      <c r="N11" s="71">
        <f>'Income Statement'!N35*Assumptions!J27</f>
        <v>2161.5819243255469</v>
      </c>
      <c r="O11" s="71">
        <f>'Income Statement'!O35*Assumptions!K27</f>
        <v>4189.6942978031821</v>
      </c>
      <c r="P11" s="71">
        <f>'Income Statement'!P35*Assumptions!L27</f>
        <v>5661.8294151363698</v>
      </c>
    </row>
    <row r="12" spans="1:21" ht="14.5" customHeight="1" x14ac:dyDescent="0.35">
      <c r="A12" s="278">
        <f>ROW()</f>
        <v>12</v>
      </c>
      <c r="B12" s="36" t="s">
        <v>91</v>
      </c>
      <c r="C12" s="68"/>
      <c r="H12" s="72"/>
      <c r="I12" s="95">
        <f>SUM(I8:I11)</f>
        <v>402854.27635902871</v>
      </c>
      <c r="J12" s="95">
        <f t="shared" ref="J12:O12" si="0">SUM(J8:J11)</f>
        <v>157867.1400393541</v>
      </c>
      <c r="K12" s="95">
        <f t="shared" si="0"/>
        <v>116901.14692069565</v>
      </c>
      <c r="L12" s="95">
        <f t="shared" si="0"/>
        <v>66978.832873635518</v>
      </c>
      <c r="M12" s="95">
        <f t="shared" si="0"/>
        <v>254102.76737615213</v>
      </c>
      <c r="N12" s="95">
        <f t="shared" si="0"/>
        <v>313239.12760726432</v>
      </c>
      <c r="O12" s="95">
        <f t="shared" si="0"/>
        <v>377822.678827964</v>
      </c>
      <c r="P12" s="95">
        <f t="shared" ref="P12" si="1">SUM(P8:P11)</f>
        <v>398112.94509734248</v>
      </c>
    </row>
    <row r="13" spans="1:21" ht="14.5" customHeight="1" x14ac:dyDescent="0.35">
      <c r="A13" s="278">
        <f>ROW()</f>
        <v>13</v>
      </c>
      <c r="C13" s="68"/>
      <c r="H13" s="69"/>
      <c r="I13" s="69"/>
      <c r="J13" s="69"/>
      <c r="K13" s="69"/>
      <c r="L13" s="69"/>
      <c r="M13" s="69"/>
      <c r="N13" s="69"/>
      <c r="O13" s="69"/>
      <c r="P13" s="69"/>
      <c r="U13" s="64"/>
    </row>
    <row r="14" spans="1:21" ht="14.5" customHeight="1" x14ac:dyDescent="0.35">
      <c r="A14" s="278">
        <f>ROW()</f>
        <v>14</v>
      </c>
      <c r="B14" s="73" t="s">
        <v>92</v>
      </c>
      <c r="C14" s="68"/>
      <c r="H14" s="69"/>
      <c r="I14" s="69"/>
      <c r="J14" s="69"/>
      <c r="K14" s="69"/>
      <c r="L14" s="69"/>
      <c r="M14" s="69"/>
      <c r="N14" s="69"/>
      <c r="O14" s="69"/>
      <c r="P14" s="69"/>
      <c r="U14" s="64"/>
    </row>
    <row r="15" spans="1:21" ht="14.5" customHeight="1" x14ac:dyDescent="0.35">
      <c r="A15" s="278">
        <f>ROW()</f>
        <v>15</v>
      </c>
      <c r="B15" t="s">
        <v>93</v>
      </c>
      <c r="C15" s="68"/>
      <c r="D15" s="74"/>
      <c r="E15" s="74"/>
      <c r="F15" s="74"/>
      <c r="H15" s="69"/>
      <c r="I15" s="94">
        <f>+'Balance Sheet'!H10-'Balance Sheet'!I10</f>
        <v>533.96316931506954</v>
      </c>
      <c r="J15" s="94">
        <f>+'Balance Sheet'!I10-'Balance Sheet'!J10</f>
        <v>7658.793541479452</v>
      </c>
      <c r="K15" s="94">
        <f>+'Balance Sheet'!J10-'Balance Sheet'!K10</f>
        <v>990.16948799999773</v>
      </c>
      <c r="L15" s="94">
        <f>+'Balance Sheet'!K10-'Balance Sheet'!L10</f>
        <v>-4239.3116459231951</v>
      </c>
      <c r="M15" s="94">
        <f>+'Balance Sheet'!L10-'Balance Sheet'!M10</f>
        <v>-601.45045285935703</v>
      </c>
      <c r="N15" s="94">
        <f>+'Balance Sheet'!M10-'Balance Sheet'!N10</f>
        <v>-805.35319560062271</v>
      </c>
      <c r="O15" s="94">
        <f>+'Balance Sheet'!N10-'Balance Sheet'!O10</f>
        <v>-875.30463492548733</v>
      </c>
      <c r="P15" s="94">
        <f>+'Balance Sheet'!O10-'Balance Sheet'!P10</f>
        <v>-916.57761878492965</v>
      </c>
    </row>
    <row r="16" spans="1:21" ht="14.5" customHeight="1" x14ac:dyDescent="0.35">
      <c r="A16" s="278">
        <f>ROW()</f>
        <v>16</v>
      </c>
      <c r="B16" t="s">
        <v>94</v>
      </c>
      <c r="C16" s="68"/>
      <c r="D16" s="74"/>
      <c r="E16" s="74"/>
      <c r="F16" s="74"/>
      <c r="H16" s="69"/>
      <c r="I16" s="94">
        <f>+'Balance Sheet'!H11-'Balance Sheet'!I11</f>
        <v>0</v>
      </c>
      <c r="J16" s="94">
        <f>+'Balance Sheet'!I11-'Balance Sheet'!J11</f>
        <v>0</v>
      </c>
      <c r="K16" s="94">
        <f>+'Balance Sheet'!J11-'Balance Sheet'!K11</f>
        <v>0</v>
      </c>
      <c r="L16" s="94">
        <f>+'Balance Sheet'!K11-'Balance Sheet'!L11</f>
        <v>0</v>
      </c>
      <c r="M16" s="94">
        <f>+'Balance Sheet'!L11-'Balance Sheet'!M11</f>
        <v>0</v>
      </c>
      <c r="N16" s="94">
        <f>+'Balance Sheet'!M11-'Balance Sheet'!N11</f>
        <v>0</v>
      </c>
      <c r="O16" s="94">
        <f>+'Balance Sheet'!N11-'Balance Sheet'!O11</f>
        <v>0</v>
      </c>
      <c r="P16" s="94">
        <f>+'Balance Sheet'!O11-'Balance Sheet'!P11</f>
        <v>0</v>
      </c>
    </row>
    <row r="17" spans="1:21" ht="14.5" customHeight="1" x14ac:dyDescent="0.35">
      <c r="A17" s="278">
        <f>ROW()</f>
        <v>17</v>
      </c>
      <c r="B17" t="s">
        <v>95</v>
      </c>
      <c r="C17" s="68"/>
      <c r="D17" s="74"/>
      <c r="E17" s="74"/>
      <c r="F17" s="74"/>
      <c r="H17" s="69"/>
      <c r="I17" s="94">
        <f>+'Balance Sheet'!H12-'Balance Sheet'!I12</f>
        <v>0</v>
      </c>
      <c r="J17" s="94">
        <f>+'Balance Sheet'!I12-'Balance Sheet'!J12</f>
        <v>0</v>
      </c>
      <c r="K17" s="94">
        <f>+'Balance Sheet'!J12-'Balance Sheet'!K12</f>
        <v>0</v>
      </c>
      <c r="L17" s="94">
        <f>+'Balance Sheet'!K12-'Balance Sheet'!L12</f>
        <v>0</v>
      </c>
      <c r="M17" s="94">
        <f>+'Balance Sheet'!L12-'Balance Sheet'!M12</f>
        <v>0</v>
      </c>
      <c r="N17" s="94">
        <f>+'Balance Sheet'!M12-'Balance Sheet'!N12</f>
        <v>0</v>
      </c>
      <c r="O17" s="94">
        <f>+'Balance Sheet'!N12-'Balance Sheet'!O12</f>
        <v>0</v>
      </c>
      <c r="P17" s="94">
        <f>+'Balance Sheet'!O12-'Balance Sheet'!P12</f>
        <v>0</v>
      </c>
    </row>
    <row r="18" spans="1:21" ht="14.5" customHeight="1" x14ac:dyDescent="0.35">
      <c r="A18" s="278">
        <f>ROW()</f>
        <v>18</v>
      </c>
      <c r="B18" t="s">
        <v>96</v>
      </c>
      <c r="C18" s="68"/>
      <c r="D18" s="74"/>
      <c r="E18" s="74"/>
      <c r="F18" s="74"/>
      <c r="H18" s="69"/>
      <c r="I18" s="71">
        <f>'Balance Sheet'!I24-'Balance Sheet'!H24</f>
        <v>616.56013629588415</v>
      </c>
      <c r="J18" s="71">
        <f>'Balance Sheet'!J24-'Balance Sheet'!I24</f>
        <v>-18781.341409103727</v>
      </c>
      <c r="K18" s="71">
        <f>'Balance Sheet'!K24-'Balance Sheet'!J24</f>
        <v>-2672.4367681062577</v>
      </c>
      <c r="L18" s="71">
        <f>'Balance Sheet'!L24-'Balance Sheet'!K24</f>
        <v>21967.744834527839</v>
      </c>
      <c r="M18" s="71">
        <f>'Balance Sheet'!M24-'Balance Sheet'!L24</f>
        <v>-7811.5006113551062</v>
      </c>
      <c r="N18" s="71">
        <f>'Balance Sheet'!N24-'Balance Sheet'!M24</f>
        <v>1082.4460137422793</v>
      </c>
      <c r="O18" s="71">
        <f>'Balance Sheet'!O24-'Balance Sheet'!N24</f>
        <v>2362.4200886997132</v>
      </c>
      <c r="P18" s="71">
        <f>'Balance Sheet'!P24-'Balance Sheet'!O24</f>
        <v>2473.8145933094493</v>
      </c>
    </row>
    <row r="19" spans="1:21" ht="14.5" customHeight="1" x14ac:dyDescent="0.35">
      <c r="A19" s="278">
        <f>ROW()</f>
        <v>19</v>
      </c>
      <c r="B19" t="s">
        <v>97</v>
      </c>
      <c r="C19" s="68"/>
      <c r="D19" s="74"/>
      <c r="E19" s="74"/>
      <c r="F19" s="74"/>
      <c r="H19" s="69"/>
      <c r="I19" s="71">
        <f>'Balance Sheet'!I25-'Balance Sheet'!H25</f>
        <v>0</v>
      </c>
      <c r="J19" s="71">
        <f>'Balance Sheet'!J25-'Balance Sheet'!I25</f>
        <v>0</v>
      </c>
      <c r="K19" s="71">
        <f>'Balance Sheet'!K25-'Balance Sheet'!J25</f>
        <v>0</v>
      </c>
      <c r="L19" s="71">
        <f>'Balance Sheet'!L25-'Balance Sheet'!K25</f>
        <v>0</v>
      </c>
      <c r="M19" s="71">
        <f>'Balance Sheet'!M25-'Balance Sheet'!L25</f>
        <v>0</v>
      </c>
      <c r="N19" s="71">
        <f>'Balance Sheet'!N25-'Balance Sheet'!M25</f>
        <v>0</v>
      </c>
      <c r="O19" s="71">
        <f>'Balance Sheet'!O25-'Balance Sheet'!N25</f>
        <v>0</v>
      </c>
      <c r="P19" s="71">
        <f>'Balance Sheet'!P25-'Balance Sheet'!O25</f>
        <v>0</v>
      </c>
    </row>
    <row r="20" spans="1:21" ht="14.5" customHeight="1" x14ac:dyDescent="0.35">
      <c r="A20" s="278">
        <f>ROW()</f>
        <v>20</v>
      </c>
      <c r="B20" s="23" t="s">
        <v>98</v>
      </c>
      <c r="C20" s="68"/>
      <c r="D20" s="74"/>
      <c r="E20" s="74"/>
      <c r="F20" s="74"/>
      <c r="H20" s="69"/>
      <c r="I20" s="96">
        <f>SUM(I15:I19)</f>
        <v>1150.5233056109537</v>
      </c>
      <c r="J20" s="96">
        <f t="shared" ref="J20:P20" si="2">SUM(J15:J19)</f>
        <v>-11122.547867624275</v>
      </c>
      <c r="K20" s="96">
        <f t="shared" si="2"/>
        <v>-1682.2672801062599</v>
      </c>
      <c r="L20" s="96">
        <f t="shared" si="2"/>
        <v>17728.433188604642</v>
      </c>
      <c r="M20" s="96">
        <f t="shared" si="2"/>
        <v>-8412.9510642144633</v>
      </c>
      <c r="N20" s="96">
        <f t="shared" si="2"/>
        <v>277.09281814165661</v>
      </c>
      <c r="O20" s="96">
        <f t="shared" si="2"/>
        <v>1487.1154537742259</v>
      </c>
      <c r="P20" s="96">
        <f t="shared" si="2"/>
        <v>1557.2369745245196</v>
      </c>
    </row>
    <row r="21" spans="1:21" ht="14.5" customHeight="1" x14ac:dyDescent="0.35">
      <c r="A21" s="278">
        <f>ROW()</f>
        <v>21</v>
      </c>
      <c r="C21" s="68"/>
      <c r="D21" s="74"/>
      <c r="E21" s="74"/>
      <c r="F21" s="74"/>
      <c r="I21" s="69"/>
      <c r="J21" s="69"/>
      <c r="K21" s="69"/>
      <c r="L21" s="69"/>
      <c r="M21" s="69"/>
      <c r="N21" s="69"/>
      <c r="O21" s="69"/>
      <c r="P21" s="69"/>
    </row>
    <row r="22" spans="1:21" ht="14.5" customHeight="1" x14ac:dyDescent="0.35">
      <c r="A22" s="278">
        <f>ROW()</f>
        <v>22</v>
      </c>
      <c r="B22" s="36" t="s">
        <v>99</v>
      </c>
      <c r="C22" s="68"/>
      <c r="H22" s="69"/>
      <c r="I22" s="71">
        <f>+I12+I20</f>
        <v>404004.79966463964</v>
      </c>
      <c r="J22" s="71">
        <f t="shared" ref="J22:O22" si="3">+J12+J20</f>
        <v>146744.59217172983</v>
      </c>
      <c r="K22" s="71">
        <f t="shared" si="3"/>
        <v>115218.8796405894</v>
      </c>
      <c r="L22" s="71">
        <f t="shared" si="3"/>
        <v>84707.26606224016</v>
      </c>
      <c r="M22" s="71">
        <f t="shared" si="3"/>
        <v>245689.81631193767</v>
      </c>
      <c r="N22" s="71">
        <f t="shared" si="3"/>
        <v>313516.22042540601</v>
      </c>
      <c r="O22" s="71">
        <f t="shared" si="3"/>
        <v>379309.79428173823</v>
      </c>
      <c r="P22" s="71">
        <f t="shared" ref="P22" si="4">+P12+P20</f>
        <v>399670.18207186699</v>
      </c>
    </row>
    <row r="23" spans="1:21" ht="14.5" customHeight="1" x14ac:dyDescent="0.35">
      <c r="A23" s="278">
        <f>ROW()</f>
        <v>23</v>
      </c>
      <c r="C23" s="68"/>
      <c r="H23" s="69"/>
      <c r="I23" s="69"/>
      <c r="J23" s="69"/>
      <c r="K23" s="69"/>
      <c r="L23" s="69"/>
      <c r="M23" s="69"/>
      <c r="N23" s="69"/>
      <c r="O23" s="69"/>
      <c r="P23" s="69"/>
      <c r="U23" s="64"/>
    </row>
    <row r="24" spans="1:21" ht="14.5" customHeight="1" x14ac:dyDescent="0.35">
      <c r="A24" s="278">
        <f>ROW()</f>
        <v>24</v>
      </c>
      <c r="B24" s="73" t="s">
        <v>100</v>
      </c>
      <c r="C24" s="68"/>
      <c r="H24" s="69"/>
      <c r="I24" s="69"/>
      <c r="J24" s="69"/>
      <c r="K24" s="69"/>
      <c r="L24" s="69"/>
      <c r="M24" s="69"/>
      <c r="N24" s="69"/>
      <c r="O24" s="69"/>
      <c r="P24" s="69"/>
      <c r="U24" s="64"/>
    </row>
    <row r="25" spans="1:21" ht="14.5" customHeight="1" x14ac:dyDescent="0.35">
      <c r="A25" s="278">
        <f>ROW()</f>
        <v>25</v>
      </c>
      <c r="B25" t="s">
        <v>101</v>
      </c>
      <c r="C25" s="68"/>
      <c r="D25" s="74"/>
      <c r="E25" s="74"/>
      <c r="H25" s="69"/>
      <c r="I25" s="71">
        <f>-Assumptions!E26*'Income Statement'!I8</f>
        <v>-266486.57490000001</v>
      </c>
      <c r="J25" s="71">
        <f>-Assumptions!F26*'Income Statement'!J8</f>
        <v>-79314.746883749991</v>
      </c>
      <c r="K25" s="71">
        <f>-Assumptions!G26*'Income Statement'!K8</f>
        <v>-73667.686522500007</v>
      </c>
      <c r="L25" s="71">
        <f>-Assumptions!H26*'Income Statement'!L8</f>
        <v>-130460.01433754098</v>
      </c>
      <c r="M25" s="71">
        <f>-Assumptions!I26*'Income Statement'!M8</f>
        <v>-202550.31573423848</v>
      </c>
      <c r="N25" s="71">
        <f>-Assumptions!J26*'Income Statement'!N8</f>
        <v>-229381.07359002129</v>
      </c>
      <c r="O25" s="71">
        <f>-Assumptions!K26*'Income Statement'!O8</f>
        <v>-240197.01237315006</v>
      </c>
      <c r="P25" s="71">
        <f>-Assumptions!L26*'Income Statement'!P8</f>
        <v>-252114.08582650416</v>
      </c>
    </row>
    <row r="26" spans="1:21" ht="14.5" customHeight="1" x14ac:dyDescent="0.35">
      <c r="A26" s="278">
        <f>ROW()</f>
        <v>26</v>
      </c>
      <c r="B26" t="s">
        <v>102</v>
      </c>
      <c r="C26" s="68"/>
      <c r="D26" s="74"/>
      <c r="E26" s="74"/>
      <c r="H26" s="69"/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43"/>
    </row>
    <row r="27" spans="1:21" ht="14.5" customHeight="1" x14ac:dyDescent="0.35">
      <c r="A27" s="278">
        <f>ROW()</f>
        <v>27</v>
      </c>
      <c r="B27" s="36" t="s">
        <v>103</v>
      </c>
      <c r="C27" s="68"/>
      <c r="H27" s="69"/>
      <c r="I27" s="96">
        <f>+I26+I25</f>
        <v>-266486.57490000001</v>
      </c>
      <c r="J27" s="96">
        <f t="shared" ref="J27:O27" si="5">+J26+J25</f>
        <v>-79314.746883749991</v>
      </c>
      <c r="K27" s="96">
        <f t="shared" si="5"/>
        <v>-73667.686522500007</v>
      </c>
      <c r="L27" s="96">
        <f t="shared" si="5"/>
        <v>-130460.01433754098</v>
      </c>
      <c r="M27" s="96">
        <f t="shared" si="5"/>
        <v>-202550.31573423848</v>
      </c>
      <c r="N27" s="96">
        <f t="shared" si="5"/>
        <v>-229381.07359002129</v>
      </c>
      <c r="O27" s="96">
        <f t="shared" si="5"/>
        <v>-240197.01237315006</v>
      </c>
      <c r="P27" s="96">
        <f t="shared" ref="P27" si="6">+P26+P25</f>
        <v>-252114.08582650416</v>
      </c>
    </row>
    <row r="28" spans="1:21" ht="14.5" customHeight="1" x14ac:dyDescent="0.35">
      <c r="A28" s="278">
        <f>ROW()</f>
        <v>28</v>
      </c>
      <c r="C28" s="68"/>
      <c r="H28" s="69"/>
      <c r="I28" s="69"/>
      <c r="J28" s="69"/>
      <c r="K28" s="69"/>
      <c r="L28" s="69"/>
      <c r="M28" s="69"/>
      <c r="N28" s="69"/>
      <c r="O28" s="69"/>
      <c r="P28" s="69"/>
      <c r="U28" s="64"/>
    </row>
    <row r="29" spans="1:21" ht="14.5" customHeight="1" x14ac:dyDescent="0.35">
      <c r="A29" s="278">
        <f>ROW()</f>
        <v>29</v>
      </c>
      <c r="B29" s="31" t="s">
        <v>104</v>
      </c>
      <c r="C29" s="68"/>
      <c r="H29" s="69"/>
      <c r="I29" s="71">
        <f>+I22+I27</f>
        <v>137518.22476463963</v>
      </c>
      <c r="J29" s="71">
        <f t="shared" ref="J29:O29" si="7">+J22+J27</f>
        <v>67429.845287979842</v>
      </c>
      <c r="K29" s="71">
        <f t="shared" si="7"/>
        <v>41551.193118089388</v>
      </c>
      <c r="L29" s="71">
        <f t="shared" si="7"/>
        <v>-45752.748275300823</v>
      </c>
      <c r="M29" s="71">
        <f t="shared" si="7"/>
        <v>43139.500577699189</v>
      </c>
      <c r="N29" s="71">
        <f t="shared" si="7"/>
        <v>84135.146835384716</v>
      </c>
      <c r="O29" s="71">
        <f t="shared" si="7"/>
        <v>139112.78190858816</v>
      </c>
      <c r="P29" s="71">
        <f t="shared" ref="P29" si="8">+P22+P27</f>
        <v>147556.09624536283</v>
      </c>
      <c r="Q29" s="44"/>
    </row>
    <row r="30" spans="1:21" ht="14.5" customHeight="1" x14ac:dyDescent="0.35">
      <c r="A30" s="278">
        <f>ROW()</f>
        <v>30</v>
      </c>
      <c r="B30" s="31" t="s">
        <v>161</v>
      </c>
      <c r="C30" s="68"/>
      <c r="H30" s="69"/>
      <c r="I30" s="71">
        <f>+I29</f>
        <v>137518.22476463963</v>
      </c>
      <c r="J30" s="71">
        <f>+I30+J29</f>
        <v>204948.07005261947</v>
      </c>
      <c r="K30" s="71">
        <f t="shared" ref="K30:P30" si="9">+J30+K29</f>
        <v>246499.26317070884</v>
      </c>
      <c r="L30" s="71">
        <f t="shared" si="9"/>
        <v>200746.51489540801</v>
      </c>
      <c r="M30" s="71">
        <f t="shared" si="9"/>
        <v>243886.0154731072</v>
      </c>
      <c r="N30" s="71">
        <f t="shared" si="9"/>
        <v>328021.16230849188</v>
      </c>
      <c r="O30" s="71">
        <f t="shared" si="9"/>
        <v>467133.94421708002</v>
      </c>
      <c r="P30" s="71">
        <f t="shared" si="9"/>
        <v>614690.04046244291</v>
      </c>
      <c r="Q30" s="44"/>
    </row>
    <row r="31" spans="1:21" ht="14.5" customHeight="1" x14ac:dyDescent="0.35">
      <c r="A31" s="278">
        <f>ROW()</f>
        <v>31</v>
      </c>
      <c r="B31" s="31" t="s">
        <v>162</v>
      </c>
      <c r="C31" s="68"/>
      <c r="H31" s="69"/>
      <c r="I31" s="18">
        <v>2.1590184307411605E-2</v>
      </c>
      <c r="J31" s="18">
        <v>9.2564591230611837E-2</v>
      </c>
      <c r="K31" s="18">
        <v>0.19726384027860214</v>
      </c>
      <c r="L31" s="18">
        <v>0.32420682851993493</v>
      </c>
      <c r="M31" s="18">
        <v>0.47961791295143497</v>
      </c>
      <c r="N31" s="18">
        <v>0.667864535493081</v>
      </c>
      <c r="O31" s="18">
        <v>0.89388508456907612</v>
      </c>
      <c r="P31" s="18">
        <v>0.89388508456907612</v>
      </c>
      <c r="Q31" s="44"/>
    </row>
    <row r="32" spans="1:21" ht="14.5" customHeight="1" x14ac:dyDescent="0.35">
      <c r="A32" s="278">
        <f>ROW()</f>
        <v>32</v>
      </c>
      <c r="B32" s="31" t="s">
        <v>163</v>
      </c>
      <c r="C32" s="68"/>
      <c r="H32" s="69"/>
      <c r="I32" s="18">
        <v>1.4111231573471637E-2</v>
      </c>
      <c r="J32" s="18">
        <v>6.0499732830465253E-2</v>
      </c>
      <c r="K32" s="18">
        <v>0.12893061456117785</v>
      </c>
      <c r="L32" s="18">
        <v>0.21189988792152611</v>
      </c>
      <c r="M32" s="18">
        <v>0.3134757600989771</v>
      </c>
      <c r="N32" s="18">
        <v>0.43651276829613134</v>
      </c>
      <c r="O32" s="18">
        <v>0.58423861736540916</v>
      </c>
      <c r="P32" s="18">
        <v>0.58423861736540916</v>
      </c>
      <c r="Q32" s="44"/>
    </row>
    <row r="33" spans="1:25" ht="14.5" customHeight="1" x14ac:dyDescent="0.35">
      <c r="A33" s="278">
        <f>ROW()</f>
        <v>33</v>
      </c>
      <c r="C33" s="68"/>
      <c r="H33" s="69"/>
      <c r="I33" s="69"/>
      <c r="J33" s="69"/>
      <c r="K33" s="69"/>
      <c r="L33" s="69"/>
      <c r="M33" s="69"/>
      <c r="N33" s="69"/>
      <c r="O33" s="69"/>
      <c r="P33" s="69"/>
      <c r="U33" s="64"/>
    </row>
    <row r="34" spans="1:25" ht="14.5" customHeight="1" x14ac:dyDescent="0.35">
      <c r="A34" s="278">
        <f>ROW()</f>
        <v>34</v>
      </c>
      <c r="B34" s="73" t="s">
        <v>164</v>
      </c>
      <c r="C34" s="68"/>
      <c r="H34" s="69"/>
      <c r="I34" s="69"/>
      <c r="J34" s="69"/>
      <c r="K34" s="69"/>
      <c r="L34" s="69"/>
      <c r="M34" s="69"/>
      <c r="N34" s="69"/>
      <c r="O34" s="69"/>
      <c r="P34" s="69"/>
      <c r="U34" s="64"/>
    </row>
    <row r="35" spans="1:25" ht="14.5" customHeight="1" x14ac:dyDescent="0.35">
      <c r="A35" s="278">
        <f>ROW()</f>
        <v>35</v>
      </c>
      <c r="B35" t="s">
        <v>160</v>
      </c>
      <c r="C35" s="68"/>
      <c r="H35" s="69"/>
      <c r="I35" s="22">
        <f>'Debt Schedule'!J14</f>
        <v>0</v>
      </c>
      <c r="J35" s="22">
        <f>'Debt Schedule'!K14</f>
        <v>0</v>
      </c>
      <c r="K35" s="22">
        <f>'Debt Schedule'!L14</f>
        <v>0</v>
      </c>
      <c r="L35" s="22">
        <f>'Debt Schedule'!M14</f>
        <v>0</v>
      </c>
      <c r="M35" s="22">
        <f>'Debt Schedule'!N14</f>
        <v>0</v>
      </c>
      <c r="N35" s="22">
        <f>'Debt Schedule'!O14</f>
        <v>0</v>
      </c>
      <c r="O35" s="22">
        <f>'Debt Schedule'!P14</f>
        <v>0</v>
      </c>
      <c r="P35" s="22">
        <f>'Debt Schedule'!Q14</f>
        <v>0</v>
      </c>
    </row>
    <row r="36" spans="1:25" ht="14.5" customHeight="1" x14ac:dyDescent="0.35">
      <c r="A36" s="278">
        <f>ROW()</f>
        <v>36</v>
      </c>
      <c r="B36" t="s">
        <v>3</v>
      </c>
      <c r="C36" s="68"/>
      <c r="H36" s="69"/>
      <c r="I36" s="22">
        <f>'Debt Schedule'!J23</f>
        <v>0</v>
      </c>
      <c r="J36" s="22">
        <f>'Debt Schedule'!K23</f>
        <v>-50000</v>
      </c>
      <c r="K36" s="22">
        <f>'Debt Schedule'!L23</f>
        <v>-100000</v>
      </c>
      <c r="L36" s="22">
        <f>'Debt Schedule'!M23</f>
        <v>-100000</v>
      </c>
      <c r="M36" s="22">
        <f>'Debt Schedule'!N23</f>
        <v>-150000</v>
      </c>
      <c r="N36" s="22">
        <f>'Debt Schedule'!O23</f>
        <v>-600000</v>
      </c>
      <c r="O36" s="22">
        <f>'Debt Schedule'!P23</f>
        <v>0</v>
      </c>
      <c r="P36" s="22">
        <f>'Debt Schedule'!Q23</f>
        <v>0</v>
      </c>
    </row>
    <row r="37" spans="1:25" ht="14.5" customHeight="1" x14ac:dyDescent="0.35">
      <c r="A37" s="278">
        <f>ROW()</f>
        <v>37</v>
      </c>
      <c r="B37" t="s">
        <v>4</v>
      </c>
      <c r="C37" s="68"/>
      <c r="H37" s="69"/>
      <c r="I37" s="22">
        <f>'Debt Schedule'!J33</f>
        <v>0</v>
      </c>
      <c r="J37" s="22">
        <f>'Debt Schedule'!K33</f>
        <v>-13000</v>
      </c>
      <c r="K37" s="22">
        <f>'Debt Schedule'!L33</f>
        <v>-13000</v>
      </c>
      <c r="L37" s="22">
        <f>'Debt Schedule'!M33</f>
        <v>-13000</v>
      </c>
      <c r="M37" s="22">
        <f>'Debt Schedule'!N33</f>
        <v>-13000</v>
      </c>
      <c r="N37" s="22">
        <f>'Debt Schedule'!O33</f>
        <v>-13000</v>
      </c>
      <c r="O37" s="22">
        <f>'Debt Schedule'!P33</f>
        <v>-13000</v>
      </c>
      <c r="P37" s="22">
        <f>'Debt Schedule'!Q33</f>
        <v>-1222000</v>
      </c>
    </row>
    <row r="38" spans="1:25" ht="14.5" customHeight="1" x14ac:dyDescent="0.35">
      <c r="A38" s="278">
        <f>ROW()</f>
        <v>38</v>
      </c>
      <c r="B38" t="s">
        <v>126</v>
      </c>
      <c r="C38" s="68"/>
      <c r="H38" s="69"/>
      <c r="I38" s="22">
        <f>'Debt Schedule'!J43</f>
        <v>0</v>
      </c>
      <c r="J38" s="22">
        <f>'Debt Schedule'!K43</f>
        <v>0</v>
      </c>
      <c r="K38" s="22">
        <f>'Debt Schedule'!L43</f>
        <v>0</v>
      </c>
      <c r="L38" s="22">
        <f>'Debt Schedule'!M43</f>
        <v>0</v>
      </c>
      <c r="M38" s="22">
        <f>'Debt Schedule'!N43</f>
        <v>0</v>
      </c>
      <c r="N38" s="22">
        <f>'Debt Schedule'!O43</f>
        <v>0</v>
      </c>
      <c r="O38" s="22">
        <f>'Debt Schedule'!P43</f>
        <v>0</v>
      </c>
      <c r="P38" s="22">
        <f>'Debt Schedule'!Q43</f>
        <v>0</v>
      </c>
    </row>
    <row r="39" spans="1:25" ht="14.5" customHeight="1" x14ac:dyDescent="0.35">
      <c r="A39" s="278">
        <f>ROW()</f>
        <v>39</v>
      </c>
      <c r="B39" t="s">
        <v>28</v>
      </c>
      <c r="C39" s="68"/>
      <c r="H39" s="69"/>
      <c r="I39" s="97">
        <f>'Debt Schedule'!J52</f>
        <v>0</v>
      </c>
      <c r="J39" s="97">
        <f>'Debt Schedule'!K52</f>
        <v>0</v>
      </c>
      <c r="K39" s="97">
        <f>'Debt Schedule'!L52</f>
        <v>0</v>
      </c>
      <c r="L39" s="97">
        <f>'Debt Schedule'!M52</f>
        <v>0</v>
      </c>
      <c r="M39" s="97">
        <f>'Debt Schedule'!N52</f>
        <v>0</v>
      </c>
      <c r="N39" s="97">
        <f>'Debt Schedule'!O52</f>
        <v>0</v>
      </c>
      <c r="O39" s="97">
        <f>'Debt Schedule'!P52</f>
        <v>0</v>
      </c>
      <c r="P39" s="97">
        <f>'Debt Schedule'!Q52</f>
        <v>0</v>
      </c>
    </row>
    <row r="40" spans="1:25" ht="14.5" customHeight="1" x14ac:dyDescent="0.35">
      <c r="A40" s="278">
        <f>ROW()</f>
        <v>40</v>
      </c>
      <c r="B40" s="36" t="s">
        <v>105</v>
      </c>
      <c r="C40" s="68"/>
      <c r="H40" s="69"/>
      <c r="I40" s="71">
        <f>SUM(I35:I39)</f>
        <v>0</v>
      </c>
      <c r="J40" s="71">
        <f t="shared" ref="J40:O40" si="10">SUM(J35:J39)</f>
        <v>-63000</v>
      </c>
      <c r="K40" s="71">
        <f t="shared" si="10"/>
        <v>-113000</v>
      </c>
      <c r="L40" s="71">
        <f t="shared" si="10"/>
        <v>-113000</v>
      </c>
      <c r="M40" s="71">
        <f t="shared" si="10"/>
        <v>-163000</v>
      </c>
      <c r="N40" s="71">
        <f t="shared" si="10"/>
        <v>-613000</v>
      </c>
      <c r="O40" s="71">
        <f t="shared" si="10"/>
        <v>-13000</v>
      </c>
      <c r="P40" s="71">
        <f t="shared" ref="P40" si="11">SUM(P35:P39)</f>
        <v>-1222000</v>
      </c>
    </row>
    <row r="41" spans="1:25" ht="14.5" customHeight="1" x14ac:dyDescent="0.35">
      <c r="A41" s="278">
        <f>ROW()</f>
        <v>41</v>
      </c>
      <c r="C41" s="68"/>
      <c r="H41" s="69"/>
      <c r="I41" s="69"/>
      <c r="J41" s="69"/>
      <c r="K41" s="69"/>
      <c r="L41" s="69"/>
      <c r="M41" s="69"/>
      <c r="N41" s="69"/>
      <c r="O41" s="69"/>
      <c r="P41" s="69"/>
      <c r="U41" s="64"/>
    </row>
    <row r="42" spans="1:25" ht="14.5" customHeight="1" x14ac:dyDescent="0.35">
      <c r="A42" s="278">
        <f>ROW()</f>
        <v>42</v>
      </c>
      <c r="B42" s="31" t="s">
        <v>106</v>
      </c>
      <c r="C42" s="68"/>
      <c r="H42" s="69"/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</row>
    <row r="43" spans="1:25" ht="14.5" customHeight="1" x14ac:dyDescent="0.35">
      <c r="A43" s="278">
        <f>ROW()</f>
        <v>43</v>
      </c>
      <c r="B43" s="36" t="s">
        <v>107</v>
      </c>
      <c r="C43" s="68"/>
      <c r="H43" s="69"/>
      <c r="I43" s="96">
        <f>+I42+I40</f>
        <v>0</v>
      </c>
      <c r="J43" s="96">
        <f t="shared" ref="J43:O43" si="12">+J42+J40</f>
        <v>-63000</v>
      </c>
      <c r="K43" s="96">
        <f t="shared" si="12"/>
        <v>-113000</v>
      </c>
      <c r="L43" s="96">
        <f t="shared" si="12"/>
        <v>-113000</v>
      </c>
      <c r="M43" s="96">
        <f t="shared" si="12"/>
        <v>-163000</v>
      </c>
      <c r="N43" s="96">
        <f t="shared" si="12"/>
        <v>-613000</v>
      </c>
      <c r="O43" s="96">
        <f t="shared" si="12"/>
        <v>-13000</v>
      </c>
      <c r="P43" s="96">
        <f t="shared" ref="P43" si="13">+P42+P40</f>
        <v>-1222000</v>
      </c>
    </row>
    <row r="44" spans="1:25" ht="14.5" customHeight="1" x14ac:dyDescent="0.35">
      <c r="A44" s="278">
        <f>ROW()</f>
        <v>44</v>
      </c>
      <c r="B44" s="31"/>
      <c r="C44" s="68"/>
      <c r="H44" s="69"/>
      <c r="I44" s="69"/>
      <c r="J44" s="69"/>
      <c r="K44" s="69"/>
      <c r="L44" s="69"/>
      <c r="M44" s="69"/>
      <c r="N44" s="69"/>
      <c r="O44" s="69"/>
      <c r="P44" s="69"/>
      <c r="U44" s="64"/>
      <c r="V44" s="64"/>
      <c r="W44" s="64"/>
      <c r="X44" s="64"/>
      <c r="Y44" s="64"/>
    </row>
    <row r="45" spans="1:25" ht="14.5" customHeight="1" thickBot="1" x14ac:dyDescent="0.4">
      <c r="A45" s="278">
        <f>ROW()</f>
        <v>45</v>
      </c>
      <c r="B45" t="s">
        <v>165</v>
      </c>
      <c r="C45" s="68"/>
      <c r="H45" s="69"/>
      <c r="I45" s="98">
        <f>+I43+I29</f>
        <v>137518.22476463963</v>
      </c>
      <c r="J45" s="98">
        <f t="shared" ref="J45:O45" si="14">+J43+J29</f>
        <v>4429.8452879798424</v>
      </c>
      <c r="K45" s="98">
        <f t="shared" si="14"/>
        <v>-71448.806881910612</v>
      </c>
      <c r="L45" s="98">
        <f t="shared" si="14"/>
        <v>-158752.74827530084</v>
      </c>
      <c r="M45" s="98">
        <f t="shared" si="14"/>
        <v>-119860.49942230081</v>
      </c>
      <c r="N45" s="98">
        <f t="shared" si="14"/>
        <v>-528864.85316461534</v>
      </c>
      <c r="O45" s="98">
        <f t="shared" si="14"/>
        <v>126112.78190858816</v>
      </c>
      <c r="P45" s="98">
        <f t="shared" ref="P45" si="15">+P43+P29</f>
        <v>-1074443.9037546371</v>
      </c>
    </row>
    <row r="46" spans="1:25" ht="14.5" customHeight="1" thickTop="1" x14ac:dyDescent="0.35">
      <c r="A46" s="278">
        <f>ROW()</f>
        <v>46</v>
      </c>
      <c r="B46" t="s">
        <v>166</v>
      </c>
      <c r="C46" s="70"/>
      <c r="H46" s="69"/>
      <c r="I46" s="71">
        <f>'Balance Sheet'!H9</f>
        <v>1045722</v>
      </c>
      <c r="J46" s="71">
        <f>+I47</f>
        <v>1183240.2247646395</v>
      </c>
      <c r="K46" s="71">
        <f t="shared" ref="K46:P46" si="16">+J47</f>
        <v>1187670.0700526193</v>
      </c>
      <c r="L46" s="71">
        <f t="shared" si="16"/>
        <v>1116221.2631707087</v>
      </c>
      <c r="M46" s="71">
        <f t="shared" si="16"/>
        <v>957468.51489540783</v>
      </c>
      <c r="N46" s="71">
        <f t="shared" si="16"/>
        <v>837608.01547310699</v>
      </c>
      <c r="O46" s="71">
        <f t="shared" si="16"/>
        <v>308743.16230849165</v>
      </c>
      <c r="P46" s="71">
        <f t="shared" si="16"/>
        <v>434855.94421707978</v>
      </c>
      <c r="U46" s="64"/>
    </row>
    <row r="47" spans="1:25" ht="14.5" customHeight="1" x14ac:dyDescent="0.35">
      <c r="A47" s="278">
        <f>ROW()</f>
        <v>47</v>
      </c>
      <c r="B47" t="s">
        <v>167</v>
      </c>
      <c r="I47" s="71">
        <f>+I46+I45</f>
        <v>1183240.2247646395</v>
      </c>
      <c r="J47" s="71">
        <f>+J46+J45</f>
        <v>1187670.0700526193</v>
      </c>
      <c r="K47" s="71">
        <f t="shared" ref="K47:O47" si="17">+K46+K45</f>
        <v>1116221.2631707087</v>
      </c>
      <c r="L47" s="71">
        <f t="shared" si="17"/>
        <v>957468.51489540783</v>
      </c>
      <c r="M47" s="71">
        <f t="shared" si="17"/>
        <v>837608.01547310699</v>
      </c>
      <c r="N47" s="71">
        <f t="shared" si="17"/>
        <v>308743.16230849165</v>
      </c>
      <c r="O47" s="71">
        <f t="shared" si="17"/>
        <v>434855.94421707978</v>
      </c>
      <c r="P47" s="71">
        <f t="shared" ref="P47" si="18">+P46+P45</f>
        <v>-639587.95953755733</v>
      </c>
    </row>
    <row r="48" spans="1:25" ht="14.5" customHeight="1" x14ac:dyDescent="0.35"/>
    <row r="49" spans="2:21" ht="14.5" customHeight="1" x14ac:dyDescent="0.35"/>
    <row r="62" spans="2:21" ht="21.75" customHeight="1" x14ac:dyDescent="0.35">
      <c r="B62" s="31"/>
      <c r="C62" s="67"/>
      <c r="H62" s="2"/>
      <c r="I62" s="2"/>
      <c r="J62" s="2"/>
      <c r="K62" s="2"/>
      <c r="L62" s="2"/>
      <c r="M62" s="2"/>
      <c r="U62" s="2"/>
    </row>
    <row r="63" spans="2:21" ht="21.75" customHeight="1" x14ac:dyDescent="0.35"/>
    <row r="64" spans="2:21" ht="21.75" customHeight="1" x14ac:dyDescent="0.35"/>
    <row r="65" spans="1:1" ht="21.75" customHeight="1" x14ac:dyDescent="0.35"/>
    <row r="66" spans="1:1" ht="21.75" customHeight="1" x14ac:dyDescent="0.35">
      <c r="A66"/>
    </row>
    <row r="67" spans="1:1" ht="21.75" customHeight="1" x14ac:dyDescent="0.35">
      <c r="A67"/>
    </row>
    <row r="68" spans="1:1" ht="21.75" customHeight="1" x14ac:dyDescent="0.35">
      <c r="A68"/>
    </row>
    <row r="69" spans="1:1" ht="21.75" customHeight="1" x14ac:dyDescent="0.35">
      <c r="A69"/>
    </row>
    <row r="70" spans="1:1" ht="21.75" customHeight="1" x14ac:dyDescent="0.35">
      <c r="A70"/>
    </row>
    <row r="71" spans="1:1" ht="21.75" customHeight="1" x14ac:dyDescent="0.35">
      <c r="A7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customFormat="1" ht="21.75" customHeight="1" x14ac:dyDescent="0.35"/>
    <row r="82" customFormat="1" ht="21.75" customHeight="1" x14ac:dyDescent="0.35"/>
    <row r="83" customFormat="1" ht="21.75" customHeight="1" x14ac:dyDescent="0.35"/>
    <row r="84" customFormat="1" ht="21.75" customHeight="1" x14ac:dyDescent="0.35"/>
    <row r="85" customFormat="1" ht="21.75" customHeight="1" x14ac:dyDescent="0.35"/>
    <row r="86" customFormat="1" ht="21.75" customHeight="1" x14ac:dyDescent="0.35"/>
    <row r="87" customFormat="1" ht="21.75" customHeight="1" x14ac:dyDescent="0.35"/>
    <row r="88" customFormat="1" ht="21.75" customHeight="1" x14ac:dyDescent="0.35"/>
    <row r="89" customFormat="1" ht="21.75" customHeight="1" x14ac:dyDescent="0.35"/>
    <row r="90" customFormat="1" ht="21.75" customHeight="1" x14ac:dyDescent="0.35"/>
    <row r="91" customFormat="1" ht="21.75" customHeight="1" x14ac:dyDescent="0.35"/>
    <row r="92" customFormat="1" ht="21.75" customHeight="1" x14ac:dyDescent="0.35"/>
    <row r="93" customFormat="1" ht="21.75" customHeight="1" x14ac:dyDescent="0.35"/>
    <row r="94" customFormat="1" ht="21.75" customHeight="1" x14ac:dyDescent="0.35"/>
    <row r="95" customFormat="1" ht="21.75" customHeight="1" x14ac:dyDescent="0.35"/>
    <row r="96" customFormat="1" ht="21.75" customHeight="1" x14ac:dyDescent="0.35"/>
    <row r="97" customFormat="1" ht="21.75" customHeight="1" x14ac:dyDescent="0.35"/>
    <row r="98" customFormat="1" ht="21.75" customHeight="1" x14ac:dyDescent="0.35"/>
    <row r="99" customFormat="1" ht="21.75" customHeight="1" x14ac:dyDescent="0.35"/>
    <row r="100" customFormat="1" ht="21.75" customHeight="1" x14ac:dyDescent="0.35"/>
    <row r="101" customFormat="1" ht="21.75" customHeight="1" x14ac:dyDescent="0.35"/>
    <row r="102" customFormat="1" ht="21.75" customHeight="1" x14ac:dyDescent="0.35"/>
    <row r="103" customFormat="1" ht="21.75" customHeight="1" x14ac:dyDescent="0.35"/>
    <row r="104" customFormat="1" ht="21.75" customHeight="1" x14ac:dyDescent="0.35"/>
    <row r="105" customFormat="1" ht="21.75" customHeight="1" x14ac:dyDescent="0.35"/>
    <row r="106" customFormat="1" ht="21.75" customHeight="1" x14ac:dyDescent="0.35"/>
    <row r="107" customFormat="1" ht="21.75" customHeight="1" x14ac:dyDescent="0.35"/>
    <row r="108" customFormat="1" ht="21.75" customHeight="1" x14ac:dyDescent="0.35"/>
    <row r="109" customFormat="1" ht="21.75" customHeight="1" x14ac:dyDescent="0.35"/>
    <row r="110" customFormat="1" ht="21.75" customHeight="1" x14ac:dyDescent="0.35"/>
    <row r="111" customFormat="1" ht="21.75" customHeight="1" x14ac:dyDescent="0.35"/>
    <row r="112" customFormat="1" ht="21.75" customHeight="1" x14ac:dyDescent="0.35"/>
    <row r="113" customFormat="1" ht="21.75" customHeight="1" x14ac:dyDescent="0.35"/>
    <row r="114" customFormat="1" ht="21.75" customHeight="1" x14ac:dyDescent="0.35"/>
    <row r="115" customFormat="1" ht="21.75" customHeight="1" x14ac:dyDescent="0.35"/>
    <row r="116" customFormat="1" ht="21.75" customHeight="1" x14ac:dyDescent="0.35"/>
    <row r="117" customFormat="1" ht="21.75" customHeight="1" x14ac:dyDescent="0.35"/>
    <row r="118" customFormat="1" ht="21.75" customHeight="1" x14ac:dyDescent="0.35"/>
    <row r="119" customFormat="1" ht="21.75" customHeight="1" x14ac:dyDescent="0.35"/>
    <row r="120" customFormat="1" ht="21.75" customHeight="1" x14ac:dyDescent="0.35"/>
    <row r="121" customFormat="1" ht="21.75" customHeight="1" x14ac:dyDescent="0.35"/>
    <row r="122" customFormat="1" ht="21.75" customHeight="1" x14ac:dyDescent="0.35"/>
    <row r="123" customFormat="1" ht="21.75" customHeight="1" x14ac:dyDescent="0.35"/>
    <row r="124" customFormat="1" ht="21.75" customHeight="1" x14ac:dyDescent="0.35"/>
    <row r="125" customFormat="1" ht="21.75" customHeight="1" x14ac:dyDescent="0.35"/>
    <row r="126" customFormat="1" ht="21.75" customHeight="1" x14ac:dyDescent="0.35"/>
    <row r="127" customFormat="1" ht="21.75" customHeight="1" x14ac:dyDescent="0.35"/>
    <row r="128" customFormat="1" ht="21.75" customHeight="1" x14ac:dyDescent="0.35"/>
    <row r="129" customFormat="1" ht="21.75" customHeight="1" x14ac:dyDescent="0.35"/>
    <row r="130" customFormat="1" ht="21.75" customHeight="1" x14ac:dyDescent="0.35"/>
    <row r="131" customFormat="1" ht="21.75" customHeight="1" x14ac:dyDescent="0.35"/>
    <row r="132" customFormat="1" ht="21.75" customHeight="1" x14ac:dyDescent="0.35"/>
    <row r="133" customFormat="1" ht="21.75" customHeight="1" x14ac:dyDescent="0.35"/>
    <row r="134" customFormat="1" ht="21.75" customHeight="1" x14ac:dyDescent="0.35"/>
    <row r="135" customFormat="1" ht="21.75" customHeight="1" x14ac:dyDescent="0.35"/>
    <row r="136" customFormat="1" ht="21.75" customHeight="1" x14ac:dyDescent="0.35"/>
    <row r="137" customFormat="1" ht="21.75" customHeight="1" x14ac:dyDescent="0.35"/>
    <row r="138" customFormat="1" ht="21.75" customHeight="1" x14ac:dyDescent="0.35"/>
    <row r="139" customFormat="1" ht="21.75" customHeight="1" x14ac:dyDescent="0.35"/>
    <row r="140" customFormat="1" ht="21.75" customHeight="1" x14ac:dyDescent="0.35"/>
    <row r="141" customFormat="1" ht="21.75" customHeight="1" x14ac:dyDescent="0.35"/>
    <row r="142" customFormat="1" ht="21.75" customHeight="1" x14ac:dyDescent="0.35"/>
    <row r="143" customFormat="1" ht="21.75" customHeight="1" x14ac:dyDescent="0.35"/>
    <row r="144" customFormat="1" ht="21.75" customHeight="1" x14ac:dyDescent="0.35"/>
    <row r="145" customFormat="1" ht="21.75" customHeight="1" x14ac:dyDescent="0.35"/>
    <row r="146" customFormat="1" ht="21.75" customHeight="1" x14ac:dyDescent="0.35"/>
    <row r="147" customFormat="1" ht="21.75" customHeight="1" x14ac:dyDescent="0.35"/>
    <row r="148" customFormat="1" ht="21.75" customHeight="1" x14ac:dyDescent="0.35"/>
    <row r="149" customFormat="1" ht="21.75" customHeight="1" x14ac:dyDescent="0.35"/>
    <row r="150" customFormat="1" ht="21.75" customHeight="1" x14ac:dyDescent="0.35"/>
    <row r="151" customFormat="1" ht="21.75" customHeight="1" x14ac:dyDescent="0.35"/>
    <row r="152" customFormat="1" ht="21.75" customHeight="1" x14ac:dyDescent="0.35"/>
    <row r="153" customFormat="1" ht="21.75" customHeight="1" x14ac:dyDescent="0.35"/>
    <row r="154" customFormat="1" ht="21.75" customHeight="1" x14ac:dyDescent="0.35"/>
    <row r="155" customFormat="1" ht="21.75" customHeight="1" x14ac:dyDescent="0.35"/>
    <row r="156" customFormat="1" ht="21.75" customHeight="1" x14ac:dyDescent="0.35"/>
    <row r="157" customFormat="1" ht="21.75" customHeight="1" x14ac:dyDescent="0.35"/>
    <row r="158" customFormat="1" ht="21.75" customHeight="1" x14ac:dyDescent="0.35"/>
    <row r="159" customFormat="1" ht="21.75" customHeight="1" x14ac:dyDescent="0.35"/>
    <row r="160" customFormat="1" ht="21.75" customHeight="1" x14ac:dyDescent="0.35"/>
    <row r="161" customFormat="1" ht="21.75" customHeight="1" x14ac:dyDescent="0.35"/>
    <row r="162" customFormat="1" ht="21.75" customHeight="1" x14ac:dyDescent="0.35"/>
    <row r="163" customFormat="1" ht="21.75" customHeight="1" x14ac:dyDescent="0.35"/>
    <row r="164" customFormat="1" ht="21.75" customHeight="1" x14ac:dyDescent="0.35"/>
    <row r="165" customFormat="1" ht="21.75" customHeight="1" x14ac:dyDescent="0.35"/>
    <row r="166" customFormat="1" ht="21.75" customHeight="1" x14ac:dyDescent="0.35"/>
    <row r="167" customFormat="1" ht="21.75" customHeight="1" x14ac:dyDescent="0.35"/>
    <row r="168" customFormat="1" ht="21.75" customHeight="1" x14ac:dyDescent="0.35"/>
    <row r="169" customFormat="1" ht="21.75" customHeight="1" x14ac:dyDescent="0.35"/>
    <row r="170" customFormat="1" ht="21.75" customHeight="1" x14ac:dyDescent="0.35"/>
    <row r="171" customFormat="1" ht="21.75" customHeight="1" x14ac:dyDescent="0.35"/>
    <row r="172" customFormat="1" ht="21.75" customHeight="1" x14ac:dyDescent="0.35"/>
    <row r="173" customFormat="1" ht="21.75" customHeight="1" x14ac:dyDescent="0.35"/>
    <row r="174" customFormat="1" ht="21.75" customHeight="1" x14ac:dyDescent="0.35"/>
    <row r="175" customFormat="1" ht="21.75" customHeight="1" x14ac:dyDescent="0.35"/>
    <row r="176" customFormat="1" ht="21.75" customHeight="1" x14ac:dyDescent="0.35"/>
    <row r="177" customFormat="1" ht="21.75" customHeight="1" x14ac:dyDescent="0.35"/>
    <row r="178" customFormat="1" ht="21.75" customHeight="1" x14ac:dyDescent="0.35"/>
    <row r="179" customFormat="1" ht="21.75" customHeight="1" x14ac:dyDescent="0.35"/>
    <row r="180" customFormat="1" ht="21.75" customHeight="1" x14ac:dyDescent="0.35"/>
    <row r="181" customFormat="1" ht="21.75" customHeight="1" x14ac:dyDescent="0.35"/>
    <row r="182" customFormat="1" ht="21.75" customHeight="1" x14ac:dyDescent="0.35"/>
    <row r="183" customFormat="1" ht="21.75" customHeight="1" x14ac:dyDescent="0.35"/>
    <row r="184" customFormat="1" ht="21.75" customHeight="1" x14ac:dyDescent="0.35"/>
    <row r="185" customFormat="1" ht="21.75" customHeight="1" x14ac:dyDescent="0.35"/>
    <row r="186" customFormat="1" ht="21.75" customHeight="1" x14ac:dyDescent="0.35"/>
    <row r="187" customFormat="1" ht="21.75" customHeight="1" x14ac:dyDescent="0.35"/>
    <row r="188" customFormat="1" ht="21.75" customHeight="1" x14ac:dyDescent="0.35"/>
    <row r="189" customFormat="1" ht="21.75" customHeight="1" x14ac:dyDescent="0.35"/>
    <row r="190" customFormat="1" ht="21.75" customHeight="1" x14ac:dyDescent="0.35"/>
    <row r="191" customFormat="1" ht="21.75" customHeight="1" x14ac:dyDescent="0.35"/>
    <row r="192" customFormat="1" ht="21.75" customHeight="1" x14ac:dyDescent="0.35"/>
    <row r="193" customFormat="1" ht="21.75" customHeight="1" x14ac:dyDescent="0.35"/>
    <row r="194" customFormat="1" ht="21.75" customHeight="1" x14ac:dyDescent="0.35"/>
    <row r="195" customFormat="1" ht="21.75" customHeight="1" x14ac:dyDescent="0.35"/>
    <row r="196" customFormat="1" ht="21.75" customHeight="1" x14ac:dyDescent="0.35"/>
    <row r="197" customFormat="1" ht="21.75" customHeight="1" x14ac:dyDescent="0.35"/>
    <row r="198" customFormat="1" ht="21.75" customHeight="1" x14ac:dyDescent="0.35"/>
    <row r="199" customFormat="1" ht="21.75" customHeight="1" x14ac:dyDescent="0.35"/>
    <row r="200" customFormat="1" ht="21.75" customHeight="1" x14ac:dyDescent="0.35"/>
    <row r="201" customFormat="1" ht="21.75" customHeight="1" x14ac:dyDescent="0.35"/>
    <row r="202" customFormat="1" ht="21.75" customHeight="1" x14ac:dyDescent="0.35"/>
    <row r="203" customFormat="1" ht="21.75" customHeight="1" x14ac:dyDescent="0.35"/>
    <row r="204" customFormat="1" ht="21.75" customHeight="1" x14ac:dyDescent="0.35"/>
    <row r="205" customFormat="1" ht="21.75" customHeight="1" x14ac:dyDescent="0.35"/>
    <row r="206" customFormat="1" ht="21.75" customHeight="1" x14ac:dyDescent="0.35"/>
    <row r="207" customFormat="1" ht="21.75" customHeight="1" x14ac:dyDescent="0.35"/>
    <row r="208" customFormat="1" ht="21.75" customHeight="1" x14ac:dyDescent="0.35"/>
    <row r="209" customFormat="1" ht="21.75" customHeight="1" x14ac:dyDescent="0.35"/>
    <row r="210" customFormat="1" ht="21.75" customHeight="1" x14ac:dyDescent="0.35"/>
    <row r="211" customFormat="1" ht="21.75" customHeight="1" x14ac:dyDescent="0.35"/>
    <row r="212" customFormat="1" ht="21.75" customHeight="1" x14ac:dyDescent="0.35"/>
    <row r="213" customFormat="1" ht="21.75" customHeight="1" x14ac:dyDescent="0.35"/>
    <row r="214" customFormat="1" ht="21.75" customHeight="1" x14ac:dyDescent="0.35"/>
    <row r="215" customFormat="1" ht="21.75" customHeight="1" x14ac:dyDescent="0.35"/>
    <row r="216" customFormat="1" ht="21.75" customHeight="1" x14ac:dyDescent="0.35"/>
    <row r="217" customFormat="1" ht="21.75" customHeight="1" x14ac:dyDescent="0.35"/>
    <row r="218" customFormat="1" ht="21.75" customHeight="1" x14ac:dyDescent="0.35"/>
    <row r="219" customFormat="1" ht="21.75" customHeight="1" x14ac:dyDescent="0.35"/>
    <row r="220" customFormat="1" ht="21.75" customHeight="1" x14ac:dyDescent="0.35"/>
    <row r="221" customFormat="1" ht="21.75" customHeight="1" x14ac:dyDescent="0.35"/>
    <row r="222" customFormat="1" ht="21.75" customHeight="1" x14ac:dyDescent="0.35"/>
    <row r="223" customFormat="1" ht="21.75" customHeight="1" x14ac:dyDescent="0.35"/>
    <row r="224" customFormat="1" ht="21.75" customHeight="1" x14ac:dyDescent="0.35"/>
    <row r="225" customFormat="1" ht="21.75" customHeight="1" x14ac:dyDescent="0.35"/>
    <row r="226" customFormat="1" ht="21.75" customHeight="1" x14ac:dyDescent="0.35"/>
    <row r="227" customFormat="1" ht="21.75" customHeight="1" x14ac:dyDescent="0.35"/>
    <row r="228" customFormat="1" ht="21.75" customHeight="1" x14ac:dyDescent="0.35"/>
    <row r="229" customFormat="1" ht="21.75" customHeight="1" x14ac:dyDescent="0.35"/>
    <row r="230" customFormat="1" ht="21.75" customHeight="1" x14ac:dyDescent="0.35"/>
    <row r="231" customFormat="1" ht="21.75" customHeight="1" x14ac:dyDescent="0.35"/>
    <row r="232" customFormat="1" ht="21.75" customHeight="1" x14ac:dyDescent="0.35"/>
    <row r="233" customFormat="1" ht="21.75" customHeight="1" x14ac:dyDescent="0.35"/>
    <row r="234" customFormat="1" ht="21.75" customHeight="1" x14ac:dyDescent="0.35"/>
    <row r="235" customFormat="1" ht="21.75" customHeight="1" x14ac:dyDescent="0.35"/>
    <row r="236" customFormat="1" ht="21.75" customHeight="1" x14ac:dyDescent="0.35"/>
    <row r="237" customFormat="1" ht="21.75" customHeight="1" x14ac:dyDescent="0.35"/>
    <row r="238" customFormat="1" ht="21.75" customHeight="1" x14ac:dyDescent="0.35"/>
    <row r="239" customFormat="1" ht="21.75" customHeight="1" x14ac:dyDescent="0.35"/>
    <row r="240" customFormat="1" ht="21.75" customHeight="1" x14ac:dyDescent="0.35"/>
    <row r="241" customFormat="1" ht="21.75" customHeight="1" x14ac:dyDescent="0.35"/>
    <row r="242" customFormat="1" ht="21.75" customHeight="1" x14ac:dyDescent="0.35"/>
    <row r="243" customFormat="1" ht="21.75" customHeight="1" x14ac:dyDescent="0.35"/>
    <row r="244" customFormat="1" ht="21.75" customHeight="1" x14ac:dyDescent="0.35"/>
    <row r="245" customFormat="1" ht="21.75" customHeight="1" x14ac:dyDescent="0.35"/>
    <row r="246" customFormat="1" ht="21.75" customHeight="1" x14ac:dyDescent="0.35"/>
    <row r="247" customFormat="1" ht="21.75" customHeight="1" x14ac:dyDescent="0.35"/>
    <row r="248" customFormat="1" ht="21.75" customHeight="1" x14ac:dyDescent="0.35"/>
    <row r="249" customFormat="1" ht="21.75" customHeight="1" x14ac:dyDescent="0.35"/>
    <row r="250" customFormat="1" ht="21.75" customHeight="1" x14ac:dyDescent="0.35"/>
    <row r="251" customFormat="1" ht="21.75" customHeight="1" x14ac:dyDescent="0.35"/>
    <row r="252" customFormat="1" ht="21.75" customHeight="1" x14ac:dyDescent="0.35"/>
    <row r="253" customFormat="1" ht="21.75" customHeight="1" x14ac:dyDescent="0.35"/>
    <row r="254" customFormat="1" ht="21.75" customHeight="1" x14ac:dyDescent="0.35"/>
    <row r="255" customFormat="1" ht="21.75" customHeight="1" x14ac:dyDescent="0.35"/>
    <row r="256" customFormat="1" ht="21.75" customHeight="1" x14ac:dyDescent="0.35"/>
    <row r="257" customFormat="1" ht="21.75" customHeight="1" x14ac:dyDescent="0.35"/>
    <row r="258" customFormat="1" ht="21.75" customHeight="1" x14ac:dyDescent="0.35"/>
    <row r="259" customFormat="1" ht="21.75" customHeight="1" x14ac:dyDescent="0.35"/>
    <row r="260" customFormat="1" ht="21.75" customHeight="1" x14ac:dyDescent="0.35"/>
    <row r="261" customFormat="1" ht="21.75" customHeight="1" x14ac:dyDescent="0.35"/>
    <row r="262" customFormat="1" ht="21.75" customHeight="1" x14ac:dyDescent="0.35"/>
    <row r="263" customFormat="1" ht="21.75" customHeight="1" x14ac:dyDescent="0.35"/>
    <row r="264" customFormat="1" ht="21.75" customHeight="1" x14ac:dyDescent="0.35"/>
    <row r="265" customFormat="1" ht="21.75" customHeight="1" x14ac:dyDescent="0.35"/>
    <row r="266" customFormat="1" ht="21.75" customHeight="1" x14ac:dyDescent="0.35"/>
    <row r="267" customFormat="1" ht="21.75" customHeight="1" x14ac:dyDescent="0.35"/>
    <row r="268" customFormat="1" ht="21.75" customHeight="1" x14ac:dyDescent="0.35"/>
    <row r="269" customFormat="1" ht="21.75" customHeight="1" x14ac:dyDescent="0.35"/>
    <row r="270" customFormat="1" ht="21.75" customHeight="1" x14ac:dyDescent="0.35"/>
    <row r="271" customFormat="1" ht="21.75" customHeight="1" x14ac:dyDescent="0.35"/>
    <row r="272" customFormat="1" ht="21.75" customHeight="1" x14ac:dyDescent="0.35"/>
    <row r="273" customFormat="1" ht="21.75" customHeight="1" x14ac:dyDescent="0.35"/>
    <row r="274" customFormat="1" ht="21.75" customHeight="1" x14ac:dyDescent="0.35"/>
    <row r="275" customFormat="1" ht="21.75" customHeight="1" x14ac:dyDescent="0.35"/>
    <row r="276" customFormat="1" ht="21.75" customHeight="1" x14ac:dyDescent="0.35"/>
    <row r="277" customFormat="1" ht="21.75" customHeight="1" x14ac:dyDescent="0.35"/>
    <row r="278" customFormat="1" ht="21.75" customHeight="1" x14ac:dyDescent="0.35"/>
    <row r="279" customFormat="1" ht="21.75" customHeight="1" x14ac:dyDescent="0.35"/>
    <row r="280" customFormat="1" ht="21.75" customHeight="1" x14ac:dyDescent="0.35"/>
    <row r="281" customFormat="1" ht="21.75" customHeight="1" x14ac:dyDescent="0.35"/>
    <row r="282" customFormat="1" ht="21.75" customHeight="1" x14ac:dyDescent="0.35"/>
    <row r="283" customFormat="1" ht="21.75" customHeight="1" x14ac:dyDescent="0.35"/>
    <row r="284" customFormat="1" ht="21.75" customHeight="1" x14ac:dyDescent="0.35"/>
    <row r="285" customFormat="1" ht="21.75" customHeight="1" x14ac:dyDescent="0.35"/>
    <row r="286" customFormat="1" ht="21.75" customHeight="1" x14ac:dyDescent="0.35"/>
  </sheetData>
  <mergeCells count="1">
    <mergeCell ref="I6:P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70B68-3899-4BCB-BF09-99B26CF6DAC7}">
  <sheetPr>
    <tabColor rgb="FF0000FF"/>
  </sheetPr>
  <dimension ref="A1:T192"/>
  <sheetViews>
    <sheetView showGridLines="0" topLeftCell="A23" workbookViewId="0">
      <selection activeCell="E48" sqref="E48"/>
    </sheetView>
  </sheetViews>
  <sheetFormatPr defaultRowHeight="14.5" x14ac:dyDescent="0.35"/>
  <cols>
    <col min="1" max="1" width="5.90625" style="5" customWidth="1"/>
    <col min="2" max="2" width="29.08984375" customWidth="1"/>
    <col min="3" max="3" width="12.26953125" bestFit="1" customWidth="1"/>
    <col min="4" max="4" width="2.81640625" customWidth="1"/>
    <col min="5" max="6" width="10.7265625" bestFit="1" customWidth="1"/>
    <col min="7" max="7" width="2.1796875" customWidth="1"/>
    <col min="8" max="8" width="12.26953125" bestFit="1" customWidth="1"/>
    <col min="9" max="16" width="10.7265625" bestFit="1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0" ht="26.25" customHeight="1" x14ac:dyDescent="0.35">
      <c r="A1" s="6"/>
      <c r="B1" s="7" t="s">
        <v>178</v>
      </c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</row>
    <row r="2" spans="1:20" ht="15.5" customHeight="1" x14ac:dyDescent="0.35">
      <c r="A2" s="9"/>
      <c r="B2" s="10" t="str">
        <f>Assumptions!B2</f>
        <v>Stress Case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"/>
      <c r="R2" s="1"/>
      <c r="S2" s="1"/>
      <c r="T2" s="1"/>
    </row>
    <row r="3" spans="1:20" ht="11" customHeight="1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Q3" s="1"/>
      <c r="R3" s="1"/>
      <c r="S3" s="1"/>
      <c r="T3" s="1"/>
    </row>
    <row r="4" spans="1:20" ht="12" customHeight="1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20" ht="21.75" customHeight="1" x14ac:dyDescent="0.35">
      <c r="B5" s="12" t="s">
        <v>133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20" s="83" customFormat="1" ht="30" customHeight="1" x14ac:dyDescent="0.35">
      <c r="A6" s="278">
        <f>ROW()</f>
        <v>6</v>
      </c>
      <c r="B6" s="63" t="s">
        <v>9</v>
      </c>
      <c r="C6" s="99" t="s">
        <v>134</v>
      </c>
      <c r="D6" s="86"/>
      <c r="E6" s="100" t="s">
        <v>135</v>
      </c>
      <c r="F6" s="100" t="s">
        <v>136</v>
      </c>
      <c r="G6" s="87"/>
      <c r="H6" s="101" t="s">
        <v>137</v>
      </c>
      <c r="I6" s="332" t="s">
        <v>11</v>
      </c>
      <c r="J6" s="332"/>
      <c r="K6" s="332"/>
      <c r="L6" s="332"/>
      <c r="M6" s="332"/>
      <c r="N6" s="338"/>
      <c r="O6" s="338"/>
      <c r="P6" s="338"/>
    </row>
    <row r="7" spans="1:20" ht="14.5" customHeight="1" x14ac:dyDescent="0.35">
      <c r="A7" s="278">
        <f>ROW()</f>
        <v>7</v>
      </c>
      <c r="C7" s="47">
        <v>44926</v>
      </c>
      <c r="D7" s="65"/>
      <c r="E7" s="102"/>
      <c r="F7" s="102"/>
      <c r="G7" s="69"/>
      <c r="H7" s="47">
        <f>'Income Statement'!H7</f>
        <v>44926</v>
      </c>
      <c r="I7" s="48">
        <f>'Income Statement'!I7</f>
        <v>45291</v>
      </c>
      <c r="J7" s="47">
        <f>'Income Statement'!J7</f>
        <v>45657</v>
      </c>
      <c r="K7" s="47">
        <f>'Income Statement'!K7</f>
        <v>46021</v>
      </c>
      <c r="L7" s="47">
        <f>'Income Statement'!L7</f>
        <v>46386</v>
      </c>
      <c r="M7" s="47">
        <f>'Income Statement'!M7</f>
        <v>46751</v>
      </c>
      <c r="N7" s="47">
        <f>'Income Statement'!N7</f>
        <v>47117</v>
      </c>
      <c r="O7" s="47">
        <f>'Income Statement'!O7</f>
        <v>47481</v>
      </c>
      <c r="P7" s="47">
        <f>'Income Statement'!P7</f>
        <v>47846</v>
      </c>
    </row>
    <row r="8" spans="1:20" ht="14.5" customHeight="1" x14ac:dyDescent="0.35">
      <c r="A8" s="278">
        <f>ROW()</f>
        <v>8</v>
      </c>
      <c r="B8" s="59" t="s">
        <v>138</v>
      </c>
      <c r="C8" s="103"/>
      <c r="D8" s="104"/>
      <c r="E8" s="105"/>
      <c r="F8" s="105"/>
      <c r="G8" s="57"/>
      <c r="H8" s="176"/>
      <c r="I8" s="57"/>
      <c r="J8" s="57"/>
      <c r="K8" s="57"/>
      <c r="L8" s="57"/>
      <c r="M8" s="57"/>
      <c r="N8" s="57"/>
      <c r="O8" s="57"/>
      <c r="P8" s="57"/>
    </row>
    <row r="9" spans="1:20" ht="14.5" customHeight="1" x14ac:dyDescent="0.35">
      <c r="A9" s="278">
        <f>ROW()</f>
        <v>9</v>
      </c>
      <c r="B9" s="60" t="s">
        <v>2</v>
      </c>
      <c r="C9" s="266">
        <v>1045722</v>
      </c>
      <c r="D9" s="106"/>
      <c r="E9" s="107"/>
      <c r="F9" s="107"/>
      <c r="G9" s="57"/>
      <c r="H9" s="269">
        <f>C9+E9-F9</f>
        <v>1045722</v>
      </c>
      <c r="I9" s="22">
        <f>+H9+'Cash Flow Statement'!I45</f>
        <v>1183240.2247646395</v>
      </c>
      <c r="J9" s="22">
        <f>+I9+'Cash Flow Statement'!J45</f>
        <v>1187670.0700526193</v>
      </c>
      <c r="K9" s="22">
        <f>+J9+'Cash Flow Statement'!K45</f>
        <v>1116221.2631707087</v>
      </c>
      <c r="L9" s="22">
        <f>+K9+'Cash Flow Statement'!L45</f>
        <v>957468.51489540783</v>
      </c>
      <c r="M9" s="22">
        <f>+L9+'Cash Flow Statement'!M45</f>
        <v>837608.01547310699</v>
      </c>
      <c r="N9" s="22">
        <f>+M9+'Cash Flow Statement'!N45</f>
        <v>308743.16230849165</v>
      </c>
      <c r="O9" s="22">
        <f>+N9+'Cash Flow Statement'!O45</f>
        <v>434855.94421707978</v>
      </c>
      <c r="P9" s="22">
        <f>+O9+'Cash Flow Statement'!P45</f>
        <v>-639587.95953755733</v>
      </c>
    </row>
    <row r="10" spans="1:20" ht="14.5" customHeight="1" x14ac:dyDescent="0.35">
      <c r="A10" s="278">
        <f>ROW()</f>
        <v>10</v>
      </c>
      <c r="B10" s="60" t="s">
        <v>139</v>
      </c>
      <c r="C10" s="266">
        <v>22100</v>
      </c>
      <c r="D10" s="106"/>
      <c r="E10" s="107"/>
      <c r="F10" s="107"/>
      <c r="G10" s="57"/>
      <c r="H10" s="269">
        <f t="shared" ref="H10:H12" si="0">C10+E10-F10</f>
        <v>22100</v>
      </c>
      <c r="I10" s="22">
        <f>'Income Statement'!I8/365*Assumptions!E30</f>
        <v>21566.03683068493</v>
      </c>
      <c r="J10" s="22">
        <f>'Income Statement'!J8/365*Assumptions!F30</f>
        <v>13907.243289205479</v>
      </c>
      <c r="K10" s="22">
        <f>'Income Statement'!K8/365*Assumptions!G30</f>
        <v>12917.073801205481</v>
      </c>
      <c r="L10" s="22">
        <f>'Income Statement'!L8/365*Assumptions!H30</f>
        <v>17156.385447128676</v>
      </c>
      <c r="M10" s="22">
        <f>'Income Statement'!M8/365*Assumptions!I30</f>
        <v>17757.835899988033</v>
      </c>
      <c r="N10" s="22">
        <f>'Income Statement'!N8/365*Assumptions!J30</f>
        <v>18563.189095588656</v>
      </c>
      <c r="O10" s="22">
        <f>'Income Statement'!O8/365*Assumptions!K30</f>
        <v>19438.493730514143</v>
      </c>
      <c r="P10" s="22">
        <f>O10/N10*O10</f>
        <v>20355.071349299073</v>
      </c>
    </row>
    <row r="11" spans="1:20" ht="14.5" customHeight="1" x14ac:dyDescent="0.35">
      <c r="A11" s="278">
        <f>ROW()</f>
        <v>11</v>
      </c>
      <c r="B11" s="60" t="s">
        <v>140</v>
      </c>
      <c r="C11" s="17">
        <v>0</v>
      </c>
      <c r="D11" s="106"/>
      <c r="E11" s="107"/>
      <c r="F11" s="107"/>
      <c r="G11" s="57"/>
      <c r="H11" s="269">
        <f t="shared" si="0"/>
        <v>0</v>
      </c>
      <c r="I11" s="22">
        <f>H11</f>
        <v>0</v>
      </c>
      <c r="J11" s="22">
        <f t="shared" ref="J11:P11" si="1">I11</f>
        <v>0</v>
      </c>
      <c r="K11" s="22">
        <f t="shared" si="1"/>
        <v>0</v>
      </c>
      <c r="L11" s="22">
        <f t="shared" si="1"/>
        <v>0</v>
      </c>
      <c r="M11" s="22">
        <f t="shared" si="1"/>
        <v>0</v>
      </c>
      <c r="N11" s="22">
        <f t="shared" si="1"/>
        <v>0</v>
      </c>
      <c r="O11" s="22">
        <f t="shared" si="1"/>
        <v>0</v>
      </c>
      <c r="P11" s="22">
        <f t="shared" si="1"/>
        <v>0</v>
      </c>
    </row>
    <row r="12" spans="1:20" ht="14.5" customHeight="1" x14ac:dyDescent="0.35">
      <c r="A12" s="278">
        <f>ROW()</f>
        <v>12</v>
      </c>
      <c r="B12" s="60" t="s">
        <v>141</v>
      </c>
      <c r="C12" s="17">
        <v>0</v>
      </c>
      <c r="D12" s="106"/>
      <c r="E12" s="107"/>
      <c r="F12" s="107"/>
      <c r="G12" s="57"/>
      <c r="H12" s="269">
        <f t="shared" si="0"/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</row>
    <row r="13" spans="1:20" ht="14.5" customHeight="1" x14ac:dyDescent="0.35">
      <c r="A13" s="278">
        <f>ROW()</f>
        <v>13</v>
      </c>
      <c r="B13" s="59" t="s">
        <v>142</v>
      </c>
      <c r="C13" s="108">
        <f>SUM(C9:C12)</f>
        <v>1067822</v>
      </c>
      <c r="D13" s="60"/>
      <c r="E13" s="60"/>
      <c r="F13" s="60"/>
      <c r="G13" s="57"/>
      <c r="H13" s="270">
        <f>SUM(H9:H12)</f>
        <v>1067822</v>
      </c>
      <c r="I13" s="108">
        <f t="shared" ref="I13:P13" si="2">SUM(I9:I12)</f>
        <v>1204806.2615953244</v>
      </c>
      <c r="J13" s="108">
        <f t="shared" si="2"/>
        <v>1201577.3133418248</v>
      </c>
      <c r="K13" s="108">
        <f t="shared" si="2"/>
        <v>1129138.3369719142</v>
      </c>
      <c r="L13" s="108">
        <f t="shared" si="2"/>
        <v>974624.90034253651</v>
      </c>
      <c r="M13" s="108">
        <f t="shared" si="2"/>
        <v>855365.85137309507</v>
      </c>
      <c r="N13" s="108">
        <f t="shared" si="2"/>
        <v>327306.35140408028</v>
      </c>
      <c r="O13" s="108">
        <f t="shared" si="2"/>
        <v>454294.43794759392</v>
      </c>
      <c r="P13" s="108">
        <f t="shared" si="2"/>
        <v>-619232.88818825828</v>
      </c>
    </row>
    <row r="14" spans="1:20" ht="14.5" customHeight="1" x14ac:dyDescent="0.35">
      <c r="A14" s="278">
        <f>ROW()</f>
        <v>14</v>
      </c>
      <c r="B14" s="60"/>
      <c r="C14" s="60"/>
      <c r="D14" s="60"/>
      <c r="E14" s="60"/>
      <c r="F14" s="60"/>
      <c r="G14" s="57"/>
      <c r="H14" s="176"/>
      <c r="I14" s="57"/>
      <c r="J14" s="57"/>
      <c r="K14" s="57"/>
      <c r="L14" s="57"/>
      <c r="M14" s="57"/>
      <c r="N14" s="57"/>
      <c r="O14" s="57"/>
      <c r="P14" s="57"/>
    </row>
    <row r="15" spans="1:20" ht="14.5" customHeight="1" x14ac:dyDescent="0.35">
      <c r="A15" s="278">
        <f>ROW()</f>
        <v>15</v>
      </c>
      <c r="B15" s="60" t="s">
        <v>143</v>
      </c>
      <c r="C15" s="266">
        <v>105581</v>
      </c>
      <c r="D15" s="60"/>
      <c r="E15" s="60">
        <f>'Transaction S&amp;U'!L9-'Balance Sheet'!C43</f>
        <v>2014987.7999999998</v>
      </c>
      <c r="F15" s="60"/>
      <c r="G15" s="57"/>
      <c r="H15" s="269">
        <f>C15+E15-F15</f>
        <v>2120568.7999999998</v>
      </c>
      <c r="I15" s="22">
        <f>+H15</f>
        <v>2120568.7999999998</v>
      </c>
      <c r="J15" s="22">
        <f t="shared" ref="J15:P15" si="3">+I15</f>
        <v>2120568.7999999998</v>
      </c>
      <c r="K15" s="22">
        <f t="shared" si="3"/>
        <v>2120568.7999999998</v>
      </c>
      <c r="L15" s="22">
        <f t="shared" si="3"/>
        <v>2120568.7999999998</v>
      </c>
      <c r="M15" s="22">
        <f t="shared" si="3"/>
        <v>2120568.7999999998</v>
      </c>
      <c r="N15" s="22">
        <f t="shared" si="3"/>
        <v>2120568.7999999998</v>
      </c>
      <c r="O15" s="22">
        <f t="shared" si="3"/>
        <v>2120568.7999999998</v>
      </c>
      <c r="P15" s="22">
        <f t="shared" si="3"/>
        <v>2120568.7999999998</v>
      </c>
    </row>
    <row r="16" spans="1:20" ht="14.5" customHeight="1" x14ac:dyDescent="0.35">
      <c r="A16" s="278">
        <f>ROW()</f>
        <v>16</v>
      </c>
      <c r="B16" s="60" t="s">
        <v>144</v>
      </c>
      <c r="C16" s="17">
        <v>0</v>
      </c>
      <c r="D16" s="60"/>
      <c r="E16" s="60">
        <f>'Transaction S&amp;U'!L11</f>
        <v>214057.5</v>
      </c>
      <c r="F16" s="60"/>
      <c r="G16" s="57"/>
      <c r="H16" s="269">
        <f t="shared" ref="H16:H18" si="4">+C16+E16-F16</f>
        <v>214057.5</v>
      </c>
      <c r="I16" s="22">
        <f>H16-'Income Statement'!I21</f>
        <v>183477.85714285713</v>
      </c>
      <c r="J16" s="22">
        <f>I16-'Income Statement'!J21</f>
        <v>152898.21428571426</v>
      </c>
      <c r="K16" s="22">
        <f>J16-'Income Statement'!K21</f>
        <v>122318.57142857141</v>
      </c>
      <c r="L16" s="22">
        <f>K16-'Income Statement'!L21</f>
        <v>91738.928571428551</v>
      </c>
      <c r="M16" s="22">
        <f>L16-'Income Statement'!M21</f>
        <v>61159.285714285696</v>
      </c>
      <c r="N16" s="22">
        <f>M16-'Income Statement'!N21</f>
        <v>30579.642857142837</v>
      </c>
      <c r="O16" s="22">
        <f>N16-'Income Statement'!O21</f>
        <v>0</v>
      </c>
      <c r="P16" s="22">
        <f>O16-'Income Statement'!P21</f>
        <v>0</v>
      </c>
    </row>
    <row r="17" spans="1:16" ht="14.5" customHeight="1" x14ac:dyDescent="0.35">
      <c r="A17" s="278">
        <f>ROW()</f>
        <v>17</v>
      </c>
      <c r="B17" s="60" t="s">
        <v>188</v>
      </c>
      <c r="C17" s="266">
        <v>6495200</v>
      </c>
      <c r="D17" s="60"/>
      <c r="E17" s="60"/>
      <c r="F17" s="60"/>
      <c r="G17" s="57"/>
      <c r="H17" s="269">
        <f t="shared" si="4"/>
        <v>6495200</v>
      </c>
      <c r="I17" s="22">
        <f>H17-'Cash Flow Statement'!I25</f>
        <v>6761686.5749000004</v>
      </c>
      <c r="J17" s="22">
        <f>I17-'Cash Flow Statement'!J25</f>
        <v>6841001.3217837503</v>
      </c>
      <c r="K17" s="22">
        <f>J17-'Cash Flow Statement'!K25</f>
        <v>6914669.00830625</v>
      </c>
      <c r="L17" s="22">
        <f>K17-'Cash Flow Statement'!L25</f>
        <v>7045129.0226437906</v>
      </c>
      <c r="M17" s="22">
        <f>L17-'Cash Flow Statement'!M25</f>
        <v>7247679.3383780289</v>
      </c>
      <c r="N17" s="22">
        <f>M17-'Cash Flow Statement'!N25</f>
        <v>7477060.4119680505</v>
      </c>
      <c r="O17" s="22">
        <f>N17-'Cash Flow Statement'!O25</f>
        <v>7717257.4243412009</v>
      </c>
      <c r="P17" s="22">
        <f>O17-'Cash Flow Statement'!P25</f>
        <v>7969371.5101677049</v>
      </c>
    </row>
    <row r="18" spans="1:16" ht="14.5" customHeight="1" x14ac:dyDescent="0.35">
      <c r="A18" s="278">
        <f>ROW()</f>
        <v>18</v>
      </c>
      <c r="B18" s="60" t="s">
        <v>189</v>
      </c>
      <c r="C18" s="266">
        <v>-2292316</v>
      </c>
      <c r="D18" s="60"/>
      <c r="E18" s="60"/>
      <c r="F18" s="60"/>
      <c r="G18" s="57"/>
      <c r="H18" s="269">
        <f t="shared" si="4"/>
        <v>-2292316</v>
      </c>
      <c r="I18" s="22">
        <f>H18-'Income Statement'!I19</f>
        <v>-2522784.577132754</v>
      </c>
      <c r="J18" s="22">
        <f>I18-'Income Statement'!J19</f>
        <v>-2691456.0885866038</v>
      </c>
      <c r="K18" s="22">
        <f>J18-'Income Statement'!K19</f>
        <v>-2848118.5066016358</v>
      </c>
      <c r="L18" s="22">
        <f>K18-'Income Statement'!L19</f>
        <v>-3056196.6572656236</v>
      </c>
      <c r="M18" s="22">
        <f>L18-'Income Statement'!M19</f>
        <v>-3271569.3921141801</v>
      </c>
      <c r="N18" s="22">
        <f>M18-'Income Statement'!N19</f>
        <v>-3496709.7090731021</v>
      </c>
      <c r="O18" s="22">
        <f>N18-'Income Statement'!O19</f>
        <v>-3732466.0016560387</v>
      </c>
      <c r="P18" s="22">
        <f>O18-'Income Statement'!P19</f>
        <v>-3979919.0469506062</v>
      </c>
    </row>
    <row r="19" spans="1:16" ht="14.5" customHeight="1" x14ac:dyDescent="0.35">
      <c r="A19" s="278">
        <f>ROW()</f>
        <v>19</v>
      </c>
      <c r="B19" s="60" t="s">
        <v>190</v>
      </c>
      <c r="C19" s="267">
        <f>+C18+C17</f>
        <v>4202884</v>
      </c>
      <c r="D19" s="60"/>
      <c r="E19" s="60"/>
      <c r="F19" s="60"/>
      <c r="G19" s="57"/>
      <c r="H19" s="271">
        <f>+H18+H17</f>
        <v>4202884</v>
      </c>
      <c r="I19" s="273">
        <f t="shared" ref="I19:P19" si="5">+I18+I17</f>
        <v>4238901.9977672463</v>
      </c>
      <c r="J19" s="267">
        <f t="shared" si="5"/>
        <v>4149545.2331971466</v>
      </c>
      <c r="K19" s="267">
        <f t="shared" si="5"/>
        <v>4066550.5017046141</v>
      </c>
      <c r="L19" s="267">
        <f t="shared" si="5"/>
        <v>3988932.365378167</v>
      </c>
      <c r="M19" s="267">
        <f t="shared" si="5"/>
        <v>3976109.9462638488</v>
      </c>
      <c r="N19" s="267">
        <f t="shared" si="5"/>
        <v>3980350.7028949484</v>
      </c>
      <c r="O19" s="267">
        <f t="shared" si="5"/>
        <v>3984791.4226851622</v>
      </c>
      <c r="P19" s="267">
        <f t="shared" si="5"/>
        <v>3989452.4632170987</v>
      </c>
    </row>
    <row r="20" spans="1:16" ht="14.5" customHeight="1" x14ac:dyDescent="0.35">
      <c r="A20" s="278">
        <f>ROW()</f>
        <v>20</v>
      </c>
      <c r="B20" s="60" t="s">
        <v>145</v>
      </c>
      <c r="C20" s="266">
        <v>97095.2</v>
      </c>
      <c r="D20" s="60"/>
      <c r="E20" s="60"/>
      <c r="F20" s="60"/>
      <c r="G20" s="57"/>
      <c r="H20" s="269">
        <f>+C20+E20-F20</f>
        <v>97095.2</v>
      </c>
      <c r="I20" s="22">
        <f>+H20</f>
        <v>97095.2</v>
      </c>
      <c r="J20" s="22">
        <f t="shared" ref="J20:P20" si="6">+I20</f>
        <v>97095.2</v>
      </c>
      <c r="K20" s="22">
        <f t="shared" si="6"/>
        <v>97095.2</v>
      </c>
      <c r="L20" s="22">
        <f t="shared" si="6"/>
        <v>97095.2</v>
      </c>
      <c r="M20" s="22">
        <f t="shared" si="6"/>
        <v>97095.2</v>
      </c>
      <c r="N20" s="22">
        <f t="shared" si="6"/>
        <v>97095.2</v>
      </c>
      <c r="O20" s="22">
        <f t="shared" si="6"/>
        <v>97095.2</v>
      </c>
      <c r="P20" s="22">
        <f t="shared" si="6"/>
        <v>97095.2</v>
      </c>
    </row>
    <row r="21" spans="1:16" ht="14.5" customHeight="1" thickBot="1" x14ac:dyDescent="0.4">
      <c r="A21" s="278">
        <f>ROW()</f>
        <v>21</v>
      </c>
      <c r="B21" s="59" t="s">
        <v>146</v>
      </c>
      <c r="C21" s="109">
        <f>+C19+C20+C16+C15+C13</f>
        <v>5473382.2000000002</v>
      </c>
      <c r="D21" s="17"/>
      <c r="E21" s="17"/>
      <c r="F21" s="17"/>
      <c r="G21" s="22"/>
      <c r="H21" s="272">
        <f>+H19+H20+H16+H15+H13</f>
        <v>7702427.5</v>
      </c>
      <c r="I21" s="109">
        <f t="shared" ref="I21:P21" si="7">+I19+I20+I16+I15+I13</f>
        <v>7844850.1165054282</v>
      </c>
      <c r="J21" s="109">
        <f t="shared" si="7"/>
        <v>7721684.7608246859</v>
      </c>
      <c r="K21" s="109">
        <f t="shared" si="7"/>
        <v>7535671.4101050999</v>
      </c>
      <c r="L21" s="109">
        <f t="shared" si="7"/>
        <v>7272960.1942921318</v>
      </c>
      <c r="M21" s="109">
        <f t="shared" si="7"/>
        <v>7110299.0833512302</v>
      </c>
      <c r="N21" s="109">
        <f t="shared" si="7"/>
        <v>6555900.6971561713</v>
      </c>
      <c r="O21" s="109">
        <f t="shared" si="7"/>
        <v>6656749.8606327558</v>
      </c>
      <c r="P21" s="109">
        <f t="shared" si="7"/>
        <v>5587883.5750288405</v>
      </c>
    </row>
    <row r="22" spans="1:16" ht="14.5" customHeight="1" thickTop="1" x14ac:dyDescent="0.35">
      <c r="A22" s="278">
        <f>ROW()</f>
        <v>22</v>
      </c>
      <c r="B22" s="60"/>
      <c r="C22" s="17"/>
      <c r="D22" s="17"/>
      <c r="E22" s="17"/>
      <c r="F22" s="17"/>
      <c r="G22" s="22"/>
      <c r="H22" s="269"/>
      <c r="I22" s="22"/>
      <c r="J22" s="22"/>
      <c r="K22" s="22"/>
      <c r="L22" s="22"/>
      <c r="M22" s="22"/>
      <c r="N22" s="22"/>
      <c r="O22" s="22"/>
      <c r="P22" s="22"/>
    </row>
    <row r="23" spans="1:16" ht="14.5" customHeight="1" x14ac:dyDescent="0.35">
      <c r="A23" s="278">
        <f>ROW()</f>
        <v>23</v>
      </c>
      <c r="B23" s="59" t="s">
        <v>147</v>
      </c>
      <c r="C23" s="17"/>
      <c r="D23" s="17"/>
      <c r="E23" s="17"/>
      <c r="F23" s="17"/>
      <c r="G23" s="22"/>
      <c r="H23" s="269"/>
      <c r="I23" s="22"/>
      <c r="J23" s="22"/>
      <c r="K23" s="22"/>
      <c r="L23" s="22"/>
      <c r="M23" s="22"/>
      <c r="N23" s="22"/>
      <c r="O23" s="22"/>
      <c r="P23" s="22"/>
    </row>
    <row r="24" spans="1:16" ht="14.5" customHeight="1" x14ac:dyDescent="0.35">
      <c r="A24" s="278">
        <f>ROW()</f>
        <v>24</v>
      </c>
      <c r="B24" s="60" t="s">
        <v>148</v>
      </c>
      <c r="C24" s="266">
        <v>55700</v>
      </c>
      <c r="D24" s="17"/>
      <c r="E24" s="17"/>
      <c r="F24" s="17"/>
      <c r="G24" s="22"/>
      <c r="H24" s="269">
        <f>C24-E24+F24</f>
        <v>55700</v>
      </c>
      <c r="I24" s="22">
        <f>'Income Statement'!I11/365*Assumptions!E33</f>
        <v>56316.560136295884</v>
      </c>
      <c r="J24" s="22">
        <f>'Income Statement'!J11/365*Assumptions!F33</f>
        <v>37535.218727192158</v>
      </c>
      <c r="K24" s="22">
        <f>'Income Statement'!K11/365*Assumptions!G33</f>
        <v>34862.7819590859</v>
      </c>
      <c r="L24" s="22">
        <f>'Income Statement'!L11/365*Assumptions!H33</f>
        <v>56830.526793613739</v>
      </c>
      <c r="M24" s="22">
        <f>'Income Statement'!M11/365*Assumptions!I33</f>
        <v>49019.026182258633</v>
      </c>
      <c r="N24" s="22">
        <f>'Income Statement'!N11/365*Assumptions!J33</f>
        <v>50101.472196000912</v>
      </c>
      <c r="O24" s="22">
        <f>'Income Statement'!O11/365*Assumptions!K33</f>
        <v>52463.892284700625</v>
      </c>
      <c r="P24" s="22">
        <f>+O24/N24*O24</f>
        <v>54937.706878010074</v>
      </c>
    </row>
    <row r="25" spans="1:16" ht="14.5" customHeight="1" x14ac:dyDescent="0.35">
      <c r="A25" s="278">
        <f>ROW()</f>
        <v>25</v>
      </c>
      <c r="B25" s="60" t="s">
        <v>149</v>
      </c>
      <c r="C25" s="19">
        <v>0</v>
      </c>
      <c r="D25" s="17"/>
      <c r="E25" s="17"/>
      <c r="F25" s="17"/>
      <c r="G25" s="22"/>
      <c r="H25" s="269">
        <f>+C25+F25-E25</f>
        <v>0</v>
      </c>
      <c r="I25" s="97">
        <f>+H25</f>
        <v>0</v>
      </c>
      <c r="J25" s="97">
        <f>+I25</f>
        <v>0</v>
      </c>
      <c r="K25" s="97">
        <f t="shared" ref="K25:P25" si="8">+J25</f>
        <v>0</v>
      </c>
      <c r="L25" s="97">
        <f t="shared" si="8"/>
        <v>0</v>
      </c>
      <c r="M25" s="97">
        <f t="shared" si="8"/>
        <v>0</v>
      </c>
      <c r="N25" s="97">
        <f t="shared" si="8"/>
        <v>0</v>
      </c>
      <c r="O25" s="97">
        <f t="shared" si="8"/>
        <v>0</v>
      </c>
      <c r="P25" s="97">
        <f t="shared" si="8"/>
        <v>0</v>
      </c>
    </row>
    <row r="26" spans="1:16" ht="14.5" customHeight="1" x14ac:dyDescent="0.35">
      <c r="A26" s="278">
        <f>ROW()</f>
        <v>26</v>
      </c>
      <c r="B26" s="59" t="s">
        <v>150</v>
      </c>
      <c r="C26" s="108">
        <f>SUM(C24:C25)</f>
        <v>55700</v>
      </c>
      <c r="D26" s="17"/>
      <c r="E26" s="17"/>
      <c r="F26" s="17"/>
      <c r="G26" s="22"/>
      <c r="H26" s="270">
        <f>SUM(H24:H25)</f>
        <v>55700</v>
      </c>
      <c r="I26" s="17">
        <f t="shared" ref="I26:P26" si="9">SUM(I24:I25)</f>
        <v>56316.560136295884</v>
      </c>
      <c r="J26" s="17">
        <f t="shared" si="9"/>
        <v>37535.218727192158</v>
      </c>
      <c r="K26" s="17">
        <f t="shared" si="9"/>
        <v>34862.7819590859</v>
      </c>
      <c r="L26" s="17">
        <f t="shared" si="9"/>
        <v>56830.526793613739</v>
      </c>
      <c r="M26" s="17">
        <f t="shared" si="9"/>
        <v>49019.026182258633</v>
      </c>
      <c r="N26" s="17">
        <f t="shared" si="9"/>
        <v>50101.472196000912</v>
      </c>
      <c r="O26" s="17">
        <f t="shared" si="9"/>
        <v>52463.892284700625</v>
      </c>
      <c r="P26" s="17">
        <f t="shared" si="9"/>
        <v>54937.706878010074</v>
      </c>
    </row>
    <row r="27" spans="1:16" ht="14.5" customHeight="1" x14ac:dyDescent="0.35">
      <c r="A27" s="278">
        <f>ROW()</f>
        <v>27</v>
      </c>
      <c r="B27" s="60"/>
      <c r="C27" s="17"/>
      <c r="D27" s="17"/>
      <c r="E27" s="17"/>
      <c r="F27" s="17"/>
      <c r="G27" s="22"/>
      <c r="H27" s="269"/>
      <c r="I27" s="22"/>
      <c r="J27" s="22"/>
      <c r="K27" s="22"/>
      <c r="L27" s="22"/>
      <c r="M27" s="22"/>
      <c r="N27" s="22"/>
      <c r="O27" s="22"/>
      <c r="P27" s="22"/>
    </row>
    <row r="28" spans="1:16" ht="14.5" customHeight="1" x14ac:dyDescent="0.35">
      <c r="A28" s="278">
        <f>ROW()</f>
        <v>28</v>
      </c>
      <c r="B28" s="60" t="s">
        <v>151</v>
      </c>
      <c r="C28" s="17">
        <f>'Transaction S&amp;U'!L10</f>
        <v>2980346</v>
      </c>
      <c r="D28" s="17"/>
      <c r="E28" s="17">
        <f>'Transaction S&amp;U'!L10</f>
        <v>2980346</v>
      </c>
      <c r="F28" s="17"/>
      <c r="G28" s="22"/>
      <c r="H28" s="269">
        <f>C28-E28+F28</f>
        <v>0</v>
      </c>
      <c r="I28" s="22"/>
      <c r="J28" s="22"/>
      <c r="K28" s="22"/>
      <c r="L28" s="22"/>
      <c r="M28" s="22"/>
      <c r="N28" s="22"/>
      <c r="O28" s="22"/>
      <c r="P28" s="22"/>
    </row>
    <row r="29" spans="1:16" ht="14.5" customHeight="1" x14ac:dyDescent="0.35">
      <c r="A29" s="278">
        <f>ROW()</f>
        <v>29</v>
      </c>
      <c r="B29" s="60" t="s">
        <v>160</v>
      </c>
      <c r="C29" s="19">
        <v>0</v>
      </c>
      <c r="D29" s="17"/>
      <c r="E29" s="17"/>
      <c r="F29" s="17"/>
      <c r="G29" s="22"/>
      <c r="H29" s="269">
        <f t="shared" ref="H29:H33" si="10">+C29-E29+F29</f>
        <v>0</v>
      </c>
      <c r="I29" s="22"/>
      <c r="J29" s="22"/>
      <c r="K29" s="22"/>
      <c r="L29" s="22"/>
      <c r="M29" s="22"/>
      <c r="N29" s="22"/>
      <c r="O29" s="22"/>
      <c r="P29" s="22"/>
    </row>
    <row r="30" spans="1:16" ht="14.5" customHeight="1" x14ac:dyDescent="0.35">
      <c r="A30" s="278">
        <f>ROW()</f>
        <v>30</v>
      </c>
      <c r="B30" s="60" t="s">
        <v>3</v>
      </c>
      <c r="C30" s="19">
        <v>0</v>
      </c>
      <c r="D30" s="17"/>
      <c r="E30" s="17"/>
      <c r="F30" s="17">
        <f>'Transaction S&amp;U'!C9</f>
        <v>1000000</v>
      </c>
      <c r="G30" s="22"/>
      <c r="H30" s="269">
        <f t="shared" si="10"/>
        <v>1000000</v>
      </c>
      <c r="I30" s="22">
        <f>'Debt Schedule'!J22</f>
        <v>1000000</v>
      </c>
      <c r="J30" s="22">
        <f>'Debt Schedule'!K22</f>
        <v>950000</v>
      </c>
      <c r="K30" s="22">
        <f>'Debt Schedule'!L22</f>
        <v>850000</v>
      </c>
      <c r="L30" s="22">
        <f>'Debt Schedule'!M22</f>
        <v>750000</v>
      </c>
      <c r="M30" s="22">
        <f>'Debt Schedule'!N22</f>
        <v>600000</v>
      </c>
      <c r="N30" s="22">
        <f>'Debt Schedule'!O22</f>
        <v>0</v>
      </c>
      <c r="O30" s="22">
        <f>'Debt Schedule'!P22</f>
        <v>0</v>
      </c>
      <c r="P30" s="22">
        <f>'Debt Schedule'!Q22</f>
        <v>0</v>
      </c>
    </row>
    <row r="31" spans="1:16" ht="14.5" customHeight="1" x14ac:dyDescent="0.35">
      <c r="A31" s="278">
        <f>ROW()</f>
        <v>31</v>
      </c>
      <c r="B31" s="60" t="s">
        <v>4</v>
      </c>
      <c r="C31" s="19">
        <v>0</v>
      </c>
      <c r="D31" s="17"/>
      <c r="E31" s="17"/>
      <c r="F31" s="17">
        <f>'Transaction S&amp;U'!C10</f>
        <v>1300000</v>
      </c>
      <c r="G31" s="22"/>
      <c r="H31" s="269">
        <f t="shared" si="10"/>
        <v>1300000</v>
      </c>
      <c r="I31" s="22">
        <f>'Debt Schedule'!J32</f>
        <v>1300000</v>
      </c>
      <c r="J31" s="22">
        <f>'Debt Schedule'!K32</f>
        <v>1287000</v>
      </c>
      <c r="K31" s="22">
        <f>'Debt Schedule'!L32</f>
        <v>1274000</v>
      </c>
      <c r="L31" s="22">
        <f>'Debt Schedule'!M32</f>
        <v>1261000</v>
      </c>
      <c r="M31" s="22">
        <f>'Debt Schedule'!N32</f>
        <v>1248000</v>
      </c>
      <c r="N31" s="22">
        <f>'Debt Schedule'!O32</f>
        <v>1235000</v>
      </c>
      <c r="O31" s="22">
        <f>'Debt Schedule'!P32</f>
        <v>1222000</v>
      </c>
      <c r="P31" s="22">
        <f>'Debt Schedule'!Q32</f>
        <v>0</v>
      </c>
    </row>
    <row r="32" spans="1:16" ht="14.5" customHeight="1" x14ac:dyDescent="0.35">
      <c r="A32" s="278">
        <f>ROW()</f>
        <v>32</v>
      </c>
      <c r="B32" s="60" t="s">
        <v>126</v>
      </c>
      <c r="C32" s="19"/>
      <c r="D32" s="17"/>
      <c r="E32" s="17"/>
      <c r="F32" s="17"/>
      <c r="G32" s="22"/>
      <c r="H32" s="269">
        <f t="shared" si="10"/>
        <v>0</v>
      </c>
      <c r="I32" s="22">
        <f>+H32</f>
        <v>0</v>
      </c>
      <c r="J32" s="22">
        <f t="shared" ref="J32:P32" si="11">+I32</f>
        <v>0</v>
      </c>
      <c r="K32" s="22">
        <f t="shared" si="11"/>
        <v>0</v>
      </c>
      <c r="L32" s="22">
        <f t="shared" si="11"/>
        <v>0</v>
      </c>
      <c r="M32" s="22">
        <f t="shared" si="11"/>
        <v>0</v>
      </c>
      <c r="N32" s="22">
        <f t="shared" si="11"/>
        <v>0</v>
      </c>
      <c r="O32" s="22">
        <f t="shared" si="11"/>
        <v>0</v>
      </c>
      <c r="P32" s="22">
        <f t="shared" si="11"/>
        <v>0</v>
      </c>
    </row>
    <row r="33" spans="1:16" ht="14.5" customHeight="1" x14ac:dyDescent="0.35">
      <c r="A33" s="278">
        <f>ROW()</f>
        <v>33</v>
      </c>
      <c r="B33" s="60" t="s">
        <v>28</v>
      </c>
      <c r="C33" s="19">
        <v>0</v>
      </c>
      <c r="D33" s="17"/>
      <c r="E33" s="17"/>
      <c r="F33" s="17">
        <f>'Transaction S&amp;U'!C12</f>
        <v>1500000</v>
      </c>
      <c r="G33" s="22"/>
      <c r="H33" s="269">
        <f t="shared" si="10"/>
        <v>1500000</v>
      </c>
      <c r="I33" s="97">
        <f>'Debt Schedule'!J51</f>
        <v>1500000</v>
      </c>
      <c r="J33" s="97">
        <f>'Debt Schedule'!K51</f>
        <v>1500000</v>
      </c>
      <c r="K33" s="97">
        <f>'Debt Schedule'!L51</f>
        <v>1500000</v>
      </c>
      <c r="L33" s="97">
        <f>'Debt Schedule'!M51</f>
        <v>1500000</v>
      </c>
      <c r="M33" s="97">
        <f>'Debt Schedule'!N51</f>
        <v>1500000</v>
      </c>
      <c r="N33" s="97">
        <f>'Debt Schedule'!O51</f>
        <v>1500000</v>
      </c>
      <c r="O33" s="97">
        <f>'Debt Schedule'!P51</f>
        <v>1500000</v>
      </c>
      <c r="P33" s="97">
        <f>'Debt Schedule'!Q51</f>
        <v>1500000</v>
      </c>
    </row>
    <row r="34" spans="1:16" ht="14.5" customHeight="1" x14ac:dyDescent="0.35">
      <c r="A34" s="278">
        <f>ROW()</f>
        <v>34</v>
      </c>
      <c r="B34" s="60" t="s">
        <v>7</v>
      </c>
      <c r="C34" s="108">
        <f>SUM(C28:C33)</f>
        <v>2980346</v>
      </c>
      <c r="D34" s="17"/>
      <c r="E34" s="17"/>
      <c r="F34" s="17"/>
      <c r="G34" s="22"/>
      <c r="H34" s="270">
        <f>SUM(H28:H33)</f>
        <v>3800000</v>
      </c>
      <c r="I34" s="108">
        <f>SUM(I28:I33)</f>
        <v>3800000</v>
      </c>
      <c r="J34" s="108">
        <f t="shared" ref="J34:P34" si="12">SUM(J28:J33)</f>
        <v>3737000</v>
      </c>
      <c r="K34" s="108">
        <f t="shared" si="12"/>
        <v>3624000</v>
      </c>
      <c r="L34" s="108">
        <f t="shared" si="12"/>
        <v>3511000</v>
      </c>
      <c r="M34" s="108">
        <f t="shared" si="12"/>
        <v>3348000</v>
      </c>
      <c r="N34" s="108">
        <f t="shared" si="12"/>
        <v>2735000</v>
      </c>
      <c r="O34" s="108">
        <f t="shared" si="12"/>
        <v>2722000</v>
      </c>
      <c r="P34" s="108">
        <f t="shared" si="12"/>
        <v>1500000</v>
      </c>
    </row>
    <row r="35" spans="1:16" ht="14.5" customHeight="1" x14ac:dyDescent="0.35">
      <c r="A35" s="278">
        <f>ROW()</f>
        <v>35</v>
      </c>
      <c r="B35" s="60"/>
      <c r="C35" s="17"/>
      <c r="D35" s="17"/>
      <c r="E35" s="17"/>
      <c r="F35" s="17"/>
      <c r="G35" s="22"/>
      <c r="H35" s="269"/>
      <c r="I35" s="22"/>
      <c r="J35" s="22"/>
      <c r="K35" s="22"/>
      <c r="L35" s="22"/>
      <c r="M35" s="22"/>
      <c r="N35" s="22"/>
      <c r="O35" s="22"/>
      <c r="P35" s="22"/>
    </row>
    <row r="36" spans="1:16" ht="14.5" customHeight="1" x14ac:dyDescent="0.35">
      <c r="A36" s="278">
        <f>ROW()</f>
        <v>36</v>
      </c>
      <c r="B36" s="60" t="s">
        <v>152</v>
      </c>
      <c r="C36" s="266">
        <v>297420</v>
      </c>
      <c r="D36" s="17"/>
      <c r="E36" s="17"/>
      <c r="F36" s="17"/>
      <c r="G36" s="22"/>
      <c r="H36" s="269">
        <f t="shared" ref="H36" si="13">+C36-E36+F36</f>
        <v>297420</v>
      </c>
      <c r="I36" s="22">
        <f>H36+'Cash Flow Statement'!I11</f>
        <v>302749.10019352374</v>
      </c>
      <c r="J36" s="22">
        <f>I36+'Cash Flow Statement'!J11</f>
        <v>301193.88059211476</v>
      </c>
      <c r="K36" s="22">
        <f>J36+'Cash Flow Statement'!K11</f>
        <v>298550.45486158255</v>
      </c>
      <c r="L36" s="22">
        <f>K36+'Cash Flow Statement'!L11</f>
        <v>292098.72490141087</v>
      </c>
      <c r="M36" s="22">
        <f>L36+'Cash Flow Statement'!M11</f>
        <v>292405.01818875142</v>
      </c>
      <c r="N36" s="22">
        <f>M36+'Cash Flow Statement'!N11</f>
        <v>294566.60011307697</v>
      </c>
      <c r="O36" s="22">
        <f>N36+'Cash Flow Statement'!O11</f>
        <v>298756.29441088013</v>
      </c>
      <c r="P36" s="22">
        <f>O36+'Cash Flow Statement'!P11</f>
        <v>304418.1238260165</v>
      </c>
    </row>
    <row r="37" spans="1:16" ht="14.5" customHeight="1" x14ac:dyDescent="0.35">
      <c r="A37" s="278">
        <f>ROW()</f>
        <v>37</v>
      </c>
      <c r="B37" s="59" t="s">
        <v>153</v>
      </c>
      <c r="C37" s="108">
        <f>+C36+C34+C26</f>
        <v>3333466</v>
      </c>
      <c r="D37" s="17"/>
      <c r="E37" s="17"/>
      <c r="F37" s="17"/>
      <c r="G37" s="22"/>
      <c r="H37" s="270">
        <f>+H36+H34+H26</f>
        <v>4153120</v>
      </c>
      <c r="I37" s="108">
        <f>+I36+I34+I26</f>
        <v>4159065.6603298197</v>
      </c>
      <c r="J37" s="108">
        <f t="shared" ref="J37:P37" si="14">+J36+J34+J26</f>
        <v>4075729.0993193071</v>
      </c>
      <c r="K37" s="108">
        <f t="shared" si="14"/>
        <v>3957413.2368206684</v>
      </c>
      <c r="L37" s="108">
        <f t="shared" si="14"/>
        <v>3859929.2516950243</v>
      </c>
      <c r="M37" s="108">
        <f t="shared" si="14"/>
        <v>3689424.0443710098</v>
      </c>
      <c r="N37" s="108">
        <f t="shared" si="14"/>
        <v>3079668.0723090782</v>
      </c>
      <c r="O37" s="108">
        <f t="shared" si="14"/>
        <v>3073220.1866955808</v>
      </c>
      <c r="P37" s="108">
        <f t="shared" si="14"/>
        <v>1859355.8307040266</v>
      </c>
    </row>
    <row r="38" spans="1:16" ht="14.5" customHeight="1" x14ac:dyDescent="0.35">
      <c r="A38" s="278">
        <f>ROW()</f>
        <v>38</v>
      </c>
      <c r="B38" s="60"/>
      <c r="C38" s="17"/>
      <c r="D38" s="17"/>
      <c r="E38" s="17"/>
      <c r="F38" s="17"/>
      <c r="G38" s="22"/>
      <c r="H38" s="269"/>
      <c r="I38" s="22"/>
      <c r="J38" s="22"/>
      <c r="K38" s="22"/>
      <c r="L38" s="22"/>
      <c r="M38" s="22"/>
      <c r="N38" s="22"/>
      <c r="O38" s="22"/>
      <c r="P38" s="22"/>
    </row>
    <row r="39" spans="1:16" ht="14.5" customHeight="1" x14ac:dyDescent="0.35">
      <c r="A39" s="278">
        <f>ROW()</f>
        <v>39</v>
      </c>
      <c r="B39" s="59" t="s">
        <v>154</v>
      </c>
      <c r="C39" s="17"/>
      <c r="D39" s="17"/>
      <c r="E39" s="17"/>
      <c r="F39" s="17"/>
      <c r="G39" s="22"/>
      <c r="H39" s="269"/>
      <c r="I39" s="22"/>
      <c r="J39" s="22"/>
      <c r="K39" s="22"/>
      <c r="L39" s="22"/>
      <c r="M39" s="22"/>
      <c r="N39" s="22"/>
      <c r="O39" s="22"/>
      <c r="P39" s="22"/>
    </row>
    <row r="40" spans="1:16" ht="14.5" customHeight="1" x14ac:dyDescent="0.35">
      <c r="A40" s="278">
        <f>ROW()</f>
        <v>40</v>
      </c>
      <c r="B40" s="60" t="s">
        <v>155</v>
      </c>
      <c r="C40" s="266">
        <v>2131.1999999999998</v>
      </c>
      <c r="D40" s="17"/>
      <c r="E40" s="17">
        <f>C40</f>
        <v>2131.1999999999998</v>
      </c>
      <c r="F40" s="17">
        <f>'Transaction S&amp;U'!C15</f>
        <v>3549307.5</v>
      </c>
      <c r="G40" s="22"/>
      <c r="H40" s="269">
        <f>+C40-E40+F40</f>
        <v>3549307.5</v>
      </c>
      <c r="I40" s="22">
        <f>+H40</f>
        <v>3549307.5</v>
      </c>
      <c r="J40" s="22">
        <f t="shared" ref="J40:P41" si="15">+I40</f>
        <v>3549307.5</v>
      </c>
      <c r="K40" s="22">
        <f t="shared" si="15"/>
        <v>3549307.5</v>
      </c>
      <c r="L40" s="22">
        <f t="shared" si="15"/>
        <v>3549307.5</v>
      </c>
      <c r="M40" s="22">
        <f t="shared" si="15"/>
        <v>3549307.5</v>
      </c>
      <c r="N40" s="22">
        <f t="shared" si="15"/>
        <v>3549307.5</v>
      </c>
      <c r="O40" s="22">
        <f t="shared" si="15"/>
        <v>3549307.5</v>
      </c>
      <c r="P40" s="22">
        <f t="shared" si="15"/>
        <v>3549307.5</v>
      </c>
    </row>
    <row r="41" spans="1:16" ht="14.5" customHeight="1" x14ac:dyDescent="0.35">
      <c r="A41" s="278">
        <f>ROW()</f>
        <v>41</v>
      </c>
      <c r="B41" s="60" t="s">
        <v>156</v>
      </c>
      <c r="C41" s="266">
        <v>1312560</v>
      </c>
      <c r="D41" s="17"/>
      <c r="E41" s="17">
        <f>C41</f>
        <v>1312560</v>
      </c>
      <c r="F41" s="17"/>
      <c r="G41" s="22"/>
      <c r="H41" s="269">
        <f t="shared" ref="H41:H42" si="16">+C41-E41+F41</f>
        <v>0</v>
      </c>
      <c r="I41" s="22">
        <f>+H41</f>
        <v>0</v>
      </c>
      <c r="J41" s="22">
        <f t="shared" si="15"/>
        <v>0</v>
      </c>
      <c r="K41" s="22">
        <f t="shared" si="15"/>
        <v>0</v>
      </c>
      <c r="L41" s="22">
        <f t="shared" si="15"/>
        <v>0</v>
      </c>
      <c r="M41" s="22">
        <f t="shared" si="15"/>
        <v>0</v>
      </c>
      <c r="N41" s="22">
        <f t="shared" si="15"/>
        <v>0</v>
      </c>
      <c r="O41" s="22">
        <f t="shared" si="15"/>
        <v>0</v>
      </c>
      <c r="P41" s="22">
        <f t="shared" si="15"/>
        <v>0</v>
      </c>
    </row>
    <row r="42" spans="1:16" ht="14.5" customHeight="1" x14ac:dyDescent="0.35">
      <c r="A42" s="278">
        <f>ROW()</f>
        <v>42</v>
      </c>
      <c r="B42" s="60" t="s">
        <v>157</v>
      </c>
      <c r="C42" s="17">
        <v>825225</v>
      </c>
      <c r="D42" s="17"/>
      <c r="E42" s="17">
        <f>C42</f>
        <v>825225</v>
      </c>
      <c r="F42" s="17"/>
      <c r="G42" s="22"/>
      <c r="H42" s="269">
        <f t="shared" si="16"/>
        <v>0</v>
      </c>
      <c r="I42" s="97">
        <f>+H42+'Income Statement'!I36</f>
        <v>136476.95617560827</v>
      </c>
      <c r="J42" s="97">
        <f>+I42+'Income Statement'!J36</f>
        <v>96648.161505378521</v>
      </c>
      <c r="K42" s="97">
        <f>+J42+'Income Statement'!K36</f>
        <v>28950.673284431658</v>
      </c>
      <c r="L42" s="97">
        <f>+K42+'Income Statement'!L36</f>
        <v>-136276.55740289166</v>
      </c>
      <c r="M42" s="97">
        <f>+L42+'Income Statement'!M36</f>
        <v>-128432.46101977951</v>
      </c>
      <c r="N42" s="97">
        <f>+M42+'Income Statement'!N36</f>
        <v>-73074.875152905748</v>
      </c>
      <c r="O42" s="97">
        <f>+N42+'Income Statement'!O36</f>
        <v>34222.173937175758</v>
      </c>
      <c r="P42" s="97">
        <f>+O42+'Income Statement'!P36</f>
        <v>179220.24432481447</v>
      </c>
    </row>
    <row r="43" spans="1:16" ht="14.5" customHeight="1" x14ac:dyDescent="0.35">
      <c r="A43" s="278">
        <f>ROW()</f>
        <v>43</v>
      </c>
      <c r="B43" s="59" t="s">
        <v>158</v>
      </c>
      <c r="C43" s="108">
        <f>SUM(C40:C42)</f>
        <v>2139916.2000000002</v>
      </c>
      <c r="D43" s="17"/>
      <c r="E43" s="17"/>
      <c r="F43" s="17"/>
      <c r="G43" s="22"/>
      <c r="H43" s="270">
        <f>SUM(H40:H42)</f>
        <v>3549307.5</v>
      </c>
      <c r="I43" s="22">
        <f>SUM(I40:I42)</f>
        <v>3685784.4561756081</v>
      </c>
      <c r="J43" s="22">
        <f t="shared" ref="J43:P43" si="17">SUM(J40:J42)</f>
        <v>3645955.6615053783</v>
      </c>
      <c r="K43" s="22">
        <f t="shared" si="17"/>
        <v>3578258.1732844315</v>
      </c>
      <c r="L43" s="22">
        <f t="shared" si="17"/>
        <v>3413030.9425971084</v>
      </c>
      <c r="M43" s="22">
        <f t="shared" si="17"/>
        <v>3420875.0389802204</v>
      </c>
      <c r="N43" s="22">
        <f t="shared" si="17"/>
        <v>3476232.6248470941</v>
      </c>
      <c r="O43" s="22">
        <f t="shared" si="17"/>
        <v>3583529.6739371759</v>
      </c>
      <c r="P43" s="22">
        <f t="shared" si="17"/>
        <v>3728527.7443248145</v>
      </c>
    </row>
    <row r="44" spans="1:16" ht="14.5" customHeight="1" x14ac:dyDescent="0.35">
      <c r="A44" s="278">
        <f>ROW()</f>
        <v>44</v>
      </c>
      <c r="B44" s="60"/>
      <c r="C44" s="17"/>
      <c r="D44" s="17"/>
      <c r="E44" s="17"/>
      <c r="F44" s="17"/>
      <c r="G44" s="22"/>
      <c r="H44" s="269"/>
      <c r="I44" s="22"/>
      <c r="J44" s="22"/>
      <c r="K44" s="22"/>
      <c r="L44" s="22"/>
      <c r="M44" s="22"/>
      <c r="N44" s="22"/>
      <c r="O44" s="22"/>
      <c r="P44" s="22"/>
    </row>
    <row r="45" spans="1:16" ht="14.5" customHeight="1" thickBot="1" x14ac:dyDescent="0.4">
      <c r="A45" s="278">
        <f>ROW()</f>
        <v>45</v>
      </c>
      <c r="B45" s="59" t="s">
        <v>159</v>
      </c>
      <c r="C45" s="109">
        <f>+C43+C37</f>
        <v>5473382.2000000002</v>
      </c>
      <c r="D45" s="17"/>
      <c r="E45" s="109">
        <f>SUM(E8:E44)</f>
        <v>7349307.5</v>
      </c>
      <c r="F45" s="109">
        <f>SUM(F8:F44)</f>
        <v>7349307.5</v>
      </c>
      <c r="G45" s="22"/>
      <c r="H45" s="272">
        <f>+H43+H37</f>
        <v>7702427.5</v>
      </c>
      <c r="I45" s="109">
        <f t="shared" ref="I45:P45" si="18">+I43+I37</f>
        <v>7844850.1165054273</v>
      </c>
      <c r="J45" s="109">
        <f t="shared" si="18"/>
        <v>7721684.7608246859</v>
      </c>
      <c r="K45" s="109">
        <f t="shared" si="18"/>
        <v>7535671.4101050999</v>
      </c>
      <c r="L45" s="109">
        <f t="shared" si="18"/>
        <v>7272960.1942921327</v>
      </c>
      <c r="M45" s="109">
        <f t="shared" si="18"/>
        <v>7110299.0833512302</v>
      </c>
      <c r="N45" s="109">
        <f t="shared" si="18"/>
        <v>6555900.6971561722</v>
      </c>
      <c r="O45" s="109">
        <f t="shared" si="18"/>
        <v>6656749.8606327567</v>
      </c>
      <c r="P45" s="109">
        <f t="shared" si="18"/>
        <v>5587883.5750288414</v>
      </c>
    </row>
    <row r="46" spans="1:16" ht="21.75" customHeight="1" thickTop="1" x14ac:dyDescent="0.35">
      <c r="A46"/>
      <c r="C46" s="268">
        <f>+C45-C21</f>
        <v>0</v>
      </c>
      <c r="H46" s="268">
        <f>+H45-H21</f>
        <v>0</v>
      </c>
      <c r="I46" s="268">
        <f t="shared" ref="I46:P46" si="19">+I45-I21</f>
        <v>0</v>
      </c>
      <c r="J46" s="268">
        <f t="shared" si="19"/>
        <v>0</v>
      </c>
      <c r="K46" s="268">
        <f t="shared" si="19"/>
        <v>0</v>
      </c>
      <c r="L46" s="268">
        <f t="shared" si="19"/>
        <v>0</v>
      </c>
      <c r="M46" s="268">
        <f t="shared" si="19"/>
        <v>0</v>
      </c>
      <c r="N46" s="268">
        <f t="shared" si="19"/>
        <v>0</v>
      </c>
      <c r="O46" s="268">
        <f t="shared" si="19"/>
        <v>0</v>
      </c>
      <c r="P46" s="268">
        <f t="shared" si="19"/>
        <v>0</v>
      </c>
    </row>
    <row r="47" spans="1:16" ht="21.75" customHeight="1" x14ac:dyDescent="0.35">
      <c r="A47"/>
    </row>
    <row r="48" spans="1:16" ht="21.75" customHeight="1" x14ac:dyDescent="0.35">
      <c r="A48"/>
    </row>
    <row r="49" spans="1:1" ht="21.75" customHeight="1" x14ac:dyDescent="0.35">
      <c r="A49"/>
    </row>
    <row r="50" spans="1:1" ht="21.75" customHeight="1" x14ac:dyDescent="0.35">
      <c r="A50"/>
    </row>
    <row r="51" spans="1:1" ht="21.75" customHeight="1" x14ac:dyDescent="0.35">
      <c r="A51"/>
    </row>
    <row r="52" spans="1:1" ht="21.75" customHeight="1" x14ac:dyDescent="0.35">
      <c r="A52"/>
    </row>
    <row r="53" spans="1:1" ht="21.75" customHeight="1" x14ac:dyDescent="0.35">
      <c r="A53"/>
    </row>
    <row r="54" spans="1:1" ht="21.75" customHeight="1" x14ac:dyDescent="0.35">
      <c r="A54"/>
    </row>
    <row r="55" spans="1:1" ht="21.75" customHeight="1" x14ac:dyDescent="0.35">
      <c r="A55"/>
    </row>
    <row r="56" spans="1:1" ht="21.75" customHeight="1" x14ac:dyDescent="0.35">
      <c r="A56"/>
    </row>
    <row r="57" spans="1:1" ht="21.75" customHeight="1" x14ac:dyDescent="0.35">
      <c r="A57"/>
    </row>
    <row r="58" spans="1:1" ht="21.75" customHeight="1" x14ac:dyDescent="0.35">
      <c r="A58"/>
    </row>
    <row r="59" spans="1:1" ht="21.75" customHeight="1" x14ac:dyDescent="0.35">
      <c r="A59"/>
    </row>
    <row r="60" spans="1:1" ht="21.75" customHeight="1" x14ac:dyDescent="0.35">
      <c r="A60"/>
    </row>
    <row r="61" spans="1:1" ht="21.75" customHeight="1" x14ac:dyDescent="0.35">
      <c r="A61"/>
    </row>
    <row r="62" spans="1:1" ht="21.75" customHeight="1" x14ac:dyDescent="0.35">
      <c r="A62"/>
    </row>
    <row r="63" spans="1:1" ht="21.75" customHeight="1" x14ac:dyDescent="0.35">
      <c r="A63"/>
    </row>
    <row r="64" spans="1:1" ht="21.75" customHeight="1" x14ac:dyDescent="0.35">
      <c r="A64"/>
    </row>
    <row r="65" spans="1:1" ht="21.75" customHeight="1" x14ac:dyDescent="0.35">
      <c r="A65"/>
    </row>
    <row r="66" spans="1:1" ht="21.75" customHeight="1" x14ac:dyDescent="0.35">
      <c r="A66"/>
    </row>
    <row r="67" spans="1:1" ht="21.75" customHeight="1" x14ac:dyDescent="0.35">
      <c r="A67"/>
    </row>
    <row r="68" spans="1:1" ht="21.75" customHeight="1" x14ac:dyDescent="0.35">
      <c r="A68"/>
    </row>
    <row r="69" spans="1:1" ht="21.75" customHeight="1" x14ac:dyDescent="0.35">
      <c r="A69"/>
    </row>
    <row r="70" spans="1:1" ht="21.75" customHeight="1" x14ac:dyDescent="0.35">
      <c r="A70"/>
    </row>
    <row r="71" spans="1:1" ht="21.75" customHeight="1" x14ac:dyDescent="0.35">
      <c r="A7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  <row r="115" spans="1:1" ht="21.75" customHeight="1" x14ac:dyDescent="0.35">
      <c r="A115"/>
    </row>
    <row r="116" spans="1:1" ht="21.75" customHeight="1" x14ac:dyDescent="0.35">
      <c r="A116"/>
    </row>
    <row r="117" spans="1:1" ht="21.75" customHeight="1" x14ac:dyDescent="0.35">
      <c r="A117"/>
    </row>
    <row r="118" spans="1:1" ht="21.75" customHeight="1" x14ac:dyDescent="0.35">
      <c r="A118"/>
    </row>
    <row r="119" spans="1:1" ht="21.75" customHeight="1" x14ac:dyDescent="0.35">
      <c r="A119"/>
    </row>
    <row r="120" spans="1:1" ht="21.75" customHeight="1" x14ac:dyDescent="0.35">
      <c r="A120"/>
    </row>
    <row r="121" spans="1:1" ht="21.75" customHeight="1" x14ac:dyDescent="0.35">
      <c r="A121"/>
    </row>
    <row r="122" spans="1:1" ht="21.75" customHeight="1" x14ac:dyDescent="0.35">
      <c r="A122"/>
    </row>
    <row r="123" spans="1:1" ht="21.75" customHeight="1" x14ac:dyDescent="0.35">
      <c r="A123"/>
    </row>
    <row r="124" spans="1:1" ht="21.75" customHeight="1" x14ac:dyDescent="0.35">
      <c r="A124"/>
    </row>
    <row r="125" spans="1:1" ht="21.75" customHeight="1" x14ac:dyDescent="0.35">
      <c r="A125"/>
    </row>
    <row r="126" spans="1:1" ht="21.75" customHeight="1" x14ac:dyDescent="0.35">
      <c r="A126"/>
    </row>
    <row r="127" spans="1:1" ht="21.75" customHeight="1" x14ac:dyDescent="0.35">
      <c r="A127"/>
    </row>
    <row r="128" spans="1:1" ht="21.75" customHeight="1" x14ac:dyDescent="0.35">
      <c r="A128"/>
    </row>
    <row r="129" spans="1:1" ht="21.75" customHeight="1" x14ac:dyDescent="0.35">
      <c r="A129"/>
    </row>
    <row r="130" spans="1:1" ht="21.75" customHeight="1" x14ac:dyDescent="0.35">
      <c r="A130"/>
    </row>
    <row r="131" spans="1:1" ht="21.75" customHeight="1" x14ac:dyDescent="0.35">
      <c r="A131"/>
    </row>
    <row r="132" spans="1:1" ht="21.75" customHeight="1" x14ac:dyDescent="0.35">
      <c r="A132"/>
    </row>
    <row r="133" spans="1:1" ht="21.75" customHeight="1" x14ac:dyDescent="0.35">
      <c r="A133"/>
    </row>
    <row r="134" spans="1:1" ht="21.75" customHeight="1" x14ac:dyDescent="0.35">
      <c r="A134"/>
    </row>
    <row r="135" spans="1:1" ht="21.75" customHeight="1" x14ac:dyDescent="0.35">
      <c r="A135"/>
    </row>
    <row r="136" spans="1:1" ht="21.75" customHeight="1" x14ac:dyDescent="0.35">
      <c r="A136"/>
    </row>
    <row r="137" spans="1:1" ht="21.75" customHeight="1" x14ac:dyDescent="0.35">
      <c r="A137"/>
    </row>
    <row r="138" spans="1:1" ht="21.75" customHeight="1" x14ac:dyDescent="0.35">
      <c r="A138"/>
    </row>
    <row r="139" spans="1:1" ht="21.75" customHeight="1" x14ac:dyDescent="0.35">
      <c r="A139"/>
    </row>
    <row r="140" spans="1:1" ht="21.75" customHeight="1" x14ac:dyDescent="0.35">
      <c r="A140"/>
    </row>
    <row r="141" spans="1:1" ht="21.75" customHeight="1" x14ac:dyDescent="0.35">
      <c r="A141"/>
    </row>
    <row r="142" spans="1:1" ht="21.75" customHeight="1" x14ac:dyDescent="0.35">
      <c r="A142"/>
    </row>
    <row r="143" spans="1:1" ht="21.75" customHeight="1" x14ac:dyDescent="0.35">
      <c r="A143"/>
    </row>
    <row r="144" spans="1:1" ht="21.75" customHeight="1" x14ac:dyDescent="0.35">
      <c r="A144"/>
    </row>
    <row r="145" spans="1:1" ht="21.75" customHeight="1" x14ac:dyDescent="0.35">
      <c r="A145"/>
    </row>
    <row r="146" spans="1:1" ht="21.75" customHeight="1" x14ac:dyDescent="0.35">
      <c r="A146"/>
    </row>
    <row r="147" spans="1:1" ht="21.75" customHeight="1" x14ac:dyDescent="0.35">
      <c r="A147"/>
    </row>
    <row r="148" spans="1:1" ht="21.75" customHeight="1" x14ac:dyDescent="0.35">
      <c r="A148"/>
    </row>
    <row r="149" spans="1:1" ht="21.75" customHeight="1" x14ac:dyDescent="0.35">
      <c r="A149"/>
    </row>
    <row r="150" spans="1:1" ht="21.75" customHeight="1" x14ac:dyDescent="0.35">
      <c r="A150"/>
    </row>
    <row r="151" spans="1:1" ht="21.75" customHeight="1" x14ac:dyDescent="0.35">
      <c r="A151"/>
    </row>
    <row r="152" spans="1:1" ht="21.75" customHeight="1" x14ac:dyDescent="0.35">
      <c r="A152"/>
    </row>
    <row r="153" spans="1:1" ht="21.75" customHeight="1" x14ac:dyDescent="0.35">
      <c r="A153"/>
    </row>
    <row r="154" spans="1:1" ht="21.75" customHeight="1" x14ac:dyDescent="0.35">
      <c r="A154"/>
    </row>
    <row r="155" spans="1:1" ht="21.75" customHeight="1" x14ac:dyDescent="0.35">
      <c r="A155"/>
    </row>
    <row r="156" spans="1:1" ht="21.75" customHeight="1" x14ac:dyDescent="0.35">
      <c r="A156"/>
    </row>
    <row r="157" spans="1:1" ht="21.75" customHeight="1" x14ac:dyDescent="0.35">
      <c r="A157"/>
    </row>
    <row r="158" spans="1:1" ht="21.75" customHeight="1" x14ac:dyDescent="0.35">
      <c r="A158"/>
    </row>
    <row r="159" spans="1:1" ht="21.75" customHeight="1" x14ac:dyDescent="0.35">
      <c r="A159"/>
    </row>
    <row r="160" spans="1:1" ht="21.75" customHeight="1" x14ac:dyDescent="0.35">
      <c r="A160"/>
    </row>
    <row r="161" spans="1:1" ht="21.75" customHeight="1" x14ac:dyDescent="0.35">
      <c r="A161"/>
    </row>
    <row r="162" spans="1:1" ht="21.75" customHeight="1" x14ac:dyDescent="0.35">
      <c r="A162"/>
    </row>
    <row r="163" spans="1:1" ht="21.75" customHeight="1" x14ac:dyDescent="0.35">
      <c r="A163"/>
    </row>
    <row r="164" spans="1:1" ht="21.75" customHeight="1" x14ac:dyDescent="0.35">
      <c r="A164"/>
    </row>
    <row r="165" spans="1:1" ht="21.75" customHeight="1" x14ac:dyDescent="0.35">
      <c r="A165"/>
    </row>
    <row r="166" spans="1:1" ht="21.75" customHeight="1" x14ac:dyDescent="0.35">
      <c r="A166"/>
    </row>
    <row r="167" spans="1:1" ht="21.75" customHeight="1" x14ac:dyDescent="0.35">
      <c r="A167"/>
    </row>
    <row r="168" spans="1:1" ht="21.75" customHeight="1" x14ac:dyDescent="0.35">
      <c r="A168"/>
    </row>
    <row r="169" spans="1:1" ht="21.75" customHeight="1" x14ac:dyDescent="0.35">
      <c r="A169"/>
    </row>
    <row r="170" spans="1:1" ht="21.75" customHeight="1" x14ac:dyDescent="0.35">
      <c r="A170"/>
    </row>
    <row r="171" spans="1:1" ht="21.75" customHeight="1" x14ac:dyDescent="0.35">
      <c r="A171"/>
    </row>
    <row r="172" spans="1:1" ht="21.75" customHeight="1" x14ac:dyDescent="0.35">
      <c r="A172"/>
    </row>
    <row r="173" spans="1:1" ht="21.75" customHeight="1" x14ac:dyDescent="0.35">
      <c r="A173"/>
    </row>
    <row r="174" spans="1:1" ht="21.75" customHeight="1" x14ac:dyDescent="0.35">
      <c r="A174"/>
    </row>
    <row r="175" spans="1:1" ht="21.75" customHeight="1" x14ac:dyDescent="0.35">
      <c r="A175"/>
    </row>
    <row r="176" spans="1:1" ht="21.75" customHeight="1" x14ac:dyDescent="0.35">
      <c r="A176"/>
    </row>
    <row r="177" spans="1:1" ht="21.75" customHeight="1" x14ac:dyDescent="0.35">
      <c r="A177"/>
    </row>
    <row r="178" spans="1:1" ht="21.75" customHeight="1" x14ac:dyDescent="0.35">
      <c r="A178"/>
    </row>
    <row r="179" spans="1:1" ht="21.75" customHeight="1" x14ac:dyDescent="0.35">
      <c r="A179"/>
    </row>
    <row r="180" spans="1:1" ht="21.75" customHeight="1" x14ac:dyDescent="0.35">
      <c r="A180"/>
    </row>
    <row r="181" spans="1:1" ht="21.75" customHeight="1" x14ac:dyDescent="0.35">
      <c r="A181"/>
    </row>
    <row r="182" spans="1:1" ht="21.75" customHeight="1" x14ac:dyDescent="0.35">
      <c r="A182"/>
    </row>
    <row r="183" spans="1:1" ht="21.75" customHeight="1" x14ac:dyDescent="0.35">
      <c r="A183"/>
    </row>
    <row r="184" spans="1:1" ht="21.75" customHeight="1" x14ac:dyDescent="0.35">
      <c r="A184"/>
    </row>
    <row r="185" spans="1:1" ht="21.75" customHeight="1" x14ac:dyDescent="0.35">
      <c r="A185"/>
    </row>
    <row r="186" spans="1:1" ht="21.75" customHeight="1" x14ac:dyDescent="0.35">
      <c r="A186"/>
    </row>
    <row r="187" spans="1:1" ht="21.75" customHeight="1" x14ac:dyDescent="0.35">
      <c r="A187"/>
    </row>
    <row r="188" spans="1:1" ht="21.75" customHeight="1" x14ac:dyDescent="0.35">
      <c r="A188"/>
    </row>
    <row r="189" spans="1:1" ht="21.75" customHeight="1" x14ac:dyDescent="0.35">
      <c r="A189"/>
    </row>
    <row r="190" spans="1:1" ht="21.75" customHeight="1" x14ac:dyDescent="0.35">
      <c r="A190"/>
    </row>
    <row r="191" spans="1:1" ht="21.75" customHeight="1" x14ac:dyDescent="0.35">
      <c r="A191"/>
    </row>
    <row r="192" spans="1:1" ht="21.75" customHeight="1" x14ac:dyDescent="0.35">
      <c r="A192"/>
    </row>
  </sheetData>
  <mergeCells count="1">
    <mergeCell ref="I6:P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7CAFD-BAA4-4765-84FB-54D1D56049F7}">
  <sheetPr>
    <tabColor rgb="FFFFFF00"/>
  </sheetPr>
  <dimension ref="B1:O44"/>
  <sheetViews>
    <sheetView showGridLines="0" topLeftCell="A7" workbookViewId="0">
      <selection activeCell="N19" sqref="N19"/>
    </sheetView>
  </sheetViews>
  <sheetFormatPr defaultRowHeight="14.5" x14ac:dyDescent="0.35"/>
  <cols>
    <col min="1" max="1" width="2.7265625" customWidth="1"/>
    <col min="2" max="2" width="36.6328125" customWidth="1"/>
    <col min="3" max="3" width="4.7265625" customWidth="1"/>
    <col min="4" max="4" width="10.7265625" bestFit="1" customWidth="1"/>
    <col min="5" max="5" width="2.7265625" customWidth="1"/>
    <col min="6" max="6" width="10.26953125" customWidth="1"/>
    <col min="7" max="7" width="5.6328125" customWidth="1"/>
    <col min="8" max="8" width="11.08984375" bestFit="1" customWidth="1"/>
    <col min="9" max="9" width="10" bestFit="1" customWidth="1"/>
    <col min="10" max="12" width="10.6328125" bestFit="1" customWidth="1"/>
    <col min="13" max="13" width="10.90625" customWidth="1"/>
    <col min="14" max="14" width="11.1796875" customWidth="1"/>
    <col min="15" max="15" width="11.453125" customWidth="1"/>
    <col min="251" max="251" width="4.54296875" customWidth="1"/>
    <col min="252" max="252" width="2.90625" customWidth="1"/>
    <col min="253" max="253" width="1.08984375" customWidth="1"/>
    <col min="254" max="254" width="23.1796875" customWidth="1"/>
    <col min="257" max="257" width="2.08984375" customWidth="1"/>
    <col min="258" max="258" width="10.26953125" customWidth="1"/>
    <col min="259" max="259" width="2.36328125" customWidth="1"/>
    <col min="261" max="261" width="3.90625" customWidth="1"/>
    <col min="263" max="263" width="4.1796875" customWidth="1"/>
    <col min="264" max="264" width="9.54296875" customWidth="1"/>
    <col min="507" max="507" width="4.54296875" customWidth="1"/>
    <col min="508" max="508" width="2.90625" customWidth="1"/>
    <col min="509" max="509" width="1.08984375" customWidth="1"/>
    <col min="510" max="510" width="23.1796875" customWidth="1"/>
    <col min="513" max="513" width="2.08984375" customWidth="1"/>
    <col min="514" max="514" width="10.26953125" customWidth="1"/>
    <col min="515" max="515" width="2.36328125" customWidth="1"/>
    <col min="517" max="517" width="3.90625" customWidth="1"/>
    <col min="519" max="519" width="4.1796875" customWidth="1"/>
    <col min="520" max="520" width="9.54296875" customWidth="1"/>
    <col min="763" max="763" width="4.54296875" customWidth="1"/>
    <col min="764" max="764" width="2.90625" customWidth="1"/>
    <col min="765" max="765" width="1.08984375" customWidth="1"/>
    <col min="766" max="766" width="23.1796875" customWidth="1"/>
    <col min="769" max="769" width="2.08984375" customWidth="1"/>
    <col min="770" max="770" width="10.26953125" customWidth="1"/>
    <col min="771" max="771" width="2.36328125" customWidth="1"/>
    <col min="773" max="773" width="3.90625" customWidth="1"/>
    <col min="775" max="775" width="4.1796875" customWidth="1"/>
    <col min="776" max="776" width="9.54296875" customWidth="1"/>
    <col min="1019" max="1019" width="4.54296875" customWidth="1"/>
    <col min="1020" max="1020" width="2.90625" customWidth="1"/>
    <col min="1021" max="1021" width="1.08984375" customWidth="1"/>
    <col min="1022" max="1022" width="23.1796875" customWidth="1"/>
    <col min="1025" max="1025" width="2.08984375" customWidth="1"/>
    <col min="1026" max="1026" width="10.26953125" customWidth="1"/>
    <col min="1027" max="1027" width="2.36328125" customWidth="1"/>
    <col min="1029" max="1029" width="3.90625" customWidth="1"/>
    <col min="1031" max="1031" width="4.1796875" customWidth="1"/>
    <col min="1032" max="1032" width="9.54296875" customWidth="1"/>
    <col min="1275" max="1275" width="4.54296875" customWidth="1"/>
    <col min="1276" max="1276" width="2.90625" customWidth="1"/>
    <col min="1277" max="1277" width="1.08984375" customWidth="1"/>
    <col min="1278" max="1278" width="23.1796875" customWidth="1"/>
    <col min="1281" max="1281" width="2.08984375" customWidth="1"/>
    <col min="1282" max="1282" width="10.26953125" customWidth="1"/>
    <col min="1283" max="1283" width="2.36328125" customWidth="1"/>
    <col min="1285" max="1285" width="3.90625" customWidth="1"/>
    <col min="1287" max="1287" width="4.1796875" customWidth="1"/>
    <col min="1288" max="1288" width="9.54296875" customWidth="1"/>
    <col min="1531" max="1531" width="4.54296875" customWidth="1"/>
    <col min="1532" max="1532" width="2.90625" customWidth="1"/>
    <col min="1533" max="1533" width="1.08984375" customWidth="1"/>
    <col min="1534" max="1534" width="23.1796875" customWidth="1"/>
    <col min="1537" max="1537" width="2.08984375" customWidth="1"/>
    <col min="1538" max="1538" width="10.26953125" customWidth="1"/>
    <col min="1539" max="1539" width="2.36328125" customWidth="1"/>
    <col min="1541" max="1541" width="3.90625" customWidth="1"/>
    <col min="1543" max="1543" width="4.1796875" customWidth="1"/>
    <col min="1544" max="1544" width="9.54296875" customWidth="1"/>
    <col min="1787" max="1787" width="4.54296875" customWidth="1"/>
    <col min="1788" max="1788" width="2.90625" customWidth="1"/>
    <col min="1789" max="1789" width="1.08984375" customWidth="1"/>
    <col min="1790" max="1790" width="23.1796875" customWidth="1"/>
    <col min="1793" max="1793" width="2.08984375" customWidth="1"/>
    <col min="1794" max="1794" width="10.26953125" customWidth="1"/>
    <col min="1795" max="1795" width="2.36328125" customWidth="1"/>
    <col min="1797" max="1797" width="3.90625" customWidth="1"/>
    <col min="1799" max="1799" width="4.1796875" customWidth="1"/>
    <col min="1800" max="1800" width="9.54296875" customWidth="1"/>
    <col min="2043" max="2043" width="4.54296875" customWidth="1"/>
    <col min="2044" max="2044" width="2.90625" customWidth="1"/>
    <col min="2045" max="2045" width="1.08984375" customWidth="1"/>
    <col min="2046" max="2046" width="23.1796875" customWidth="1"/>
    <col min="2049" max="2049" width="2.08984375" customWidth="1"/>
    <col min="2050" max="2050" width="10.26953125" customWidth="1"/>
    <col min="2051" max="2051" width="2.36328125" customWidth="1"/>
    <col min="2053" max="2053" width="3.90625" customWidth="1"/>
    <col min="2055" max="2055" width="4.1796875" customWidth="1"/>
    <col min="2056" max="2056" width="9.54296875" customWidth="1"/>
    <col min="2299" max="2299" width="4.54296875" customWidth="1"/>
    <col min="2300" max="2300" width="2.90625" customWidth="1"/>
    <col min="2301" max="2301" width="1.08984375" customWidth="1"/>
    <col min="2302" max="2302" width="23.1796875" customWidth="1"/>
    <col min="2305" max="2305" width="2.08984375" customWidth="1"/>
    <col min="2306" max="2306" width="10.26953125" customWidth="1"/>
    <col min="2307" max="2307" width="2.36328125" customWidth="1"/>
    <col min="2309" max="2309" width="3.90625" customWidth="1"/>
    <col min="2311" max="2311" width="4.1796875" customWidth="1"/>
    <col min="2312" max="2312" width="9.54296875" customWidth="1"/>
    <col min="2555" max="2555" width="4.54296875" customWidth="1"/>
    <col min="2556" max="2556" width="2.90625" customWidth="1"/>
    <col min="2557" max="2557" width="1.08984375" customWidth="1"/>
    <col min="2558" max="2558" width="23.1796875" customWidth="1"/>
    <col min="2561" max="2561" width="2.08984375" customWidth="1"/>
    <col min="2562" max="2562" width="10.26953125" customWidth="1"/>
    <col min="2563" max="2563" width="2.36328125" customWidth="1"/>
    <col min="2565" max="2565" width="3.90625" customWidth="1"/>
    <col min="2567" max="2567" width="4.1796875" customWidth="1"/>
    <col min="2568" max="2568" width="9.54296875" customWidth="1"/>
    <col min="2811" max="2811" width="4.54296875" customWidth="1"/>
    <col min="2812" max="2812" width="2.90625" customWidth="1"/>
    <col min="2813" max="2813" width="1.08984375" customWidth="1"/>
    <col min="2814" max="2814" width="23.1796875" customWidth="1"/>
    <col min="2817" max="2817" width="2.08984375" customWidth="1"/>
    <col min="2818" max="2818" width="10.26953125" customWidth="1"/>
    <col min="2819" max="2819" width="2.36328125" customWidth="1"/>
    <col min="2821" max="2821" width="3.90625" customWidth="1"/>
    <col min="2823" max="2823" width="4.1796875" customWidth="1"/>
    <col min="2824" max="2824" width="9.54296875" customWidth="1"/>
    <col min="3067" max="3067" width="4.54296875" customWidth="1"/>
    <col min="3068" max="3068" width="2.90625" customWidth="1"/>
    <col min="3069" max="3069" width="1.08984375" customWidth="1"/>
    <col min="3070" max="3070" width="23.1796875" customWidth="1"/>
    <col min="3073" max="3073" width="2.08984375" customWidth="1"/>
    <col min="3074" max="3074" width="10.26953125" customWidth="1"/>
    <col min="3075" max="3075" width="2.36328125" customWidth="1"/>
    <col min="3077" max="3077" width="3.90625" customWidth="1"/>
    <col min="3079" max="3079" width="4.1796875" customWidth="1"/>
    <col min="3080" max="3080" width="9.54296875" customWidth="1"/>
    <col min="3323" max="3323" width="4.54296875" customWidth="1"/>
    <col min="3324" max="3324" width="2.90625" customWidth="1"/>
    <col min="3325" max="3325" width="1.08984375" customWidth="1"/>
    <col min="3326" max="3326" width="23.1796875" customWidth="1"/>
    <col min="3329" max="3329" width="2.08984375" customWidth="1"/>
    <col min="3330" max="3330" width="10.26953125" customWidth="1"/>
    <col min="3331" max="3331" width="2.36328125" customWidth="1"/>
    <col min="3333" max="3333" width="3.90625" customWidth="1"/>
    <col min="3335" max="3335" width="4.1796875" customWidth="1"/>
    <col min="3336" max="3336" width="9.54296875" customWidth="1"/>
    <col min="3579" max="3579" width="4.54296875" customWidth="1"/>
    <col min="3580" max="3580" width="2.90625" customWidth="1"/>
    <col min="3581" max="3581" width="1.08984375" customWidth="1"/>
    <col min="3582" max="3582" width="23.1796875" customWidth="1"/>
    <col min="3585" max="3585" width="2.08984375" customWidth="1"/>
    <col min="3586" max="3586" width="10.26953125" customWidth="1"/>
    <col min="3587" max="3587" width="2.36328125" customWidth="1"/>
    <col min="3589" max="3589" width="3.90625" customWidth="1"/>
    <col min="3591" max="3591" width="4.1796875" customWidth="1"/>
    <col min="3592" max="3592" width="9.54296875" customWidth="1"/>
    <col min="3835" max="3835" width="4.54296875" customWidth="1"/>
    <col min="3836" max="3836" width="2.90625" customWidth="1"/>
    <col min="3837" max="3837" width="1.08984375" customWidth="1"/>
    <col min="3838" max="3838" width="23.1796875" customWidth="1"/>
    <col min="3841" max="3841" width="2.08984375" customWidth="1"/>
    <col min="3842" max="3842" width="10.26953125" customWidth="1"/>
    <col min="3843" max="3843" width="2.36328125" customWidth="1"/>
    <col min="3845" max="3845" width="3.90625" customWidth="1"/>
    <col min="3847" max="3847" width="4.1796875" customWidth="1"/>
    <col min="3848" max="3848" width="9.54296875" customWidth="1"/>
    <col min="4091" max="4091" width="4.54296875" customWidth="1"/>
    <col min="4092" max="4092" width="2.90625" customWidth="1"/>
    <col min="4093" max="4093" width="1.08984375" customWidth="1"/>
    <col min="4094" max="4094" width="23.1796875" customWidth="1"/>
    <col min="4097" max="4097" width="2.08984375" customWidth="1"/>
    <col min="4098" max="4098" width="10.26953125" customWidth="1"/>
    <col min="4099" max="4099" width="2.36328125" customWidth="1"/>
    <col min="4101" max="4101" width="3.90625" customWidth="1"/>
    <col min="4103" max="4103" width="4.1796875" customWidth="1"/>
    <col min="4104" max="4104" width="9.54296875" customWidth="1"/>
    <col min="4347" max="4347" width="4.54296875" customWidth="1"/>
    <col min="4348" max="4348" width="2.90625" customWidth="1"/>
    <col min="4349" max="4349" width="1.08984375" customWidth="1"/>
    <col min="4350" max="4350" width="23.1796875" customWidth="1"/>
    <col min="4353" max="4353" width="2.08984375" customWidth="1"/>
    <col min="4354" max="4354" width="10.26953125" customWidth="1"/>
    <col min="4355" max="4355" width="2.36328125" customWidth="1"/>
    <col min="4357" max="4357" width="3.90625" customWidth="1"/>
    <col min="4359" max="4359" width="4.1796875" customWidth="1"/>
    <col min="4360" max="4360" width="9.54296875" customWidth="1"/>
    <col min="4603" max="4603" width="4.54296875" customWidth="1"/>
    <col min="4604" max="4604" width="2.90625" customWidth="1"/>
    <col min="4605" max="4605" width="1.08984375" customWidth="1"/>
    <col min="4606" max="4606" width="23.1796875" customWidth="1"/>
    <col min="4609" max="4609" width="2.08984375" customWidth="1"/>
    <col min="4610" max="4610" width="10.26953125" customWidth="1"/>
    <col min="4611" max="4611" width="2.36328125" customWidth="1"/>
    <col min="4613" max="4613" width="3.90625" customWidth="1"/>
    <col min="4615" max="4615" width="4.1796875" customWidth="1"/>
    <col min="4616" max="4616" width="9.54296875" customWidth="1"/>
    <col min="4859" max="4859" width="4.54296875" customWidth="1"/>
    <col min="4860" max="4860" width="2.90625" customWidth="1"/>
    <col min="4861" max="4861" width="1.08984375" customWidth="1"/>
    <col min="4862" max="4862" width="23.1796875" customWidth="1"/>
    <col min="4865" max="4865" width="2.08984375" customWidth="1"/>
    <col min="4866" max="4866" width="10.26953125" customWidth="1"/>
    <col min="4867" max="4867" width="2.36328125" customWidth="1"/>
    <col min="4869" max="4869" width="3.90625" customWidth="1"/>
    <col min="4871" max="4871" width="4.1796875" customWidth="1"/>
    <col min="4872" max="4872" width="9.54296875" customWidth="1"/>
    <col min="5115" max="5115" width="4.54296875" customWidth="1"/>
    <col min="5116" max="5116" width="2.90625" customWidth="1"/>
    <col min="5117" max="5117" width="1.08984375" customWidth="1"/>
    <col min="5118" max="5118" width="23.1796875" customWidth="1"/>
    <col min="5121" max="5121" width="2.08984375" customWidth="1"/>
    <col min="5122" max="5122" width="10.26953125" customWidth="1"/>
    <col min="5123" max="5123" width="2.36328125" customWidth="1"/>
    <col min="5125" max="5125" width="3.90625" customWidth="1"/>
    <col min="5127" max="5127" width="4.1796875" customWidth="1"/>
    <col min="5128" max="5128" width="9.54296875" customWidth="1"/>
    <col min="5371" max="5371" width="4.54296875" customWidth="1"/>
    <col min="5372" max="5372" width="2.90625" customWidth="1"/>
    <col min="5373" max="5373" width="1.08984375" customWidth="1"/>
    <col min="5374" max="5374" width="23.1796875" customWidth="1"/>
    <col min="5377" max="5377" width="2.08984375" customWidth="1"/>
    <col min="5378" max="5378" width="10.26953125" customWidth="1"/>
    <col min="5379" max="5379" width="2.36328125" customWidth="1"/>
    <col min="5381" max="5381" width="3.90625" customWidth="1"/>
    <col min="5383" max="5383" width="4.1796875" customWidth="1"/>
    <col min="5384" max="5384" width="9.54296875" customWidth="1"/>
    <col min="5627" max="5627" width="4.54296875" customWidth="1"/>
    <col min="5628" max="5628" width="2.90625" customWidth="1"/>
    <col min="5629" max="5629" width="1.08984375" customWidth="1"/>
    <col min="5630" max="5630" width="23.1796875" customWidth="1"/>
    <col min="5633" max="5633" width="2.08984375" customWidth="1"/>
    <col min="5634" max="5634" width="10.26953125" customWidth="1"/>
    <col min="5635" max="5635" width="2.36328125" customWidth="1"/>
    <col min="5637" max="5637" width="3.90625" customWidth="1"/>
    <col min="5639" max="5639" width="4.1796875" customWidth="1"/>
    <col min="5640" max="5640" width="9.54296875" customWidth="1"/>
    <col min="5883" max="5883" width="4.54296875" customWidth="1"/>
    <col min="5884" max="5884" width="2.90625" customWidth="1"/>
    <col min="5885" max="5885" width="1.08984375" customWidth="1"/>
    <col min="5886" max="5886" width="23.1796875" customWidth="1"/>
    <col min="5889" max="5889" width="2.08984375" customWidth="1"/>
    <col min="5890" max="5890" width="10.26953125" customWidth="1"/>
    <col min="5891" max="5891" width="2.36328125" customWidth="1"/>
    <col min="5893" max="5893" width="3.90625" customWidth="1"/>
    <col min="5895" max="5895" width="4.1796875" customWidth="1"/>
    <col min="5896" max="5896" width="9.54296875" customWidth="1"/>
    <col min="6139" max="6139" width="4.54296875" customWidth="1"/>
    <col min="6140" max="6140" width="2.90625" customWidth="1"/>
    <col min="6141" max="6141" width="1.08984375" customWidth="1"/>
    <col min="6142" max="6142" width="23.1796875" customWidth="1"/>
    <col min="6145" max="6145" width="2.08984375" customWidth="1"/>
    <col min="6146" max="6146" width="10.26953125" customWidth="1"/>
    <col min="6147" max="6147" width="2.36328125" customWidth="1"/>
    <col min="6149" max="6149" width="3.90625" customWidth="1"/>
    <col min="6151" max="6151" width="4.1796875" customWidth="1"/>
    <col min="6152" max="6152" width="9.54296875" customWidth="1"/>
    <col min="6395" max="6395" width="4.54296875" customWidth="1"/>
    <col min="6396" max="6396" width="2.90625" customWidth="1"/>
    <col min="6397" max="6397" width="1.08984375" customWidth="1"/>
    <col min="6398" max="6398" width="23.1796875" customWidth="1"/>
    <col min="6401" max="6401" width="2.08984375" customWidth="1"/>
    <col min="6402" max="6402" width="10.26953125" customWidth="1"/>
    <col min="6403" max="6403" width="2.36328125" customWidth="1"/>
    <col min="6405" max="6405" width="3.90625" customWidth="1"/>
    <col min="6407" max="6407" width="4.1796875" customWidth="1"/>
    <col min="6408" max="6408" width="9.54296875" customWidth="1"/>
    <col min="6651" max="6651" width="4.54296875" customWidth="1"/>
    <col min="6652" max="6652" width="2.90625" customWidth="1"/>
    <col min="6653" max="6653" width="1.08984375" customWidth="1"/>
    <col min="6654" max="6654" width="23.1796875" customWidth="1"/>
    <col min="6657" max="6657" width="2.08984375" customWidth="1"/>
    <col min="6658" max="6658" width="10.26953125" customWidth="1"/>
    <col min="6659" max="6659" width="2.36328125" customWidth="1"/>
    <col min="6661" max="6661" width="3.90625" customWidth="1"/>
    <col min="6663" max="6663" width="4.1796875" customWidth="1"/>
    <col min="6664" max="6664" width="9.54296875" customWidth="1"/>
    <col min="6907" max="6907" width="4.54296875" customWidth="1"/>
    <col min="6908" max="6908" width="2.90625" customWidth="1"/>
    <col min="6909" max="6909" width="1.08984375" customWidth="1"/>
    <col min="6910" max="6910" width="23.1796875" customWidth="1"/>
    <col min="6913" max="6913" width="2.08984375" customWidth="1"/>
    <col min="6914" max="6914" width="10.26953125" customWidth="1"/>
    <col min="6915" max="6915" width="2.36328125" customWidth="1"/>
    <col min="6917" max="6917" width="3.90625" customWidth="1"/>
    <col min="6919" max="6919" width="4.1796875" customWidth="1"/>
    <col min="6920" max="6920" width="9.54296875" customWidth="1"/>
    <col min="7163" max="7163" width="4.54296875" customWidth="1"/>
    <col min="7164" max="7164" width="2.90625" customWidth="1"/>
    <col min="7165" max="7165" width="1.08984375" customWidth="1"/>
    <col min="7166" max="7166" width="23.1796875" customWidth="1"/>
    <col min="7169" max="7169" width="2.08984375" customWidth="1"/>
    <col min="7170" max="7170" width="10.26953125" customWidth="1"/>
    <col min="7171" max="7171" width="2.36328125" customWidth="1"/>
    <col min="7173" max="7173" width="3.90625" customWidth="1"/>
    <col min="7175" max="7175" width="4.1796875" customWidth="1"/>
    <col min="7176" max="7176" width="9.54296875" customWidth="1"/>
    <col min="7419" max="7419" width="4.54296875" customWidth="1"/>
    <col min="7420" max="7420" width="2.90625" customWidth="1"/>
    <col min="7421" max="7421" width="1.08984375" customWidth="1"/>
    <col min="7422" max="7422" width="23.1796875" customWidth="1"/>
    <col min="7425" max="7425" width="2.08984375" customWidth="1"/>
    <col min="7426" max="7426" width="10.26953125" customWidth="1"/>
    <col min="7427" max="7427" width="2.36328125" customWidth="1"/>
    <col min="7429" max="7429" width="3.90625" customWidth="1"/>
    <col min="7431" max="7431" width="4.1796875" customWidth="1"/>
    <col min="7432" max="7432" width="9.54296875" customWidth="1"/>
    <col min="7675" max="7675" width="4.54296875" customWidth="1"/>
    <col min="7676" max="7676" width="2.90625" customWidth="1"/>
    <col min="7677" max="7677" width="1.08984375" customWidth="1"/>
    <col min="7678" max="7678" width="23.1796875" customWidth="1"/>
    <col min="7681" max="7681" width="2.08984375" customWidth="1"/>
    <col min="7682" max="7682" width="10.26953125" customWidth="1"/>
    <col min="7683" max="7683" width="2.36328125" customWidth="1"/>
    <col min="7685" max="7685" width="3.90625" customWidth="1"/>
    <col min="7687" max="7687" width="4.1796875" customWidth="1"/>
    <col min="7688" max="7688" width="9.54296875" customWidth="1"/>
    <col min="7931" max="7931" width="4.54296875" customWidth="1"/>
    <col min="7932" max="7932" width="2.90625" customWidth="1"/>
    <col min="7933" max="7933" width="1.08984375" customWidth="1"/>
    <col min="7934" max="7934" width="23.1796875" customWidth="1"/>
    <col min="7937" max="7937" width="2.08984375" customWidth="1"/>
    <col min="7938" max="7938" width="10.26953125" customWidth="1"/>
    <col min="7939" max="7939" width="2.36328125" customWidth="1"/>
    <col min="7941" max="7941" width="3.90625" customWidth="1"/>
    <col min="7943" max="7943" width="4.1796875" customWidth="1"/>
    <col min="7944" max="7944" width="9.54296875" customWidth="1"/>
    <col min="8187" max="8187" width="4.54296875" customWidth="1"/>
    <col min="8188" max="8188" width="2.90625" customWidth="1"/>
    <col min="8189" max="8189" width="1.08984375" customWidth="1"/>
    <col min="8190" max="8190" width="23.1796875" customWidth="1"/>
    <col min="8193" max="8193" width="2.08984375" customWidth="1"/>
    <col min="8194" max="8194" width="10.26953125" customWidth="1"/>
    <col min="8195" max="8195" width="2.36328125" customWidth="1"/>
    <col min="8197" max="8197" width="3.90625" customWidth="1"/>
    <col min="8199" max="8199" width="4.1796875" customWidth="1"/>
    <col min="8200" max="8200" width="9.54296875" customWidth="1"/>
    <col min="8443" max="8443" width="4.54296875" customWidth="1"/>
    <col min="8444" max="8444" width="2.90625" customWidth="1"/>
    <col min="8445" max="8445" width="1.08984375" customWidth="1"/>
    <col min="8446" max="8446" width="23.1796875" customWidth="1"/>
    <col min="8449" max="8449" width="2.08984375" customWidth="1"/>
    <col min="8450" max="8450" width="10.26953125" customWidth="1"/>
    <col min="8451" max="8451" width="2.36328125" customWidth="1"/>
    <col min="8453" max="8453" width="3.90625" customWidth="1"/>
    <col min="8455" max="8455" width="4.1796875" customWidth="1"/>
    <col min="8456" max="8456" width="9.54296875" customWidth="1"/>
    <col min="8699" max="8699" width="4.54296875" customWidth="1"/>
    <col min="8700" max="8700" width="2.90625" customWidth="1"/>
    <col min="8701" max="8701" width="1.08984375" customWidth="1"/>
    <col min="8702" max="8702" width="23.1796875" customWidth="1"/>
    <col min="8705" max="8705" width="2.08984375" customWidth="1"/>
    <col min="8706" max="8706" width="10.26953125" customWidth="1"/>
    <col min="8707" max="8707" width="2.36328125" customWidth="1"/>
    <col min="8709" max="8709" width="3.90625" customWidth="1"/>
    <col min="8711" max="8711" width="4.1796875" customWidth="1"/>
    <col min="8712" max="8712" width="9.54296875" customWidth="1"/>
    <col min="8955" max="8955" width="4.54296875" customWidth="1"/>
    <col min="8956" max="8956" width="2.90625" customWidth="1"/>
    <col min="8957" max="8957" width="1.08984375" customWidth="1"/>
    <col min="8958" max="8958" width="23.1796875" customWidth="1"/>
    <col min="8961" max="8961" width="2.08984375" customWidth="1"/>
    <col min="8962" max="8962" width="10.26953125" customWidth="1"/>
    <col min="8963" max="8963" width="2.36328125" customWidth="1"/>
    <col min="8965" max="8965" width="3.90625" customWidth="1"/>
    <col min="8967" max="8967" width="4.1796875" customWidth="1"/>
    <col min="8968" max="8968" width="9.54296875" customWidth="1"/>
    <col min="9211" max="9211" width="4.54296875" customWidth="1"/>
    <col min="9212" max="9212" width="2.90625" customWidth="1"/>
    <col min="9213" max="9213" width="1.08984375" customWidth="1"/>
    <col min="9214" max="9214" width="23.1796875" customWidth="1"/>
    <col min="9217" max="9217" width="2.08984375" customWidth="1"/>
    <col min="9218" max="9218" width="10.26953125" customWidth="1"/>
    <col min="9219" max="9219" width="2.36328125" customWidth="1"/>
    <col min="9221" max="9221" width="3.90625" customWidth="1"/>
    <col min="9223" max="9223" width="4.1796875" customWidth="1"/>
    <col min="9224" max="9224" width="9.54296875" customWidth="1"/>
    <col min="9467" max="9467" width="4.54296875" customWidth="1"/>
    <col min="9468" max="9468" width="2.90625" customWidth="1"/>
    <col min="9469" max="9469" width="1.08984375" customWidth="1"/>
    <col min="9470" max="9470" width="23.1796875" customWidth="1"/>
    <col min="9473" max="9473" width="2.08984375" customWidth="1"/>
    <col min="9474" max="9474" width="10.26953125" customWidth="1"/>
    <col min="9475" max="9475" width="2.36328125" customWidth="1"/>
    <col min="9477" max="9477" width="3.90625" customWidth="1"/>
    <col min="9479" max="9479" width="4.1796875" customWidth="1"/>
    <col min="9480" max="9480" width="9.54296875" customWidth="1"/>
    <col min="9723" max="9723" width="4.54296875" customWidth="1"/>
    <col min="9724" max="9724" width="2.90625" customWidth="1"/>
    <col min="9725" max="9725" width="1.08984375" customWidth="1"/>
    <col min="9726" max="9726" width="23.1796875" customWidth="1"/>
    <col min="9729" max="9729" width="2.08984375" customWidth="1"/>
    <col min="9730" max="9730" width="10.26953125" customWidth="1"/>
    <col min="9731" max="9731" width="2.36328125" customWidth="1"/>
    <col min="9733" max="9733" width="3.90625" customWidth="1"/>
    <col min="9735" max="9735" width="4.1796875" customWidth="1"/>
    <col min="9736" max="9736" width="9.54296875" customWidth="1"/>
    <col min="9979" max="9979" width="4.54296875" customWidth="1"/>
    <col min="9980" max="9980" width="2.90625" customWidth="1"/>
    <col min="9981" max="9981" width="1.08984375" customWidth="1"/>
    <col min="9982" max="9982" width="23.1796875" customWidth="1"/>
    <col min="9985" max="9985" width="2.08984375" customWidth="1"/>
    <col min="9986" max="9986" width="10.26953125" customWidth="1"/>
    <col min="9987" max="9987" width="2.36328125" customWidth="1"/>
    <col min="9989" max="9989" width="3.90625" customWidth="1"/>
    <col min="9991" max="9991" width="4.1796875" customWidth="1"/>
    <col min="9992" max="9992" width="9.54296875" customWidth="1"/>
    <col min="10235" max="10235" width="4.54296875" customWidth="1"/>
    <col min="10236" max="10236" width="2.90625" customWidth="1"/>
    <col min="10237" max="10237" width="1.08984375" customWidth="1"/>
    <col min="10238" max="10238" width="23.1796875" customWidth="1"/>
    <col min="10241" max="10241" width="2.08984375" customWidth="1"/>
    <col min="10242" max="10242" width="10.26953125" customWidth="1"/>
    <col min="10243" max="10243" width="2.36328125" customWidth="1"/>
    <col min="10245" max="10245" width="3.90625" customWidth="1"/>
    <col min="10247" max="10247" width="4.1796875" customWidth="1"/>
    <col min="10248" max="10248" width="9.54296875" customWidth="1"/>
    <col min="10491" max="10491" width="4.54296875" customWidth="1"/>
    <col min="10492" max="10492" width="2.90625" customWidth="1"/>
    <col min="10493" max="10493" width="1.08984375" customWidth="1"/>
    <col min="10494" max="10494" width="23.1796875" customWidth="1"/>
    <col min="10497" max="10497" width="2.08984375" customWidth="1"/>
    <col min="10498" max="10498" width="10.26953125" customWidth="1"/>
    <col min="10499" max="10499" width="2.36328125" customWidth="1"/>
    <col min="10501" max="10501" width="3.90625" customWidth="1"/>
    <col min="10503" max="10503" width="4.1796875" customWidth="1"/>
    <col min="10504" max="10504" width="9.54296875" customWidth="1"/>
    <col min="10747" max="10747" width="4.54296875" customWidth="1"/>
    <col min="10748" max="10748" width="2.90625" customWidth="1"/>
    <col min="10749" max="10749" width="1.08984375" customWidth="1"/>
    <col min="10750" max="10750" width="23.1796875" customWidth="1"/>
    <col min="10753" max="10753" width="2.08984375" customWidth="1"/>
    <col min="10754" max="10754" width="10.26953125" customWidth="1"/>
    <col min="10755" max="10755" width="2.36328125" customWidth="1"/>
    <col min="10757" max="10757" width="3.90625" customWidth="1"/>
    <col min="10759" max="10759" width="4.1796875" customWidth="1"/>
    <col min="10760" max="10760" width="9.54296875" customWidth="1"/>
    <col min="11003" max="11003" width="4.54296875" customWidth="1"/>
    <col min="11004" max="11004" width="2.90625" customWidth="1"/>
    <col min="11005" max="11005" width="1.08984375" customWidth="1"/>
    <col min="11006" max="11006" width="23.1796875" customWidth="1"/>
    <col min="11009" max="11009" width="2.08984375" customWidth="1"/>
    <col min="11010" max="11010" width="10.26953125" customWidth="1"/>
    <col min="11011" max="11011" width="2.36328125" customWidth="1"/>
    <col min="11013" max="11013" width="3.90625" customWidth="1"/>
    <col min="11015" max="11015" width="4.1796875" customWidth="1"/>
    <col min="11016" max="11016" width="9.54296875" customWidth="1"/>
    <col min="11259" max="11259" width="4.54296875" customWidth="1"/>
    <col min="11260" max="11260" width="2.90625" customWidth="1"/>
    <col min="11261" max="11261" width="1.08984375" customWidth="1"/>
    <col min="11262" max="11262" width="23.1796875" customWidth="1"/>
    <col min="11265" max="11265" width="2.08984375" customWidth="1"/>
    <col min="11266" max="11266" width="10.26953125" customWidth="1"/>
    <col min="11267" max="11267" width="2.36328125" customWidth="1"/>
    <col min="11269" max="11269" width="3.90625" customWidth="1"/>
    <col min="11271" max="11271" width="4.1796875" customWidth="1"/>
    <col min="11272" max="11272" width="9.54296875" customWidth="1"/>
    <col min="11515" max="11515" width="4.54296875" customWidth="1"/>
    <col min="11516" max="11516" width="2.90625" customWidth="1"/>
    <col min="11517" max="11517" width="1.08984375" customWidth="1"/>
    <col min="11518" max="11518" width="23.1796875" customWidth="1"/>
    <col min="11521" max="11521" width="2.08984375" customWidth="1"/>
    <col min="11522" max="11522" width="10.26953125" customWidth="1"/>
    <col min="11523" max="11523" width="2.36328125" customWidth="1"/>
    <col min="11525" max="11525" width="3.90625" customWidth="1"/>
    <col min="11527" max="11527" width="4.1796875" customWidth="1"/>
    <col min="11528" max="11528" width="9.54296875" customWidth="1"/>
    <col min="11771" max="11771" width="4.54296875" customWidth="1"/>
    <col min="11772" max="11772" width="2.90625" customWidth="1"/>
    <col min="11773" max="11773" width="1.08984375" customWidth="1"/>
    <col min="11774" max="11774" width="23.1796875" customWidth="1"/>
    <col min="11777" max="11777" width="2.08984375" customWidth="1"/>
    <col min="11778" max="11778" width="10.26953125" customWidth="1"/>
    <col min="11779" max="11779" width="2.36328125" customWidth="1"/>
    <col min="11781" max="11781" width="3.90625" customWidth="1"/>
    <col min="11783" max="11783" width="4.1796875" customWidth="1"/>
    <col min="11784" max="11784" width="9.54296875" customWidth="1"/>
    <col min="12027" max="12027" width="4.54296875" customWidth="1"/>
    <col min="12028" max="12028" width="2.90625" customWidth="1"/>
    <col min="12029" max="12029" width="1.08984375" customWidth="1"/>
    <col min="12030" max="12030" width="23.1796875" customWidth="1"/>
    <col min="12033" max="12033" width="2.08984375" customWidth="1"/>
    <col min="12034" max="12034" width="10.26953125" customWidth="1"/>
    <col min="12035" max="12035" width="2.36328125" customWidth="1"/>
    <col min="12037" max="12037" width="3.90625" customWidth="1"/>
    <col min="12039" max="12039" width="4.1796875" customWidth="1"/>
    <col min="12040" max="12040" width="9.54296875" customWidth="1"/>
    <col min="12283" max="12283" width="4.54296875" customWidth="1"/>
    <col min="12284" max="12284" width="2.90625" customWidth="1"/>
    <col min="12285" max="12285" width="1.08984375" customWidth="1"/>
    <col min="12286" max="12286" width="23.1796875" customWidth="1"/>
    <col min="12289" max="12289" width="2.08984375" customWidth="1"/>
    <col min="12290" max="12290" width="10.26953125" customWidth="1"/>
    <col min="12291" max="12291" width="2.36328125" customWidth="1"/>
    <col min="12293" max="12293" width="3.90625" customWidth="1"/>
    <col min="12295" max="12295" width="4.1796875" customWidth="1"/>
    <col min="12296" max="12296" width="9.54296875" customWidth="1"/>
    <col min="12539" max="12539" width="4.54296875" customWidth="1"/>
    <col min="12540" max="12540" width="2.90625" customWidth="1"/>
    <col min="12541" max="12541" width="1.08984375" customWidth="1"/>
    <col min="12542" max="12542" width="23.1796875" customWidth="1"/>
    <col min="12545" max="12545" width="2.08984375" customWidth="1"/>
    <col min="12546" max="12546" width="10.26953125" customWidth="1"/>
    <col min="12547" max="12547" width="2.36328125" customWidth="1"/>
    <col min="12549" max="12549" width="3.90625" customWidth="1"/>
    <col min="12551" max="12551" width="4.1796875" customWidth="1"/>
    <col min="12552" max="12552" width="9.54296875" customWidth="1"/>
    <col min="12795" max="12795" width="4.54296875" customWidth="1"/>
    <col min="12796" max="12796" width="2.90625" customWidth="1"/>
    <col min="12797" max="12797" width="1.08984375" customWidth="1"/>
    <col min="12798" max="12798" width="23.1796875" customWidth="1"/>
    <col min="12801" max="12801" width="2.08984375" customWidth="1"/>
    <col min="12802" max="12802" width="10.26953125" customWidth="1"/>
    <col min="12803" max="12803" width="2.36328125" customWidth="1"/>
    <col min="12805" max="12805" width="3.90625" customWidth="1"/>
    <col min="12807" max="12807" width="4.1796875" customWidth="1"/>
    <col min="12808" max="12808" width="9.54296875" customWidth="1"/>
    <col min="13051" max="13051" width="4.54296875" customWidth="1"/>
    <col min="13052" max="13052" width="2.90625" customWidth="1"/>
    <col min="13053" max="13053" width="1.08984375" customWidth="1"/>
    <col min="13054" max="13054" width="23.1796875" customWidth="1"/>
    <col min="13057" max="13057" width="2.08984375" customWidth="1"/>
    <col min="13058" max="13058" width="10.26953125" customWidth="1"/>
    <col min="13059" max="13059" width="2.36328125" customWidth="1"/>
    <col min="13061" max="13061" width="3.90625" customWidth="1"/>
    <col min="13063" max="13063" width="4.1796875" customWidth="1"/>
    <col min="13064" max="13064" width="9.54296875" customWidth="1"/>
    <col min="13307" max="13307" width="4.54296875" customWidth="1"/>
    <col min="13308" max="13308" width="2.90625" customWidth="1"/>
    <col min="13309" max="13309" width="1.08984375" customWidth="1"/>
    <col min="13310" max="13310" width="23.1796875" customWidth="1"/>
    <col min="13313" max="13313" width="2.08984375" customWidth="1"/>
    <col min="13314" max="13314" width="10.26953125" customWidth="1"/>
    <col min="13315" max="13315" width="2.36328125" customWidth="1"/>
    <col min="13317" max="13317" width="3.90625" customWidth="1"/>
    <col min="13319" max="13319" width="4.1796875" customWidth="1"/>
    <col min="13320" max="13320" width="9.54296875" customWidth="1"/>
    <col min="13563" max="13563" width="4.54296875" customWidth="1"/>
    <col min="13564" max="13564" width="2.90625" customWidth="1"/>
    <col min="13565" max="13565" width="1.08984375" customWidth="1"/>
    <col min="13566" max="13566" width="23.1796875" customWidth="1"/>
    <col min="13569" max="13569" width="2.08984375" customWidth="1"/>
    <col min="13570" max="13570" width="10.26953125" customWidth="1"/>
    <col min="13571" max="13571" width="2.36328125" customWidth="1"/>
    <col min="13573" max="13573" width="3.90625" customWidth="1"/>
    <col min="13575" max="13575" width="4.1796875" customWidth="1"/>
    <col min="13576" max="13576" width="9.54296875" customWidth="1"/>
    <col min="13819" max="13819" width="4.54296875" customWidth="1"/>
    <col min="13820" max="13820" width="2.90625" customWidth="1"/>
    <col min="13821" max="13821" width="1.08984375" customWidth="1"/>
    <col min="13822" max="13822" width="23.1796875" customWidth="1"/>
    <col min="13825" max="13825" width="2.08984375" customWidth="1"/>
    <col min="13826" max="13826" width="10.26953125" customWidth="1"/>
    <col min="13827" max="13827" width="2.36328125" customWidth="1"/>
    <col min="13829" max="13829" width="3.90625" customWidth="1"/>
    <col min="13831" max="13831" width="4.1796875" customWidth="1"/>
    <col min="13832" max="13832" width="9.54296875" customWidth="1"/>
    <col min="14075" max="14075" width="4.54296875" customWidth="1"/>
    <col min="14076" max="14076" width="2.90625" customWidth="1"/>
    <col min="14077" max="14077" width="1.08984375" customWidth="1"/>
    <col min="14078" max="14078" width="23.1796875" customWidth="1"/>
    <col min="14081" max="14081" width="2.08984375" customWidth="1"/>
    <col min="14082" max="14082" width="10.26953125" customWidth="1"/>
    <col min="14083" max="14083" width="2.36328125" customWidth="1"/>
    <col min="14085" max="14085" width="3.90625" customWidth="1"/>
    <col min="14087" max="14087" width="4.1796875" customWidth="1"/>
    <col min="14088" max="14088" width="9.54296875" customWidth="1"/>
    <col min="14331" max="14331" width="4.54296875" customWidth="1"/>
    <col min="14332" max="14332" width="2.90625" customWidth="1"/>
    <col min="14333" max="14333" width="1.08984375" customWidth="1"/>
    <col min="14334" max="14334" width="23.1796875" customWidth="1"/>
    <col min="14337" max="14337" width="2.08984375" customWidth="1"/>
    <col min="14338" max="14338" width="10.26953125" customWidth="1"/>
    <col min="14339" max="14339" width="2.36328125" customWidth="1"/>
    <col min="14341" max="14341" width="3.90625" customWidth="1"/>
    <col min="14343" max="14343" width="4.1796875" customWidth="1"/>
    <col min="14344" max="14344" width="9.54296875" customWidth="1"/>
    <col min="14587" max="14587" width="4.54296875" customWidth="1"/>
    <col min="14588" max="14588" width="2.90625" customWidth="1"/>
    <col min="14589" max="14589" width="1.08984375" customWidth="1"/>
    <col min="14590" max="14590" width="23.1796875" customWidth="1"/>
    <col min="14593" max="14593" width="2.08984375" customWidth="1"/>
    <col min="14594" max="14594" width="10.26953125" customWidth="1"/>
    <col min="14595" max="14595" width="2.36328125" customWidth="1"/>
    <col min="14597" max="14597" width="3.90625" customWidth="1"/>
    <col min="14599" max="14599" width="4.1796875" customWidth="1"/>
    <col min="14600" max="14600" width="9.54296875" customWidth="1"/>
    <col min="14843" max="14843" width="4.54296875" customWidth="1"/>
    <col min="14844" max="14844" width="2.90625" customWidth="1"/>
    <col min="14845" max="14845" width="1.08984375" customWidth="1"/>
    <col min="14846" max="14846" width="23.1796875" customWidth="1"/>
    <col min="14849" max="14849" width="2.08984375" customWidth="1"/>
    <col min="14850" max="14850" width="10.26953125" customWidth="1"/>
    <col min="14851" max="14851" width="2.36328125" customWidth="1"/>
    <col min="14853" max="14853" width="3.90625" customWidth="1"/>
    <col min="14855" max="14855" width="4.1796875" customWidth="1"/>
    <col min="14856" max="14856" width="9.54296875" customWidth="1"/>
    <col min="15099" max="15099" width="4.54296875" customWidth="1"/>
    <col min="15100" max="15100" width="2.90625" customWidth="1"/>
    <col min="15101" max="15101" width="1.08984375" customWidth="1"/>
    <col min="15102" max="15102" width="23.1796875" customWidth="1"/>
    <col min="15105" max="15105" width="2.08984375" customWidth="1"/>
    <col min="15106" max="15106" width="10.26953125" customWidth="1"/>
    <col min="15107" max="15107" width="2.36328125" customWidth="1"/>
    <col min="15109" max="15109" width="3.90625" customWidth="1"/>
    <col min="15111" max="15111" width="4.1796875" customWidth="1"/>
    <col min="15112" max="15112" width="9.54296875" customWidth="1"/>
    <col min="15355" max="15355" width="4.54296875" customWidth="1"/>
    <col min="15356" max="15356" width="2.90625" customWidth="1"/>
    <col min="15357" max="15357" width="1.08984375" customWidth="1"/>
    <col min="15358" max="15358" width="23.1796875" customWidth="1"/>
    <col min="15361" max="15361" width="2.08984375" customWidth="1"/>
    <col min="15362" max="15362" width="10.26953125" customWidth="1"/>
    <col min="15363" max="15363" width="2.36328125" customWidth="1"/>
    <col min="15365" max="15365" width="3.90625" customWidth="1"/>
    <col min="15367" max="15367" width="4.1796875" customWidth="1"/>
    <col min="15368" max="15368" width="9.54296875" customWidth="1"/>
    <col min="15611" max="15611" width="4.54296875" customWidth="1"/>
    <col min="15612" max="15612" width="2.90625" customWidth="1"/>
    <col min="15613" max="15613" width="1.08984375" customWidth="1"/>
    <col min="15614" max="15614" width="23.1796875" customWidth="1"/>
    <col min="15617" max="15617" width="2.08984375" customWidth="1"/>
    <col min="15618" max="15618" width="10.26953125" customWidth="1"/>
    <col min="15619" max="15619" width="2.36328125" customWidth="1"/>
    <col min="15621" max="15621" width="3.90625" customWidth="1"/>
    <col min="15623" max="15623" width="4.1796875" customWidth="1"/>
    <col min="15624" max="15624" width="9.54296875" customWidth="1"/>
    <col min="15867" max="15867" width="4.54296875" customWidth="1"/>
    <col min="15868" max="15868" width="2.90625" customWidth="1"/>
    <col min="15869" max="15869" width="1.08984375" customWidth="1"/>
    <col min="15870" max="15870" width="23.1796875" customWidth="1"/>
    <col min="15873" max="15873" width="2.08984375" customWidth="1"/>
    <col min="15874" max="15874" width="10.26953125" customWidth="1"/>
    <col min="15875" max="15875" width="2.36328125" customWidth="1"/>
    <col min="15877" max="15877" width="3.90625" customWidth="1"/>
    <col min="15879" max="15879" width="4.1796875" customWidth="1"/>
    <col min="15880" max="15880" width="9.54296875" customWidth="1"/>
    <col min="16123" max="16123" width="4.54296875" customWidth="1"/>
    <col min="16124" max="16124" width="2.90625" customWidth="1"/>
    <col min="16125" max="16125" width="1.08984375" customWidth="1"/>
    <col min="16126" max="16126" width="23.1796875" customWidth="1"/>
    <col min="16129" max="16129" width="2.08984375" customWidth="1"/>
    <col min="16130" max="16130" width="10.26953125" customWidth="1"/>
    <col min="16131" max="16131" width="2.36328125" customWidth="1"/>
    <col min="16133" max="16133" width="3.90625" customWidth="1"/>
    <col min="16135" max="16135" width="4.1796875" customWidth="1"/>
    <col min="16136" max="16136" width="9.54296875" customWidth="1"/>
  </cols>
  <sheetData>
    <row r="1" spans="2:15" ht="15.5" x14ac:dyDescent="0.35">
      <c r="B1" s="287" t="str">
        <f>'Proforma Cap'!C1</f>
        <v>Home Suites (NYSE: HSE)</v>
      </c>
      <c r="H1" s="296">
        <v>1</v>
      </c>
      <c r="I1" s="296">
        <v>2</v>
      </c>
      <c r="J1" s="296">
        <v>3</v>
      </c>
      <c r="K1" s="296">
        <v>4</v>
      </c>
      <c r="L1" s="296">
        <v>5</v>
      </c>
      <c r="N1" s="286"/>
    </row>
    <row r="2" spans="2:15" x14ac:dyDescent="0.35">
      <c r="B2" s="329" t="str">
        <f>'Income Statement'!B2</f>
        <v>Stress Case</v>
      </c>
    </row>
    <row r="3" spans="2:15" x14ac:dyDescent="0.35">
      <c r="B3" s="308" t="s">
        <v>193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</row>
    <row r="4" spans="2:15" x14ac:dyDescent="0.35">
      <c r="H4" s="339" t="s">
        <v>11</v>
      </c>
      <c r="I4" s="339"/>
      <c r="J4" s="339"/>
      <c r="K4" s="339"/>
      <c r="L4" s="339"/>
      <c r="M4" s="340"/>
      <c r="N4" s="340"/>
      <c r="O4" s="340"/>
    </row>
    <row r="5" spans="2:15" ht="15.75" customHeight="1" thickBot="1" x14ac:dyDescent="0.4">
      <c r="H5" s="302">
        <f>+Assumptions!E7</f>
        <v>45291</v>
      </c>
      <c r="I5" s="302">
        <f>+Assumptions!F7</f>
        <v>45657</v>
      </c>
      <c r="J5" s="302">
        <f>+Assumptions!G7</f>
        <v>46021</v>
      </c>
      <c r="K5" s="302">
        <f>+Assumptions!H7</f>
        <v>46386</v>
      </c>
      <c r="L5" s="303">
        <f>+Assumptions!I7</f>
        <v>46751</v>
      </c>
      <c r="M5" s="302">
        <f>+Assumptions!J7</f>
        <v>47117</v>
      </c>
      <c r="N5" s="302">
        <f>+Assumptions!K7</f>
        <v>47481</v>
      </c>
      <c r="O5" s="302">
        <f>+Assumptions!L7</f>
        <v>47846</v>
      </c>
    </row>
    <row r="6" spans="2:15" ht="8.25" customHeight="1" thickTop="1" x14ac:dyDescent="0.35">
      <c r="L6" s="255"/>
    </row>
    <row r="7" spans="2:15" ht="13.9" customHeight="1" x14ac:dyDescent="0.35">
      <c r="B7" t="s">
        <v>58</v>
      </c>
      <c r="H7" s="57">
        <f>'Income Statement'!I8</f>
        <v>2049896.73</v>
      </c>
      <c r="I7" s="57">
        <f>'Income Statement'!J8</f>
        <v>1321912.4480625</v>
      </c>
      <c r="J7" s="57">
        <f>'Income Statement'!K8</f>
        <v>1227794.7753750002</v>
      </c>
      <c r="K7" s="57">
        <f>'Income Statement'!L8</f>
        <v>1630750.1792192622</v>
      </c>
      <c r="L7" s="297">
        <f>'Income Statement'!M8</f>
        <v>1687919.2977853208</v>
      </c>
      <c r="M7" s="57">
        <f>'Income Statement'!N8</f>
        <v>1764469.7968463176</v>
      </c>
      <c r="N7" s="57">
        <f>'Income Statement'!O8</f>
        <v>1847669.3259473082</v>
      </c>
      <c r="O7" s="57">
        <f>'Income Statement'!P8</f>
        <v>1939339.1217423396</v>
      </c>
    </row>
    <row r="8" spans="2:15" x14ac:dyDescent="0.35">
      <c r="B8" t="s">
        <v>194</v>
      </c>
      <c r="H8" s="3">
        <f>-'Income Statement'!I11</f>
        <v>-969601.15328999993</v>
      </c>
      <c r="I8" s="3">
        <f>-'Income Statement'!J11</f>
        <v>-646243.15261439327</v>
      </c>
      <c r="J8" s="3">
        <f>-'Income Statement'!K11</f>
        <v>-600231.85920124303</v>
      </c>
      <c r="K8" s="3">
        <f>-'Income Statement'!L11</f>
        <v>-978450.10753155733</v>
      </c>
      <c r="L8" s="298">
        <f>-'Income Statement'!M11</f>
        <v>-843959.64889266039</v>
      </c>
      <c r="M8" s="3">
        <f>-'Income Statement'!N11</f>
        <v>-862596.10148775147</v>
      </c>
      <c r="N8" s="3">
        <f>-'Income Statement'!O11</f>
        <v>-903269.84358093061</v>
      </c>
      <c r="O8" s="3">
        <f>-'Income Statement'!P11</f>
        <v>-948084.44376184803</v>
      </c>
    </row>
    <row r="9" spans="2:15" x14ac:dyDescent="0.35">
      <c r="B9" t="s">
        <v>195</v>
      </c>
      <c r="H9" s="279">
        <f>-'Income Statement'!I15</f>
        <v>-256156.64812544826</v>
      </c>
      <c r="I9" s="279">
        <f>-'Income Statement'!J15</f>
        <v>-165187.18082495584</v>
      </c>
      <c r="J9" s="279">
        <f>-'Income Statement'!K15</f>
        <v>-153426.16515418203</v>
      </c>
      <c r="K9" s="279">
        <f>-'Income Statement'!L15</f>
        <v>-282246.1333560436</v>
      </c>
      <c r="L9" s="299">
        <f>-'Income Statement'!M15</f>
        <v>-219429.50871209172</v>
      </c>
      <c r="M9" s="279">
        <f>-'Income Statement'!N15</f>
        <v>-211736.37562155811</v>
      </c>
      <c r="N9" s="279">
        <f>-'Income Statement'!O15</f>
        <v>-221720.31911367699</v>
      </c>
      <c r="O9" s="279">
        <f>-'Income Statement'!P15</f>
        <v>-232720.69460908073</v>
      </c>
    </row>
    <row r="10" spans="2:15" ht="15.4" customHeight="1" x14ac:dyDescent="0.35">
      <c r="B10" s="288" t="s">
        <v>77</v>
      </c>
      <c r="H10" s="280">
        <f>SUM(H7:H9)</f>
        <v>824138.9285845519</v>
      </c>
      <c r="I10" s="280">
        <f t="shared" ref="I10:L10" si="0">SUM(I7:I9)</f>
        <v>510482.1146231509</v>
      </c>
      <c r="J10" s="280">
        <f t="shared" si="0"/>
        <v>474136.75101957517</v>
      </c>
      <c r="K10" s="280">
        <f t="shared" si="0"/>
        <v>370053.93833166128</v>
      </c>
      <c r="L10" s="300">
        <f t="shared" si="0"/>
        <v>624530.14018056868</v>
      </c>
      <c r="M10" s="280">
        <f t="shared" ref="M10" si="1">SUM(M7:M9)</f>
        <v>690137.31973700807</v>
      </c>
      <c r="N10" s="280">
        <f t="shared" ref="N10:O10" si="2">SUM(N7:N9)</f>
        <v>722679.16325270059</v>
      </c>
      <c r="O10" s="280">
        <f t="shared" si="2"/>
        <v>758533.98337141075</v>
      </c>
    </row>
    <row r="11" spans="2:15" ht="15.4" customHeight="1" x14ac:dyDescent="0.35">
      <c r="B11" s="289" t="s">
        <v>196</v>
      </c>
      <c r="H11" s="3">
        <f>'Cash Flow Statement'!I27</f>
        <v>-266486.57490000001</v>
      </c>
      <c r="I11" s="3">
        <f>'Cash Flow Statement'!J27</f>
        <v>-79314.746883749991</v>
      </c>
      <c r="J11" s="3">
        <f>'Cash Flow Statement'!K27</f>
        <v>-73667.686522500007</v>
      </c>
      <c r="K11" s="3">
        <f>'Cash Flow Statement'!L27</f>
        <v>-130460.01433754098</v>
      </c>
      <c r="L11" s="298">
        <f>'Cash Flow Statement'!M27</f>
        <v>-202550.31573423848</v>
      </c>
      <c r="M11" s="3">
        <f>'Cash Flow Statement'!N27</f>
        <v>-229381.07359002129</v>
      </c>
      <c r="N11" s="3">
        <f>'Cash Flow Statement'!O27</f>
        <v>-240197.01237315006</v>
      </c>
      <c r="O11" s="3">
        <f>'Cash Flow Statement'!P27</f>
        <v>-252114.08582650416</v>
      </c>
    </row>
    <row r="12" spans="2:15" ht="15.4" customHeight="1" x14ac:dyDescent="0.35">
      <c r="B12" s="289" t="s">
        <v>197</v>
      </c>
      <c r="H12" s="3">
        <f>'Cash Flow Statement'!I20</f>
        <v>1150.5233056109537</v>
      </c>
      <c r="I12" s="3">
        <f>'Cash Flow Statement'!J20</f>
        <v>-11122.547867624275</v>
      </c>
      <c r="J12" s="3">
        <f>'Cash Flow Statement'!K20</f>
        <v>-1682.2672801062599</v>
      </c>
      <c r="K12" s="3">
        <f>'Cash Flow Statement'!L20</f>
        <v>17728.433188604642</v>
      </c>
      <c r="L12" s="298">
        <f>'Cash Flow Statement'!M20</f>
        <v>-8412.9510642144633</v>
      </c>
      <c r="M12" s="3">
        <f>'Cash Flow Statement'!N20</f>
        <v>277.09281814165661</v>
      </c>
      <c r="N12" s="3">
        <f>'Cash Flow Statement'!O20</f>
        <v>1487.1154537742259</v>
      </c>
      <c r="O12" s="3">
        <f>'Cash Flow Statement'!P20</f>
        <v>1557.2369745245196</v>
      </c>
    </row>
    <row r="13" spans="2:15" x14ac:dyDescent="0.35">
      <c r="B13" t="s">
        <v>206</v>
      </c>
      <c r="C13" s="281"/>
      <c r="H13" s="57">
        <f>-'Income Statement'!I35-'Cash Flow Statement'!I11</f>
        <v>-71942.852612570656</v>
      </c>
      <c r="I13" s="57">
        <f>-'Income Statement'!J35-'Cash Flow Statement'!J11</f>
        <v>20995.464619021113</v>
      </c>
      <c r="J13" s="57">
        <f>-'Income Statement'!K35-'Cash Flow Statement'!K11</f>
        <v>35686.247362184855</v>
      </c>
      <c r="K13" s="57">
        <f>-'Income Statement'!L35-'Cash Flow Statement'!L11</f>
        <v>87098.354462317599</v>
      </c>
      <c r="L13" s="297">
        <f>-'Income Statement'!M35-'Cash Flow Statement'!M11</f>
        <v>-4134.9593790976878</v>
      </c>
      <c r="M13" s="57">
        <f>-'Income Statement'!N35-'Cash Flow Statement'!N11</f>
        <v>-29181.355978394884</v>
      </c>
      <c r="N13" s="57">
        <f>-'Income Statement'!O35-'Cash Flow Statement'!O11</f>
        <v>-56560.873020342959</v>
      </c>
      <c r="O13" s="57">
        <f>-'Income Statement'!P35-'Cash Flow Statement'!P11</f>
        <v>-76434.697104340987</v>
      </c>
    </row>
    <row r="14" spans="2:15" ht="15" thickBot="1" x14ac:dyDescent="0.4">
      <c r="B14" s="23" t="s">
        <v>207</v>
      </c>
      <c r="H14" s="306">
        <f>SUM(H10:H13)</f>
        <v>486860.02437759226</v>
      </c>
      <c r="I14" s="306">
        <f t="shared" ref="I14:L14" si="3">SUM(I10:I13)</f>
        <v>441040.28449079779</v>
      </c>
      <c r="J14" s="306">
        <f t="shared" si="3"/>
        <v>434473.04457915376</v>
      </c>
      <c r="K14" s="306">
        <f t="shared" si="3"/>
        <v>344420.71164504252</v>
      </c>
      <c r="L14" s="307">
        <f t="shared" si="3"/>
        <v>409431.91400301806</v>
      </c>
      <c r="M14" s="306">
        <f t="shared" ref="M14" si="4">SUM(M10:M13)</f>
        <v>431851.98298673361</v>
      </c>
      <c r="N14" s="306">
        <f t="shared" ref="N14:O14" si="5">SUM(N10:N13)</f>
        <v>427408.39331298176</v>
      </c>
      <c r="O14" s="306">
        <f t="shared" si="5"/>
        <v>431542.4374150901</v>
      </c>
    </row>
    <row r="15" spans="2:15" ht="15" thickTop="1" x14ac:dyDescent="0.35">
      <c r="B15" s="23"/>
      <c r="F15" s="283" t="s">
        <v>198</v>
      </c>
      <c r="H15" s="3"/>
      <c r="I15" s="3"/>
      <c r="J15" s="3"/>
      <c r="K15" s="3"/>
      <c r="L15" s="298"/>
      <c r="M15" s="3"/>
      <c r="N15" s="3"/>
      <c r="O15" s="3"/>
    </row>
    <row r="16" spans="2:15" x14ac:dyDescent="0.35">
      <c r="B16" s="23" t="s">
        <v>199</v>
      </c>
      <c r="F16" s="156">
        <f>'Transaction S&amp;U'!E16</f>
        <v>8.8574153193489487</v>
      </c>
      <c r="H16" s="3"/>
      <c r="I16" s="3"/>
      <c r="J16" s="3"/>
      <c r="K16" s="3"/>
      <c r="L16" s="298">
        <f>+L10*F16</f>
        <v>5531722.831030515</v>
      </c>
      <c r="M16" s="3"/>
      <c r="N16" s="3"/>
      <c r="O16" s="3"/>
    </row>
    <row r="17" spans="2:15" ht="15" thickBot="1" x14ac:dyDescent="0.4">
      <c r="B17" s="23" t="s">
        <v>200</v>
      </c>
      <c r="H17" s="282">
        <f>SUM(H14:H16)</f>
        <v>486860.02437759226</v>
      </c>
      <c r="I17" s="282">
        <f t="shared" ref="I17:L17" si="6">SUM(I14:I16)</f>
        <v>441040.28449079779</v>
      </c>
      <c r="J17" s="282">
        <f t="shared" si="6"/>
        <v>434473.04457915376</v>
      </c>
      <c r="K17" s="282">
        <f t="shared" si="6"/>
        <v>344420.71164504252</v>
      </c>
      <c r="L17" s="301">
        <f t="shared" si="6"/>
        <v>5941154.7450335333</v>
      </c>
      <c r="M17" s="3"/>
      <c r="N17" s="3"/>
      <c r="O17" s="3"/>
    </row>
    <row r="18" spans="2:15" ht="15" thickTop="1" x14ac:dyDescent="0.35">
      <c r="B18" s="23"/>
      <c r="H18" s="3"/>
      <c r="I18" s="3"/>
      <c r="J18" s="3"/>
      <c r="K18" s="3"/>
      <c r="L18" s="3"/>
      <c r="M18" s="3"/>
      <c r="N18" s="3"/>
      <c r="O18" s="3"/>
    </row>
    <row r="19" spans="2:15" x14ac:dyDescent="0.35">
      <c r="B19" s="23"/>
      <c r="F19" s="283" t="s">
        <v>208</v>
      </c>
      <c r="H19" s="3"/>
      <c r="I19" s="3"/>
      <c r="J19" s="3"/>
      <c r="K19" s="3"/>
      <c r="L19" s="3"/>
      <c r="M19" s="3"/>
      <c r="N19" s="3"/>
      <c r="O19" s="3"/>
    </row>
    <row r="20" spans="2:15" ht="15" thickBot="1" x14ac:dyDescent="0.4">
      <c r="B20" s="23" t="s">
        <v>201</v>
      </c>
      <c r="F20" s="284">
        <f>'Transaction S&amp;U'!D20</f>
        <v>0.10011898448644922</v>
      </c>
      <c r="H20" s="282">
        <f>H17/(1+$F$20)^H1</f>
        <v>442552.15230638464</v>
      </c>
      <c r="I20" s="282">
        <f>I17/(1+$F$20)^I1</f>
        <v>364417.26225608622</v>
      </c>
      <c r="J20" s="282">
        <f>J17/(1+$F$20)^J1</f>
        <v>326320.12562359421</v>
      </c>
      <c r="K20" s="282">
        <f>K17/(1+$F$20)^K1</f>
        <v>235142.22466291967</v>
      </c>
      <c r="L20" s="282">
        <f>L17/(1+$F$20)^L1</f>
        <v>3686995.1641411604</v>
      </c>
      <c r="M20" s="3"/>
      <c r="N20" s="3"/>
      <c r="O20" s="3"/>
    </row>
    <row r="21" spans="2:15" ht="15" thickTop="1" x14ac:dyDescent="0.35">
      <c r="B21" s="23" t="s">
        <v>202</v>
      </c>
      <c r="H21" s="3">
        <f>SUM(H20:L20)</f>
        <v>5055426.9289901452</v>
      </c>
      <c r="I21" s="3"/>
      <c r="J21" s="3"/>
      <c r="K21" s="3"/>
      <c r="L21" s="3"/>
      <c r="M21" s="3"/>
      <c r="N21" s="3"/>
      <c r="O21" s="3"/>
    </row>
    <row r="22" spans="2:15" x14ac:dyDescent="0.35">
      <c r="B22" s="23"/>
      <c r="F22" s="283" t="s">
        <v>203</v>
      </c>
      <c r="H22" s="3"/>
      <c r="I22" s="3"/>
      <c r="J22" s="3"/>
      <c r="K22" s="3"/>
      <c r="L22" s="3"/>
    </row>
    <row r="23" spans="2:15" x14ac:dyDescent="0.35">
      <c r="B23" s="23" t="s">
        <v>204</v>
      </c>
      <c r="F23" s="284">
        <v>0.2</v>
      </c>
      <c r="H23" s="3">
        <f>-F23*H21</f>
        <v>-1011085.3857980291</v>
      </c>
      <c r="I23" s="3"/>
      <c r="J23" s="3" t="s">
        <v>236</v>
      </c>
      <c r="K23" s="3"/>
      <c r="L23" s="3"/>
    </row>
    <row r="24" spans="2:15" ht="15" thickBot="1" x14ac:dyDescent="0.4">
      <c r="B24" s="23"/>
      <c r="H24" s="3"/>
      <c r="I24" s="3"/>
      <c r="J24" s="3"/>
      <c r="K24" s="3"/>
      <c r="L24" s="3"/>
    </row>
    <row r="25" spans="2:15" ht="15" thickBot="1" x14ac:dyDescent="0.4">
      <c r="B25" s="23" t="s">
        <v>205</v>
      </c>
      <c r="H25" s="285">
        <f>+H21+H23</f>
        <v>4044341.5431921161</v>
      </c>
      <c r="I25" s="3"/>
      <c r="J25" s="3"/>
      <c r="K25" s="3"/>
      <c r="L25" s="3"/>
    </row>
    <row r="26" spans="2:15" ht="15" thickBot="1" x14ac:dyDescent="0.4">
      <c r="B26" s="23" t="s">
        <v>213</v>
      </c>
      <c r="H26" s="285">
        <f>+'Transaction S&amp;U'!C13</f>
        <v>3800000</v>
      </c>
    </row>
    <row r="27" spans="2:15" ht="15" thickBot="1" x14ac:dyDescent="0.4">
      <c r="B27" s="23"/>
    </row>
    <row r="28" spans="2:15" ht="15" thickBot="1" x14ac:dyDescent="0.4">
      <c r="B28" s="23" t="s">
        <v>214</v>
      </c>
      <c r="H28" s="295">
        <f>H25/H26</f>
        <v>1.0643004061031884</v>
      </c>
    </row>
    <row r="30" spans="2:15" x14ac:dyDescent="0.35">
      <c r="B30" s="308" t="s">
        <v>237</v>
      </c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</row>
    <row r="31" spans="2:15" x14ac:dyDescent="0.35">
      <c r="H31" s="339" t="s">
        <v>11</v>
      </c>
      <c r="I31" s="339"/>
      <c r="J31" s="339"/>
      <c r="K31" s="339"/>
      <c r="L31" s="339"/>
      <c r="M31" s="340"/>
      <c r="N31" s="340"/>
      <c r="O31" s="340"/>
    </row>
    <row r="32" spans="2:15" ht="15.75" customHeight="1" thickBot="1" x14ac:dyDescent="0.4">
      <c r="H32" s="302">
        <f>H5</f>
        <v>45291</v>
      </c>
      <c r="I32" s="302">
        <f t="shared" ref="I32:O32" si="7">I5</f>
        <v>45657</v>
      </c>
      <c r="J32" s="302">
        <f t="shared" si="7"/>
        <v>46021</v>
      </c>
      <c r="K32" s="302">
        <f t="shared" si="7"/>
        <v>46386</v>
      </c>
      <c r="L32" s="302">
        <f t="shared" si="7"/>
        <v>46751</v>
      </c>
      <c r="M32" s="302">
        <f t="shared" si="7"/>
        <v>47117</v>
      </c>
      <c r="N32" s="302">
        <f t="shared" si="7"/>
        <v>47481</v>
      </c>
      <c r="O32" s="302">
        <f t="shared" si="7"/>
        <v>47846</v>
      </c>
    </row>
    <row r="33" spans="2:15" ht="15" thickTop="1" x14ac:dyDescent="0.35"/>
    <row r="34" spans="2:15" ht="15" thickBot="1" x14ac:dyDescent="0.4">
      <c r="B34" s="23" t="str">
        <f>B14</f>
        <v>Cash Flow Available for Debt Service (Unlevered)</v>
      </c>
      <c r="H34" s="306">
        <f>+H14</f>
        <v>486860.02437759226</v>
      </c>
      <c r="I34" s="306">
        <f t="shared" ref="I34:N34" si="8">+I14</f>
        <v>441040.28449079779</v>
      </c>
      <c r="J34" s="306">
        <f t="shared" si="8"/>
        <v>434473.04457915376</v>
      </c>
      <c r="K34" s="306">
        <f t="shared" si="8"/>
        <v>344420.71164504252</v>
      </c>
      <c r="L34" s="306">
        <f t="shared" si="8"/>
        <v>409431.91400301806</v>
      </c>
      <c r="M34" s="306">
        <f t="shared" si="8"/>
        <v>431851.98298673361</v>
      </c>
      <c r="N34" s="306">
        <f t="shared" si="8"/>
        <v>427408.39331298176</v>
      </c>
      <c r="O34" s="306">
        <f t="shared" ref="O34" si="9">+O14</f>
        <v>431542.4374150901</v>
      </c>
    </row>
    <row r="35" spans="2:15" ht="15" thickTop="1" x14ac:dyDescent="0.35"/>
    <row r="36" spans="2:15" x14ac:dyDescent="0.35">
      <c r="B36" t="s">
        <v>15</v>
      </c>
      <c r="H36" s="4">
        <f>+'Debt Schedule'!J57</f>
        <v>360000</v>
      </c>
      <c r="I36" s="4">
        <f>+'Debt Schedule'!K57</f>
        <v>370500</v>
      </c>
      <c r="J36" s="4">
        <f>+'Debt Schedule'!L57</f>
        <v>387635</v>
      </c>
      <c r="K36" s="4">
        <f>+'Debt Schedule'!M57</f>
        <v>377270</v>
      </c>
      <c r="L36" s="4">
        <f>+'Debt Schedule'!N57</f>
        <v>366905</v>
      </c>
      <c r="M36" s="4">
        <f>+'Debt Schedule'!O57</f>
        <v>352040</v>
      </c>
      <c r="N36" s="4">
        <f>+'Debt Schedule'!P57</f>
        <v>296675</v>
      </c>
      <c r="O36" s="4">
        <f>+'Debt Schedule'!Q57</f>
        <v>295310</v>
      </c>
    </row>
    <row r="37" spans="2:15" x14ac:dyDescent="0.35">
      <c r="B37" t="s">
        <v>215</v>
      </c>
      <c r="H37" s="4">
        <f>-'Debt Schedule'!J58</f>
        <v>0</v>
      </c>
      <c r="I37" s="4">
        <f>-'Debt Schedule'!K58</f>
        <v>63000</v>
      </c>
      <c r="J37" s="4">
        <f>-'Debt Schedule'!L58</f>
        <v>113000</v>
      </c>
      <c r="K37" s="4">
        <f>-'Debt Schedule'!M58</f>
        <v>113000</v>
      </c>
      <c r="L37" s="4">
        <f>-'Debt Schedule'!N58</f>
        <v>163000</v>
      </c>
      <c r="M37" s="4">
        <f>-'Debt Schedule'!O58</f>
        <v>613000</v>
      </c>
      <c r="N37" s="4">
        <f>-'Debt Schedule'!P58</f>
        <v>13000</v>
      </c>
      <c r="O37" s="4">
        <f>-'Debt Schedule'!Q58</f>
        <v>1222000</v>
      </c>
    </row>
    <row r="38" spans="2:15" ht="15" thickBot="1" x14ac:dyDescent="0.4">
      <c r="B38" t="s">
        <v>123</v>
      </c>
      <c r="H38" s="290">
        <f>+H37+H36</f>
        <v>360000</v>
      </c>
      <c r="I38" s="290">
        <f t="shared" ref="I38:L38" si="10">+I37+I36</f>
        <v>433500</v>
      </c>
      <c r="J38" s="290">
        <f t="shared" si="10"/>
        <v>500635</v>
      </c>
      <c r="K38" s="290">
        <f t="shared" si="10"/>
        <v>490270</v>
      </c>
      <c r="L38" s="290">
        <f t="shared" si="10"/>
        <v>529905</v>
      </c>
      <c r="M38" s="290">
        <f t="shared" ref="M38" si="11">+M37+M36</f>
        <v>965040</v>
      </c>
      <c r="N38" s="290">
        <f t="shared" ref="N38:O38" si="12">+N37+N36</f>
        <v>309675</v>
      </c>
      <c r="O38" s="290">
        <f t="shared" si="12"/>
        <v>1517310</v>
      </c>
    </row>
    <row r="39" spans="2:15" ht="15" thickTop="1" x14ac:dyDescent="0.35">
      <c r="B39" t="s">
        <v>216</v>
      </c>
      <c r="H39" s="305">
        <f>+H34/H38</f>
        <v>1.3523889566044229</v>
      </c>
      <c r="I39" s="305">
        <f t="shared" ref="I39:O39" si="13">+I34/I38</f>
        <v>1.0173939665300986</v>
      </c>
      <c r="J39" s="305">
        <f t="shared" si="13"/>
        <v>0.86784392737054694</v>
      </c>
      <c r="K39" s="305">
        <f t="shared" si="13"/>
        <v>0.70251231289910154</v>
      </c>
      <c r="L39" s="305">
        <f t="shared" si="13"/>
        <v>0.77265153943257392</v>
      </c>
      <c r="M39" s="305">
        <f t="shared" si="13"/>
        <v>0.44749645920037884</v>
      </c>
      <c r="N39" s="305">
        <f t="shared" si="13"/>
        <v>1.380183719425145</v>
      </c>
      <c r="O39" s="305">
        <f t="shared" si="13"/>
        <v>0.28441283417040031</v>
      </c>
    </row>
    <row r="40" spans="2:15" x14ac:dyDescent="0.35">
      <c r="B40" t="s">
        <v>218</v>
      </c>
      <c r="H40" s="305">
        <f>+H34/H36</f>
        <v>1.3523889566044229</v>
      </c>
      <c r="I40" s="305">
        <f t="shared" ref="I40:O40" si="14">+I34/I36</f>
        <v>1.1903921308793461</v>
      </c>
      <c r="J40" s="305">
        <f t="shared" si="14"/>
        <v>1.1208302773979484</v>
      </c>
      <c r="K40" s="305">
        <f t="shared" si="14"/>
        <v>0.91292896770228893</v>
      </c>
      <c r="L40" s="305">
        <f t="shared" si="14"/>
        <v>1.1159071530859979</v>
      </c>
      <c r="M40" s="305">
        <f t="shared" si="14"/>
        <v>1.2267128252094466</v>
      </c>
      <c r="N40" s="305">
        <f t="shared" si="14"/>
        <v>1.4406619813364179</v>
      </c>
      <c r="O40" s="305">
        <f t="shared" si="14"/>
        <v>1.4613200955439711</v>
      </c>
    </row>
    <row r="42" spans="2:15" ht="15" thickBot="1" x14ac:dyDescent="0.4">
      <c r="B42" t="s">
        <v>219</v>
      </c>
      <c r="F42" s="304">
        <v>0.2</v>
      </c>
      <c r="H42" s="282">
        <f>+H34*(1-$F$42)</f>
        <v>389488.01950207382</v>
      </c>
      <c r="I42" s="282">
        <f t="shared" ref="I42:O42" si="15">+I34*(1-$F$42)</f>
        <v>352832.22759263823</v>
      </c>
      <c r="J42" s="282">
        <f t="shared" si="15"/>
        <v>347578.43566332303</v>
      </c>
      <c r="K42" s="282">
        <f t="shared" si="15"/>
        <v>275536.56931603403</v>
      </c>
      <c r="L42" s="282">
        <f t="shared" si="15"/>
        <v>327545.53120241448</v>
      </c>
      <c r="M42" s="282">
        <f t="shared" si="15"/>
        <v>345481.58638938691</v>
      </c>
      <c r="N42" s="282">
        <f t="shared" si="15"/>
        <v>341926.71465038543</v>
      </c>
      <c r="O42" s="282">
        <f t="shared" si="15"/>
        <v>345233.94993207208</v>
      </c>
    </row>
    <row r="43" spans="2:15" ht="15" thickTop="1" x14ac:dyDescent="0.35">
      <c r="B43" t="s">
        <v>216</v>
      </c>
      <c r="H43" s="305">
        <f>+H42/H38</f>
        <v>1.0819111652835385</v>
      </c>
      <c r="I43" s="305">
        <f>I42/I38</f>
        <v>0.81391517322407891</v>
      </c>
      <c r="J43" s="305">
        <f t="shared" ref="J43:O43" si="16">J42/J38</f>
        <v>0.69427514189643758</v>
      </c>
      <c r="K43" s="305">
        <f t="shared" si="16"/>
        <v>0.5620098503192813</v>
      </c>
      <c r="L43" s="305">
        <f t="shared" si="16"/>
        <v>0.61812123154605914</v>
      </c>
      <c r="M43" s="305">
        <f t="shared" si="16"/>
        <v>0.35799716736030313</v>
      </c>
      <c r="N43" s="305">
        <f t="shared" si="16"/>
        <v>1.1041469755401161</v>
      </c>
      <c r="O43" s="305">
        <f t="shared" si="16"/>
        <v>0.22753026733632026</v>
      </c>
    </row>
    <row r="44" spans="2:15" x14ac:dyDescent="0.35">
      <c r="B44" t="s">
        <v>217</v>
      </c>
      <c r="H44" s="305">
        <f>H42/H36</f>
        <v>1.0819111652835385</v>
      </c>
      <c r="I44" s="305">
        <f t="shared" ref="I44:O44" si="17">I42/I36</f>
        <v>0.95231370470347698</v>
      </c>
      <c r="J44" s="305">
        <f t="shared" si="17"/>
        <v>0.89666422191835882</v>
      </c>
      <c r="K44" s="305">
        <f t="shared" si="17"/>
        <v>0.73034317416183114</v>
      </c>
      <c r="L44" s="305">
        <f t="shared" si="17"/>
        <v>0.89272572246879844</v>
      </c>
      <c r="M44" s="305">
        <f t="shared" si="17"/>
        <v>0.98137026016755746</v>
      </c>
      <c r="N44" s="305">
        <f t="shared" si="17"/>
        <v>1.1525295850691344</v>
      </c>
      <c r="O44" s="305">
        <f t="shared" si="17"/>
        <v>1.1690560764351769</v>
      </c>
    </row>
  </sheetData>
  <mergeCells count="2">
    <mergeCell ref="H4:O4"/>
    <mergeCell ref="H31:O3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727A5-2C8E-4ABA-9406-0BE100441893}">
  <sheetPr>
    <tabColor rgb="FFFFFF00"/>
  </sheetPr>
  <dimension ref="B2:H685"/>
  <sheetViews>
    <sheetView showGridLines="0" topLeftCell="A28" workbookViewId="0">
      <selection activeCell="I54" sqref="I54"/>
    </sheetView>
  </sheetViews>
  <sheetFormatPr defaultRowHeight="14.5" x14ac:dyDescent="0.35"/>
  <cols>
    <col min="1" max="1" width="2.7265625" customWidth="1"/>
    <col min="2" max="2" width="36.6328125" customWidth="1"/>
    <col min="3" max="3" width="4.7265625" customWidth="1"/>
    <col min="4" max="4" width="11.1796875" customWidth="1"/>
    <col min="5" max="5" width="8.81640625" customWidth="1"/>
    <col min="6" max="6" width="10.7265625" style="5" customWidth="1"/>
    <col min="7" max="7" width="7.90625" customWidth="1"/>
    <col min="8" max="8" width="10.81640625" customWidth="1"/>
    <col min="9" max="9" width="2.7265625" customWidth="1"/>
    <col min="243" max="244" width="4.26953125" customWidth="1"/>
    <col min="245" max="245" width="1.08984375" customWidth="1"/>
    <col min="246" max="246" width="28.90625" customWidth="1"/>
    <col min="247" max="247" width="5" customWidth="1"/>
    <col min="248" max="248" width="12.08984375" customWidth="1"/>
    <col min="249" max="249" width="4.08984375" customWidth="1"/>
    <col min="250" max="250" width="11.1796875" customWidth="1"/>
    <col min="251" max="251" width="3.54296875" customWidth="1"/>
    <col min="252" max="252" width="10.90625" customWidth="1"/>
    <col min="253" max="253" width="2.1796875" customWidth="1"/>
    <col min="254" max="254" width="10.54296875" customWidth="1"/>
    <col min="255" max="255" width="11.1796875" customWidth="1"/>
    <col min="256" max="256" width="3.26953125" customWidth="1"/>
    <col min="499" max="500" width="4.26953125" customWidth="1"/>
    <col min="501" max="501" width="1.08984375" customWidth="1"/>
    <col min="502" max="502" width="28.90625" customWidth="1"/>
    <col min="503" max="503" width="5" customWidth="1"/>
    <col min="504" max="504" width="12.08984375" customWidth="1"/>
    <col min="505" max="505" width="4.08984375" customWidth="1"/>
    <col min="506" max="506" width="11.1796875" customWidth="1"/>
    <col min="507" max="507" width="3.54296875" customWidth="1"/>
    <col min="508" max="508" width="10.90625" customWidth="1"/>
    <col min="509" max="509" width="2.1796875" customWidth="1"/>
    <col min="510" max="510" width="10.54296875" customWidth="1"/>
    <col min="511" max="511" width="11.1796875" customWidth="1"/>
    <col min="512" max="512" width="3.26953125" customWidth="1"/>
    <col min="755" max="756" width="4.26953125" customWidth="1"/>
    <col min="757" max="757" width="1.08984375" customWidth="1"/>
    <col min="758" max="758" width="28.90625" customWidth="1"/>
    <col min="759" max="759" width="5" customWidth="1"/>
    <col min="760" max="760" width="12.08984375" customWidth="1"/>
    <col min="761" max="761" width="4.08984375" customWidth="1"/>
    <col min="762" max="762" width="11.1796875" customWidth="1"/>
    <col min="763" max="763" width="3.54296875" customWidth="1"/>
    <col min="764" max="764" width="10.90625" customWidth="1"/>
    <col min="765" max="765" width="2.1796875" customWidth="1"/>
    <col min="766" max="766" width="10.54296875" customWidth="1"/>
    <col min="767" max="767" width="11.1796875" customWidth="1"/>
    <col min="768" max="768" width="3.26953125" customWidth="1"/>
    <col min="1011" max="1012" width="4.26953125" customWidth="1"/>
    <col min="1013" max="1013" width="1.08984375" customWidth="1"/>
    <col min="1014" max="1014" width="28.90625" customWidth="1"/>
    <col min="1015" max="1015" width="5" customWidth="1"/>
    <col min="1016" max="1016" width="12.08984375" customWidth="1"/>
    <col min="1017" max="1017" width="4.08984375" customWidth="1"/>
    <col min="1018" max="1018" width="11.1796875" customWidth="1"/>
    <col min="1019" max="1019" width="3.54296875" customWidth="1"/>
    <col min="1020" max="1020" width="10.90625" customWidth="1"/>
    <col min="1021" max="1021" width="2.1796875" customWidth="1"/>
    <col min="1022" max="1022" width="10.54296875" customWidth="1"/>
    <col min="1023" max="1023" width="11.1796875" customWidth="1"/>
    <col min="1024" max="1024" width="3.26953125" customWidth="1"/>
    <col min="1267" max="1268" width="4.26953125" customWidth="1"/>
    <col min="1269" max="1269" width="1.08984375" customWidth="1"/>
    <col min="1270" max="1270" width="28.90625" customWidth="1"/>
    <col min="1271" max="1271" width="5" customWidth="1"/>
    <col min="1272" max="1272" width="12.08984375" customWidth="1"/>
    <col min="1273" max="1273" width="4.08984375" customWidth="1"/>
    <col min="1274" max="1274" width="11.1796875" customWidth="1"/>
    <col min="1275" max="1275" width="3.54296875" customWidth="1"/>
    <col min="1276" max="1276" width="10.90625" customWidth="1"/>
    <col min="1277" max="1277" width="2.1796875" customWidth="1"/>
    <col min="1278" max="1278" width="10.54296875" customWidth="1"/>
    <col min="1279" max="1279" width="11.1796875" customWidth="1"/>
    <col min="1280" max="1280" width="3.26953125" customWidth="1"/>
    <col min="1523" max="1524" width="4.26953125" customWidth="1"/>
    <col min="1525" max="1525" width="1.08984375" customWidth="1"/>
    <col min="1526" max="1526" width="28.90625" customWidth="1"/>
    <col min="1527" max="1527" width="5" customWidth="1"/>
    <col min="1528" max="1528" width="12.08984375" customWidth="1"/>
    <col min="1529" max="1529" width="4.08984375" customWidth="1"/>
    <col min="1530" max="1530" width="11.1796875" customWidth="1"/>
    <col min="1531" max="1531" width="3.54296875" customWidth="1"/>
    <col min="1532" max="1532" width="10.90625" customWidth="1"/>
    <col min="1533" max="1533" width="2.1796875" customWidth="1"/>
    <col min="1534" max="1534" width="10.54296875" customWidth="1"/>
    <col min="1535" max="1535" width="11.1796875" customWidth="1"/>
    <col min="1536" max="1536" width="3.26953125" customWidth="1"/>
    <col min="1779" max="1780" width="4.26953125" customWidth="1"/>
    <col min="1781" max="1781" width="1.08984375" customWidth="1"/>
    <col min="1782" max="1782" width="28.90625" customWidth="1"/>
    <col min="1783" max="1783" width="5" customWidth="1"/>
    <col min="1784" max="1784" width="12.08984375" customWidth="1"/>
    <col min="1785" max="1785" width="4.08984375" customWidth="1"/>
    <col min="1786" max="1786" width="11.1796875" customWidth="1"/>
    <col min="1787" max="1787" width="3.54296875" customWidth="1"/>
    <col min="1788" max="1788" width="10.90625" customWidth="1"/>
    <col min="1789" max="1789" width="2.1796875" customWidth="1"/>
    <col min="1790" max="1790" width="10.54296875" customWidth="1"/>
    <col min="1791" max="1791" width="11.1796875" customWidth="1"/>
    <col min="1792" max="1792" width="3.26953125" customWidth="1"/>
    <col min="2035" max="2036" width="4.26953125" customWidth="1"/>
    <col min="2037" max="2037" width="1.08984375" customWidth="1"/>
    <col min="2038" max="2038" width="28.90625" customWidth="1"/>
    <col min="2039" max="2039" width="5" customWidth="1"/>
    <col min="2040" max="2040" width="12.08984375" customWidth="1"/>
    <col min="2041" max="2041" width="4.08984375" customWidth="1"/>
    <col min="2042" max="2042" width="11.1796875" customWidth="1"/>
    <col min="2043" max="2043" width="3.54296875" customWidth="1"/>
    <col min="2044" max="2044" width="10.90625" customWidth="1"/>
    <col min="2045" max="2045" width="2.1796875" customWidth="1"/>
    <col min="2046" max="2046" width="10.54296875" customWidth="1"/>
    <col min="2047" max="2047" width="11.1796875" customWidth="1"/>
    <col min="2048" max="2048" width="3.26953125" customWidth="1"/>
    <col min="2291" max="2292" width="4.26953125" customWidth="1"/>
    <col min="2293" max="2293" width="1.08984375" customWidth="1"/>
    <col min="2294" max="2294" width="28.90625" customWidth="1"/>
    <col min="2295" max="2295" width="5" customWidth="1"/>
    <col min="2296" max="2296" width="12.08984375" customWidth="1"/>
    <col min="2297" max="2297" width="4.08984375" customWidth="1"/>
    <col min="2298" max="2298" width="11.1796875" customWidth="1"/>
    <col min="2299" max="2299" width="3.54296875" customWidth="1"/>
    <col min="2300" max="2300" width="10.90625" customWidth="1"/>
    <col min="2301" max="2301" width="2.1796875" customWidth="1"/>
    <col min="2302" max="2302" width="10.54296875" customWidth="1"/>
    <col min="2303" max="2303" width="11.1796875" customWidth="1"/>
    <col min="2304" max="2304" width="3.26953125" customWidth="1"/>
    <col min="2547" max="2548" width="4.26953125" customWidth="1"/>
    <col min="2549" max="2549" width="1.08984375" customWidth="1"/>
    <col min="2550" max="2550" width="28.90625" customWidth="1"/>
    <col min="2551" max="2551" width="5" customWidth="1"/>
    <col min="2552" max="2552" width="12.08984375" customWidth="1"/>
    <col min="2553" max="2553" width="4.08984375" customWidth="1"/>
    <col min="2554" max="2554" width="11.1796875" customWidth="1"/>
    <col min="2555" max="2555" width="3.54296875" customWidth="1"/>
    <col min="2556" max="2556" width="10.90625" customWidth="1"/>
    <col min="2557" max="2557" width="2.1796875" customWidth="1"/>
    <col min="2558" max="2558" width="10.54296875" customWidth="1"/>
    <col min="2559" max="2559" width="11.1796875" customWidth="1"/>
    <col min="2560" max="2560" width="3.26953125" customWidth="1"/>
    <col min="2803" max="2804" width="4.26953125" customWidth="1"/>
    <col min="2805" max="2805" width="1.08984375" customWidth="1"/>
    <col min="2806" max="2806" width="28.90625" customWidth="1"/>
    <col min="2807" max="2807" width="5" customWidth="1"/>
    <col min="2808" max="2808" width="12.08984375" customWidth="1"/>
    <col min="2809" max="2809" width="4.08984375" customWidth="1"/>
    <col min="2810" max="2810" width="11.1796875" customWidth="1"/>
    <col min="2811" max="2811" width="3.54296875" customWidth="1"/>
    <col min="2812" max="2812" width="10.90625" customWidth="1"/>
    <col min="2813" max="2813" width="2.1796875" customWidth="1"/>
    <col min="2814" max="2814" width="10.54296875" customWidth="1"/>
    <col min="2815" max="2815" width="11.1796875" customWidth="1"/>
    <col min="2816" max="2816" width="3.26953125" customWidth="1"/>
    <col min="3059" max="3060" width="4.26953125" customWidth="1"/>
    <col min="3061" max="3061" width="1.08984375" customWidth="1"/>
    <col min="3062" max="3062" width="28.90625" customWidth="1"/>
    <col min="3063" max="3063" width="5" customWidth="1"/>
    <col min="3064" max="3064" width="12.08984375" customWidth="1"/>
    <col min="3065" max="3065" width="4.08984375" customWidth="1"/>
    <col min="3066" max="3066" width="11.1796875" customWidth="1"/>
    <col min="3067" max="3067" width="3.54296875" customWidth="1"/>
    <col min="3068" max="3068" width="10.90625" customWidth="1"/>
    <col min="3069" max="3069" width="2.1796875" customWidth="1"/>
    <col min="3070" max="3070" width="10.54296875" customWidth="1"/>
    <col min="3071" max="3071" width="11.1796875" customWidth="1"/>
    <col min="3072" max="3072" width="3.26953125" customWidth="1"/>
    <col min="3315" max="3316" width="4.26953125" customWidth="1"/>
    <col min="3317" max="3317" width="1.08984375" customWidth="1"/>
    <col min="3318" max="3318" width="28.90625" customWidth="1"/>
    <col min="3319" max="3319" width="5" customWidth="1"/>
    <col min="3320" max="3320" width="12.08984375" customWidth="1"/>
    <col min="3321" max="3321" width="4.08984375" customWidth="1"/>
    <col min="3322" max="3322" width="11.1796875" customWidth="1"/>
    <col min="3323" max="3323" width="3.54296875" customWidth="1"/>
    <col min="3324" max="3324" width="10.90625" customWidth="1"/>
    <col min="3325" max="3325" width="2.1796875" customWidth="1"/>
    <col min="3326" max="3326" width="10.54296875" customWidth="1"/>
    <col min="3327" max="3327" width="11.1796875" customWidth="1"/>
    <col min="3328" max="3328" width="3.26953125" customWidth="1"/>
    <col min="3571" max="3572" width="4.26953125" customWidth="1"/>
    <col min="3573" max="3573" width="1.08984375" customWidth="1"/>
    <col min="3574" max="3574" width="28.90625" customWidth="1"/>
    <col min="3575" max="3575" width="5" customWidth="1"/>
    <col min="3576" max="3576" width="12.08984375" customWidth="1"/>
    <col min="3577" max="3577" width="4.08984375" customWidth="1"/>
    <col min="3578" max="3578" width="11.1796875" customWidth="1"/>
    <col min="3579" max="3579" width="3.54296875" customWidth="1"/>
    <col min="3580" max="3580" width="10.90625" customWidth="1"/>
    <col min="3581" max="3581" width="2.1796875" customWidth="1"/>
    <col min="3582" max="3582" width="10.54296875" customWidth="1"/>
    <col min="3583" max="3583" width="11.1796875" customWidth="1"/>
    <col min="3584" max="3584" width="3.26953125" customWidth="1"/>
    <col min="3827" max="3828" width="4.26953125" customWidth="1"/>
    <col min="3829" max="3829" width="1.08984375" customWidth="1"/>
    <col min="3830" max="3830" width="28.90625" customWidth="1"/>
    <col min="3831" max="3831" width="5" customWidth="1"/>
    <col min="3832" max="3832" width="12.08984375" customWidth="1"/>
    <col min="3833" max="3833" width="4.08984375" customWidth="1"/>
    <col min="3834" max="3834" width="11.1796875" customWidth="1"/>
    <col min="3835" max="3835" width="3.54296875" customWidth="1"/>
    <col min="3836" max="3836" width="10.90625" customWidth="1"/>
    <col min="3837" max="3837" width="2.1796875" customWidth="1"/>
    <col min="3838" max="3838" width="10.54296875" customWidth="1"/>
    <col min="3839" max="3839" width="11.1796875" customWidth="1"/>
    <col min="3840" max="3840" width="3.26953125" customWidth="1"/>
    <col min="4083" max="4084" width="4.26953125" customWidth="1"/>
    <col min="4085" max="4085" width="1.08984375" customWidth="1"/>
    <col min="4086" max="4086" width="28.90625" customWidth="1"/>
    <col min="4087" max="4087" width="5" customWidth="1"/>
    <col min="4088" max="4088" width="12.08984375" customWidth="1"/>
    <col min="4089" max="4089" width="4.08984375" customWidth="1"/>
    <col min="4090" max="4090" width="11.1796875" customWidth="1"/>
    <col min="4091" max="4091" width="3.54296875" customWidth="1"/>
    <col min="4092" max="4092" width="10.90625" customWidth="1"/>
    <col min="4093" max="4093" width="2.1796875" customWidth="1"/>
    <col min="4094" max="4094" width="10.54296875" customWidth="1"/>
    <col min="4095" max="4095" width="11.1796875" customWidth="1"/>
    <col min="4096" max="4096" width="3.26953125" customWidth="1"/>
    <col min="4339" max="4340" width="4.26953125" customWidth="1"/>
    <col min="4341" max="4341" width="1.08984375" customWidth="1"/>
    <col min="4342" max="4342" width="28.90625" customWidth="1"/>
    <col min="4343" max="4343" width="5" customWidth="1"/>
    <col min="4344" max="4344" width="12.08984375" customWidth="1"/>
    <col min="4345" max="4345" width="4.08984375" customWidth="1"/>
    <col min="4346" max="4346" width="11.1796875" customWidth="1"/>
    <col min="4347" max="4347" width="3.54296875" customWidth="1"/>
    <col min="4348" max="4348" width="10.90625" customWidth="1"/>
    <col min="4349" max="4349" width="2.1796875" customWidth="1"/>
    <col min="4350" max="4350" width="10.54296875" customWidth="1"/>
    <col min="4351" max="4351" width="11.1796875" customWidth="1"/>
    <col min="4352" max="4352" width="3.26953125" customWidth="1"/>
    <col min="4595" max="4596" width="4.26953125" customWidth="1"/>
    <col min="4597" max="4597" width="1.08984375" customWidth="1"/>
    <col min="4598" max="4598" width="28.90625" customWidth="1"/>
    <col min="4599" max="4599" width="5" customWidth="1"/>
    <col min="4600" max="4600" width="12.08984375" customWidth="1"/>
    <col min="4601" max="4601" width="4.08984375" customWidth="1"/>
    <col min="4602" max="4602" width="11.1796875" customWidth="1"/>
    <col min="4603" max="4603" width="3.54296875" customWidth="1"/>
    <col min="4604" max="4604" width="10.90625" customWidth="1"/>
    <col min="4605" max="4605" width="2.1796875" customWidth="1"/>
    <col min="4606" max="4606" width="10.54296875" customWidth="1"/>
    <col min="4607" max="4607" width="11.1796875" customWidth="1"/>
    <col min="4608" max="4608" width="3.26953125" customWidth="1"/>
    <col min="4851" max="4852" width="4.26953125" customWidth="1"/>
    <col min="4853" max="4853" width="1.08984375" customWidth="1"/>
    <col min="4854" max="4854" width="28.90625" customWidth="1"/>
    <col min="4855" max="4855" width="5" customWidth="1"/>
    <col min="4856" max="4856" width="12.08984375" customWidth="1"/>
    <col min="4857" max="4857" width="4.08984375" customWidth="1"/>
    <col min="4858" max="4858" width="11.1796875" customWidth="1"/>
    <col min="4859" max="4859" width="3.54296875" customWidth="1"/>
    <col min="4860" max="4860" width="10.90625" customWidth="1"/>
    <col min="4861" max="4861" width="2.1796875" customWidth="1"/>
    <col min="4862" max="4862" width="10.54296875" customWidth="1"/>
    <col min="4863" max="4863" width="11.1796875" customWidth="1"/>
    <col min="4864" max="4864" width="3.26953125" customWidth="1"/>
    <col min="5107" max="5108" width="4.26953125" customWidth="1"/>
    <col min="5109" max="5109" width="1.08984375" customWidth="1"/>
    <col min="5110" max="5110" width="28.90625" customWidth="1"/>
    <col min="5111" max="5111" width="5" customWidth="1"/>
    <col min="5112" max="5112" width="12.08984375" customWidth="1"/>
    <col min="5113" max="5113" width="4.08984375" customWidth="1"/>
    <col min="5114" max="5114" width="11.1796875" customWidth="1"/>
    <col min="5115" max="5115" width="3.54296875" customWidth="1"/>
    <col min="5116" max="5116" width="10.90625" customWidth="1"/>
    <col min="5117" max="5117" width="2.1796875" customWidth="1"/>
    <col min="5118" max="5118" width="10.54296875" customWidth="1"/>
    <col min="5119" max="5119" width="11.1796875" customWidth="1"/>
    <col min="5120" max="5120" width="3.26953125" customWidth="1"/>
    <col min="5363" max="5364" width="4.26953125" customWidth="1"/>
    <col min="5365" max="5365" width="1.08984375" customWidth="1"/>
    <col min="5366" max="5366" width="28.90625" customWidth="1"/>
    <col min="5367" max="5367" width="5" customWidth="1"/>
    <col min="5368" max="5368" width="12.08984375" customWidth="1"/>
    <col min="5369" max="5369" width="4.08984375" customWidth="1"/>
    <col min="5370" max="5370" width="11.1796875" customWidth="1"/>
    <col min="5371" max="5371" width="3.54296875" customWidth="1"/>
    <col min="5372" max="5372" width="10.90625" customWidth="1"/>
    <col min="5373" max="5373" width="2.1796875" customWidth="1"/>
    <col min="5374" max="5374" width="10.54296875" customWidth="1"/>
    <col min="5375" max="5375" width="11.1796875" customWidth="1"/>
    <col min="5376" max="5376" width="3.26953125" customWidth="1"/>
    <col min="5619" max="5620" width="4.26953125" customWidth="1"/>
    <col min="5621" max="5621" width="1.08984375" customWidth="1"/>
    <col min="5622" max="5622" width="28.90625" customWidth="1"/>
    <col min="5623" max="5623" width="5" customWidth="1"/>
    <col min="5624" max="5624" width="12.08984375" customWidth="1"/>
    <col min="5625" max="5625" width="4.08984375" customWidth="1"/>
    <col min="5626" max="5626" width="11.1796875" customWidth="1"/>
    <col min="5627" max="5627" width="3.54296875" customWidth="1"/>
    <col min="5628" max="5628" width="10.90625" customWidth="1"/>
    <col min="5629" max="5629" width="2.1796875" customWidth="1"/>
    <col min="5630" max="5630" width="10.54296875" customWidth="1"/>
    <col min="5631" max="5631" width="11.1796875" customWidth="1"/>
    <col min="5632" max="5632" width="3.26953125" customWidth="1"/>
    <col min="5875" max="5876" width="4.26953125" customWidth="1"/>
    <col min="5877" max="5877" width="1.08984375" customWidth="1"/>
    <col min="5878" max="5878" width="28.90625" customWidth="1"/>
    <col min="5879" max="5879" width="5" customWidth="1"/>
    <col min="5880" max="5880" width="12.08984375" customWidth="1"/>
    <col min="5881" max="5881" width="4.08984375" customWidth="1"/>
    <col min="5882" max="5882" width="11.1796875" customWidth="1"/>
    <col min="5883" max="5883" width="3.54296875" customWidth="1"/>
    <col min="5884" max="5884" width="10.90625" customWidth="1"/>
    <col min="5885" max="5885" width="2.1796875" customWidth="1"/>
    <col min="5886" max="5886" width="10.54296875" customWidth="1"/>
    <col min="5887" max="5887" width="11.1796875" customWidth="1"/>
    <col min="5888" max="5888" width="3.26953125" customWidth="1"/>
    <col min="6131" max="6132" width="4.26953125" customWidth="1"/>
    <col min="6133" max="6133" width="1.08984375" customWidth="1"/>
    <col min="6134" max="6134" width="28.90625" customWidth="1"/>
    <col min="6135" max="6135" width="5" customWidth="1"/>
    <col min="6136" max="6136" width="12.08984375" customWidth="1"/>
    <col min="6137" max="6137" width="4.08984375" customWidth="1"/>
    <col min="6138" max="6138" width="11.1796875" customWidth="1"/>
    <col min="6139" max="6139" width="3.54296875" customWidth="1"/>
    <col min="6140" max="6140" width="10.90625" customWidth="1"/>
    <col min="6141" max="6141" width="2.1796875" customWidth="1"/>
    <col min="6142" max="6142" width="10.54296875" customWidth="1"/>
    <col min="6143" max="6143" width="11.1796875" customWidth="1"/>
    <col min="6144" max="6144" width="3.26953125" customWidth="1"/>
    <col min="6387" max="6388" width="4.26953125" customWidth="1"/>
    <col min="6389" max="6389" width="1.08984375" customWidth="1"/>
    <col min="6390" max="6390" width="28.90625" customWidth="1"/>
    <col min="6391" max="6391" width="5" customWidth="1"/>
    <col min="6392" max="6392" width="12.08984375" customWidth="1"/>
    <col min="6393" max="6393" width="4.08984375" customWidth="1"/>
    <col min="6394" max="6394" width="11.1796875" customWidth="1"/>
    <col min="6395" max="6395" width="3.54296875" customWidth="1"/>
    <col min="6396" max="6396" width="10.90625" customWidth="1"/>
    <col min="6397" max="6397" width="2.1796875" customWidth="1"/>
    <col min="6398" max="6398" width="10.54296875" customWidth="1"/>
    <col min="6399" max="6399" width="11.1796875" customWidth="1"/>
    <col min="6400" max="6400" width="3.26953125" customWidth="1"/>
    <col min="6643" max="6644" width="4.26953125" customWidth="1"/>
    <col min="6645" max="6645" width="1.08984375" customWidth="1"/>
    <col min="6646" max="6646" width="28.90625" customWidth="1"/>
    <col min="6647" max="6647" width="5" customWidth="1"/>
    <col min="6648" max="6648" width="12.08984375" customWidth="1"/>
    <col min="6649" max="6649" width="4.08984375" customWidth="1"/>
    <col min="6650" max="6650" width="11.1796875" customWidth="1"/>
    <col min="6651" max="6651" width="3.54296875" customWidth="1"/>
    <col min="6652" max="6652" width="10.90625" customWidth="1"/>
    <col min="6653" max="6653" width="2.1796875" customWidth="1"/>
    <col min="6654" max="6654" width="10.54296875" customWidth="1"/>
    <col min="6655" max="6655" width="11.1796875" customWidth="1"/>
    <col min="6656" max="6656" width="3.26953125" customWidth="1"/>
    <col min="6899" max="6900" width="4.26953125" customWidth="1"/>
    <col min="6901" max="6901" width="1.08984375" customWidth="1"/>
    <col min="6902" max="6902" width="28.90625" customWidth="1"/>
    <col min="6903" max="6903" width="5" customWidth="1"/>
    <col min="6904" max="6904" width="12.08984375" customWidth="1"/>
    <col min="6905" max="6905" width="4.08984375" customWidth="1"/>
    <col min="6906" max="6906" width="11.1796875" customWidth="1"/>
    <col min="6907" max="6907" width="3.54296875" customWidth="1"/>
    <col min="6908" max="6908" width="10.90625" customWidth="1"/>
    <col min="6909" max="6909" width="2.1796875" customWidth="1"/>
    <col min="6910" max="6910" width="10.54296875" customWidth="1"/>
    <col min="6911" max="6911" width="11.1796875" customWidth="1"/>
    <col min="6912" max="6912" width="3.26953125" customWidth="1"/>
    <col min="7155" max="7156" width="4.26953125" customWidth="1"/>
    <col min="7157" max="7157" width="1.08984375" customWidth="1"/>
    <col min="7158" max="7158" width="28.90625" customWidth="1"/>
    <col min="7159" max="7159" width="5" customWidth="1"/>
    <col min="7160" max="7160" width="12.08984375" customWidth="1"/>
    <col min="7161" max="7161" width="4.08984375" customWidth="1"/>
    <col min="7162" max="7162" width="11.1796875" customWidth="1"/>
    <col min="7163" max="7163" width="3.54296875" customWidth="1"/>
    <col min="7164" max="7164" width="10.90625" customWidth="1"/>
    <col min="7165" max="7165" width="2.1796875" customWidth="1"/>
    <col min="7166" max="7166" width="10.54296875" customWidth="1"/>
    <col min="7167" max="7167" width="11.1796875" customWidth="1"/>
    <col min="7168" max="7168" width="3.26953125" customWidth="1"/>
    <col min="7411" max="7412" width="4.26953125" customWidth="1"/>
    <col min="7413" max="7413" width="1.08984375" customWidth="1"/>
    <col min="7414" max="7414" width="28.90625" customWidth="1"/>
    <col min="7415" max="7415" width="5" customWidth="1"/>
    <col min="7416" max="7416" width="12.08984375" customWidth="1"/>
    <col min="7417" max="7417" width="4.08984375" customWidth="1"/>
    <col min="7418" max="7418" width="11.1796875" customWidth="1"/>
    <col min="7419" max="7419" width="3.54296875" customWidth="1"/>
    <col min="7420" max="7420" width="10.90625" customWidth="1"/>
    <col min="7421" max="7421" width="2.1796875" customWidth="1"/>
    <col min="7422" max="7422" width="10.54296875" customWidth="1"/>
    <col min="7423" max="7423" width="11.1796875" customWidth="1"/>
    <col min="7424" max="7424" width="3.26953125" customWidth="1"/>
    <col min="7667" max="7668" width="4.26953125" customWidth="1"/>
    <col min="7669" max="7669" width="1.08984375" customWidth="1"/>
    <col min="7670" max="7670" width="28.90625" customWidth="1"/>
    <col min="7671" max="7671" width="5" customWidth="1"/>
    <col min="7672" max="7672" width="12.08984375" customWidth="1"/>
    <col min="7673" max="7673" width="4.08984375" customWidth="1"/>
    <col min="7674" max="7674" width="11.1796875" customWidth="1"/>
    <col min="7675" max="7675" width="3.54296875" customWidth="1"/>
    <col min="7676" max="7676" width="10.90625" customWidth="1"/>
    <col min="7677" max="7677" width="2.1796875" customWidth="1"/>
    <col min="7678" max="7678" width="10.54296875" customWidth="1"/>
    <col min="7679" max="7679" width="11.1796875" customWidth="1"/>
    <col min="7680" max="7680" width="3.26953125" customWidth="1"/>
    <col min="7923" max="7924" width="4.26953125" customWidth="1"/>
    <col min="7925" max="7925" width="1.08984375" customWidth="1"/>
    <col min="7926" max="7926" width="28.90625" customWidth="1"/>
    <col min="7927" max="7927" width="5" customWidth="1"/>
    <col min="7928" max="7928" width="12.08984375" customWidth="1"/>
    <col min="7929" max="7929" width="4.08984375" customWidth="1"/>
    <col min="7930" max="7930" width="11.1796875" customWidth="1"/>
    <col min="7931" max="7931" width="3.54296875" customWidth="1"/>
    <col min="7932" max="7932" width="10.90625" customWidth="1"/>
    <col min="7933" max="7933" width="2.1796875" customWidth="1"/>
    <col min="7934" max="7934" width="10.54296875" customWidth="1"/>
    <col min="7935" max="7935" width="11.1796875" customWidth="1"/>
    <col min="7936" max="7936" width="3.26953125" customWidth="1"/>
    <col min="8179" max="8180" width="4.26953125" customWidth="1"/>
    <col min="8181" max="8181" width="1.08984375" customWidth="1"/>
    <col min="8182" max="8182" width="28.90625" customWidth="1"/>
    <col min="8183" max="8183" width="5" customWidth="1"/>
    <col min="8184" max="8184" width="12.08984375" customWidth="1"/>
    <col min="8185" max="8185" width="4.08984375" customWidth="1"/>
    <col min="8186" max="8186" width="11.1796875" customWidth="1"/>
    <col min="8187" max="8187" width="3.54296875" customWidth="1"/>
    <col min="8188" max="8188" width="10.90625" customWidth="1"/>
    <col min="8189" max="8189" width="2.1796875" customWidth="1"/>
    <col min="8190" max="8190" width="10.54296875" customWidth="1"/>
    <col min="8191" max="8191" width="11.1796875" customWidth="1"/>
    <col min="8192" max="8192" width="3.26953125" customWidth="1"/>
    <col min="8435" max="8436" width="4.26953125" customWidth="1"/>
    <col min="8437" max="8437" width="1.08984375" customWidth="1"/>
    <col min="8438" max="8438" width="28.90625" customWidth="1"/>
    <col min="8439" max="8439" width="5" customWidth="1"/>
    <col min="8440" max="8440" width="12.08984375" customWidth="1"/>
    <col min="8441" max="8441" width="4.08984375" customWidth="1"/>
    <col min="8442" max="8442" width="11.1796875" customWidth="1"/>
    <col min="8443" max="8443" width="3.54296875" customWidth="1"/>
    <col min="8444" max="8444" width="10.90625" customWidth="1"/>
    <col min="8445" max="8445" width="2.1796875" customWidth="1"/>
    <col min="8446" max="8446" width="10.54296875" customWidth="1"/>
    <col min="8447" max="8447" width="11.1796875" customWidth="1"/>
    <col min="8448" max="8448" width="3.26953125" customWidth="1"/>
    <col min="8691" max="8692" width="4.26953125" customWidth="1"/>
    <col min="8693" max="8693" width="1.08984375" customWidth="1"/>
    <col min="8694" max="8694" width="28.90625" customWidth="1"/>
    <col min="8695" max="8695" width="5" customWidth="1"/>
    <col min="8696" max="8696" width="12.08984375" customWidth="1"/>
    <col min="8697" max="8697" width="4.08984375" customWidth="1"/>
    <col min="8698" max="8698" width="11.1796875" customWidth="1"/>
    <col min="8699" max="8699" width="3.54296875" customWidth="1"/>
    <col min="8700" max="8700" width="10.90625" customWidth="1"/>
    <col min="8701" max="8701" width="2.1796875" customWidth="1"/>
    <col min="8702" max="8702" width="10.54296875" customWidth="1"/>
    <col min="8703" max="8703" width="11.1796875" customWidth="1"/>
    <col min="8704" max="8704" width="3.26953125" customWidth="1"/>
    <col min="8947" max="8948" width="4.26953125" customWidth="1"/>
    <col min="8949" max="8949" width="1.08984375" customWidth="1"/>
    <col min="8950" max="8950" width="28.90625" customWidth="1"/>
    <col min="8951" max="8951" width="5" customWidth="1"/>
    <col min="8952" max="8952" width="12.08984375" customWidth="1"/>
    <col min="8953" max="8953" width="4.08984375" customWidth="1"/>
    <col min="8954" max="8954" width="11.1796875" customWidth="1"/>
    <col min="8955" max="8955" width="3.54296875" customWidth="1"/>
    <col min="8956" max="8956" width="10.90625" customWidth="1"/>
    <col min="8957" max="8957" width="2.1796875" customWidth="1"/>
    <col min="8958" max="8958" width="10.54296875" customWidth="1"/>
    <col min="8959" max="8959" width="11.1796875" customWidth="1"/>
    <col min="8960" max="8960" width="3.26953125" customWidth="1"/>
    <col min="9203" max="9204" width="4.26953125" customWidth="1"/>
    <col min="9205" max="9205" width="1.08984375" customWidth="1"/>
    <col min="9206" max="9206" width="28.90625" customWidth="1"/>
    <col min="9207" max="9207" width="5" customWidth="1"/>
    <col min="9208" max="9208" width="12.08984375" customWidth="1"/>
    <col min="9209" max="9209" width="4.08984375" customWidth="1"/>
    <col min="9210" max="9210" width="11.1796875" customWidth="1"/>
    <col min="9211" max="9211" width="3.54296875" customWidth="1"/>
    <col min="9212" max="9212" width="10.90625" customWidth="1"/>
    <col min="9213" max="9213" width="2.1796875" customWidth="1"/>
    <col min="9214" max="9214" width="10.54296875" customWidth="1"/>
    <col min="9215" max="9215" width="11.1796875" customWidth="1"/>
    <col min="9216" max="9216" width="3.26953125" customWidth="1"/>
    <col min="9459" max="9460" width="4.26953125" customWidth="1"/>
    <col min="9461" max="9461" width="1.08984375" customWidth="1"/>
    <col min="9462" max="9462" width="28.90625" customWidth="1"/>
    <col min="9463" max="9463" width="5" customWidth="1"/>
    <col min="9464" max="9464" width="12.08984375" customWidth="1"/>
    <col min="9465" max="9465" width="4.08984375" customWidth="1"/>
    <col min="9466" max="9466" width="11.1796875" customWidth="1"/>
    <col min="9467" max="9467" width="3.54296875" customWidth="1"/>
    <col min="9468" max="9468" width="10.90625" customWidth="1"/>
    <col min="9469" max="9469" width="2.1796875" customWidth="1"/>
    <col min="9470" max="9470" width="10.54296875" customWidth="1"/>
    <col min="9471" max="9471" width="11.1796875" customWidth="1"/>
    <col min="9472" max="9472" width="3.26953125" customWidth="1"/>
    <col min="9715" max="9716" width="4.26953125" customWidth="1"/>
    <col min="9717" max="9717" width="1.08984375" customWidth="1"/>
    <col min="9718" max="9718" width="28.90625" customWidth="1"/>
    <col min="9719" max="9719" width="5" customWidth="1"/>
    <col min="9720" max="9720" width="12.08984375" customWidth="1"/>
    <col min="9721" max="9721" width="4.08984375" customWidth="1"/>
    <col min="9722" max="9722" width="11.1796875" customWidth="1"/>
    <col min="9723" max="9723" width="3.54296875" customWidth="1"/>
    <col min="9724" max="9724" width="10.90625" customWidth="1"/>
    <col min="9725" max="9725" width="2.1796875" customWidth="1"/>
    <col min="9726" max="9726" width="10.54296875" customWidth="1"/>
    <col min="9727" max="9727" width="11.1796875" customWidth="1"/>
    <col min="9728" max="9728" width="3.26953125" customWidth="1"/>
    <col min="9971" max="9972" width="4.26953125" customWidth="1"/>
    <col min="9973" max="9973" width="1.08984375" customWidth="1"/>
    <col min="9974" max="9974" width="28.90625" customWidth="1"/>
    <col min="9975" max="9975" width="5" customWidth="1"/>
    <col min="9976" max="9976" width="12.08984375" customWidth="1"/>
    <col min="9977" max="9977" width="4.08984375" customWidth="1"/>
    <col min="9978" max="9978" width="11.1796875" customWidth="1"/>
    <col min="9979" max="9979" width="3.54296875" customWidth="1"/>
    <col min="9980" max="9980" width="10.90625" customWidth="1"/>
    <col min="9981" max="9981" width="2.1796875" customWidth="1"/>
    <col min="9982" max="9982" width="10.54296875" customWidth="1"/>
    <col min="9983" max="9983" width="11.1796875" customWidth="1"/>
    <col min="9984" max="9984" width="3.26953125" customWidth="1"/>
    <col min="10227" max="10228" width="4.26953125" customWidth="1"/>
    <col min="10229" max="10229" width="1.08984375" customWidth="1"/>
    <col min="10230" max="10230" width="28.90625" customWidth="1"/>
    <col min="10231" max="10231" width="5" customWidth="1"/>
    <col min="10232" max="10232" width="12.08984375" customWidth="1"/>
    <col min="10233" max="10233" width="4.08984375" customWidth="1"/>
    <col min="10234" max="10234" width="11.1796875" customWidth="1"/>
    <col min="10235" max="10235" width="3.54296875" customWidth="1"/>
    <col min="10236" max="10236" width="10.90625" customWidth="1"/>
    <col min="10237" max="10237" width="2.1796875" customWidth="1"/>
    <col min="10238" max="10238" width="10.54296875" customWidth="1"/>
    <col min="10239" max="10239" width="11.1796875" customWidth="1"/>
    <col min="10240" max="10240" width="3.26953125" customWidth="1"/>
    <col min="10483" max="10484" width="4.26953125" customWidth="1"/>
    <col min="10485" max="10485" width="1.08984375" customWidth="1"/>
    <col min="10486" max="10486" width="28.90625" customWidth="1"/>
    <col min="10487" max="10487" width="5" customWidth="1"/>
    <col min="10488" max="10488" width="12.08984375" customWidth="1"/>
    <col min="10489" max="10489" width="4.08984375" customWidth="1"/>
    <col min="10490" max="10490" width="11.1796875" customWidth="1"/>
    <col min="10491" max="10491" width="3.54296875" customWidth="1"/>
    <col min="10492" max="10492" width="10.90625" customWidth="1"/>
    <col min="10493" max="10493" width="2.1796875" customWidth="1"/>
    <col min="10494" max="10494" width="10.54296875" customWidth="1"/>
    <col min="10495" max="10495" width="11.1796875" customWidth="1"/>
    <col min="10496" max="10496" width="3.26953125" customWidth="1"/>
    <col min="10739" max="10740" width="4.26953125" customWidth="1"/>
    <col min="10741" max="10741" width="1.08984375" customWidth="1"/>
    <col min="10742" max="10742" width="28.90625" customWidth="1"/>
    <col min="10743" max="10743" width="5" customWidth="1"/>
    <col min="10744" max="10744" width="12.08984375" customWidth="1"/>
    <col min="10745" max="10745" width="4.08984375" customWidth="1"/>
    <col min="10746" max="10746" width="11.1796875" customWidth="1"/>
    <col min="10747" max="10747" width="3.54296875" customWidth="1"/>
    <col min="10748" max="10748" width="10.90625" customWidth="1"/>
    <col min="10749" max="10749" width="2.1796875" customWidth="1"/>
    <col min="10750" max="10750" width="10.54296875" customWidth="1"/>
    <col min="10751" max="10751" width="11.1796875" customWidth="1"/>
    <col min="10752" max="10752" width="3.26953125" customWidth="1"/>
    <col min="10995" max="10996" width="4.26953125" customWidth="1"/>
    <col min="10997" max="10997" width="1.08984375" customWidth="1"/>
    <col min="10998" max="10998" width="28.90625" customWidth="1"/>
    <col min="10999" max="10999" width="5" customWidth="1"/>
    <col min="11000" max="11000" width="12.08984375" customWidth="1"/>
    <col min="11001" max="11001" width="4.08984375" customWidth="1"/>
    <col min="11002" max="11002" width="11.1796875" customWidth="1"/>
    <col min="11003" max="11003" width="3.54296875" customWidth="1"/>
    <col min="11004" max="11004" width="10.90625" customWidth="1"/>
    <col min="11005" max="11005" width="2.1796875" customWidth="1"/>
    <col min="11006" max="11006" width="10.54296875" customWidth="1"/>
    <col min="11007" max="11007" width="11.1796875" customWidth="1"/>
    <col min="11008" max="11008" width="3.26953125" customWidth="1"/>
    <col min="11251" max="11252" width="4.26953125" customWidth="1"/>
    <col min="11253" max="11253" width="1.08984375" customWidth="1"/>
    <col min="11254" max="11254" width="28.90625" customWidth="1"/>
    <col min="11255" max="11255" width="5" customWidth="1"/>
    <col min="11256" max="11256" width="12.08984375" customWidth="1"/>
    <col min="11257" max="11257" width="4.08984375" customWidth="1"/>
    <col min="11258" max="11258" width="11.1796875" customWidth="1"/>
    <col min="11259" max="11259" width="3.54296875" customWidth="1"/>
    <col min="11260" max="11260" width="10.90625" customWidth="1"/>
    <col min="11261" max="11261" width="2.1796875" customWidth="1"/>
    <col min="11262" max="11262" width="10.54296875" customWidth="1"/>
    <col min="11263" max="11263" width="11.1796875" customWidth="1"/>
    <col min="11264" max="11264" width="3.26953125" customWidth="1"/>
    <col min="11507" max="11508" width="4.26953125" customWidth="1"/>
    <col min="11509" max="11509" width="1.08984375" customWidth="1"/>
    <col min="11510" max="11510" width="28.90625" customWidth="1"/>
    <col min="11511" max="11511" width="5" customWidth="1"/>
    <col min="11512" max="11512" width="12.08984375" customWidth="1"/>
    <col min="11513" max="11513" width="4.08984375" customWidth="1"/>
    <col min="11514" max="11514" width="11.1796875" customWidth="1"/>
    <col min="11515" max="11515" width="3.54296875" customWidth="1"/>
    <col min="11516" max="11516" width="10.90625" customWidth="1"/>
    <col min="11517" max="11517" width="2.1796875" customWidth="1"/>
    <col min="11518" max="11518" width="10.54296875" customWidth="1"/>
    <col min="11519" max="11519" width="11.1796875" customWidth="1"/>
    <col min="11520" max="11520" width="3.26953125" customWidth="1"/>
    <col min="11763" max="11764" width="4.26953125" customWidth="1"/>
    <col min="11765" max="11765" width="1.08984375" customWidth="1"/>
    <col min="11766" max="11766" width="28.90625" customWidth="1"/>
    <col min="11767" max="11767" width="5" customWidth="1"/>
    <col min="11768" max="11768" width="12.08984375" customWidth="1"/>
    <col min="11769" max="11769" width="4.08984375" customWidth="1"/>
    <col min="11770" max="11770" width="11.1796875" customWidth="1"/>
    <col min="11771" max="11771" width="3.54296875" customWidth="1"/>
    <col min="11772" max="11772" width="10.90625" customWidth="1"/>
    <col min="11773" max="11773" width="2.1796875" customWidth="1"/>
    <col min="11774" max="11774" width="10.54296875" customWidth="1"/>
    <col min="11775" max="11775" width="11.1796875" customWidth="1"/>
    <col min="11776" max="11776" width="3.26953125" customWidth="1"/>
    <col min="12019" max="12020" width="4.26953125" customWidth="1"/>
    <col min="12021" max="12021" width="1.08984375" customWidth="1"/>
    <col min="12022" max="12022" width="28.90625" customWidth="1"/>
    <col min="12023" max="12023" width="5" customWidth="1"/>
    <col min="12024" max="12024" width="12.08984375" customWidth="1"/>
    <col min="12025" max="12025" width="4.08984375" customWidth="1"/>
    <col min="12026" max="12026" width="11.1796875" customWidth="1"/>
    <col min="12027" max="12027" width="3.54296875" customWidth="1"/>
    <col min="12028" max="12028" width="10.90625" customWidth="1"/>
    <col min="12029" max="12029" width="2.1796875" customWidth="1"/>
    <col min="12030" max="12030" width="10.54296875" customWidth="1"/>
    <col min="12031" max="12031" width="11.1796875" customWidth="1"/>
    <col min="12032" max="12032" width="3.26953125" customWidth="1"/>
    <col min="12275" max="12276" width="4.26953125" customWidth="1"/>
    <col min="12277" max="12277" width="1.08984375" customWidth="1"/>
    <col min="12278" max="12278" width="28.90625" customWidth="1"/>
    <col min="12279" max="12279" width="5" customWidth="1"/>
    <col min="12280" max="12280" width="12.08984375" customWidth="1"/>
    <col min="12281" max="12281" width="4.08984375" customWidth="1"/>
    <col min="12282" max="12282" width="11.1796875" customWidth="1"/>
    <col min="12283" max="12283" width="3.54296875" customWidth="1"/>
    <col min="12284" max="12284" width="10.90625" customWidth="1"/>
    <col min="12285" max="12285" width="2.1796875" customWidth="1"/>
    <col min="12286" max="12286" width="10.54296875" customWidth="1"/>
    <col min="12287" max="12287" width="11.1796875" customWidth="1"/>
    <col min="12288" max="12288" width="3.26953125" customWidth="1"/>
    <col min="12531" max="12532" width="4.26953125" customWidth="1"/>
    <col min="12533" max="12533" width="1.08984375" customWidth="1"/>
    <col min="12534" max="12534" width="28.90625" customWidth="1"/>
    <col min="12535" max="12535" width="5" customWidth="1"/>
    <col min="12536" max="12536" width="12.08984375" customWidth="1"/>
    <col min="12537" max="12537" width="4.08984375" customWidth="1"/>
    <col min="12538" max="12538" width="11.1796875" customWidth="1"/>
    <col min="12539" max="12539" width="3.54296875" customWidth="1"/>
    <col min="12540" max="12540" width="10.90625" customWidth="1"/>
    <col min="12541" max="12541" width="2.1796875" customWidth="1"/>
    <col min="12542" max="12542" width="10.54296875" customWidth="1"/>
    <col min="12543" max="12543" width="11.1796875" customWidth="1"/>
    <col min="12544" max="12544" width="3.26953125" customWidth="1"/>
    <col min="12787" max="12788" width="4.26953125" customWidth="1"/>
    <col min="12789" max="12789" width="1.08984375" customWidth="1"/>
    <col min="12790" max="12790" width="28.90625" customWidth="1"/>
    <col min="12791" max="12791" width="5" customWidth="1"/>
    <col min="12792" max="12792" width="12.08984375" customWidth="1"/>
    <col min="12793" max="12793" width="4.08984375" customWidth="1"/>
    <col min="12794" max="12794" width="11.1796875" customWidth="1"/>
    <col min="12795" max="12795" width="3.54296875" customWidth="1"/>
    <col min="12796" max="12796" width="10.90625" customWidth="1"/>
    <col min="12797" max="12797" width="2.1796875" customWidth="1"/>
    <col min="12798" max="12798" width="10.54296875" customWidth="1"/>
    <col min="12799" max="12799" width="11.1796875" customWidth="1"/>
    <col min="12800" max="12800" width="3.26953125" customWidth="1"/>
    <col min="13043" max="13044" width="4.26953125" customWidth="1"/>
    <col min="13045" max="13045" width="1.08984375" customWidth="1"/>
    <col min="13046" max="13046" width="28.90625" customWidth="1"/>
    <col min="13047" max="13047" width="5" customWidth="1"/>
    <col min="13048" max="13048" width="12.08984375" customWidth="1"/>
    <col min="13049" max="13049" width="4.08984375" customWidth="1"/>
    <col min="13050" max="13050" width="11.1796875" customWidth="1"/>
    <col min="13051" max="13051" width="3.54296875" customWidth="1"/>
    <col min="13052" max="13052" width="10.90625" customWidth="1"/>
    <col min="13053" max="13053" width="2.1796875" customWidth="1"/>
    <col min="13054" max="13054" width="10.54296875" customWidth="1"/>
    <col min="13055" max="13055" width="11.1796875" customWidth="1"/>
    <col min="13056" max="13056" width="3.26953125" customWidth="1"/>
    <col min="13299" max="13300" width="4.26953125" customWidth="1"/>
    <col min="13301" max="13301" width="1.08984375" customWidth="1"/>
    <col min="13302" max="13302" width="28.90625" customWidth="1"/>
    <col min="13303" max="13303" width="5" customWidth="1"/>
    <col min="13304" max="13304" width="12.08984375" customWidth="1"/>
    <col min="13305" max="13305" width="4.08984375" customWidth="1"/>
    <col min="13306" max="13306" width="11.1796875" customWidth="1"/>
    <col min="13307" max="13307" width="3.54296875" customWidth="1"/>
    <col min="13308" max="13308" width="10.90625" customWidth="1"/>
    <col min="13309" max="13309" width="2.1796875" customWidth="1"/>
    <col min="13310" max="13310" width="10.54296875" customWidth="1"/>
    <col min="13311" max="13311" width="11.1796875" customWidth="1"/>
    <col min="13312" max="13312" width="3.26953125" customWidth="1"/>
    <col min="13555" max="13556" width="4.26953125" customWidth="1"/>
    <col min="13557" max="13557" width="1.08984375" customWidth="1"/>
    <col min="13558" max="13558" width="28.90625" customWidth="1"/>
    <col min="13559" max="13559" width="5" customWidth="1"/>
    <col min="13560" max="13560" width="12.08984375" customWidth="1"/>
    <col min="13561" max="13561" width="4.08984375" customWidth="1"/>
    <col min="13562" max="13562" width="11.1796875" customWidth="1"/>
    <col min="13563" max="13563" width="3.54296875" customWidth="1"/>
    <col min="13564" max="13564" width="10.90625" customWidth="1"/>
    <col min="13565" max="13565" width="2.1796875" customWidth="1"/>
    <col min="13566" max="13566" width="10.54296875" customWidth="1"/>
    <col min="13567" max="13567" width="11.1796875" customWidth="1"/>
    <col min="13568" max="13568" width="3.26953125" customWidth="1"/>
    <col min="13811" max="13812" width="4.26953125" customWidth="1"/>
    <col min="13813" max="13813" width="1.08984375" customWidth="1"/>
    <col min="13814" max="13814" width="28.90625" customWidth="1"/>
    <col min="13815" max="13815" width="5" customWidth="1"/>
    <col min="13816" max="13816" width="12.08984375" customWidth="1"/>
    <col min="13817" max="13817" width="4.08984375" customWidth="1"/>
    <col min="13818" max="13818" width="11.1796875" customWidth="1"/>
    <col min="13819" max="13819" width="3.54296875" customWidth="1"/>
    <col min="13820" max="13820" width="10.90625" customWidth="1"/>
    <col min="13821" max="13821" width="2.1796875" customWidth="1"/>
    <col min="13822" max="13822" width="10.54296875" customWidth="1"/>
    <col min="13823" max="13823" width="11.1796875" customWidth="1"/>
    <col min="13824" max="13824" width="3.26953125" customWidth="1"/>
    <col min="14067" max="14068" width="4.26953125" customWidth="1"/>
    <col min="14069" max="14069" width="1.08984375" customWidth="1"/>
    <col min="14070" max="14070" width="28.90625" customWidth="1"/>
    <col min="14071" max="14071" width="5" customWidth="1"/>
    <col min="14072" max="14072" width="12.08984375" customWidth="1"/>
    <col min="14073" max="14073" width="4.08984375" customWidth="1"/>
    <col min="14074" max="14074" width="11.1796875" customWidth="1"/>
    <col min="14075" max="14075" width="3.54296875" customWidth="1"/>
    <col min="14076" max="14076" width="10.90625" customWidth="1"/>
    <col min="14077" max="14077" width="2.1796875" customWidth="1"/>
    <col min="14078" max="14078" width="10.54296875" customWidth="1"/>
    <col min="14079" max="14079" width="11.1796875" customWidth="1"/>
    <col min="14080" max="14080" width="3.26953125" customWidth="1"/>
    <col min="14323" max="14324" width="4.26953125" customWidth="1"/>
    <col min="14325" max="14325" width="1.08984375" customWidth="1"/>
    <col min="14326" max="14326" width="28.90625" customWidth="1"/>
    <col min="14327" max="14327" width="5" customWidth="1"/>
    <col min="14328" max="14328" width="12.08984375" customWidth="1"/>
    <col min="14329" max="14329" width="4.08984375" customWidth="1"/>
    <col min="14330" max="14330" width="11.1796875" customWidth="1"/>
    <col min="14331" max="14331" width="3.54296875" customWidth="1"/>
    <col min="14332" max="14332" width="10.90625" customWidth="1"/>
    <col min="14333" max="14333" width="2.1796875" customWidth="1"/>
    <col min="14334" max="14334" width="10.54296875" customWidth="1"/>
    <col min="14335" max="14335" width="11.1796875" customWidth="1"/>
    <col min="14336" max="14336" width="3.26953125" customWidth="1"/>
    <col min="14579" max="14580" width="4.26953125" customWidth="1"/>
    <col min="14581" max="14581" width="1.08984375" customWidth="1"/>
    <col min="14582" max="14582" width="28.90625" customWidth="1"/>
    <col min="14583" max="14583" width="5" customWidth="1"/>
    <col min="14584" max="14584" width="12.08984375" customWidth="1"/>
    <col min="14585" max="14585" width="4.08984375" customWidth="1"/>
    <col min="14586" max="14586" width="11.1796875" customWidth="1"/>
    <col min="14587" max="14587" width="3.54296875" customWidth="1"/>
    <col min="14588" max="14588" width="10.90625" customWidth="1"/>
    <col min="14589" max="14589" width="2.1796875" customWidth="1"/>
    <col min="14590" max="14590" width="10.54296875" customWidth="1"/>
    <col min="14591" max="14591" width="11.1796875" customWidth="1"/>
    <col min="14592" max="14592" width="3.26953125" customWidth="1"/>
    <col min="14835" max="14836" width="4.26953125" customWidth="1"/>
    <col min="14837" max="14837" width="1.08984375" customWidth="1"/>
    <col min="14838" max="14838" width="28.90625" customWidth="1"/>
    <col min="14839" max="14839" width="5" customWidth="1"/>
    <col min="14840" max="14840" width="12.08984375" customWidth="1"/>
    <col min="14841" max="14841" width="4.08984375" customWidth="1"/>
    <col min="14842" max="14842" width="11.1796875" customWidth="1"/>
    <col min="14843" max="14843" width="3.54296875" customWidth="1"/>
    <col min="14844" max="14844" width="10.90625" customWidth="1"/>
    <col min="14845" max="14845" width="2.1796875" customWidth="1"/>
    <col min="14846" max="14846" width="10.54296875" customWidth="1"/>
    <col min="14847" max="14847" width="11.1796875" customWidth="1"/>
    <col min="14848" max="14848" width="3.26953125" customWidth="1"/>
    <col min="15091" max="15092" width="4.26953125" customWidth="1"/>
    <col min="15093" max="15093" width="1.08984375" customWidth="1"/>
    <col min="15094" max="15094" width="28.90625" customWidth="1"/>
    <col min="15095" max="15095" width="5" customWidth="1"/>
    <col min="15096" max="15096" width="12.08984375" customWidth="1"/>
    <col min="15097" max="15097" width="4.08984375" customWidth="1"/>
    <col min="15098" max="15098" width="11.1796875" customWidth="1"/>
    <col min="15099" max="15099" width="3.54296875" customWidth="1"/>
    <col min="15100" max="15100" width="10.90625" customWidth="1"/>
    <col min="15101" max="15101" width="2.1796875" customWidth="1"/>
    <col min="15102" max="15102" width="10.54296875" customWidth="1"/>
    <col min="15103" max="15103" width="11.1796875" customWidth="1"/>
    <col min="15104" max="15104" width="3.26953125" customWidth="1"/>
    <col min="15347" max="15348" width="4.26953125" customWidth="1"/>
    <col min="15349" max="15349" width="1.08984375" customWidth="1"/>
    <col min="15350" max="15350" width="28.90625" customWidth="1"/>
    <col min="15351" max="15351" width="5" customWidth="1"/>
    <col min="15352" max="15352" width="12.08984375" customWidth="1"/>
    <col min="15353" max="15353" width="4.08984375" customWidth="1"/>
    <col min="15354" max="15354" width="11.1796875" customWidth="1"/>
    <col min="15355" max="15355" width="3.54296875" customWidth="1"/>
    <col min="15356" max="15356" width="10.90625" customWidth="1"/>
    <col min="15357" max="15357" width="2.1796875" customWidth="1"/>
    <col min="15358" max="15358" width="10.54296875" customWidth="1"/>
    <col min="15359" max="15359" width="11.1796875" customWidth="1"/>
    <col min="15360" max="15360" width="3.26953125" customWidth="1"/>
    <col min="15603" max="15604" width="4.26953125" customWidth="1"/>
    <col min="15605" max="15605" width="1.08984375" customWidth="1"/>
    <col min="15606" max="15606" width="28.90625" customWidth="1"/>
    <col min="15607" max="15607" width="5" customWidth="1"/>
    <col min="15608" max="15608" width="12.08984375" customWidth="1"/>
    <col min="15609" max="15609" width="4.08984375" customWidth="1"/>
    <col min="15610" max="15610" width="11.1796875" customWidth="1"/>
    <col min="15611" max="15611" width="3.54296875" customWidth="1"/>
    <col min="15612" max="15612" width="10.90625" customWidth="1"/>
    <col min="15613" max="15613" width="2.1796875" customWidth="1"/>
    <col min="15614" max="15614" width="10.54296875" customWidth="1"/>
    <col min="15615" max="15615" width="11.1796875" customWidth="1"/>
    <col min="15616" max="15616" width="3.26953125" customWidth="1"/>
    <col min="15859" max="15860" width="4.26953125" customWidth="1"/>
    <col min="15861" max="15861" width="1.08984375" customWidth="1"/>
    <col min="15862" max="15862" width="28.90625" customWidth="1"/>
    <col min="15863" max="15863" width="5" customWidth="1"/>
    <col min="15864" max="15864" width="12.08984375" customWidth="1"/>
    <col min="15865" max="15865" width="4.08984375" customWidth="1"/>
    <col min="15866" max="15866" width="11.1796875" customWidth="1"/>
    <col min="15867" max="15867" width="3.54296875" customWidth="1"/>
    <col min="15868" max="15868" width="10.90625" customWidth="1"/>
    <col min="15869" max="15869" width="2.1796875" customWidth="1"/>
    <col min="15870" max="15870" width="10.54296875" customWidth="1"/>
    <col min="15871" max="15871" width="11.1796875" customWidth="1"/>
    <col min="15872" max="15872" width="3.26953125" customWidth="1"/>
    <col min="16115" max="16116" width="4.26953125" customWidth="1"/>
    <col min="16117" max="16117" width="1.08984375" customWidth="1"/>
    <col min="16118" max="16118" width="28.90625" customWidth="1"/>
    <col min="16119" max="16119" width="5" customWidth="1"/>
    <col min="16120" max="16120" width="12.08984375" customWidth="1"/>
    <col min="16121" max="16121" width="4.08984375" customWidth="1"/>
    <col min="16122" max="16122" width="11.1796875" customWidth="1"/>
    <col min="16123" max="16123" width="3.54296875" customWidth="1"/>
    <col min="16124" max="16124" width="10.90625" customWidth="1"/>
    <col min="16125" max="16125" width="2.1796875" customWidth="1"/>
    <col min="16126" max="16126" width="10.54296875" customWidth="1"/>
    <col min="16127" max="16127" width="11.1796875" customWidth="1"/>
    <col min="16128" max="16128" width="3.26953125" customWidth="1"/>
  </cols>
  <sheetData>
    <row r="2" spans="2:8" ht="15.5" x14ac:dyDescent="0.35">
      <c r="B2" s="317" t="str">
        <f>'Transaction S&amp;U'!B1</f>
        <v>HOME SUITES ("HSE")</v>
      </c>
    </row>
    <row r="3" spans="2:8" ht="15.75" customHeight="1" x14ac:dyDescent="0.35">
      <c r="B3" s="288" t="s">
        <v>220</v>
      </c>
    </row>
    <row r="4" spans="2:8" ht="58" x14ac:dyDescent="0.35">
      <c r="D4" s="328" t="s">
        <v>235</v>
      </c>
      <c r="E4" s="83"/>
      <c r="F4" s="328" t="s">
        <v>221</v>
      </c>
      <c r="G4" s="83"/>
      <c r="H4" s="328" t="s">
        <v>222</v>
      </c>
    </row>
    <row r="5" spans="2:8" ht="17.25" customHeight="1" thickBot="1" x14ac:dyDescent="0.4">
      <c r="B5" s="23" t="s">
        <v>233</v>
      </c>
      <c r="D5" s="302">
        <f>'Balance Sheet'!H7</f>
        <v>44926</v>
      </c>
      <c r="E5" s="5"/>
      <c r="H5" s="302">
        <f>+D5</f>
        <v>44926</v>
      </c>
    </row>
    <row r="6" spans="2:8" ht="15" thickTop="1" x14ac:dyDescent="0.35"/>
    <row r="7" spans="2:8" x14ac:dyDescent="0.35">
      <c r="B7" s="288" t="s">
        <v>138</v>
      </c>
    </row>
    <row r="8" spans="2:8" x14ac:dyDescent="0.35">
      <c r="B8" t="str">
        <f>'Balance Sheet'!B9</f>
        <v>Cash</v>
      </c>
      <c r="D8" s="319">
        <f>'Balance Sheet'!H9</f>
        <v>1045722</v>
      </c>
      <c r="F8" s="310">
        <v>1</v>
      </c>
      <c r="H8" s="57">
        <f>+F8*D8</f>
        <v>1045722</v>
      </c>
    </row>
    <row r="9" spans="2:8" x14ac:dyDescent="0.35">
      <c r="B9" t="str">
        <f>'Balance Sheet'!B10</f>
        <v>Accounts Receivable</v>
      </c>
      <c r="D9" s="319">
        <f>'Balance Sheet'!H10</f>
        <v>22100</v>
      </c>
      <c r="F9" s="310">
        <v>0.85</v>
      </c>
      <c r="H9" s="57">
        <f t="shared" ref="H9:H11" si="0">+F9*D9</f>
        <v>18785</v>
      </c>
    </row>
    <row r="10" spans="2:8" x14ac:dyDescent="0.35">
      <c r="B10" t="str">
        <f>'Balance Sheet'!B11</f>
        <v>Inventory</v>
      </c>
      <c r="D10" s="319">
        <f>'Balance Sheet'!H11</f>
        <v>0</v>
      </c>
      <c r="F10" s="310">
        <v>0.35</v>
      </c>
      <c r="H10" s="57">
        <f t="shared" si="0"/>
        <v>0</v>
      </c>
    </row>
    <row r="11" spans="2:8" x14ac:dyDescent="0.35">
      <c r="B11" t="str">
        <f>'Balance Sheet'!B12</f>
        <v>Other Current Assets</v>
      </c>
      <c r="D11" s="319">
        <f>'Balance Sheet'!H12</f>
        <v>0</v>
      </c>
      <c r="F11" s="310">
        <v>0</v>
      </c>
      <c r="H11" s="57">
        <f t="shared" si="0"/>
        <v>0</v>
      </c>
    </row>
    <row r="12" spans="2:8" x14ac:dyDescent="0.35">
      <c r="B12" t="s">
        <v>142</v>
      </c>
      <c r="D12" s="320">
        <f>'Balance Sheet'!H13</f>
        <v>1067822</v>
      </c>
      <c r="F12" s="6"/>
    </row>
    <row r="13" spans="2:8" x14ac:dyDescent="0.35">
      <c r="F13"/>
    </row>
    <row r="14" spans="2:8" x14ac:dyDescent="0.35">
      <c r="B14" s="288" t="s">
        <v>223</v>
      </c>
      <c r="F14" s="6"/>
    </row>
    <row r="15" spans="2:8" x14ac:dyDescent="0.35">
      <c r="B15" t="str">
        <f>'Balance Sheet'!B15</f>
        <v>Goodwill &amp; Other Intagibles</v>
      </c>
      <c r="D15" s="319">
        <f>'Balance Sheet'!H15</f>
        <v>2120568.7999999998</v>
      </c>
      <c r="F15" s="310">
        <v>0</v>
      </c>
      <c r="H15" s="57">
        <f t="shared" ref="H15:H16" si="1">+F15*D15</f>
        <v>0</v>
      </c>
    </row>
    <row r="16" spans="2:8" x14ac:dyDescent="0.35">
      <c r="B16" t="str">
        <f>'Balance Sheet'!B16</f>
        <v>Capitalized Fees</v>
      </c>
      <c r="D16" s="319">
        <f>'Balance Sheet'!H16</f>
        <v>214057.5</v>
      </c>
      <c r="F16" s="310">
        <v>0</v>
      </c>
      <c r="H16" s="57">
        <f t="shared" si="1"/>
        <v>0</v>
      </c>
    </row>
    <row r="17" spans="2:8" x14ac:dyDescent="0.35">
      <c r="B17" t="str">
        <f>'Balance Sheet'!B17</f>
        <v>Gross PP&amp;E</v>
      </c>
      <c r="D17" s="319">
        <f>'Balance Sheet'!H17</f>
        <v>6495200</v>
      </c>
      <c r="F17" s="310"/>
    </row>
    <row r="18" spans="2:8" x14ac:dyDescent="0.35">
      <c r="B18" t="str">
        <f>'Balance Sheet'!B18</f>
        <v>Accum. Depreciation</v>
      </c>
      <c r="D18" s="319">
        <f>'Balance Sheet'!H18</f>
        <v>-2292316</v>
      </c>
      <c r="F18" s="6"/>
    </row>
    <row r="19" spans="2:8" ht="15" thickBot="1" x14ac:dyDescent="0.4">
      <c r="B19" t="str">
        <f>'Balance Sheet'!B19</f>
        <v xml:space="preserve">  Net PP&amp;E</v>
      </c>
      <c r="D19" s="321">
        <f>'Balance Sheet'!H19</f>
        <v>4202884</v>
      </c>
      <c r="F19" s="310">
        <v>0.5</v>
      </c>
      <c r="H19" s="41">
        <f>+F19*D19</f>
        <v>2101442</v>
      </c>
    </row>
    <row r="20" spans="2:8" ht="15" thickTop="1" x14ac:dyDescent="0.35">
      <c r="B20" t="str">
        <f>'Balance Sheet'!B20</f>
        <v>LTI &amp; Other Assets</v>
      </c>
      <c r="D20" s="319">
        <f>'Balance Sheet'!H20</f>
        <v>97095.2</v>
      </c>
      <c r="F20" s="310">
        <v>0.5</v>
      </c>
      <c r="H20" s="57">
        <f>F20*D20</f>
        <v>48547.6</v>
      </c>
    </row>
    <row r="21" spans="2:8" ht="15" thickBot="1" x14ac:dyDescent="0.4">
      <c r="B21" t="str">
        <f>'Balance Sheet'!B21</f>
        <v xml:space="preserve">  Total Assets</v>
      </c>
      <c r="D21" s="321">
        <f>'Balance Sheet'!H21</f>
        <v>7702427.5</v>
      </c>
      <c r="G21" s="93" t="s">
        <v>224</v>
      </c>
      <c r="H21" s="312">
        <f>SUM(H8:H20)</f>
        <v>3214496.6</v>
      </c>
    </row>
    <row r="22" spans="2:8" ht="15" thickTop="1" x14ac:dyDescent="0.35">
      <c r="D22" s="280"/>
      <c r="F22" s="310"/>
      <c r="H22" s="57"/>
    </row>
    <row r="23" spans="2:8" x14ac:dyDescent="0.35">
      <c r="B23" s="23" t="str">
        <f>'Balance Sheet'!B23</f>
        <v>Current Liabilities</v>
      </c>
      <c r="D23" s="280"/>
    </row>
    <row r="24" spans="2:8" x14ac:dyDescent="0.35">
      <c r="B24" t="str">
        <f>'Balance Sheet'!B24</f>
        <v>Accounts Payable</v>
      </c>
      <c r="D24" s="280">
        <f>'Balance Sheet'!H24</f>
        <v>55700</v>
      </c>
      <c r="F24" s="310">
        <v>1</v>
      </c>
      <c r="H24" s="41">
        <f>-F24*D24</f>
        <v>-55700</v>
      </c>
    </row>
    <row r="25" spans="2:8" x14ac:dyDescent="0.35">
      <c r="B25" t="str">
        <f>'Balance Sheet'!B25</f>
        <v xml:space="preserve">Other Current Liabilities </v>
      </c>
      <c r="D25" s="280"/>
      <c r="G25" s="93"/>
      <c r="H25" s="313"/>
    </row>
    <row r="26" spans="2:8" x14ac:dyDescent="0.35">
      <c r="B26" t="str">
        <f>'Balance Sheet'!B26</f>
        <v>Total Current Liabilities</v>
      </c>
      <c r="D26" s="318">
        <f>SUM(D24:D25)</f>
        <v>55700</v>
      </c>
      <c r="F26"/>
    </row>
    <row r="27" spans="2:8" x14ac:dyDescent="0.35">
      <c r="D27" s="280"/>
      <c r="F27"/>
    </row>
    <row r="28" spans="2:8" x14ac:dyDescent="0.35">
      <c r="B28" t="str">
        <f>'Balance Sheet'!B28</f>
        <v>Existing Long Term Debt</v>
      </c>
      <c r="D28" s="280">
        <f>'Balance Sheet'!H28</f>
        <v>0</v>
      </c>
      <c r="F28"/>
    </row>
    <row r="29" spans="2:8" x14ac:dyDescent="0.35">
      <c r="B29" t="str">
        <f>'Balance Sheet'!B29</f>
        <v>Revolver</v>
      </c>
      <c r="D29" s="280">
        <f>'Balance Sheet'!H29</f>
        <v>0</v>
      </c>
      <c r="F29"/>
      <c r="H29" s="57"/>
    </row>
    <row r="30" spans="2:8" x14ac:dyDescent="0.35">
      <c r="B30" t="str">
        <f>'Balance Sheet'!B30</f>
        <v>Term Loan A</v>
      </c>
      <c r="D30" s="280">
        <f>'Balance Sheet'!H30</f>
        <v>1000000</v>
      </c>
      <c r="F30"/>
      <c r="H30" s="57"/>
    </row>
    <row r="31" spans="2:8" x14ac:dyDescent="0.35">
      <c r="B31" t="str">
        <f>'Balance Sheet'!B31</f>
        <v>Term Loan B</v>
      </c>
      <c r="D31" s="280">
        <f>'Balance Sheet'!H31</f>
        <v>1300000</v>
      </c>
      <c r="F31"/>
      <c r="H31" s="57"/>
    </row>
    <row r="32" spans="2:8" x14ac:dyDescent="0.35">
      <c r="B32" t="str">
        <f>'Balance Sheet'!B32</f>
        <v>New Term Loan B</v>
      </c>
      <c r="D32" s="280">
        <f>'Balance Sheet'!H32</f>
        <v>0</v>
      </c>
      <c r="F32"/>
    </row>
    <row r="33" spans="2:8" x14ac:dyDescent="0.35">
      <c r="B33" t="str">
        <f>'Balance Sheet'!B33</f>
        <v>Subordinated Bonds</v>
      </c>
      <c r="D33" s="280">
        <f>'Balance Sheet'!H33</f>
        <v>1500000</v>
      </c>
      <c r="F33"/>
    </row>
    <row r="34" spans="2:8" x14ac:dyDescent="0.35">
      <c r="B34" t="str">
        <f>'Balance Sheet'!B34</f>
        <v>Total Debt</v>
      </c>
      <c r="D34" s="318">
        <f>SUM(D28:D33)</f>
        <v>3800000</v>
      </c>
      <c r="F34"/>
    </row>
    <row r="35" spans="2:8" x14ac:dyDescent="0.35">
      <c r="D35" s="280"/>
      <c r="F35"/>
      <c r="H35" s="57"/>
    </row>
    <row r="36" spans="2:8" x14ac:dyDescent="0.35">
      <c r="B36" t="str">
        <f>'Balance Sheet'!B36</f>
        <v>Other Liabilities / Deferred Taxes</v>
      </c>
      <c r="D36" s="280">
        <f>'Balance Sheet'!H36</f>
        <v>297420</v>
      </c>
      <c r="F36"/>
      <c r="G36" s="112" t="s">
        <v>225</v>
      </c>
    </row>
    <row r="37" spans="2:8" x14ac:dyDescent="0.35">
      <c r="B37" t="str">
        <f>'Balance Sheet'!B37</f>
        <v>Total Liabilities</v>
      </c>
      <c r="D37" s="318">
        <f>+D36+D34+D26</f>
        <v>4153120</v>
      </c>
      <c r="F37" s="310">
        <v>1</v>
      </c>
      <c r="H37" s="57"/>
    </row>
    <row r="38" spans="2:8" x14ac:dyDescent="0.35">
      <c r="D38" s="280"/>
      <c r="F38"/>
    </row>
    <row r="39" spans="2:8" ht="9" customHeight="1" x14ac:dyDescent="0.35">
      <c r="B39" t="str">
        <f>'Balance Sheet'!B39</f>
        <v>Shareholder's Equity</v>
      </c>
      <c r="D39" s="280"/>
      <c r="F39"/>
    </row>
    <row r="40" spans="2:8" ht="15" thickBot="1" x14ac:dyDescent="0.4">
      <c r="B40" t="str">
        <f>'Balance Sheet'!B40</f>
        <v xml:space="preserve">  Common Stock</v>
      </c>
      <c r="D40" s="280">
        <f>'Balance Sheet'!H40</f>
        <v>3549307.5</v>
      </c>
      <c r="G40" s="93" t="s">
        <v>226</v>
      </c>
      <c r="H40" s="312">
        <v>0</v>
      </c>
    </row>
    <row r="41" spans="2:8" ht="15" thickTop="1" x14ac:dyDescent="0.35">
      <c r="B41" t="str">
        <f>'Balance Sheet'!B41</f>
        <v>Other Equity</v>
      </c>
      <c r="D41" s="280">
        <f>'Balance Sheet'!H41</f>
        <v>0</v>
      </c>
      <c r="F41"/>
    </row>
    <row r="42" spans="2:8" ht="15" thickBot="1" x14ac:dyDescent="0.4">
      <c r="B42" t="str">
        <f>'Balance Sheet'!B42</f>
        <v>Retained Earnings</v>
      </c>
      <c r="D42" s="280">
        <f>'Balance Sheet'!H42</f>
        <v>0</v>
      </c>
      <c r="F42"/>
      <c r="G42" s="93" t="s">
        <v>227</v>
      </c>
      <c r="H42" s="147">
        <f>SUM(H21:H40)</f>
        <v>3158796.6</v>
      </c>
    </row>
    <row r="43" spans="2:8" ht="15" thickTop="1" x14ac:dyDescent="0.35">
      <c r="B43" t="str">
        <f>'Balance Sheet'!B43</f>
        <v>Total Shareholder's Equity</v>
      </c>
      <c r="D43" s="318">
        <f>+D42+D41+D40</f>
        <v>3549307.5</v>
      </c>
      <c r="F43"/>
    </row>
    <row r="44" spans="2:8" x14ac:dyDescent="0.35">
      <c r="D44" s="280"/>
      <c r="F44"/>
      <c r="G44" s="112" t="s">
        <v>230</v>
      </c>
      <c r="H44" s="41">
        <f>+'Balance Sheet'!F29</f>
        <v>0</v>
      </c>
    </row>
    <row r="45" spans="2:8" ht="15" thickBot="1" x14ac:dyDescent="0.4">
      <c r="B45" t="str">
        <f>'Balance Sheet'!B45</f>
        <v>Total Liabilities &amp; Equity</v>
      </c>
      <c r="D45" s="311">
        <f>+D43+D37</f>
        <v>7702427.5</v>
      </c>
      <c r="F45"/>
      <c r="G45" s="112" t="s">
        <v>229</v>
      </c>
      <c r="H45" s="41">
        <f>SUM('Balance Sheet'!H30:H31)</f>
        <v>2300000</v>
      </c>
    </row>
    <row r="46" spans="2:8" ht="15" thickTop="1" x14ac:dyDescent="0.35">
      <c r="D46" s="280"/>
      <c r="F46"/>
      <c r="G46" s="112" t="s">
        <v>231</v>
      </c>
      <c r="H46" s="322">
        <f>SUM(H44:H45)</f>
        <v>2300000</v>
      </c>
    </row>
    <row r="47" spans="2:8" x14ac:dyDescent="0.35">
      <c r="D47" s="280"/>
      <c r="F47"/>
      <c r="G47" s="112" t="s">
        <v>234</v>
      </c>
      <c r="H47" s="42">
        <f>+'Balance Sheet'!F33</f>
        <v>1500000</v>
      </c>
    </row>
    <row r="48" spans="2:8" ht="15" thickBot="1" x14ac:dyDescent="0.4">
      <c r="D48" s="280"/>
      <c r="F48"/>
      <c r="G48" s="112" t="s">
        <v>7</v>
      </c>
      <c r="H48" s="147">
        <f>+H47+H46</f>
        <v>3800000</v>
      </c>
    </row>
    <row r="49" spans="2:8" ht="13.9" customHeight="1" thickTop="1" thickBot="1" x14ac:dyDescent="0.4">
      <c r="D49" s="280"/>
      <c r="F49"/>
    </row>
    <row r="50" spans="2:8" s="83" customFormat="1" ht="20.5" customHeight="1" thickBot="1" x14ac:dyDescent="0.4">
      <c r="D50" s="323"/>
      <c r="F50" s="327"/>
      <c r="G50" s="292" t="s">
        <v>232</v>
      </c>
      <c r="H50" s="324">
        <f>+H42/H46</f>
        <v>1.3733898260869566</v>
      </c>
    </row>
    <row r="51" spans="2:8" ht="13.9" customHeight="1" thickBot="1" x14ac:dyDescent="0.4">
      <c r="B51" s="316"/>
      <c r="D51" s="314"/>
      <c r="F51"/>
    </row>
    <row r="52" spans="2:8" s="83" customFormat="1" ht="23" customHeight="1" thickBot="1" x14ac:dyDescent="0.4">
      <c r="B52" s="325"/>
      <c r="D52" s="326"/>
      <c r="F52" s="327"/>
      <c r="G52" s="292" t="s">
        <v>228</v>
      </c>
      <c r="H52" s="324">
        <f>H42/H48</f>
        <v>0.83126226315789475</v>
      </c>
    </row>
    <row r="53" spans="2:8" x14ac:dyDescent="0.35">
      <c r="D53" s="280"/>
      <c r="F53"/>
    </row>
    <row r="187" spans="4:4" x14ac:dyDescent="0.35">
      <c r="D187" s="315"/>
    </row>
    <row r="188" spans="4:4" x14ac:dyDescent="0.35">
      <c r="D188" s="315"/>
    </row>
    <row r="190" spans="4:4" x14ac:dyDescent="0.35">
      <c r="D190" s="315"/>
    </row>
    <row r="191" spans="4:4" x14ac:dyDescent="0.35">
      <c r="D191" s="315"/>
    </row>
    <row r="192" spans="4:4" x14ac:dyDescent="0.35">
      <c r="D192" s="315"/>
    </row>
    <row r="193" spans="4:4" x14ac:dyDescent="0.35">
      <c r="D193" s="315"/>
    </row>
    <row r="194" spans="4:4" x14ac:dyDescent="0.35">
      <c r="D194" s="315"/>
    </row>
    <row r="195" spans="4:4" x14ac:dyDescent="0.35">
      <c r="D195" s="315"/>
    </row>
    <row r="196" spans="4:4" x14ac:dyDescent="0.35">
      <c r="D196" s="315"/>
    </row>
    <row r="197" spans="4:4" x14ac:dyDescent="0.35">
      <c r="D197" s="315"/>
    </row>
    <row r="198" spans="4:4" x14ac:dyDescent="0.35">
      <c r="D198" s="315"/>
    </row>
    <row r="199" spans="4:4" x14ac:dyDescent="0.35">
      <c r="D199" s="315"/>
    </row>
    <row r="200" spans="4:4" x14ac:dyDescent="0.35">
      <c r="D200" s="315"/>
    </row>
    <row r="201" spans="4:4" x14ac:dyDescent="0.35">
      <c r="D201" s="315"/>
    </row>
    <row r="202" spans="4:4" x14ac:dyDescent="0.35">
      <c r="D202" s="315"/>
    </row>
    <row r="203" spans="4:4" x14ac:dyDescent="0.35">
      <c r="D203" s="315"/>
    </row>
    <row r="204" spans="4:4" x14ac:dyDescent="0.35">
      <c r="D204" s="315"/>
    </row>
    <row r="205" spans="4:4" x14ac:dyDescent="0.35">
      <c r="D205" s="315"/>
    </row>
    <row r="206" spans="4:4" x14ac:dyDescent="0.35">
      <c r="D206" s="315"/>
    </row>
    <row r="207" spans="4:4" x14ac:dyDescent="0.35">
      <c r="D207" s="315"/>
    </row>
    <row r="208" spans="4:4" x14ac:dyDescent="0.35">
      <c r="D208" s="315"/>
    </row>
    <row r="209" spans="4:4" x14ac:dyDescent="0.35">
      <c r="D209" s="315"/>
    </row>
    <row r="210" spans="4:4" x14ac:dyDescent="0.35">
      <c r="D210" s="315"/>
    </row>
    <row r="211" spans="4:4" x14ac:dyDescent="0.35">
      <c r="D211" s="315"/>
    </row>
    <row r="212" spans="4:4" x14ac:dyDescent="0.35">
      <c r="D212" s="315"/>
    </row>
    <row r="213" spans="4:4" x14ac:dyDescent="0.35">
      <c r="D213" s="315"/>
    </row>
    <row r="214" spans="4:4" x14ac:dyDescent="0.35">
      <c r="D214" s="315"/>
    </row>
    <row r="215" spans="4:4" x14ac:dyDescent="0.35">
      <c r="D215" s="315"/>
    </row>
    <row r="216" spans="4:4" x14ac:dyDescent="0.35">
      <c r="D216" s="315"/>
    </row>
    <row r="217" spans="4:4" x14ac:dyDescent="0.35">
      <c r="D217" s="315"/>
    </row>
    <row r="218" spans="4:4" x14ac:dyDescent="0.35">
      <c r="D218" s="315"/>
    </row>
    <row r="219" spans="4:4" x14ac:dyDescent="0.35">
      <c r="D219" s="315"/>
    </row>
    <row r="220" spans="4:4" x14ac:dyDescent="0.35">
      <c r="D220" s="315"/>
    </row>
    <row r="221" spans="4:4" x14ac:dyDescent="0.35">
      <c r="D221" s="315"/>
    </row>
    <row r="222" spans="4:4" x14ac:dyDescent="0.35">
      <c r="D222" s="315"/>
    </row>
    <row r="223" spans="4:4" x14ac:dyDescent="0.35">
      <c r="D223" s="315"/>
    </row>
    <row r="224" spans="4:4" x14ac:dyDescent="0.35">
      <c r="D224" s="315"/>
    </row>
    <row r="225" spans="4:4" x14ac:dyDescent="0.35">
      <c r="D225" s="315"/>
    </row>
    <row r="226" spans="4:4" x14ac:dyDescent="0.35">
      <c r="D226" s="315"/>
    </row>
    <row r="227" spans="4:4" x14ac:dyDescent="0.35">
      <c r="D227" s="315"/>
    </row>
    <row r="228" spans="4:4" x14ac:dyDescent="0.35">
      <c r="D228" s="315"/>
    </row>
    <row r="229" spans="4:4" x14ac:dyDescent="0.35">
      <c r="D229" s="315"/>
    </row>
    <row r="230" spans="4:4" x14ac:dyDescent="0.35">
      <c r="D230" s="315"/>
    </row>
    <row r="231" spans="4:4" x14ac:dyDescent="0.35">
      <c r="D231" s="315"/>
    </row>
    <row r="232" spans="4:4" x14ac:dyDescent="0.35">
      <c r="D232" s="315"/>
    </row>
    <row r="233" spans="4:4" x14ac:dyDescent="0.35">
      <c r="D233" s="315"/>
    </row>
    <row r="234" spans="4:4" x14ac:dyDescent="0.35">
      <c r="D234" s="315"/>
    </row>
    <row r="235" spans="4:4" x14ac:dyDescent="0.35">
      <c r="D235" s="315"/>
    </row>
    <row r="236" spans="4:4" x14ac:dyDescent="0.35">
      <c r="D236" s="315"/>
    </row>
    <row r="237" spans="4:4" x14ac:dyDescent="0.35">
      <c r="D237" s="315"/>
    </row>
    <row r="238" spans="4:4" x14ac:dyDescent="0.35">
      <c r="D238" s="315"/>
    </row>
    <row r="239" spans="4:4" x14ac:dyDescent="0.35">
      <c r="D239" s="315"/>
    </row>
    <row r="240" spans="4:4" x14ac:dyDescent="0.35">
      <c r="D240" s="315"/>
    </row>
    <row r="241" spans="4:4" x14ac:dyDescent="0.35">
      <c r="D241" s="315"/>
    </row>
    <row r="242" spans="4:4" x14ac:dyDescent="0.35">
      <c r="D242" s="315"/>
    </row>
    <row r="243" spans="4:4" x14ac:dyDescent="0.35">
      <c r="D243" s="315"/>
    </row>
    <row r="244" spans="4:4" x14ac:dyDescent="0.35">
      <c r="D244" s="315"/>
    </row>
    <row r="245" spans="4:4" x14ac:dyDescent="0.35">
      <c r="D245" s="315"/>
    </row>
    <row r="246" spans="4:4" x14ac:dyDescent="0.35">
      <c r="D246" s="315"/>
    </row>
    <row r="247" spans="4:4" x14ac:dyDescent="0.35">
      <c r="D247" s="315"/>
    </row>
    <row r="248" spans="4:4" x14ac:dyDescent="0.35">
      <c r="D248" s="315"/>
    </row>
    <row r="249" spans="4:4" x14ac:dyDescent="0.35">
      <c r="D249" s="315"/>
    </row>
    <row r="250" spans="4:4" x14ac:dyDescent="0.35">
      <c r="D250" s="315"/>
    </row>
    <row r="251" spans="4:4" x14ac:dyDescent="0.35">
      <c r="D251" s="315"/>
    </row>
    <row r="252" spans="4:4" x14ac:dyDescent="0.35">
      <c r="D252" s="315"/>
    </row>
    <row r="253" spans="4:4" x14ac:dyDescent="0.35">
      <c r="D253" s="315"/>
    </row>
    <row r="254" spans="4:4" x14ac:dyDescent="0.35">
      <c r="D254" s="315"/>
    </row>
    <row r="255" spans="4:4" x14ac:dyDescent="0.35">
      <c r="D255" s="315"/>
    </row>
    <row r="256" spans="4:4" x14ac:dyDescent="0.35">
      <c r="D256" s="315"/>
    </row>
    <row r="257" spans="4:4" x14ac:dyDescent="0.35">
      <c r="D257" s="315"/>
    </row>
    <row r="258" spans="4:4" x14ac:dyDescent="0.35">
      <c r="D258" s="315"/>
    </row>
    <row r="259" spans="4:4" x14ac:dyDescent="0.35">
      <c r="D259" s="315"/>
    </row>
    <row r="260" spans="4:4" x14ac:dyDescent="0.35">
      <c r="D260" s="315"/>
    </row>
    <row r="261" spans="4:4" x14ac:dyDescent="0.35">
      <c r="D261" s="315"/>
    </row>
    <row r="262" spans="4:4" x14ac:dyDescent="0.35">
      <c r="D262" s="315"/>
    </row>
    <row r="263" spans="4:4" x14ac:dyDescent="0.35">
      <c r="D263" s="315"/>
    </row>
    <row r="264" spans="4:4" x14ac:dyDescent="0.35">
      <c r="D264" s="315"/>
    </row>
    <row r="265" spans="4:4" x14ac:dyDescent="0.35">
      <c r="D265" s="315"/>
    </row>
    <row r="266" spans="4:4" x14ac:dyDescent="0.35">
      <c r="D266" s="315"/>
    </row>
    <row r="267" spans="4:4" x14ac:dyDescent="0.35">
      <c r="D267" s="315"/>
    </row>
    <row r="268" spans="4:4" x14ac:dyDescent="0.35">
      <c r="D268" s="315"/>
    </row>
    <row r="269" spans="4:4" x14ac:dyDescent="0.35">
      <c r="D269" s="315"/>
    </row>
    <row r="270" spans="4:4" x14ac:dyDescent="0.35">
      <c r="D270" s="315"/>
    </row>
    <row r="271" spans="4:4" x14ac:dyDescent="0.35">
      <c r="D271" s="315"/>
    </row>
    <row r="272" spans="4:4" x14ac:dyDescent="0.35">
      <c r="D272" s="315"/>
    </row>
    <row r="273" spans="4:4" x14ac:dyDescent="0.35">
      <c r="D273" s="315"/>
    </row>
    <row r="274" spans="4:4" x14ac:dyDescent="0.35">
      <c r="D274" s="315"/>
    </row>
    <row r="275" spans="4:4" x14ac:dyDescent="0.35">
      <c r="D275" s="315"/>
    </row>
    <row r="276" spans="4:4" x14ac:dyDescent="0.35">
      <c r="D276" s="315"/>
    </row>
    <row r="277" spans="4:4" x14ac:dyDescent="0.35">
      <c r="D277" s="315"/>
    </row>
    <row r="278" spans="4:4" x14ac:dyDescent="0.35">
      <c r="D278" s="315"/>
    </row>
    <row r="279" spans="4:4" x14ac:dyDescent="0.35">
      <c r="D279" s="315"/>
    </row>
    <row r="280" spans="4:4" x14ac:dyDescent="0.35">
      <c r="D280" s="315"/>
    </row>
    <row r="281" spans="4:4" x14ac:dyDescent="0.35">
      <c r="D281" s="315"/>
    </row>
    <row r="282" spans="4:4" x14ac:dyDescent="0.35">
      <c r="D282" s="315"/>
    </row>
    <row r="283" spans="4:4" x14ac:dyDescent="0.35">
      <c r="D283" s="315"/>
    </row>
    <row r="284" spans="4:4" x14ac:dyDescent="0.35">
      <c r="D284" s="315"/>
    </row>
    <row r="285" spans="4:4" x14ac:dyDescent="0.35">
      <c r="D285" s="315"/>
    </row>
    <row r="286" spans="4:4" x14ac:dyDescent="0.35">
      <c r="D286" s="315"/>
    </row>
    <row r="287" spans="4:4" x14ac:dyDescent="0.35">
      <c r="D287" s="315"/>
    </row>
    <row r="288" spans="4:4" x14ac:dyDescent="0.35">
      <c r="D288" s="315"/>
    </row>
    <row r="289" spans="4:4" x14ac:dyDescent="0.35">
      <c r="D289" s="315"/>
    </row>
    <row r="290" spans="4:4" x14ac:dyDescent="0.35">
      <c r="D290" s="315"/>
    </row>
    <row r="291" spans="4:4" x14ac:dyDescent="0.35">
      <c r="D291" s="315"/>
    </row>
    <row r="292" spans="4:4" x14ac:dyDescent="0.35">
      <c r="D292" s="315"/>
    </row>
    <row r="293" spans="4:4" x14ac:dyDescent="0.35">
      <c r="D293" s="315"/>
    </row>
    <row r="294" spans="4:4" x14ac:dyDescent="0.35">
      <c r="D294" s="315"/>
    </row>
    <row r="295" spans="4:4" x14ac:dyDescent="0.35">
      <c r="D295" s="315"/>
    </row>
    <row r="296" spans="4:4" x14ac:dyDescent="0.35">
      <c r="D296" s="315"/>
    </row>
    <row r="297" spans="4:4" x14ac:dyDescent="0.35">
      <c r="D297" s="315"/>
    </row>
    <row r="298" spans="4:4" x14ac:dyDescent="0.35">
      <c r="D298" s="315"/>
    </row>
    <row r="299" spans="4:4" x14ac:dyDescent="0.35">
      <c r="D299" s="315"/>
    </row>
    <row r="300" spans="4:4" x14ac:dyDescent="0.35">
      <c r="D300" s="315"/>
    </row>
    <row r="301" spans="4:4" x14ac:dyDescent="0.35">
      <c r="D301" s="315"/>
    </row>
    <row r="302" spans="4:4" x14ac:dyDescent="0.35">
      <c r="D302" s="315"/>
    </row>
    <row r="303" spans="4:4" x14ac:dyDescent="0.35">
      <c r="D303" s="315"/>
    </row>
    <row r="304" spans="4:4" x14ac:dyDescent="0.35">
      <c r="D304" s="315"/>
    </row>
    <row r="305" spans="4:4" x14ac:dyDescent="0.35">
      <c r="D305" s="315"/>
    </row>
    <row r="306" spans="4:4" x14ac:dyDescent="0.35">
      <c r="D306" s="315"/>
    </row>
    <row r="307" spans="4:4" x14ac:dyDescent="0.35">
      <c r="D307" s="315"/>
    </row>
    <row r="308" spans="4:4" x14ac:dyDescent="0.35">
      <c r="D308" s="315"/>
    </row>
    <row r="309" spans="4:4" x14ac:dyDescent="0.35">
      <c r="D309" s="315"/>
    </row>
    <row r="310" spans="4:4" x14ac:dyDescent="0.35">
      <c r="D310" s="315"/>
    </row>
    <row r="311" spans="4:4" x14ac:dyDescent="0.35">
      <c r="D311" s="315"/>
    </row>
    <row r="312" spans="4:4" x14ac:dyDescent="0.35">
      <c r="D312" s="315"/>
    </row>
    <row r="313" spans="4:4" x14ac:dyDescent="0.35">
      <c r="D313" s="315"/>
    </row>
    <row r="314" spans="4:4" x14ac:dyDescent="0.35">
      <c r="D314" s="315"/>
    </row>
    <row r="315" spans="4:4" x14ac:dyDescent="0.35">
      <c r="D315" s="315"/>
    </row>
    <row r="316" spans="4:4" x14ac:dyDescent="0.35">
      <c r="D316" s="315"/>
    </row>
    <row r="317" spans="4:4" x14ac:dyDescent="0.35">
      <c r="D317" s="315"/>
    </row>
    <row r="318" spans="4:4" x14ac:dyDescent="0.35">
      <c r="D318" s="315"/>
    </row>
    <row r="319" spans="4:4" x14ac:dyDescent="0.35">
      <c r="D319" s="315"/>
    </row>
    <row r="320" spans="4:4" x14ac:dyDescent="0.35">
      <c r="D320" s="315"/>
    </row>
    <row r="321" spans="4:4" x14ac:dyDescent="0.35">
      <c r="D321" s="315"/>
    </row>
    <row r="322" spans="4:4" x14ac:dyDescent="0.35">
      <c r="D322" s="315"/>
    </row>
    <row r="323" spans="4:4" x14ac:dyDescent="0.35">
      <c r="D323" s="315"/>
    </row>
    <row r="324" spans="4:4" x14ac:dyDescent="0.35">
      <c r="D324" s="315"/>
    </row>
    <row r="325" spans="4:4" x14ac:dyDescent="0.35">
      <c r="D325" s="315"/>
    </row>
    <row r="326" spans="4:4" x14ac:dyDescent="0.35">
      <c r="D326" s="315"/>
    </row>
    <row r="327" spans="4:4" x14ac:dyDescent="0.35">
      <c r="D327" s="315"/>
    </row>
    <row r="328" spans="4:4" x14ac:dyDescent="0.35">
      <c r="D328" s="315"/>
    </row>
    <row r="329" spans="4:4" x14ac:dyDescent="0.35">
      <c r="D329" s="315"/>
    </row>
    <row r="330" spans="4:4" x14ac:dyDescent="0.35">
      <c r="D330" s="315"/>
    </row>
    <row r="331" spans="4:4" x14ac:dyDescent="0.35">
      <c r="D331" s="315"/>
    </row>
    <row r="332" spans="4:4" x14ac:dyDescent="0.35">
      <c r="D332" s="315"/>
    </row>
    <row r="333" spans="4:4" x14ac:dyDescent="0.35">
      <c r="D333" s="315"/>
    </row>
    <row r="334" spans="4:4" x14ac:dyDescent="0.35">
      <c r="D334" s="315"/>
    </row>
    <row r="335" spans="4:4" x14ac:dyDescent="0.35">
      <c r="D335" s="315"/>
    </row>
    <row r="336" spans="4:4" x14ac:dyDescent="0.35">
      <c r="D336" s="315"/>
    </row>
    <row r="337" spans="4:4" x14ac:dyDescent="0.35">
      <c r="D337" s="315"/>
    </row>
    <row r="338" spans="4:4" x14ac:dyDescent="0.35">
      <c r="D338" s="315"/>
    </row>
    <row r="339" spans="4:4" x14ac:dyDescent="0.35">
      <c r="D339" s="315"/>
    </row>
    <row r="340" spans="4:4" x14ac:dyDescent="0.35">
      <c r="D340" s="315"/>
    </row>
    <row r="341" spans="4:4" x14ac:dyDescent="0.35">
      <c r="D341" s="315"/>
    </row>
    <row r="342" spans="4:4" x14ac:dyDescent="0.35">
      <c r="D342" s="315"/>
    </row>
    <row r="343" spans="4:4" x14ac:dyDescent="0.35">
      <c r="D343" s="315"/>
    </row>
    <row r="344" spans="4:4" x14ac:dyDescent="0.35">
      <c r="D344" s="315"/>
    </row>
    <row r="345" spans="4:4" x14ac:dyDescent="0.35">
      <c r="D345" s="315"/>
    </row>
    <row r="346" spans="4:4" x14ac:dyDescent="0.35">
      <c r="D346" s="315"/>
    </row>
    <row r="347" spans="4:4" x14ac:dyDescent="0.35">
      <c r="D347" s="315"/>
    </row>
    <row r="348" spans="4:4" x14ac:dyDescent="0.35">
      <c r="D348" s="315"/>
    </row>
    <row r="349" spans="4:4" x14ac:dyDescent="0.35">
      <c r="D349" s="315"/>
    </row>
    <row r="350" spans="4:4" x14ac:dyDescent="0.35">
      <c r="D350" s="315"/>
    </row>
    <row r="351" spans="4:4" x14ac:dyDescent="0.35">
      <c r="D351" s="315"/>
    </row>
    <row r="352" spans="4:4" x14ac:dyDescent="0.35">
      <c r="D352" s="315"/>
    </row>
    <row r="353" spans="4:4" x14ac:dyDescent="0.35">
      <c r="D353" s="315"/>
    </row>
    <row r="354" spans="4:4" x14ac:dyDescent="0.35">
      <c r="D354" s="315"/>
    </row>
    <row r="355" spans="4:4" x14ac:dyDescent="0.35">
      <c r="D355" s="315"/>
    </row>
    <row r="356" spans="4:4" x14ac:dyDescent="0.35">
      <c r="D356" s="315"/>
    </row>
    <row r="357" spans="4:4" x14ac:dyDescent="0.35">
      <c r="D357" s="315"/>
    </row>
    <row r="358" spans="4:4" x14ac:dyDescent="0.35">
      <c r="D358" s="315"/>
    </row>
    <row r="359" spans="4:4" x14ac:dyDescent="0.35">
      <c r="D359" s="315"/>
    </row>
    <row r="360" spans="4:4" x14ac:dyDescent="0.35">
      <c r="D360" s="315"/>
    </row>
    <row r="361" spans="4:4" x14ac:dyDescent="0.35">
      <c r="D361" s="315"/>
    </row>
    <row r="362" spans="4:4" x14ac:dyDescent="0.35">
      <c r="D362" s="315"/>
    </row>
    <row r="363" spans="4:4" x14ac:dyDescent="0.35">
      <c r="D363" s="315"/>
    </row>
    <row r="364" spans="4:4" x14ac:dyDescent="0.35">
      <c r="D364" s="315"/>
    </row>
    <row r="365" spans="4:4" x14ac:dyDescent="0.35">
      <c r="D365" s="315"/>
    </row>
    <row r="366" spans="4:4" x14ac:dyDescent="0.35">
      <c r="D366" s="315"/>
    </row>
    <row r="367" spans="4:4" x14ac:dyDescent="0.35">
      <c r="D367" s="315"/>
    </row>
    <row r="368" spans="4:4" x14ac:dyDescent="0.35">
      <c r="D368" s="315"/>
    </row>
    <row r="369" spans="4:4" x14ac:dyDescent="0.35">
      <c r="D369" s="315"/>
    </row>
    <row r="370" spans="4:4" x14ac:dyDescent="0.35">
      <c r="D370" s="315"/>
    </row>
    <row r="371" spans="4:4" x14ac:dyDescent="0.35">
      <c r="D371" s="315"/>
    </row>
    <row r="372" spans="4:4" x14ac:dyDescent="0.35">
      <c r="D372" s="315"/>
    </row>
    <row r="373" spans="4:4" x14ac:dyDescent="0.35">
      <c r="D373" s="315"/>
    </row>
    <row r="374" spans="4:4" x14ac:dyDescent="0.35">
      <c r="D374" s="315"/>
    </row>
    <row r="375" spans="4:4" x14ac:dyDescent="0.35">
      <c r="D375" s="315"/>
    </row>
    <row r="376" spans="4:4" x14ac:dyDescent="0.35">
      <c r="D376" s="315"/>
    </row>
    <row r="377" spans="4:4" x14ac:dyDescent="0.35">
      <c r="D377" s="315"/>
    </row>
    <row r="378" spans="4:4" x14ac:dyDescent="0.35">
      <c r="D378" s="315"/>
    </row>
    <row r="379" spans="4:4" x14ac:dyDescent="0.35">
      <c r="D379" s="315"/>
    </row>
    <row r="380" spans="4:4" x14ac:dyDescent="0.35">
      <c r="D380" s="315"/>
    </row>
    <row r="381" spans="4:4" x14ac:dyDescent="0.35">
      <c r="D381" s="315"/>
    </row>
    <row r="382" spans="4:4" x14ac:dyDescent="0.35">
      <c r="D382" s="315"/>
    </row>
    <row r="383" spans="4:4" x14ac:dyDescent="0.35">
      <c r="D383" s="315"/>
    </row>
    <row r="384" spans="4:4" x14ac:dyDescent="0.35">
      <c r="D384" s="315"/>
    </row>
    <row r="385" spans="4:4" x14ac:dyDescent="0.35">
      <c r="D385" s="315"/>
    </row>
    <row r="386" spans="4:4" x14ac:dyDescent="0.35">
      <c r="D386" s="315"/>
    </row>
    <row r="387" spans="4:4" x14ac:dyDescent="0.35">
      <c r="D387" s="315"/>
    </row>
    <row r="388" spans="4:4" x14ac:dyDescent="0.35">
      <c r="D388" s="315"/>
    </row>
    <row r="389" spans="4:4" x14ac:dyDescent="0.35">
      <c r="D389" s="315"/>
    </row>
    <row r="390" spans="4:4" x14ac:dyDescent="0.35">
      <c r="D390" s="315"/>
    </row>
    <row r="391" spans="4:4" x14ac:dyDescent="0.35">
      <c r="D391" s="315"/>
    </row>
    <row r="392" spans="4:4" x14ac:dyDescent="0.35">
      <c r="D392" s="315"/>
    </row>
    <row r="393" spans="4:4" x14ac:dyDescent="0.35">
      <c r="D393" s="315"/>
    </row>
    <row r="394" spans="4:4" x14ac:dyDescent="0.35">
      <c r="D394" s="315"/>
    </row>
    <row r="395" spans="4:4" x14ac:dyDescent="0.35">
      <c r="D395" s="315"/>
    </row>
    <row r="396" spans="4:4" x14ac:dyDescent="0.35">
      <c r="D396" s="315"/>
    </row>
    <row r="397" spans="4:4" x14ac:dyDescent="0.35">
      <c r="D397" s="315"/>
    </row>
    <row r="398" spans="4:4" x14ac:dyDescent="0.35">
      <c r="D398" s="315"/>
    </row>
    <row r="399" spans="4:4" x14ac:dyDescent="0.35">
      <c r="D399" s="315"/>
    </row>
    <row r="400" spans="4:4" x14ac:dyDescent="0.35">
      <c r="D400" s="315"/>
    </row>
    <row r="401" spans="4:4" x14ac:dyDescent="0.35">
      <c r="D401" s="315"/>
    </row>
    <row r="402" spans="4:4" x14ac:dyDescent="0.35">
      <c r="D402" s="315"/>
    </row>
    <row r="403" spans="4:4" x14ac:dyDescent="0.35">
      <c r="D403" s="315"/>
    </row>
    <row r="404" spans="4:4" x14ac:dyDescent="0.35">
      <c r="D404" s="315"/>
    </row>
    <row r="405" spans="4:4" x14ac:dyDescent="0.35">
      <c r="D405" s="315"/>
    </row>
    <row r="406" spans="4:4" x14ac:dyDescent="0.35">
      <c r="D406" s="315"/>
    </row>
    <row r="407" spans="4:4" x14ac:dyDescent="0.35">
      <c r="D407" s="315"/>
    </row>
    <row r="408" spans="4:4" x14ac:dyDescent="0.35">
      <c r="D408" s="315"/>
    </row>
    <row r="409" spans="4:4" x14ac:dyDescent="0.35">
      <c r="D409" s="315"/>
    </row>
    <row r="410" spans="4:4" x14ac:dyDescent="0.35">
      <c r="D410" s="315"/>
    </row>
    <row r="411" spans="4:4" x14ac:dyDescent="0.35">
      <c r="D411" s="315"/>
    </row>
    <row r="412" spans="4:4" x14ac:dyDescent="0.35">
      <c r="D412" s="315"/>
    </row>
    <row r="413" spans="4:4" x14ac:dyDescent="0.35">
      <c r="D413" s="315"/>
    </row>
    <row r="414" spans="4:4" x14ac:dyDescent="0.35">
      <c r="D414" s="315"/>
    </row>
    <row r="415" spans="4:4" x14ac:dyDescent="0.35">
      <c r="D415" s="315"/>
    </row>
    <row r="416" spans="4:4" x14ac:dyDescent="0.35">
      <c r="D416" s="315"/>
    </row>
    <row r="417" spans="4:4" x14ac:dyDescent="0.35">
      <c r="D417" s="315"/>
    </row>
    <row r="418" spans="4:4" x14ac:dyDescent="0.35">
      <c r="D418" s="315"/>
    </row>
    <row r="419" spans="4:4" x14ac:dyDescent="0.35">
      <c r="D419" s="315"/>
    </row>
    <row r="420" spans="4:4" x14ac:dyDescent="0.35">
      <c r="D420" s="315"/>
    </row>
    <row r="421" spans="4:4" x14ac:dyDescent="0.35">
      <c r="D421" s="315"/>
    </row>
    <row r="422" spans="4:4" x14ac:dyDescent="0.35">
      <c r="D422" s="315"/>
    </row>
    <row r="423" spans="4:4" x14ac:dyDescent="0.35">
      <c r="D423" s="315"/>
    </row>
    <row r="424" spans="4:4" x14ac:dyDescent="0.35">
      <c r="D424" s="315"/>
    </row>
    <row r="425" spans="4:4" x14ac:dyDescent="0.35">
      <c r="D425" s="315"/>
    </row>
    <row r="426" spans="4:4" x14ac:dyDescent="0.35">
      <c r="D426" s="315"/>
    </row>
    <row r="427" spans="4:4" x14ac:dyDescent="0.35">
      <c r="D427" s="315"/>
    </row>
    <row r="428" spans="4:4" x14ac:dyDescent="0.35">
      <c r="D428" s="315"/>
    </row>
    <row r="429" spans="4:4" x14ac:dyDescent="0.35">
      <c r="D429" s="315"/>
    </row>
    <row r="430" spans="4:4" x14ac:dyDescent="0.35">
      <c r="D430" s="315"/>
    </row>
    <row r="431" spans="4:4" x14ac:dyDescent="0.35">
      <c r="D431" s="315"/>
    </row>
    <row r="432" spans="4:4" x14ac:dyDescent="0.35">
      <c r="D432" s="315"/>
    </row>
    <row r="433" spans="4:4" x14ac:dyDescent="0.35">
      <c r="D433" s="315"/>
    </row>
    <row r="434" spans="4:4" x14ac:dyDescent="0.35">
      <c r="D434" s="315"/>
    </row>
    <row r="435" spans="4:4" x14ac:dyDescent="0.35">
      <c r="D435" s="315"/>
    </row>
    <row r="436" spans="4:4" x14ac:dyDescent="0.35">
      <c r="D436" s="315"/>
    </row>
    <row r="437" spans="4:4" x14ac:dyDescent="0.35">
      <c r="D437" s="315"/>
    </row>
    <row r="438" spans="4:4" x14ac:dyDescent="0.35">
      <c r="D438" s="315"/>
    </row>
    <row r="439" spans="4:4" x14ac:dyDescent="0.35">
      <c r="D439" s="315"/>
    </row>
    <row r="440" spans="4:4" x14ac:dyDescent="0.35">
      <c r="D440" s="315"/>
    </row>
    <row r="441" spans="4:4" x14ac:dyDescent="0.35">
      <c r="D441" s="315"/>
    </row>
    <row r="442" spans="4:4" x14ac:dyDescent="0.35">
      <c r="D442" s="315"/>
    </row>
    <row r="443" spans="4:4" x14ac:dyDescent="0.35">
      <c r="D443" s="315"/>
    </row>
    <row r="444" spans="4:4" x14ac:dyDescent="0.35">
      <c r="D444" s="315"/>
    </row>
    <row r="445" spans="4:4" x14ac:dyDescent="0.35">
      <c r="D445" s="315"/>
    </row>
    <row r="446" spans="4:4" x14ac:dyDescent="0.35">
      <c r="D446" s="315"/>
    </row>
    <row r="447" spans="4:4" x14ac:dyDescent="0.35">
      <c r="D447" s="315"/>
    </row>
    <row r="448" spans="4:4" x14ac:dyDescent="0.35">
      <c r="D448" s="315"/>
    </row>
    <row r="449" spans="4:4" x14ac:dyDescent="0.35">
      <c r="D449" s="315"/>
    </row>
    <row r="450" spans="4:4" x14ac:dyDescent="0.35">
      <c r="D450" s="315"/>
    </row>
    <row r="451" spans="4:4" x14ac:dyDescent="0.35">
      <c r="D451" s="315"/>
    </row>
    <row r="452" spans="4:4" x14ac:dyDescent="0.35">
      <c r="D452" s="315"/>
    </row>
    <row r="453" spans="4:4" x14ac:dyDescent="0.35">
      <c r="D453" s="315"/>
    </row>
    <row r="454" spans="4:4" x14ac:dyDescent="0.35">
      <c r="D454" s="315"/>
    </row>
    <row r="455" spans="4:4" x14ac:dyDescent="0.35">
      <c r="D455" s="315"/>
    </row>
    <row r="456" spans="4:4" x14ac:dyDescent="0.35">
      <c r="D456" s="315"/>
    </row>
    <row r="457" spans="4:4" x14ac:dyDescent="0.35">
      <c r="D457" s="315"/>
    </row>
    <row r="458" spans="4:4" x14ac:dyDescent="0.35">
      <c r="D458" s="315"/>
    </row>
    <row r="459" spans="4:4" x14ac:dyDescent="0.35">
      <c r="D459" s="315"/>
    </row>
    <row r="460" spans="4:4" x14ac:dyDescent="0.35">
      <c r="D460" s="315"/>
    </row>
    <row r="461" spans="4:4" x14ac:dyDescent="0.35">
      <c r="D461" s="315"/>
    </row>
    <row r="462" spans="4:4" x14ac:dyDescent="0.35">
      <c r="D462" s="315"/>
    </row>
    <row r="463" spans="4:4" x14ac:dyDescent="0.35">
      <c r="D463" s="315"/>
    </row>
    <row r="464" spans="4:4" x14ac:dyDescent="0.35">
      <c r="D464" s="315"/>
    </row>
    <row r="465" spans="4:4" x14ac:dyDescent="0.35">
      <c r="D465" s="315"/>
    </row>
    <row r="466" spans="4:4" x14ac:dyDescent="0.35">
      <c r="D466" s="315"/>
    </row>
    <row r="467" spans="4:4" x14ac:dyDescent="0.35">
      <c r="D467" s="315"/>
    </row>
    <row r="468" spans="4:4" x14ac:dyDescent="0.35">
      <c r="D468" s="315"/>
    </row>
    <row r="469" spans="4:4" x14ac:dyDescent="0.35">
      <c r="D469" s="315"/>
    </row>
    <row r="470" spans="4:4" x14ac:dyDescent="0.35">
      <c r="D470" s="315"/>
    </row>
    <row r="471" spans="4:4" x14ac:dyDescent="0.35">
      <c r="D471" s="315"/>
    </row>
    <row r="472" spans="4:4" x14ac:dyDescent="0.35">
      <c r="D472" s="315"/>
    </row>
    <row r="473" spans="4:4" x14ac:dyDescent="0.35">
      <c r="D473" s="315"/>
    </row>
    <row r="474" spans="4:4" x14ac:dyDescent="0.35">
      <c r="D474" s="315"/>
    </row>
    <row r="475" spans="4:4" x14ac:dyDescent="0.35">
      <c r="D475" s="315"/>
    </row>
    <row r="476" spans="4:4" x14ac:dyDescent="0.35">
      <c r="D476" s="315"/>
    </row>
    <row r="477" spans="4:4" x14ac:dyDescent="0.35">
      <c r="D477" s="315"/>
    </row>
    <row r="478" spans="4:4" x14ac:dyDescent="0.35">
      <c r="D478" s="315"/>
    </row>
    <row r="479" spans="4:4" x14ac:dyDescent="0.35">
      <c r="D479" s="315"/>
    </row>
    <row r="480" spans="4:4" x14ac:dyDescent="0.35">
      <c r="D480" s="315"/>
    </row>
    <row r="481" spans="4:4" x14ac:dyDescent="0.35">
      <c r="D481" s="315"/>
    </row>
    <row r="482" spans="4:4" x14ac:dyDescent="0.35">
      <c r="D482" s="315"/>
    </row>
    <row r="483" spans="4:4" x14ac:dyDescent="0.35">
      <c r="D483" s="315"/>
    </row>
    <row r="484" spans="4:4" x14ac:dyDescent="0.35">
      <c r="D484" s="315"/>
    </row>
    <row r="485" spans="4:4" x14ac:dyDescent="0.35">
      <c r="D485" s="315"/>
    </row>
    <row r="486" spans="4:4" x14ac:dyDescent="0.35">
      <c r="D486" s="315"/>
    </row>
    <row r="487" spans="4:4" x14ac:dyDescent="0.35">
      <c r="D487" s="315"/>
    </row>
    <row r="488" spans="4:4" x14ac:dyDescent="0.35">
      <c r="D488" s="315"/>
    </row>
    <row r="489" spans="4:4" x14ac:dyDescent="0.35">
      <c r="D489" s="315"/>
    </row>
    <row r="490" spans="4:4" x14ac:dyDescent="0.35">
      <c r="D490" s="315"/>
    </row>
    <row r="491" spans="4:4" x14ac:dyDescent="0.35">
      <c r="D491" s="315"/>
    </row>
    <row r="492" spans="4:4" x14ac:dyDescent="0.35">
      <c r="D492" s="315"/>
    </row>
    <row r="493" spans="4:4" x14ac:dyDescent="0.35">
      <c r="D493" s="315"/>
    </row>
    <row r="494" spans="4:4" x14ac:dyDescent="0.35">
      <c r="D494" s="315"/>
    </row>
    <row r="495" spans="4:4" x14ac:dyDescent="0.35">
      <c r="D495" s="315"/>
    </row>
    <row r="496" spans="4:4" x14ac:dyDescent="0.35">
      <c r="D496" s="315"/>
    </row>
    <row r="497" spans="4:4" x14ac:dyDescent="0.35">
      <c r="D497" s="315"/>
    </row>
    <row r="498" spans="4:4" x14ac:dyDescent="0.35">
      <c r="D498" s="315"/>
    </row>
    <row r="499" spans="4:4" x14ac:dyDescent="0.35">
      <c r="D499" s="315"/>
    </row>
    <row r="500" spans="4:4" x14ac:dyDescent="0.35">
      <c r="D500" s="315"/>
    </row>
    <row r="501" spans="4:4" x14ac:dyDescent="0.35">
      <c r="D501" s="315"/>
    </row>
    <row r="502" spans="4:4" x14ac:dyDescent="0.35">
      <c r="D502" s="315"/>
    </row>
    <row r="503" spans="4:4" x14ac:dyDescent="0.35">
      <c r="D503" s="315"/>
    </row>
    <row r="504" spans="4:4" x14ac:dyDescent="0.35">
      <c r="D504" s="315"/>
    </row>
    <row r="505" spans="4:4" x14ac:dyDescent="0.35">
      <c r="D505" s="315"/>
    </row>
    <row r="506" spans="4:4" x14ac:dyDescent="0.35">
      <c r="D506" s="315"/>
    </row>
    <row r="507" spans="4:4" x14ac:dyDescent="0.35">
      <c r="D507" s="315"/>
    </row>
    <row r="508" spans="4:4" x14ac:dyDescent="0.35">
      <c r="D508" s="315"/>
    </row>
    <row r="509" spans="4:4" x14ac:dyDescent="0.35">
      <c r="D509" s="315"/>
    </row>
    <row r="510" spans="4:4" x14ac:dyDescent="0.35">
      <c r="D510" s="315"/>
    </row>
    <row r="511" spans="4:4" x14ac:dyDescent="0.35">
      <c r="D511" s="315"/>
    </row>
    <row r="512" spans="4:4" x14ac:dyDescent="0.35">
      <c r="D512" s="315"/>
    </row>
    <row r="513" spans="4:4" x14ac:dyDescent="0.35">
      <c r="D513" s="315"/>
    </row>
    <row r="514" spans="4:4" x14ac:dyDescent="0.35">
      <c r="D514" s="315"/>
    </row>
    <row r="515" spans="4:4" x14ac:dyDescent="0.35">
      <c r="D515" s="315"/>
    </row>
    <row r="516" spans="4:4" x14ac:dyDescent="0.35">
      <c r="D516" s="315"/>
    </row>
    <row r="517" spans="4:4" x14ac:dyDescent="0.35">
      <c r="D517" s="315"/>
    </row>
    <row r="518" spans="4:4" x14ac:dyDescent="0.35">
      <c r="D518" s="315"/>
    </row>
    <row r="519" spans="4:4" x14ac:dyDescent="0.35">
      <c r="D519" s="315"/>
    </row>
    <row r="520" spans="4:4" x14ac:dyDescent="0.35">
      <c r="D520" s="315"/>
    </row>
    <row r="521" spans="4:4" x14ac:dyDescent="0.35">
      <c r="D521" s="315"/>
    </row>
    <row r="522" spans="4:4" x14ac:dyDescent="0.35">
      <c r="D522" s="315"/>
    </row>
    <row r="523" spans="4:4" x14ac:dyDescent="0.35">
      <c r="D523" s="315"/>
    </row>
    <row r="524" spans="4:4" x14ac:dyDescent="0.35">
      <c r="D524" s="315"/>
    </row>
    <row r="525" spans="4:4" x14ac:dyDescent="0.35">
      <c r="D525" s="315"/>
    </row>
    <row r="526" spans="4:4" x14ac:dyDescent="0.35">
      <c r="D526" s="315"/>
    </row>
    <row r="527" spans="4:4" x14ac:dyDescent="0.35">
      <c r="D527" s="315"/>
    </row>
    <row r="528" spans="4:4" x14ac:dyDescent="0.35">
      <c r="D528" s="315"/>
    </row>
    <row r="529" spans="4:4" x14ac:dyDescent="0.35">
      <c r="D529" s="315"/>
    </row>
    <row r="530" spans="4:4" x14ac:dyDescent="0.35">
      <c r="D530" s="315"/>
    </row>
    <row r="531" spans="4:4" x14ac:dyDescent="0.35">
      <c r="D531" s="315"/>
    </row>
    <row r="532" spans="4:4" x14ac:dyDescent="0.35">
      <c r="D532" s="315"/>
    </row>
    <row r="533" spans="4:4" x14ac:dyDescent="0.35">
      <c r="D533" s="315"/>
    </row>
    <row r="534" spans="4:4" x14ac:dyDescent="0.35">
      <c r="D534" s="315"/>
    </row>
    <row r="535" spans="4:4" x14ac:dyDescent="0.35">
      <c r="D535" s="315"/>
    </row>
    <row r="536" spans="4:4" x14ac:dyDescent="0.35">
      <c r="D536" s="315"/>
    </row>
    <row r="537" spans="4:4" x14ac:dyDescent="0.35">
      <c r="D537" s="315"/>
    </row>
    <row r="538" spans="4:4" x14ac:dyDescent="0.35">
      <c r="D538" s="315"/>
    </row>
    <row r="539" spans="4:4" x14ac:dyDescent="0.35">
      <c r="D539" s="315"/>
    </row>
    <row r="540" spans="4:4" x14ac:dyDescent="0.35">
      <c r="D540" s="315"/>
    </row>
    <row r="541" spans="4:4" x14ac:dyDescent="0.35">
      <c r="D541" s="315"/>
    </row>
    <row r="542" spans="4:4" x14ac:dyDescent="0.35">
      <c r="D542" s="315"/>
    </row>
    <row r="543" spans="4:4" x14ac:dyDescent="0.35">
      <c r="D543" s="315"/>
    </row>
    <row r="544" spans="4:4" x14ac:dyDescent="0.35">
      <c r="D544" s="315"/>
    </row>
    <row r="545" spans="4:4" x14ac:dyDescent="0.35">
      <c r="D545" s="315"/>
    </row>
    <row r="546" spans="4:4" x14ac:dyDescent="0.35">
      <c r="D546" s="315"/>
    </row>
    <row r="547" spans="4:4" x14ac:dyDescent="0.35">
      <c r="D547" s="315"/>
    </row>
    <row r="548" spans="4:4" x14ac:dyDescent="0.35">
      <c r="D548" s="315"/>
    </row>
    <row r="549" spans="4:4" x14ac:dyDescent="0.35">
      <c r="D549" s="315"/>
    </row>
    <row r="550" spans="4:4" x14ac:dyDescent="0.35">
      <c r="D550" s="315"/>
    </row>
    <row r="551" spans="4:4" x14ac:dyDescent="0.35">
      <c r="D551" s="315"/>
    </row>
    <row r="552" spans="4:4" x14ac:dyDescent="0.35">
      <c r="D552" s="315"/>
    </row>
    <row r="553" spans="4:4" x14ac:dyDescent="0.35">
      <c r="D553" s="315"/>
    </row>
    <row r="554" spans="4:4" x14ac:dyDescent="0.35">
      <c r="D554" s="315"/>
    </row>
    <row r="555" spans="4:4" x14ac:dyDescent="0.35">
      <c r="D555" s="315"/>
    </row>
    <row r="556" spans="4:4" x14ac:dyDescent="0.35">
      <c r="D556" s="315"/>
    </row>
    <row r="557" spans="4:4" x14ac:dyDescent="0.35">
      <c r="D557" s="315"/>
    </row>
    <row r="558" spans="4:4" x14ac:dyDescent="0.35">
      <c r="D558" s="315"/>
    </row>
    <row r="559" spans="4:4" x14ac:dyDescent="0.35">
      <c r="D559" s="315"/>
    </row>
    <row r="560" spans="4:4" x14ac:dyDescent="0.35">
      <c r="D560" s="315"/>
    </row>
    <row r="561" spans="4:4" x14ac:dyDescent="0.35">
      <c r="D561" s="315"/>
    </row>
    <row r="562" spans="4:4" x14ac:dyDescent="0.35">
      <c r="D562" s="315"/>
    </row>
    <row r="563" spans="4:4" x14ac:dyDescent="0.35">
      <c r="D563" s="315"/>
    </row>
    <row r="564" spans="4:4" x14ac:dyDescent="0.35">
      <c r="D564" s="315"/>
    </row>
    <row r="565" spans="4:4" x14ac:dyDescent="0.35">
      <c r="D565" s="315"/>
    </row>
    <row r="566" spans="4:4" x14ac:dyDescent="0.35">
      <c r="D566" s="315"/>
    </row>
    <row r="567" spans="4:4" x14ac:dyDescent="0.35">
      <c r="D567" s="315"/>
    </row>
    <row r="568" spans="4:4" x14ac:dyDescent="0.35">
      <c r="D568" s="315"/>
    </row>
    <row r="569" spans="4:4" x14ac:dyDescent="0.35">
      <c r="D569" s="315"/>
    </row>
    <row r="570" spans="4:4" x14ac:dyDescent="0.35">
      <c r="D570" s="315"/>
    </row>
    <row r="571" spans="4:4" x14ac:dyDescent="0.35">
      <c r="D571" s="315"/>
    </row>
    <row r="572" spans="4:4" x14ac:dyDescent="0.35">
      <c r="D572" s="315"/>
    </row>
    <row r="573" spans="4:4" x14ac:dyDescent="0.35">
      <c r="D573" s="315"/>
    </row>
    <row r="574" spans="4:4" x14ac:dyDescent="0.35">
      <c r="D574" s="315"/>
    </row>
    <row r="575" spans="4:4" x14ac:dyDescent="0.35">
      <c r="D575" s="315"/>
    </row>
    <row r="576" spans="4:4" x14ac:dyDescent="0.35">
      <c r="D576" s="315"/>
    </row>
    <row r="577" spans="4:4" x14ac:dyDescent="0.35">
      <c r="D577" s="315"/>
    </row>
    <row r="578" spans="4:4" x14ac:dyDescent="0.35">
      <c r="D578" s="315"/>
    </row>
    <row r="579" spans="4:4" x14ac:dyDescent="0.35">
      <c r="D579" s="315"/>
    </row>
    <row r="580" spans="4:4" x14ac:dyDescent="0.35">
      <c r="D580" s="315"/>
    </row>
    <row r="581" spans="4:4" x14ac:dyDescent="0.35">
      <c r="D581" s="315"/>
    </row>
    <row r="582" spans="4:4" x14ac:dyDescent="0.35">
      <c r="D582" s="315"/>
    </row>
    <row r="583" spans="4:4" x14ac:dyDescent="0.35">
      <c r="D583" s="315"/>
    </row>
    <row r="584" spans="4:4" x14ac:dyDescent="0.35">
      <c r="D584" s="315"/>
    </row>
    <row r="585" spans="4:4" x14ac:dyDescent="0.35">
      <c r="D585" s="315"/>
    </row>
    <row r="586" spans="4:4" x14ac:dyDescent="0.35">
      <c r="D586" s="315"/>
    </row>
    <row r="587" spans="4:4" x14ac:dyDescent="0.35">
      <c r="D587" s="315"/>
    </row>
    <row r="588" spans="4:4" x14ac:dyDescent="0.35">
      <c r="D588" s="315"/>
    </row>
    <row r="589" spans="4:4" x14ac:dyDescent="0.35">
      <c r="D589" s="315"/>
    </row>
    <row r="590" spans="4:4" x14ac:dyDescent="0.35">
      <c r="D590" s="315"/>
    </row>
    <row r="591" spans="4:4" x14ac:dyDescent="0.35">
      <c r="D591" s="315"/>
    </row>
    <row r="592" spans="4:4" x14ac:dyDescent="0.35">
      <c r="D592" s="315"/>
    </row>
    <row r="593" spans="4:4" x14ac:dyDescent="0.35">
      <c r="D593" s="315"/>
    </row>
    <row r="594" spans="4:4" x14ac:dyDescent="0.35">
      <c r="D594" s="315"/>
    </row>
    <row r="595" spans="4:4" x14ac:dyDescent="0.35">
      <c r="D595" s="315"/>
    </row>
    <row r="596" spans="4:4" x14ac:dyDescent="0.35">
      <c r="D596" s="315"/>
    </row>
    <row r="597" spans="4:4" x14ac:dyDescent="0.35">
      <c r="D597" s="315"/>
    </row>
    <row r="598" spans="4:4" x14ac:dyDescent="0.35">
      <c r="D598" s="315"/>
    </row>
    <row r="599" spans="4:4" x14ac:dyDescent="0.35">
      <c r="D599" s="315"/>
    </row>
    <row r="600" spans="4:4" x14ac:dyDescent="0.35">
      <c r="D600" s="315"/>
    </row>
    <row r="601" spans="4:4" x14ac:dyDescent="0.35">
      <c r="D601" s="315"/>
    </row>
    <row r="602" spans="4:4" x14ac:dyDescent="0.35">
      <c r="D602" s="315"/>
    </row>
    <row r="603" spans="4:4" x14ac:dyDescent="0.35">
      <c r="D603" s="315"/>
    </row>
    <row r="604" spans="4:4" x14ac:dyDescent="0.35">
      <c r="D604" s="315"/>
    </row>
    <row r="605" spans="4:4" x14ac:dyDescent="0.35">
      <c r="D605" s="315"/>
    </row>
    <row r="606" spans="4:4" x14ac:dyDescent="0.35">
      <c r="D606" s="315"/>
    </row>
    <row r="607" spans="4:4" x14ac:dyDescent="0.35">
      <c r="D607" s="315"/>
    </row>
    <row r="608" spans="4:4" x14ac:dyDescent="0.35">
      <c r="D608" s="315"/>
    </row>
    <row r="609" spans="4:4" x14ac:dyDescent="0.35">
      <c r="D609" s="315"/>
    </row>
    <row r="610" spans="4:4" x14ac:dyDescent="0.35">
      <c r="D610" s="315"/>
    </row>
    <row r="611" spans="4:4" x14ac:dyDescent="0.35">
      <c r="D611" s="315"/>
    </row>
    <row r="612" spans="4:4" x14ac:dyDescent="0.35">
      <c r="D612" s="315"/>
    </row>
    <row r="613" spans="4:4" x14ac:dyDescent="0.35">
      <c r="D613" s="315"/>
    </row>
    <row r="614" spans="4:4" x14ac:dyDescent="0.35">
      <c r="D614" s="315"/>
    </row>
    <row r="615" spans="4:4" x14ac:dyDescent="0.35">
      <c r="D615" s="315"/>
    </row>
    <row r="616" spans="4:4" x14ac:dyDescent="0.35">
      <c r="D616" s="315"/>
    </row>
    <row r="617" spans="4:4" x14ac:dyDescent="0.35">
      <c r="D617" s="315"/>
    </row>
    <row r="618" spans="4:4" x14ac:dyDescent="0.35">
      <c r="D618" s="315"/>
    </row>
    <row r="619" spans="4:4" x14ac:dyDescent="0.35">
      <c r="D619" s="315"/>
    </row>
    <row r="620" spans="4:4" x14ac:dyDescent="0.35">
      <c r="D620" s="315"/>
    </row>
    <row r="621" spans="4:4" x14ac:dyDescent="0.35">
      <c r="D621" s="315"/>
    </row>
    <row r="622" spans="4:4" x14ac:dyDescent="0.35">
      <c r="D622" s="315"/>
    </row>
    <row r="623" spans="4:4" x14ac:dyDescent="0.35">
      <c r="D623" s="315"/>
    </row>
    <row r="624" spans="4:4" x14ac:dyDescent="0.35">
      <c r="D624" s="315"/>
    </row>
    <row r="625" spans="4:4" x14ac:dyDescent="0.35">
      <c r="D625" s="315"/>
    </row>
    <row r="626" spans="4:4" x14ac:dyDescent="0.35">
      <c r="D626" s="315"/>
    </row>
    <row r="627" spans="4:4" x14ac:dyDescent="0.35">
      <c r="D627" s="315"/>
    </row>
    <row r="628" spans="4:4" x14ac:dyDescent="0.35">
      <c r="D628" s="315"/>
    </row>
    <row r="629" spans="4:4" x14ac:dyDescent="0.35">
      <c r="D629" s="315"/>
    </row>
    <row r="630" spans="4:4" x14ac:dyDescent="0.35">
      <c r="D630" s="315"/>
    </row>
    <row r="631" spans="4:4" x14ac:dyDescent="0.35">
      <c r="D631" s="315"/>
    </row>
    <row r="632" spans="4:4" x14ac:dyDescent="0.35">
      <c r="D632" s="315"/>
    </row>
    <row r="633" spans="4:4" x14ac:dyDescent="0.35">
      <c r="D633" s="315"/>
    </row>
    <row r="634" spans="4:4" x14ac:dyDescent="0.35">
      <c r="D634" s="315"/>
    </row>
    <row r="635" spans="4:4" x14ac:dyDescent="0.35">
      <c r="D635" s="315"/>
    </row>
    <row r="636" spans="4:4" x14ac:dyDescent="0.35">
      <c r="D636" s="315"/>
    </row>
    <row r="637" spans="4:4" x14ac:dyDescent="0.35">
      <c r="D637" s="315"/>
    </row>
    <row r="638" spans="4:4" x14ac:dyDescent="0.35">
      <c r="D638" s="315"/>
    </row>
    <row r="639" spans="4:4" x14ac:dyDescent="0.35">
      <c r="D639" s="315"/>
    </row>
    <row r="640" spans="4:4" x14ac:dyDescent="0.35">
      <c r="D640" s="315"/>
    </row>
    <row r="641" spans="4:4" x14ac:dyDescent="0.35">
      <c r="D641" s="315"/>
    </row>
    <row r="642" spans="4:4" x14ac:dyDescent="0.35">
      <c r="D642" s="315"/>
    </row>
    <row r="643" spans="4:4" x14ac:dyDescent="0.35">
      <c r="D643" s="315"/>
    </row>
    <row r="644" spans="4:4" x14ac:dyDescent="0.35">
      <c r="D644" s="315"/>
    </row>
    <row r="645" spans="4:4" x14ac:dyDescent="0.35">
      <c r="D645" s="315"/>
    </row>
    <row r="646" spans="4:4" x14ac:dyDescent="0.35">
      <c r="D646" s="315"/>
    </row>
    <row r="647" spans="4:4" x14ac:dyDescent="0.35">
      <c r="D647" s="315"/>
    </row>
    <row r="648" spans="4:4" x14ac:dyDescent="0.35">
      <c r="D648" s="315"/>
    </row>
    <row r="649" spans="4:4" x14ac:dyDescent="0.35">
      <c r="D649" s="315"/>
    </row>
    <row r="650" spans="4:4" x14ac:dyDescent="0.35">
      <c r="D650" s="315"/>
    </row>
    <row r="651" spans="4:4" x14ac:dyDescent="0.35">
      <c r="D651" s="315"/>
    </row>
    <row r="652" spans="4:4" x14ac:dyDescent="0.35">
      <c r="D652" s="315"/>
    </row>
    <row r="653" spans="4:4" x14ac:dyDescent="0.35">
      <c r="D653" s="315"/>
    </row>
    <row r="654" spans="4:4" x14ac:dyDescent="0.35">
      <c r="D654" s="315"/>
    </row>
    <row r="655" spans="4:4" x14ac:dyDescent="0.35">
      <c r="D655" s="315"/>
    </row>
    <row r="656" spans="4:4" x14ac:dyDescent="0.35">
      <c r="D656" s="315"/>
    </row>
    <row r="657" spans="4:4" x14ac:dyDescent="0.35">
      <c r="D657" s="315"/>
    </row>
    <row r="658" spans="4:4" x14ac:dyDescent="0.35">
      <c r="D658" s="315"/>
    </row>
    <row r="659" spans="4:4" x14ac:dyDescent="0.35">
      <c r="D659" s="315"/>
    </row>
    <row r="660" spans="4:4" x14ac:dyDescent="0.35">
      <c r="D660" s="315"/>
    </row>
    <row r="661" spans="4:4" x14ac:dyDescent="0.35">
      <c r="D661" s="315"/>
    </row>
    <row r="662" spans="4:4" x14ac:dyDescent="0.35">
      <c r="D662" s="315"/>
    </row>
    <row r="663" spans="4:4" x14ac:dyDescent="0.35">
      <c r="D663" s="315"/>
    </row>
    <row r="664" spans="4:4" x14ac:dyDescent="0.35">
      <c r="D664" s="315"/>
    </row>
    <row r="665" spans="4:4" x14ac:dyDescent="0.35">
      <c r="D665" s="315"/>
    </row>
    <row r="666" spans="4:4" x14ac:dyDescent="0.35">
      <c r="D666" s="315"/>
    </row>
    <row r="667" spans="4:4" x14ac:dyDescent="0.35">
      <c r="D667" s="315"/>
    </row>
    <row r="668" spans="4:4" x14ac:dyDescent="0.35">
      <c r="D668" s="315"/>
    </row>
    <row r="669" spans="4:4" x14ac:dyDescent="0.35">
      <c r="D669" s="315"/>
    </row>
    <row r="670" spans="4:4" x14ac:dyDescent="0.35">
      <c r="D670" s="315"/>
    </row>
    <row r="671" spans="4:4" x14ac:dyDescent="0.35">
      <c r="D671" s="315"/>
    </row>
    <row r="672" spans="4:4" x14ac:dyDescent="0.35">
      <c r="D672" s="315"/>
    </row>
    <row r="673" spans="4:4" x14ac:dyDescent="0.35">
      <c r="D673" s="315"/>
    </row>
    <row r="674" spans="4:4" x14ac:dyDescent="0.35">
      <c r="D674" s="315"/>
    </row>
    <row r="675" spans="4:4" x14ac:dyDescent="0.35">
      <c r="D675" s="315"/>
    </row>
    <row r="676" spans="4:4" x14ac:dyDescent="0.35">
      <c r="D676" s="315"/>
    </row>
    <row r="677" spans="4:4" x14ac:dyDescent="0.35">
      <c r="D677" s="315"/>
    </row>
    <row r="678" spans="4:4" x14ac:dyDescent="0.35">
      <c r="D678" s="315"/>
    </row>
    <row r="679" spans="4:4" x14ac:dyDescent="0.35">
      <c r="D679" s="315"/>
    </row>
    <row r="680" spans="4:4" x14ac:dyDescent="0.35">
      <c r="D680" s="315"/>
    </row>
    <row r="681" spans="4:4" x14ac:dyDescent="0.35">
      <c r="D681" s="315"/>
    </row>
    <row r="682" spans="4:4" x14ac:dyDescent="0.35">
      <c r="D682" s="315"/>
    </row>
    <row r="683" spans="4:4" x14ac:dyDescent="0.35">
      <c r="D683" s="315"/>
    </row>
    <row r="684" spans="4:4" x14ac:dyDescent="0.35">
      <c r="D684" s="315"/>
    </row>
    <row r="685" spans="4:4" x14ac:dyDescent="0.35">
      <c r="D685" s="3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4A2A3-9869-4C2C-9BBD-5E1C45593E49}">
  <sheetPr>
    <tabColor rgb="FFFFFF00"/>
  </sheetPr>
  <dimension ref="A1:V114"/>
  <sheetViews>
    <sheetView showGridLines="0" workbookViewId="0">
      <selection activeCell="K25" sqref="K25"/>
    </sheetView>
  </sheetViews>
  <sheetFormatPr defaultRowHeight="14.5" x14ac:dyDescent="0.35"/>
  <cols>
    <col min="1" max="1" width="5.90625" style="5" customWidth="1"/>
    <col min="2" max="2" width="16" customWidth="1"/>
    <col min="3" max="7" width="2.26953125" customWidth="1"/>
    <col min="8" max="8" width="15" customWidth="1"/>
    <col min="9" max="9" width="16.1796875" bestFit="1" customWidth="1"/>
    <col min="10" max="16" width="10.6328125" bestFit="1" customWidth="1"/>
    <col min="17" max="17" width="11.08984375" customWidth="1"/>
    <col min="18" max="18" width="12.08984375" customWidth="1"/>
    <col min="19" max="21" width="15" customWidth="1"/>
    <col min="260" max="260" width="5.08984375" customWidth="1"/>
    <col min="261" max="261" width="41.7265625" customWidth="1"/>
    <col min="262" max="262" width="14.7265625" customWidth="1"/>
    <col min="263" max="263" width="14.90625" customWidth="1"/>
    <col min="264" max="265" width="11.7265625" customWidth="1"/>
    <col min="266" max="266" width="11.90625" bestFit="1" customWidth="1"/>
    <col min="268" max="268" width="10.26953125" bestFit="1" customWidth="1"/>
    <col min="269" max="269" width="11.26953125" customWidth="1"/>
    <col min="270" max="270" width="5" customWidth="1"/>
    <col min="271" max="276" width="15" customWidth="1"/>
    <col min="516" max="516" width="5.08984375" customWidth="1"/>
    <col min="517" max="517" width="41.7265625" customWidth="1"/>
    <col min="518" max="518" width="14.7265625" customWidth="1"/>
    <col min="519" max="519" width="14.90625" customWidth="1"/>
    <col min="520" max="521" width="11.7265625" customWidth="1"/>
    <col min="522" max="522" width="11.90625" bestFit="1" customWidth="1"/>
    <col min="524" max="524" width="10.26953125" bestFit="1" customWidth="1"/>
    <col min="525" max="525" width="11.26953125" customWidth="1"/>
    <col min="526" max="526" width="5" customWidth="1"/>
    <col min="527" max="532" width="15" customWidth="1"/>
    <col min="772" max="772" width="5.08984375" customWidth="1"/>
    <col min="773" max="773" width="41.7265625" customWidth="1"/>
    <col min="774" max="774" width="14.7265625" customWidth="1"/>
    <col min="775" max="775" width="14.90625" customWidth="1"/>
    <col min="776" max="777" width="11.7265625" customWidth="1"/>
    <col min="778" max="778" width="11.90625" bestFit="1" customWidth="1"/>
    <col min="780" max="780" width="10.26953125" bestFit="1" customWidth="1"/>
    <col min="781" max="781" width="11.26953125" customWidth="1"/>
    <col min="782" max="782" width="5" customWidth="1"/>
    <col min="783" max="788" width="15" customWidth="1"/>
    <col min="1028" max="1028" width="5.08984375" customWidth="1"/>
    <col min="1029" max="1029" width="41.7265625" customWidth="1"/>
    <col min="1030" max="1030" width="14.7265625" customWidth="1"/>
    <col min="1031" max="1031" width="14.90625" customWidth="1"/>
    <col min="1032" max="1033" width="11.7265625" customWidth="1"/>
    <col min="1034" max="1034" width="11.90625" bestFit="1" customWidth="1"/>
    <col min="1036" max="1036" width="10.26953125" bestFit="1" customWidth="1"/>
    <col min="1037" max="1037" width="11.26953125" customWidth="1"/>
    <col min="1038" max="1038" width="5" customWidth="1"/>
    <col min="1039" max="1044" width="15" customWidth="1"/>
    <col min="1284" max="1284" width="5.08984375" customWidth="1"/>
    <col min="1285" max="1285" width="41.7265625" customWidth="1"/>
    <col min="1286" max="1286" width="14.7265625" customWidth="1"/>
    <col min="1287" max="1287" width="14.90625" customWidth="1"/>
    <col min="1288" max="1289" width="11.7265625" customWidth="1"/>
    <col min="1290" max="1290" width="11.90625" bestFit="1" customWidth="1"/>
    <col min="1292" max="1292" width="10.26953125" bestFit="1" customWidth="1"/>
    <col min="1293" max="1293" width="11.26953125" customWidth="1"/>
    <col min="1294" max="1294" width="5" customWidth="1"/>
    <col min="1295" max="1300" width="15" customWidth="1"/>
    <col min="1540" max="1540" width="5.08984375" customWidth="1"/>
    <col min="1541" max="1541" width="41.7265625" customWidth="1"/>
    <col min="1542" max="1542" width="14.7265625" customWidth="1"/>
    <col min="1543" max="1543" width="14.90625" customWidth="1"/>
    <col min="1544" max="1545" width="11.7265625" customWidth="1"/>
    <col min="1546" max="1546" width="11.90625" bestFit="1" customWidth="1"/>
    <col min="1548" max="1548" width="10.26953125" bestFit="1" customWidth="1"/>
    <col min="1549" max="1549" width="11.26953125" customWidth="1"/>
    <col min="1550" max="1550" width="5" customWidth="1"/>
    <col min="1551" max="1556" width="15" customWidth="1"/>
    <col min="1796" max="1796" width="5.08984375" customWidth="1"/>
    <col min="1797" max="1797" width="41.7265625" customWidth="1"/>
    <col min="1798" max="1798" width="14.7265625" customWidth="1"/>
    <col min="1799" max="1799" width="14.90625" customWidth="1"/>
    <col min="1800" max="1801" width="11.7265625" customWidth="1"/>
    <col min="1802" max="1802" width="11.90625" bestFit="1" customWidth="1"/>
    <col min="1804" max="1804" width="10.26953125" bestFit="1" customWidth="1"/>
    <col min="1805" max="1805" width="11.26953125" customWidth="1"/>
    <col min="1806" max="1806" width="5" customWidth="1"/>
    <col min="1807" max="1812" width="15" customWidth="1"/>
    <col min="2052" max="2052" width="5.08984375" customWidth="1"/>
    <col min="2053" max="2053" width="41.7265625" customWidth="1"/>
    <col min="2054" max="2054" width="14.7265625" customWidth="1"/>
    <col min="2055" max="2055" width="14.90625" customWidth="1"/>
    <col min="2056" max="2057" width="11.7265625" customWidth="1"/>
    <col min="2058" max="2058" width="11.90625" bestFit="1" customWidth="1"/>
    <col min="2060" max="2060" width="10.26953125" bestFit="1" customWidth="1"/>
    <col min="2061" max="2061" width="11.26953125" customWidth="1"/>
    <col min="2062" max="2062" width="5" customWidth="1"/>
    <col min="2063" max="2068" width="15" customWidth="1"/>
    <col min="2308" max="2308" width="5.08984375" customWidth="1"/>
    <col min="2309" max="2309" width="41.7265625" customWidth="1"/>
    <col min="2310" max="2310" width="14.7265625" customWidth="1"/>
    <col min="2311" max="2311" width="14.90625" customWidth="1"/>
    <col min="2312" max="2313" width="11.7265625" customWidth="1"/>
    <col min="2314" max="2314" width="11.90625" bestFit="1" customWidth="1"/>
    <col min="2316" max="2316" width="10.26953125" bestFit="1" customWidth="1"/>
    <col min="2317" max="2317" width="11.26953125" customWidth="1"/>
    <col min="2318" max="2318" width="5" customWidth="1"/>
    <col min="2319" max="2324" width="15" customWidth="1"/>
    <col min="2564" max="2564" width="5.08984375" customWidth="1"/>
    <col min="2565" max="2565" width="41.7265625" customWidth="1"/>
    <col min="2566" max="2566" width="14.7265625" customWidth="1"/>
    <col min="2567" max="2567" width="14.90625" customWidth="1"/>
    <col min="2568" max="2569" width="11.7265625" customWidth="1"/>
    <col min="2570" max="2570" width="11.90625" bestFit="1" customWidth="1"/>
    <col min="2572" max="2572" width="10.26953125" bestFit="1" customWidth="1"/>
    <col min="2573" max="2573" width="11.26953125" customWidth="1"/>
    <col min="2574" max="2574" width="5" customWidth="1"/>
    <col min="2575" max="2580" width="15" customWidth="1"/>
    <col min="2820" max="2820" width="5.08984375" customWidth="1"/>
    <col min="2821" max="2821" width="41.7265625" customWidth="1"/>
    <col min="2822" max="2822" width="14.7265625" customWidth="1"/>
    <col min="2823" max="2823" width="14.90625" customWidth="1"/>
    <col min="2824" max="2825" width="11.7265625" customWidth="1"/>
    <col min="2826" max="2826" width="11.90625" bestFit="1" customWidth="1"/>
    <col min="2828" max="2828" width="10.26953125" bestFit="1" customWidth="1"/>
    <col min="2829" max="2829" width="11.26953125" customWidth="1"/>
    <col min="2830" max="2830" width="5" customWidth="1"/>
    <col min="2831" max="2836" width="15" customWidth="1"/>
    <col min="3076" max="3076" width="5.08984375" customWidth="1"/>
    <col min="3077" max="3077" width="41.7265625" customWidth="1"/>
    <col min="3078" max="3078" width="14.7265625" customWidth="1"/>
    <col min="3079" max="3079" width="14.90625" customWidth="1"/>
    <col min="3080" max="3081" width="11.7265625" customWidth="1"/>
    <col min="3082" max="3082" width="11.90625" bestFit="1" customWidth="1"/>
    <col min="3084" max="3084" width="10.26953125" bestFit="1" customWidth="1"/>
    <col min="3085" max="3085" width="11.26953125" customWidth="1"/>
    <col min="3086" max="3086" width="5" customWidth="1"/>
    <col min="3087" max="3092" width="15" customWidth="1"/>
    <col min="3332" max="3332" width="5.08984375" customWidth="1"/>
    <col min="3333" max="3333" width="41.7265625" customWidth="1"/>
    <col min="3334" max="3334" width="14.7265625" customWidth="1"/>
    <col min="3335" max="3335" width="14.90625" customWidth="1"/>
    <col min="3336" max="3337" width="11.7265625" customWidth="1"/>
    <col min="3338" max="3338" width="11.90625" bestFit="1" customWidth="1"/>
    <col min="3340" max="3340" width="10.26953125" bestFit="1" customWidth="1"/>
    <col min="3341" max="3341" width="11.26953125" customWidth="1"/>
    <col min="3342" max="3342" width="5" customWidth="1"/>
    <col min="3343" max="3348" width="15" customWidth="1"/>
    <col min="3588" max="3588" width="5.08984375" customWidth="1"/>
    <col min="3589" max="3589" width="41.7265625" customWidth="1"/>
    <col min="3590" max="3590" width="14.7265625" customWidth="1"/>
    <col min="3591" max="3591" width="14.90625" customWidth="1"/>
    <col min="3592" max="3593" width="11.7265625" customWidth="1"/>
    <col min="3594" max="3594" width="11.90625" bestFit="1" customWidth="1"/>
    <col min="3596" max="3596" width="10.26953125" bestFit="1" customWidth="1"/>
    <col min="3597" max="3597" width="11.26953125" customWidth="1"/>
    <col min="3598" max="3598" width="5" customWidth="1"/>
    <col min="3599" max="3604" width="15" customWidth="1"/>
    <col min="3844" max="3844" width="5.08984375" customWidth="1"/>
    <col min="3845" max="3845" width="41.7265625" customWidth="1"/>
    <col min="3846" max="3846" width="14.7265625" customWidth="1"/>
    <col min="3847" max="3847" width="14.90625" customWidth="1"/>
    <col min="3848" max="3849" width="11.7265625" customWidth="1"/>
    <col min="3850" max="3850" width="11.90625" bestFit="1" customWidth="1"/>
    <col min="3852" max="3852" width="10.26953125" bestFit="1" customWidth="1"/>
    <col min="3853" max="3853" width="11.26953125" customWidth="1"/>
    <col min="3854" max="3854" width="5" customWidth="1"/>
    <col min="3855" max="3860" width="15" customWidth="1"/>
    <col min="4100" max="4100" width="5.08984375" customWidth="1"/>
    <col min="4101" max="4101" width="41.7265625" customWidth="1"/>
    <col min="4102" max="4102" width="14.7265625" customWidth="1"/>
    <col min="4103" max="4103" width="14.90625" customWidth="1"/>
    <col min="4104" max="4105" width="11.7265625" customWidth="1"/>
    <col min="4106" max="4106" width="11.90625" bestFit="1" customWidth="1"/>
    <col min="4108" max="4108" width="10.26953125" bestFit="1" customWidth="1"/>
    <col min="4109" max="4109" width="11.26953125" customWidth="1"/>
    <col min="4110" max="4110" width="5" customWidth="1"/>
    <col min="4111" max="4116" width="15" customWidth="1"/>
    <col min="4356" max="4356" width="5.08984375" customWidth="1"/>
    <col min="4357" max="4357" width="41.7265625" customWidth="1"/>
    <col min="4358" max="4358" width="14.7265625" customWidth="1"/>
    <col min="4359" max="4359" width="14.90625" customWidth="1"/>
    <col min="4360" max="4361" width="11.7265625" customWidth="1"/>
    <col min="4362" max="4362" width="11.90625" bestFit="1" customWidth="1"/>
    <col min="4364" max="4364" width="10.26953125" bestFit="1" customWidth="1"/>
    <col min="4365" max="4365" width="11.26953125" customWidth="1"/>
    <col min="4366" max="4366" width="5" customWidth="1"/>
    <col min="4367" max="4372" width="15" customWidth="1"/>
    <col min="4612" max="4612" width="5.08984375" customWidth="1"/>
    <col min="4613" max="4613" width="41.7265625" customWidth="1"/>
    <col min="4614" max="4614" width="14.7265625" customWidth="1"/>
    <col min="4615" max="4615" width="14.90625" customWidth="1"/>
    <col min="4616" max="4617" width="11.7265625" customWidth="1"/>
    <col min="4618" max="4618" width="11.90625" bestFit="1" customWidth="1"/>
    <col min="4620" max="4620" width="10.26953125" bestFit="1" customWidth="1"/>
    <col min="4621" max="4621" width="11.26953125" customWidth="1"/>
    <col min="4622" max="4622" width="5" customWidth="1"/>
    <col min="4623" max="4628" width="15" customWidth="1"/>
    <col min="4868" max="4868" width="5.08984375" customWidth="1"/>
    <col min="4869" max="4869" width="41.7265625" customWidth="1"/>
    <col min="4870" max="4870" width="14.7265625" customWidth="1"/>
    <col min="4871" max="4871" width="14.90625" customWidth="1"/>
    <col min="4872" max="4873" width="11.7265625" customWidth="1"/>
    <col min="4874" max="4874" width="11.90625" bestFit="1" customWidth="1"/>
    <col min="4876" max="4876" width="10.26953125" bestFit="1" customWidth="1"/>
    <col min="4877" max="4877" width="11.26953125" customWidth="1"/>
    <col min="4878" max="4878" width="5" customWidth="1"/>
    <col min="4879" max="4884" width="15" customWidth="1"/>
    <col min="5124" max="5124" width="5.08984375" customWidth="1"/>
    <col min="5125" max="5125" width="41.7265625" customWidth="1"/>
    <col min="5126" max="5126" width="14.7265625" customWidth="1"/>
    <col min="5127" max="5127" width="14.90625" customWidth="1"/>
    <col min="5128" max="5129" width="11.7265625" customWidth="1"/>
    <col min="5130" max="5130" width="11.90625" bestFit="1" customWidth="1"/>
    <col min="5132" max="5132" width="10.26953125" bestFit="1" customWidth="1"/>
    <col min="5133" max="5133" width="11.26953125" customWidth="1"/>
    <col min="5134" max="5134" width="5" customWidth="1"/>
    <col min="5135" max="5140" width="15" customWidth="1"/>
    <col min="5380" max="5380" width="5.08984375" customWidth="1"/>
    <col min="5381" max="5381" width="41.7265625" customWidth="1"/>
    <col min="5382" max="5382" width="14.7265625" customWidth="1"/>
    <col min="5383" max="5383" width="14.90625" customWidth="1"/>
    <col min="5384" max="5385" width="11.7265625" customWidth="1"/>
    <col min="5386" max="5386" width="11.90625" bestFit="1" customWidth="1"/>
    <col min="5388" max="5388" width="10.26953125" bestFit="1" customWidth="1"/>
    <col min="5389" max="5389" width="11.26953125" customWidth="1"/>
    <col min="5390" max="5390" width="5" customWidth="1"/>
    <col min="5391" max="5396" width="15" customWidth="1"/>
    <col min="5636" max="5636" width="5.08984375" customWidth="1"/>
    <col min="5637" max="5637" width="41.7265625" customWidth="1"/>
    <col min="5638" max="5638" width="14.7265625" customWidth="1"/>
    <col min="5639" max="5639" width="14.90625" customWidth="1"/>
    <col min="5640" max="5641" width="11.7265625" customWidth="1"/>
    <col min="5642" max="5642" width="11.90625" bestFit="1" customWidth="1"/>
    <col min="5644" max="5644" width="10.26953125" bestFit="1" customWidth="1"/>
    <col min="5645" max="5645" width="11.26953125" customWidth="1"/>
    <col min="5646" max="5646" width="5" customWidth="1"/>
    <col min="5647" max="5652" width="15" customWidth="1"/>
    <col min="5892" max="5892" width="5.08984375" customWidth="1"/>
    <col min="5893" max="5893" width="41.7265625" customWidth="1"/>
    <col min="5894" max="5894" width="14.7265625" customWidth="1"/>
    <col min="5895" max="5895" width="14.90625" customWidth="1"/>
    <col min="5896" max="5897" width="11.7265625" customWidth="1"/>
    <col min="5898" max="5898" width="11.90625" bestFit="1" customWidth="1"/>
    <col min="5900" max="5900" width="10.26953125" bestFit="1" customWidth="1"/>
    <col min="5901" max="5901" width="11.26953125" customWidth="1"/>
    <col min="5902" max="5902" width="5" customWidth="1"/>
    <col min="5903" max="5908" width="15" customWidth="1"/>
    <col min="6148" max="6148" width="5.08984375" customWidth="1"/>
    <col min="6149" max="6149" width="41.7265625" customWidth="1"/>
    <col min="6150" max="6150" width="14.7265625" customWidth="1"/>
    <col min="6151" max="6151" width="14.90625" customWidth="1"/>
    <col min="6152" max="6153" width="11.7265625" customWidth="1"/>
    <col min="6154" max="6154" width="11.90625" bestFit="1" customWidth="1"/>
    <col min="6156" max="6156" width="10.26953125" bestFit="1" customWidth="1"/>
    <col min="6157" max="6157" width="11.26953125" customWidth="1"/>
    <col min="6158" max="6158" width="5" customWidth="1"/>
    <col min="6159" max="6164" width="15" customWidth="1"/>
    <col min="6404" max="6404" width="5.08984375" customWidth="1"/>
    <col min="6405" max="6405" width="41.7265625" customWidth="1"/>
    <col min="6406" max="6406" width="14.7265625" customWidth="1"/>
    <col min="6407" max="6407" width="14.90625" customWidth="1"/>
    <col min="6408" max="6409" width="11.7265625" customWidth="1"/>
    <col min="6410" max="6410" width="11.90625" bestFit="1" customWidth="1"/>
    <col min="6412" max="6412" width="10.26953125" bestFit="1" customWidth="1"/>
    <col min="6413" max="6413" width="11.26953125" customWidth="1"/>
    <col min="6414" max="6414" width="5" customWidth="1"/>
    <col min="6415" max="6420" width="15" customWidth="1"/>
    <col min="6660" max="6660" width="5.08984375" customWidth="1"/>
    <col min="6661" max="6661" width="41.7265625" customWidth="1"/>
    <col min="6662" max="6662" width="14.7265625" customWidth="1"/>
    <col min="6663" max="6663" width="14.90625" customWidth="1"/>
    <col min="6664" max="6665" width="11.7265625" customWidth="1"/>
    <col min="6666" max="6666" width="11.90625" bestFit="1" customWidth="1"/>
    <col min="6668" max="6668" width="10.26953125" bestFit="1" customWidth="1"/>
    <col min="6669" max="6669" width="11.26953125" customWidth="1"/>
    <col min="6670" max="6670" width="5" customWidth="1"/>
    <col min="6671" max="6676" width="15" customWidth="1"/>
    <col min="6916" max="6916" width="5.08984375" customWidth="1"/>
    <col min="6917" max="6917" width="41.7265625" customWidth="1"/>
    <col min="6918" max="6918" width="14.7265625" customWidth="1"/>
    <col min="6919" max="6919" width="14.90625" customWidth="1"/>
    <col min="6920" max="6921" width="11.7265625" customWidth="1"/>
    <col min="6922" max="6922" width="11.90625" bestFit="1" customWidth="1"/>
    <col min="6924" max="6924" width="10.26953125" bestFit="1" customWidth="1"/>
    <col min="6925" max="6925" width="11.26953125" customWidth="1"/>
    <col min="6926" max="6926" width="5" customWidth="1"/>
    <col min="6927" max="6932" width="15" customWidth="1"/>
    <col min="7172" max="7172" width="5.08984375" customWidth="1"/>
    <col min="7173" max="7173" width="41.7265625" customWidth="1"/>
    <col min="7174" max="7174" width="14.7265625" customWidth="1"/>
    <col min="7175" max="7175" width="14.90625" customWidth="1"/>
    <col min="7176" max="7177" width="11.7265625" customWidth="1"/>
    <col min="7178" max="7178" width="11.90625" bestFit="1" customWidth="1"/>
    <col min="7180" max="7180" width="10.26953125" bestFit="1" customWidth="1"/>
    <col min="7181" max="7181" width="11.26953125" customWidth="1"/>
    <col min="7182" max="7182" width="5" customWidth="1"/>
    <col min="7183" max="7188" width="15" customWidth="1"/>
    <col min="7428" max="7428" width="5.08984375" customWidth="1"/>
    <col min="7429" max="7429" width="41.7265625" customWidth="1"/>
    <col min="7430" max="7430" width="14.7265625" customWidth="1"/>
    <col min="7431" max="7431" width="14.90625" customWidth="1"/>
    <col min="7432" max="7433" width="11.7265625" customWidth="1"/>
    <col min="7434" max="7434" width="11.90625" bestFit="1" customWidth="1"/>
    <col min="7436" max="7436" width="10.26953125" bestFit="1" customWidth="1"/>
    <col min="7437" max="7437" width="11.26953125" customWidth="1"/>
    <col min="7438" max="7438" width="5" customWidth="1"/>
    <col min="7439" max="7444" width="15" customWidth="1"/>
    <col min="7684" max="7684" width="5.08984375" customWidth="1"/>
    <col min="7685" max="7685" width="41.7265625" customWidth="1"/>
    <col min="7686" max="7686" width="14.7265625" customWidth="1"/>
    <col min="7687" max="7687" width="14.90625" customWidth="1"/>
    <col min="7688" max="7689" width="11.7265625" customWidth="1"/>
    <col min="7690" max="7690" width="11.90625" bestFit="1" customWidth="1"/>
    <col min="7692" max="7692" width="10.26953125" bestFit="1" customWidth="1"/>
    <col min="7693" max="7693" width="11.26953125" customWidth="1"/>
    <col min="7694" max="7694" width="5" customWidth="1"/>
    <col min="7695" max="7700" width="15" customWidth="1"/>
    <col min="7940" max="7940" width="5.08984375" customWidth="1"/>
    <col min="7941" max="7941" width="41.7265625" customWidth="1"/>
    <col min="7942" max="7942" width="14.7265625" customWidth="1"/>
    <col min="7943" max="7943" width="14.90625" customWidth="1"/>
    <col min="7944" max="7945" width="11.7265625" customWidth="1"/>
    <col min="7946" max="7946" width="11.90625" bestFit="1" customWidth="1"/>
    <col min="7948" max="7948" width="10.26953125" bestFit="1" customWidth="1"/>
    <col min="7949" max="7949" width="11.26953125" customWidth="1"/>
    <col min="7950" max="7950" width="5" customWidth="1"/>
    <col min="7951" max="7956" width="15" customWidth="1"/>
    <col min="8196" max="8196" width="5.08984375" customWidth="1"/>
    <col min="8197" max="8197" width="41.7265625" customWidth="1"/>
    <col min="8198" max="8198" width="14.7265625" customWidth="1"/>
    <col min="8199" max="8199" width="14.90625" customWidth="1"/>
    <col min="8200" max="8201" width="11.7265625" customWidth="1"/>
    <col min="8202" max="8202" width="11.90625" bestFit="1" customWidth="1"/>
    <col min="8204" max="8204" width="10.26953125" bestFit="1" customWidth="1"/>
    <col min="8205" max="8205" width="11.26953125" customWidth="1"/>
    <col min="8206" max="8206" width="5" customWidth="1"/>
    <col min="8207" max="8212" width="15" customWidth="1"/>
    <col min="8452" max="8452" width="5.08984375" customWidth="1"/>
    <col min="8453" max="8453" width="41.7265625" customWidth="1"/>
    <col min="8454" max="8454" width="14.7265625" customWidth="1"/>
    <col min="8455" max="8455" width="14.90625" customWidth="1"/>
    <col min="8456" max="8457" width="11.7265625" customWidth="1"/>
    <col min="8458" max="8458" width="11.90625" bestFit="1" customWidth="1"/>
    <col min="8460" max="8460" width="10.26953125" bestFit="1" customWidth="1"/>
    <col min="8461" max="8461" width="11.26953125" customWidth="1"/>
    <col min="8462" max="8462" width="5" customWidth="1"/>
    <col min="8463" max="8468" width="15" customWidth="1"/>
    <col min="8708" max="8708" width="5.08984375" customWidth="1"/>
    <col min="8709" max="8709" width="41.7265625" customWidth="1"/>
    <col min="8710" max="8710" width="14.7265625" customWidth="1"/>
    <col min="8711" max="8711" width="14.90625" customWidth="1"/>
    <col min="8712" max="8713" width="11.7265625" customWidth="1"/>
    <col min="8714" max="8714" width="11.90625" bestFit="1" customWidth="1"/>
    <col min="8716" max="8716" width="10.26953125" bestFit="1" customWidth="1"/>
    <col min="8717" max="8717" width="11.26953125" customWidth="1"/>
    <col min="8718" max="8718" width="5" customWidth="1"/>
    <col min="8719" max="8724" width="15" customWidth="1"/>
    <col min="8964" max="8964" width="5.08984375" customWidth="1"/>
    <col min="8965" max="8965" width="41.7265625" customWidth="1"/>
    <col min="8966" max="8966" width="14.7265625" customWidth="1"/>
    <col min="8967" max="8967" width="14.90625" customWidth="1"/>
    <col min="8968" max="8969" width="11.7265625" customWidth="1"/>
    <col min="8970" max="8970" width="11.90625" bestFit="1" customWidth="1"/>
    <col min="8972" max="8972" width="10.26953125" bestFit="1" customWidth="1"/>
    <col min="8973" max="8973" width="11.26953125" customWidth="1"/>
    <col min="8974" max="8974" width="5" customWidth="1"/>
    <col min="8975" max="8980" width="15" customWidth="1"/>
    <col min="9220" max="9220" width="5.08984375" customWidth="1"/>
    <col min="9221" max="9221" width="41.7265625" customWidth="1"/>
    <col min="9222" max="9222" width="14.7265625" customWidth="1"/>
    <col min="9223" max="9223" width="14.90625" customWidth="1"/>
    <col min="9224" max="9225" width="11.7265625" customWidth="1"/>
    <col min="9226" max="9226" width="11.90625" bestFit="1" customWidth="1"/>
    <col min="9228" max="9228" width="10.26953125" bestFit="1" customWidth="1"/>
    <col min="9229" max="9229" width="11.26953125" customWidth="1"/>
    <col min="9230" max="9230" width="5" customWidth="1"/>
    <col min="9231" max="9236" width="15" customWidth="1"/>
    <col min="9476" max="9476" width="5.08984375" customWidth="1"/>
    <col min="9477" max="9477" width="41.7265625" customWidth="1"/>
    <col min="9478" max="9478" width="14.7265625" customWidth="1"/>
    <col min="9479" max="9479" width="14.90625" customWidth="1"/>
    <col min="9480" max="9481" width="11.7265625" customWidth="1"/>
    <col min="9482" max="9482" width="11.90625" bestFit="1" customWidth="1"/>
    <col min="9484" max="9484" width="10.26953125" bestFit="1" customWidth="1"/>
    <col min="9485" max="9485" width="11.26953125" customWidth="1"/>
    <col min="9486" max="9486" width="5" customWidth="1"/>
    <col min="9487" max="9492" width="15" customWidth="1"/>
    <col min="9732" max="9732" width="5.08984375" customWidth="1"/>
    <col min="9733" max="9733" width="41.7265625" customWidth="1"/>
    <col min="9734" max="9734" width="14.7265625" customWidth="1"/>
    <col min="9735" max="9735" width="14.90625" customWidth="1"/>
    <col min="9736" max="9737" width="11.7265625" customWidth="1"/>
    <col min="9738" max="9738" width="11.90625" bestFit="1" customWidth="1"/>
    <col min="9740" max="9740" width="10.26953125" bestFit="1" customWidth="1"/>
    <col min="9741" max="9741" width="11.26953125" customWidth="1"/>
    <col min="9742" max="9742" width="5" customWidth="1"/>
    <col min="9743" max="9748" width="15" customWidth="1"/>
    <col min="9988" max="9988" width="5.08984375" customWidth="1"/>
    <col min="9989" max="9989" width="41.7265625" customWidth="1"/>
    <col min="9990" max="9990" width="14.7265625" customWidth="1"/>
    <col min="9991" max="9991" width="14.90625" customWidth="1"/>
    <col min="9992" max="9993" width="11.7265625" customWidth="1"/>
    <col min="9994" max="9994" width="11.90625" bestFit="1" customWidth="1"/>
    <col min="9996" max="9996" width="10.26953125" bestFit="1" customWidth="1"/>
    <col min="9997" max="9997" width="11.26953125" customWidth="1"/>
    <col min="9998" max="9998" width="5" customWidth="1"/>
    <col min="9999" max="10004" width="15" customWidth="1"/>
    <col min="10244" max="10244" width="5.08984375" customWidth="1"/>
    <col min="10245" max="10245" width="41.7265625" customWidth="1"/>
    <col min="10246" max="10246" width="14.7265625" customWidth="1"/>
    <col min="10247" max="10247" width="14.90625" customWidth="1"/>
    <col min="10248" max="10249" width="11.7265625" customWidth="1"/>
    <col min="10250" max="10250" width="11.90625" bestFit="1" customWidth="1"/>
    <col min="10252" max="10252" width="10.26953125" bestFit="1" customWidth="1"/>
    <col min="10253" max="10253" width="11.26953125" customWidth="1"/>
    <col min="10254" max="10254" width="5" customWidth="1"/>
    <col min="10255" max="10260" width="15" customWidth="1"/>
    <col min="10500" max="10500" width="5.08984375" customWidth="1"/>
    <col min="10501" max="10501" width="41.7265625" customWidth="1"/>
    <col min="10502" max="10502" width="14.7265625" customWidth="1"/>
    <col min="10503" max="10503" width="14.90625" customWidth="1"/>
    <col min="10504" max="10505" width="11.7265625" customWidth="1"/>
    <col min="10506" max="10506" width="11.90625" bestFit="1" customWidth="1"/>
    <col min="10508" max="10508" width="10.26953125" bestFit="1" customWidth="1"/>
    <col min="10509" max="10509" width="11.26953125" customWidth="1"/>
    <col min="10510" max="10510" width="5" customWidth="1"/>
    <col min="10511" max="10516" width="15" customWidth="1"/>
    <col min="10756" max="10756" width="5.08984375" customWidth="1"/>
    <col min="10757" max="10757" width="41.7265625" customWidth="1"/>
    <col min="10758" max="10758" width="14.7265625" customWidth="1"/>
    <col min="10759" max="10759" width="14.90625" customWidth="1"/>
    <col min="10760" max="10761" width="11.7265625" customWidth="1"/>
    <col min="10762" max="10762" width="11.90625" bestFit="1" customWidth="1"/>
    <col min="10764" max="10764" width="10.26953125" bestFit="1" customWidth="1"/>
    <col min="10765" max="10765" width="11.26953125" customWidth="1"/>
    <col min="10766" max="10766" width="5" customWidth="1"/>
    <col min="10767" max="10772" width="15" customWidth="1"/>
    <col min="11012" max="11012" width="5.08984375" customWidth="1"/>
    <col min="11013" max="11013" width="41.7265625" customWidth="1"/>
    <col min="11014" max="11014" width="14.7265625" customWidth="1"/>
    <col min="11015" max="11015" width="14.90625" customWidth="1"/>
    <col min="11016" max="11017" width="11.7265625" customWidth="1"/>
    <col min="11018" max="11018" width="11.90625" bestFit="1" customWidth="1"/>
    <col min="11020" max="11020" width="10.26953125" bestFit="1" customWidth="1"/>
    <col min="11021" max="11021" width="11.26953125" customWidth="1"/>
    <col min="11022" max="11022" width="5" customWidth="1"/>
    <col min="11023" max="11028" width="15" customWidth="1"/>
    <col min="11268" max="11268" width="5.08984375" customWidth="1"/>
    <col min="11269" max="11269" width="41.7265625" customWidth="1"/>
    <col min="11270" max="11270" width="14.7265625" customWidth="1"/>
    <col min="11271" max="11271" width="14.90625" customWidth="1"/>
    <col min="11272" max="11273" width="11.7265625" customWidth="1"/>
    <col min="11274" max="11274" width="11.90625" bestFit="1" customWidth="1"/>
    <col min="11276" max="11276" width="10.26953125" bestFit="1" customWidth="1"/>
    <col min="11277" max="11277" width="11.26953125" customWidth="1"/>
    <col min="11278" max="11278" width="5" customWidth="1"/>
    <col min="11279" max="11284" width="15" customWidth="1"/>
    <col min="11524" max="11524" width="5.08984375" customWidth="1"/>
    <col min="11525" max="11525" width="41.7265625" customWidth="1"/>
    <col min="11526" max="11526" width="14.7265625" customWidth="1"/>
    <col min="11527" max="11527" width="14.90625" customWidth="1"/>
    <col min="11528" max="11529" width="11.7265625" customWidth="1"/>
    <col min="11530" max="11530" width="11.90625" bestFit="1" customWidth="1"/>
    <col min="11532" max="11532" width="10.26953125" bestFit="1" customWidth="1"/>
    <col min="11533" max="11533" width="11.26953125" customWidth="1"/>
    <col min="11534" max="11534" width="5" customWidth="1"/>
    <col min="11535" max="11540" width="15" customWidth="1"/>
    <col min="11780" max="11780" width="5.08984375" customWidth="1"/>
    <col min="11781" max="11781" width="41.7265625" customWidth="1"/>
    <col min="11782" max="11782" width="14.7265625" customWidth="1"/>
    <col min="11783" max="11783" width="14.90625" customWidth="1"/>
    <col min="11784" max="11785" width="11.7265625" customWidth="1"/>
    <col min="11786" max="11786" width="11.90625" bestFit="1" customWidth="1"/>
    <col min="11788" max="11788" width="10.26953125" bestFit="1" customWidth="1"/>
    <col min="11789" max="11789" width="11.26953125" customWidth="1"/>
    <col min="11790" max="11790" width="5" customWidth="1"/>
    <col min="11791" max="11796" width="15" customWidth="1"/>
    <col min="12036" max="12036" width="5.08984375" customWidth="1"/>
    <col min="12037" max="12037" width="41.7265625" customWidth="1"/>
    <col min="12038" max="12038" width="14.7265625" customWidth="1"/>
    <col min="12039" max="12039" width="14.90625" customWidth="1"/>
    <col min="12040" max="12041" width="11.7265625" customWidth="1"/>
    <col min="12042" max="12042" width="11.90625" bestFit="1" customWidth="1"/>
    <col min="12044" max="12044" width="10.26953125" bestFit="1" customWidth="1"/>
    <col min="12045" max="12045" width="11.26953125" customWidth="1"/>
    <col min="12046" max="12046" width="5" customWidth="1"/>
    <col min="12047" max="12052" width="15" customWidth="1"/>
    <col min="12292" max="12292" width="5.08984375" customWidth="1"/>
    <col min="12293" max="12293" width="41.7265625" customWidth="1"/>
    <col min="12294" max="12294" width="14.7265625" customWidth="1"/>
    <col min="12295" max="12295" width="14.90625" customWidth="1"/>
    <col min="12296" max="12297" width="11.7265625" customWidth="1"/>
    <col min="12298" max="12298" width="11.90625" bestFit="1" customWidth="1"/>
    <col min="12300" max="12300" width="10.26953125" bestFit="1" customWidth="1"/>
    <col min="12301" max="12301" width="11.26953125" customWidth="1"/>
    <col min="12302" max="12302" width="5" customWidth="1"/>
    <col min="12303" max="12308" width="15" customWidth="1"/>
    <col min="12548" max="12548" width="5.08984375" customWidth="1"/>
    <col min="12549" max="12549" width="41.7265625" customWidth="1"/>
    <col min="12550" max="12550" width="14.7265625" customWidth="1"/>
    <col min="12551" max="12551" width="14.90625" customWidth="1"/>
    <col min="12552" max="12553" width="11.7265625" customWidth="1"/>
    <col min="12554" max="12554" width="11.90625" bestFit="1" customWidth="1"/>
    <col min="12556" max="12556" width="10.26953125" bestFit="1" customWidth="1"/>
    <col min="12557" max="12557" width="11.26953125" customWidth="1"/>
    <col min="12558" max="12558" width="5" customWidth="1"/>
    <col min="12559" max="12564" width="15" customWidth="1"/>
    <col min="12804" max="12804" width="5.08984375" customWidth="1"/>
    <col min="12805" max="12805" width="41.7265625" customWidth="1"/>
    <col min="12806" max="12806" width="14.7265625" customWidth="1"/>
    <col min="12807" max="12807" width="14.90625" customWidth="1"/>
    <col min="12808" max="12809" width="11.7265625" customWidth="1"/>
    <col min="12810" max="12810" width="11.90625" bestFit="1" customWidth="1"/>
    <col min="12812" max="12812" width="10.26953125" bestFit="1" customWidth="1"/>
    <col min="12813" max="12813" width="11.26953125" customWidth="1"/>
    <col min="12814" max="12814" width="5" customWidth="1"/>
    <col min="12815" max="12820" width="15" customWidth="1"/>
    <col min="13060" max="13060" width="5.08984375" customWidth="1"/>
    <col min="13061" max="13061" width="41.7265625" customWidth="1"/>
    <col min="13062" max="13062" width="14.7265625" customWidth="1"/>
    <col min="13063" max="13063" width="14.90625" customWidth="1"/>
    <col min="13064" max="13065" width="11.7265625" customWidth="1"/>
    <col min="13066" max="13066" width="11.90625" bestFit="1" customWidth="1"/>
    <col min="13068" max="13068" width="10.26953125" bestFit="1" customWidth="1"/>
    <col min="13069" max="13069" width="11.26953125" customWidth="1"/>
    <col min="13070" max="13070" width="5" customWidth="1"/>
    <col min="13071" max="13076" width="15" customWidth="1"/>
    <col min="13316" max="13316" width="5.08984375" customWidth="1"/>
    <col min="13317" max="13317" width="41.7265625" customWidth="1"/>
    <col min="13318" max="13318" width="14.7265625" customWidth="1"/>
    <col min="13319" max="13319" width="14.90625" customWidth="1"/>
    <col min="13320" max="13321" width="11.7265625" customWidth="1"/>
    <col min="13322" max="13322" width="11.90625" bestFit="1" customWidth="1"/>
    <col min="13324" max="13324" width="10.26953125" bestFit="1" customWidth="1"/>
    <col min="13325" max="13325" width="11.26953125" customWidth="1"/>
    <col min="13326" max="13326" width="5" customWidth="1"/>
    <col min="13327" max="13332" width="15" customWidth="1"/>
    <col min="13572" max="13572" width="5.08984375" customWidth="1"/>
    <col min="13573" max="13573" width="41.7265625" customWidth="1"/>
    <col min="13574" max="13574" width="14.7265625" customWidth="1"/>
    <col min="13575" max="13575" width="14.90625" customWidth="1"/>
    <col min="13576" max="13577" width="11.7265625" customWidth="1"/>
    <col min="13578" max="13578" width="11.90625" bestFit="1" customWidth="1"/>
    <col min="13580" max="13580" width="10.26953125" bestFit="1" customWidth="1"/>
    <col min="13581" max="13581" width="11.26953125" customWidth="1"/>
    <col min="13582" max="13582" width="5" customWidth="1"/>
    <col min="13583" max="13588" width="15" customWidth="1"/>
    <col min="13828" max="13828" width="5.08984375" customWidth="1"/>
    <col min="13829" max="13829" width="41.7265625" customWidth="1"/>
    <col min="13830" max="13830" width="14.7265625" customWidth="1"/>
    <col min="13831" max="13831" width="14.90625" customWidth="1"/>
    <col min="13832" max="13833" width="11.7265625" customWidth="1"/>
    <col min="13834" max="13834" width="11.90625" bestFit="1" customWidth="1"/>
    <col min="13836" max="13836" width="10.26953125" bestFit="1" customWidth="1"/>
    <col min="13837" max="13837" width="11.26953125" customWidth="1"/>
    <col min="13838" max="13838" width="5" customWidth="1"/>
    <col min="13839" max="13844" width="15" customWidth="1"/>
    <col min="14084" max="14084" width="5.08984375" customWidth="1"/>
    <col min="14085" max="14085" width="41.7265625" customWidth="1"/>
    <col min="14086" max="14086" width="14.7265625" customWidth="1"/>
    <col min="14087" max="14087" width="14.90625" customWidth="1"/>
    <col min="14088" max="14089" width="11.7265625" customWidth="1"/>
    <col min="14090" max="14090" width="11.90625" bestFit="1" customWidth="1"/>
    <col min="14092" max="14092" width="10.26953125" bestFit="1" customWidth="1"/>
    <col min="14093" max="14093" width="11.26953125" customWidth="1"/>
    <col min="14094" max="14094" width="5" customWidth="1"/>
    <col min="14095" max="14100" width="15" customWidth="1"/>
    <col min="14340" max="14340" width="5.08984375" customWidth="1"/>
    <col min="14341" max="14341" width="41.7265625" customWidth="1"/>
    <col min="14342" max="14342" width="14.7265625" customWidth="1"/>
    <col min="14343" max="14343" width="14.90625" customWidth="1"/>
    <col min="14344" max="14345" width="11.7265625" customWidth="1"/>
    <col min="14346" max="14346" width="11.90625" bestFit="1" customWidth="1"/>
    <col min="14348" max="14348" width="10.26953125" bestFit="1" customWidth="1"/>
    <col min="14349" max="14349" width="11.26953125" customWidth="1"/>
    <col min="14350" max="14350" width="5" customWidth="1"/>
    <col min="14351" max="14356" width="15" customWidth="1"/>
    <col min="14596" max="14596" width="5.08984375" customWidth="1"/>
    <col min="14597" max="14597" width="41.7265625" customWidth="1"/>
    <col min="14598" max="14598" width="14.7265625" customWidth="1"/>
    <col min="14599" max="14599" width="14.90625" customWidth="1"/>
    <col min="14600" max="14601" width="11.7265625" customWidth="1"/>
    <col min="14602" max="14602" width="11.90625" bestFit="1" customWidth="1"/>
    <col min="14604" max="14604" width="10.26953125" bestFit="1" customWidth="1"/>
    <col min="14605" max="14605" width="11.26953125" customWidth="1"/>
    <col min="14606" max="14606" width="5" customWidth="1"/>
    <col min="14607" max="14612" width="15" customWidth="1"/>
    <col min="14852" max="14852" width="5.08984375" customWidth="1"/>
    <col min="14853" max="14853" width="41.7265625" customWidth="1"/>
    <col min="14854" max="14854" width="14.7265625" customWidth="1"/>
    <col min="14855" max="14855" width="14.90625" customWidth="1"/>
    <col min="14856" max="14857" width="11.7265625" customWidth="1"/>
    <col min="14858" max="14858" width="11.90625" bestFit="1" customWidth="1"/>
    <col min="14860" max="14860" width="10.26953125" bestFit="1" customWidth="1"/>
    <col min="14861" max="14861" width="11.26953125" customWidth="1"/>
    <col min="14862" max="14862" width="5" customWidth="1"/>
    <col min="14863" max="14868" width="15" customWidth="1"/>
    <col min="15108" max="15108" width="5.08984375" customWidth="1"/>
    <col min="15109" max="15109" width="41.7265625" customWidth="1"/>
    <col min="15110" max="15110" width="14.7265625" customWidth="1"/>
    <col min="15111" max="15111" width="14.90625" customWidth="1"/>
    <col min="15112" max="15113" width="11.7265625" customWidth="1"/>
    <col min="15114" max="15114" width="11.90625" bestFit="1" customWidth="1"/>
    <col min="15116" max="15116" width="10.26953125" bestFit="1" customWidth="1"/>
    <col min="15117" max="15117" width="11.26953125" customWidth="1"/>
    <col min="15118" max="15118" width="5" customWidth="1"/>
    <col min="15119" max="15124" width="15" customWidth="1"/>
    <col min="15364" max="15364" width="5.08984375" customWidth="1"/>
    <col min="15365" max="15365" width="41.7265625" customWidth="1"/>
    <col min="15366" max="15366" width="14.7265625" customWidth="1"/>
    <col min="15367" max="15367" width="14.90625" customWidth="1"/>
    <col min="15368" max="15369" width="11.7265625" customWidth="1"/>
    <col min="15370" max="15370" width="11.90625" bestFit="1" customWidth="1"/>
    <col min="15372" max="15372" width="10.26953125" bestFit="1" customWidth="1"/>
    <col min="15373" max="15373" width="11.26953125" customWidth="1"/>
    <col min="15374" max="15374" width="5" customWidth="1"/>
    <col min="15375" max="15380" width="15" customWidth="1"/>
    <col min="15620" max="15620" width="5.08984375" customWidth="1"/>
    <col min="15621" max="15621" width="41.7265625" customWidth="1"/>
    <col min="15622" max="15622" width="14.7265625" customWidth="1"/>
    <col min="15623" max="15623" width="14.90625" customWidth="1"/>
    <col min="15624" max="15625" width="11.7265625" customWidth="1"/>
    <col min="15626" max="15626" width="11.90625" bestFit="1" customWidth="1"/>
    <col min="15628" max="15628" width="10.26953125" bestFit="1" customWidth="1"/>
    <col min="15629" max="15629" width="11.26953125" customWidth="1"/>
    <col min="15630" max="15630" width="5" customWidth="1"/>
    <col min="15631" max="15636" width="15" customWidth="1"/>
    <col min="15876" max="15876" width="5.08984375" customWidth="1"/>
    <col min="15877" max="15877" width="41.7265625" customWidth="1"/>
    <col min="15878" max="15878" width="14.7265625" customWidth="1"/>
    <col min="15879" max="15879" width="14.90625" customWidth="1"/>
    <col min="15880" max="15881" width="11.7265625" customWidth="1"/>
    <col min="15882" max="15882" width="11.90625" bestFit="1" customWidth="1"/>
    <col min="15884" max="15884" width="10.26953125" bestFit="1" customWidth="1"/>
    <col min="15885" max="15885" width="11.26953125" customWidth="1"/>
    <col min="15886" max="15886" width="5" customWidth="1"/>
    <col min="15887" max="15892" width="15" customWidth="1"/>
    <col min="16132" max="16132" width="5.08984375" customWidth="1"/>
    <col min="16133" max="16133" width="41.7265625" customWidth="1"/>
    <col min="16134" max="16134" width="14.7265625" customWidth="1"/>
    <col min="16135" max="16135" width="14.90625" customWidth="1"/>
    <col min="16136" max="16137" width="11.7265625" customWidth="1"/>
    <col min="16138" max="16138" width="11.90625" bestFit="1" customWidth="1"/>
    <col min="16140" max="16140" width="10.26953125" bestFit="1" customWidth="1"/>
    <col min="16141" max="16141" width="11.26953125" customWidth="1"/>
    <col min="16142" max="16142" width="5" customWidth="1"/>
    <col min="16143" max="16148" width="15" customWidth="1"/>
  </cols>
  <sheetData>
    <row r="1" spans="1:21" ht="26.25" customHeight="1" x14ac:dyDescent="0.35">
      <c r="A1" s="6"/>
      <c r="B1" s="7" t="s">
        <v>18</v>
      </c>
      <c r="C1" s="8"/>
      <c r="D1" s="8"/>
      <c r="E1" s="8"/>
      <c r="F1" s="8"/>
      <c r="G1" s="8"/>
      <c r="H1" s="8"/>
      <c r="I1" s="8"/>
      <c r="J1" s="8"/>
      <c r="K1" s="8"/>
      <c r="L1" s="8"/>
      <c r="M1" s="1"/>
      <c r="N1" s="1"/>
      <c r="O1" s="1"/>
      <c r="P1" s="1"/>
      <c r="Q1" s="1"/>
      <c r="R1" s="1"/>
      <c r="S1" s="1"/>
      <c r="T1" s="1"/>
      <c r="U1" s="1"/>
    </row>
    <row r="2" spans="1:21" x14ac:dyDescent="0.35">
      <c r="A2" s="9"/>
      <c r="B2" s="10" t="str">
        <f>Assumptions!B2</f>
        <v>Stress Case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R2" s="1"/>
      <c r="S2" s="1"/>
      <c r="T2" s="1"/>
      <c r="U2" s="1"/>
    </row>
    <row r="3" spans="1:21" x14ac:dyDescent="0.35">
      <c r="A3" s="9"/>
      <c r="B3" s="7" t="s">
        <v>192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R3" s="1"/>
      <c r="S3" s="1"/>
      <c r="T3" s="1"/>
      <c r="U3" s="1"/>
    </row>
    <row r="4" spans="1:21" ht="12" customHeight="1" x14ac:dyDescent="0.3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1" ht="21.75" customHeight="1" x14ac:dyDescent="0.35">
      <c r="A5" s="9"/>
      <c r="B5" s="12" t="s">
        <v>113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21" ht="14.5" customHeight="1" x14ac:dyDescent="0.35">
      <c r="A6" s="278">
        <f>ROW()</f>
        <v>6</v>
      </c>
      <c r="B6" s="63" t="s">
        <v>9</v>
      </c>
      <c r="C6" s="64"/>
      <c r="D6" s="64"/>
      <c r="E6" s="64"/>
      <c r="F6" s="64"/>
      <c r="G6" s="64"/>
      <c r="H6" s="64"/>
      <c r="I6" s="76" t="s">
        <v>10</v>
      </c>
      <c r="J6" s="341" t="s">
        <v>11</v>
      </c>
      <c r="K6" s="342"/>
      <c r="L6" s="342"/>
      <c r="M6" s="342"/>
      <c r="N6" s="342"/>
      <c r="O6" s="342"/>
      <c r="P6" s="342"/>
      <c r="Q6" s="342"/>
    </row>
    <row r="7" spans="1:21" ht="14.5" customHeight="1" x14ac:dyDescent="0.35">
      <c r="A7" s="278">
        <f>ROW()</f>
        <v>7</v>
      </c>
      <c r="C7" s="64"/>
      <c r="D7" s="65"/>
      <c r="E7" s="64"/>
      <c r="F7" s="64"/>
      <c r="G7" s="64"/>
      <c r="H7" s="64"/>
      <c r="I7" s="77">
        <f>+Assumptions!D7</f>
        <v>44926</v>
      </c>
      <c r="J7" s="77">
        <f>+Assumptions!E7</f>
        <v>45291</v>
      </c>
      <c r="K7" s="77">
        <f>+Assumptions!F7</f>
        <v>45657</v>
      </c>
      <c r="L7" s="77">
        <f>+Assumptions!G7</f>
        <v>46021</v>
      </c>
      <c r="M7" s="77">
        <f>+Assumptions!H7</f>
        <v>46386</v>
      </c>
      <c r="N7" s="77">
        <f>+Assumptions!I7</f>
        <v>46751</v>
      </c>
      <c r="O7" s="77">
        <f>+Assumptions!J7</f>
        <v>47117</v>
      </c>
      <c r="P7" s="77">
        <f>+Assumptions!K7</f>
        <v>47481</v>
      </c>
      <c r="Q7" s="77">
        <v>47848</v>
      </c>
    </row>
    <row r="8" spans="1:21" ht="14.5" customHeight="1" x14ac:dyDescent="0.35">
      <c r="A8" s="278">
        <f>ROW()</f>
        <v>8</v>
      </c>
      <c r="B8" s="36" t="s">
        <v>12</v>
      </c>
      <c r="C8" s="64"/>
      <c r="D8" s="65"/>
      <c r="E8" s="64"/>
      <c r="F8" s="64"/>
      <c r="G8" s="64"/>
    </row>
    <row r="9" spans="1:21" ht="14.5" customHeight="1" x14ac:dyDescent="0.35">
      <c r="A9" s="278">
        <f>ROW()</f>
        <v>9</v>
      </c>
      <c r="B9" t="s">
        <v>180</v>
      </c>
      <c r="D9" s="65"/>
      <c r="E9" s="64"/>
      <c r="F9" s="64"/>
      <c r="G9" s="64"/>
      <c r="I9" s="250">
        <v>0.03</v>
      </c>
      <c r="J9" s="158">
        <f>+I9+J10</f>
        <v>3.4999999999999996E-2</v>
      </c>
      <c r="K9" s="158">
        <f t="shared" ref="K9:Q9" si="0">+J9+K10</f>
        <v>3.9999999999999994E-2</v>
      </c>
      <c r="L9" s="158">
        <f t="shared" si="0"/>
        <v>4.9999999999999996E-2</v>
      </c>
      <c r="M9" s="158">
        <f t="shared" si="0"/>
        <v>4.9999999999999996E-2</v>
      </c>
      <c r="N9" s="158">
        <f t="shared" si="0"/>
        <v>4.9999999999999996E-2</v>
      </c>
      <c r="O9" s="158">
        <f t="shared" si="0"/>
        <v>4.9999999999999996E-2</v>
      </c>
      <c r="P9" s="158">
        <f t="shared" si="0"/>
        <v>4.9999999999999996E-2</v>
      </c>
      <c r="Q9" s="158">
        <f t="shared" si="0"/>
        <v>4.9999999999999996E-2</v>
      </c>
    </row>
    <row r="10" spans="1:21" ht="14.5" customHeight="1" x14ac:dyDescent="0.35">
      <c r="A10" s="278">
        <f>ROW()</f>
        <v>10</v>
      </c>
      <c r="B10" t="s">
        <v>181</v>
      </c>
      <c r="D10" s="65"/>
      <c r="E10" s="64"/>
      <c r="F10" s="64"/>
      <c r="G10" s="64"/>
      <c r="J10" s="78">
        <v>5.0000000000000001E-3</v>
      </c>
      <c r="K10" s="78">
        <v>5.0000000000000001E-3</v>
      </c>
      <c r="L10" s="78">
        <v>0.01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</row>
    <row r="11" spans="1:21" ht="14.5" customHeight="1" x14ac:dyDescent="0.35">
      <c r="A11" s="278">
        <f>ROW()</f>
        <v>11</v>
      </c>
    </row>
    <row r="12" spans="1:21" ht="14.5" customHeight="1" x14ac:dyDescent="0.35">
      <c r="A12" s="278">
        <f>ROW()</f>
        <v>12</v>
      </c>
      <c r="B12" s="36" t="s">
        <v>160</v>
      </c>
      <c r="G12" s="31"/>
      <c r="H12" s="6" t="s">
        <v>114</v>
      </c>
      <c r="I12" s="23" t="s">
        <v>115</v>
      </c>
    </row>
    <row r="13" spans="1:21" ht="14.5" customHeight="1" x14ac:dyDescent="0.35">
      <c r="A13" s="278">
        <f>ROW()</f>
        <v>13</v>
      </c>
      <c r="B13" t="s">
        <v>116</v>
      </c>
      <c r="H13" s="251">
        <v>600000</v>
      </c>
      <c r="I13" s="57">
        <v>0</v>
      </c>
      <c r="J13" s="57">
        <f>+H13</f>
        <v>600000</v>
      </c>
      <c r="K13" s="57">
        <f>+J13</f>
        <v>600000</v>
      </c>
      <c r="L13" s="57">
        <f t="shared" ref="L13:Q13" si="1">+K13</f>
        <v>600000</v>
      </c>
      <c r="M13" s="57">
        <f t="shared" si="1"/>
        <v>600000</v>
      </c>
      <c r="N13" s="57">
        <f t="shared" si="1"/>
        <v>600000</v>
      </c>
      <c r="O13" s="57">
        <f t="shared" si="1"/>
        <v>600000</v>
      </c>
      <c r="P13" s="57">
        <f t="shared" si="1"/>
        <v>600000</v>
      </c>
      <c r="Q13" s="57">
        <f t="shared" si="1"/>
        <v>600000</v>
      </c>
    </row>
    <row r="14" spans="1:21" ht="14.5" customHeight="1" x14ac:dyDescent="0.35">
      <c r="A14" s="278">
        <f>ROW()</f>
        <v>14</v>
      </c>
      <c r="B14" t="s">
        <v>117</v>
      </c>
      <c r="H14" s="57"/>
      <c r="I14" s="57"/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</row>
    <row r="15" spans="1:21" ht="14.5" customHeight="1" x14ac:dyDescent="0.35">
      <c r="A15" s="278">
        <f>ROW()</f>
        <v>15</v>
      </c>
      <c r="B15" t="s">
        <v>14</v>
      </c>
      <c r="I15" s="57"/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</row>
    <row r="16" spans="1:21" ht="14.5" customHeight="1" x14ac:dyDescent="0.35">
      <c r="A16" s="278">
        <f>ROW()</f>
        <v>16</v>
      </c>
      <c r="B16" t="s">
        <v>15</v>
      </c>
      <c r="I16" s="57"/>
      <c r="J16" s="57">
        <f>+(J13*J17+J14*J19)</f>
        <v>3000</v>
      </c>
      <c r="K16" s="57">
        <v>2000</v>
      </c>
      <c r="L16" s="57">
        <v>2000</v>
      </c>
      <c r="M16" s="57">
        <v>2000</v>
      </c>
      <c r="N16" s="57">
        <v>2000</v>
      </c>
      <c r="O16" s="57">
        <v>2000</v>
      </c>
      <c r="P16" s="57">
        <v>2000</v>
      </c>
      <c r="Q16" s="57">
        <v>2000</v>
      </c>
    </row>
    <row r="17" spans="1:17" ht="14.5" customHeight="1" x14ac:dyDescent="0.35">
      <c r="A17" s="278">
        <f>ROW()</f>
        <v>17</v>
      </c>
      <c r="B17" t="s">
        <v>118</v>
      </c>
      <c r="I17" s="57"/>
      <c r="J17" s="78">
        <v>5.0000000000000001E-3</v>
      </c>
      <c r="K17" s="78">
        <v>5.0000000000000001E-3</v>
      </c>
      <c r="L17" s="78">
        <v>5.0000000000000001E-3</v>
      </c>
      <c r="M17" s="78">
        <v>5.0000000000000001E-3</v>
      </c>
      <c r="N17" s="78">
        <v>5.0000000000000001E-3</v>
      </c>
      <c r="O17" s="78">
        <v>5.0000000000000001E-3</v>
      </c>
      <c r="P17" s="78">
        <v>5.0000000000000001E-3</v>
      </c>
      <c r="Q17" s="78">
        <v>5.0000000000000001E-3</v>
      </c>
    </row>
    <row r="18" spans="1:17" ht="14.5" customHeight="1" x14ac:dyDescent="0.35">
      <c r="A18" s="278">
        <f>ROW()</f>
        <v>18</v>
      </c>
      <c r="B18" t="s">
        <v>16</v>
      </c>
      <c r="I18" s="57"/>
      <c r="J18" s="78">
        <v>0.04</v>
      </c>
      <c r="K18" s="78">
        <v>0.04</v>
      </c>
      <c r="L18" s="78">
        <v>0.04</v>
      </c>
      <c r="M18" s="78">
        <v>0.04</v>
      </c>
      <c r="N18" s="78">
        <v>0.04</v>
      </c>
      <c r="O18" s="78">
        <v>0.04</v>
      </c>
      <c r="P18" s="78">
        <v>0.04</v>
      </c>
      <c r="Q18" s="78">
        <v>0.04</v>
      </c>
    </row>
    <row r="19" spans="1:17" ht="14.5" customHeight="1" x14ac:dyDescent="0.35">
      <c r="A19" s="278">
        <f>ROW()</f>
        <v>19</v>
      </c>
      <c r="B19" t="s">
        <v>17</v>
      </c>
      <c r="G19" s="162"/>
      <c r="J19" s="158">
        <f>+J18+J9</f>
        <v>7.4999999999999997E-2</v>
      </c>
      <c r="K19" s="158">
        <f t="shared" ref="K19:Q19" si="2">+K18+K9</f>
        <v>7.9999999999999988E-2</v>
      </c>
      <c r="L19" s="158">
        <f t="shared" si="2"/>
        <v>0.09</v>
      </c>
      <c r="M19" s="158">
        <f t="shared" si="2"/>
        <v>0.09</v>
      </c>
      <c r="N19" s="158">
        <f t="shared" si="2"/>
        <v>0.09</v>
      </c>
      <c r="O19" s="158">
        <f t="shared" si="2"/>
        <v>0.09</v>
      </c>
      <c r="P19" s="158">
        <f t="shared" si="2"/>
        <v>0.09</v>
      </c>
      <c r="Q19" s="158">
        <f t="shared" si="2"/>
        <v>0.09</v>
      </c>
    </row>
    <row r="20" spans="1:17" ht="14.5" customHeight="1" x14ac:dyDescent="0.35">
      <c r="A20" s="278">
        <f>ROW()</f>
        <v>20</v>
      </c>
      <c r="J20" s="158"/>
      <c r="K20" s="158"/>
      <c r="L20" s="158"/>
      <c r="M20" s="158"/>
      <c r="N20" s="158"/>
      <c r="O20" s="158"/>
      <c r="P20" s="158"/>
      <c r="Q20" s="158"/>
    </row>
    <row r="21" spans="1:17" ht="14.5" customHeight="1" x14ac:dyDescent="0.35">
      <c r="A21" s="278">
        <f>ROW()</f>
        <v>21</v>
      </c>
      <c r="B21" s="36" t="s">
        <v>3</v>
      </c>
      <c r="G21" s="31"/>
    </row>
    <row r="22" spans="1:17" ht="14.5" customHeight="1" x14ac:dyDescent="0.35">
      <c r="A22" s="278">
        <f>ROW()</f>
        <v>22</v>
      </c>
      <c r="B22" t="s">
        <v>13</v>
      </c>
      <c r="I22" s="57">
        <f>+'Transaction S&amp;U'!C9</f>
        <v>1000000</v>
      </c>
      <c r="J22" s="57">
        <f>+I22+J23</f>
        <v>1000000</v>
      </c>
      <c r="K22" s="57">
        <f t="shared" ref="K22:Q22" si="3">+J22+K23</f>
        <v>950000</v>
      </c>
      <c r="L22" s="57">
        <f t="shared" si="3"/>
        <v>850000</v>
      </c>
      <c r="M22" s="57">
        <f t="shared" si="3"/>
        <v>750000</v>
      </c>
      <c r="N22" s="57">
        <f t="shared" si="3"/>
        <v>600000</v>
      </c>
      <c r="O22" s="57">
        <f t="shared" si="3"/>
        <v>0</v>
      </c>
      <c r="P22" s="57">
        <f t="shared" si="3"/>
        <v>0</v>
      </c>
      <c r="Q22" s="57">
        <f t="shared" si="3"/>
        <v>0</v>
      </c>
    </row>
    <row r="23" spans="1:17" ht="14.5" customHeight="1" x14ac:dyDescent="0.35">
      <c r="A23" s="278">
        <f>ROW()</f>
        <v>23</v>
      </c>
      <c r="B23" t="s">
        <v>14</v>
      </c>
      <c r="I23" s="57"/>
      <c r="J23" s="57">
        <v>0</v>
      </c>
      <c r="K23" s="57">
        <f>-K29*$I$22</f>
        <v>-50000</v>
      </c>
      <c r="L23" s="57">
        <f t="shared" ref="L23:Q23" si="4">-L29*$I$22</f>
        <v>-100000</v>
      </c>
      <c r="M23" s="57">
        <f t="shared" si="4"/>
        <v>-100000</v>
      </c>
      <c r="N23" s="57">
        <f t="shared" si="4"/>
        <v>-150000</v>
      </c>
      <c r="O23" s="57">
        <f t="shared" si="4"/>
        <v>-600000</v>
      </c>
      <c r="P23" s="57">
        <f t="shared" si="4"/>
        <v>0</v>
      </c>
      <c r="Q23" s="57">
        <f t="shared" si="4"/>
        <v>0</v>
      </c>
    </row>
    <row r="24" spans="1:17" ht="14.5" customHeight="1" x14ac:dyDescent="0.35">
      <c r="A24" s="278">
        <f>ROW()</f>
        <v>24</v>
      </c>
      <c r="B24" t="s">
        <v>15</v>
      </c>
      <c r="I24" s="57"/>
      <c r="J24" s="57">
        <f>I22*J27</f>
        <v>75000</v>
      </c>
      <c r="K24" s="57">
        <f t="shared" ref="K24:Q24" si="5">J22*K27</f>
        <v>79999.999999999985</v>
      </c>
      <c r="L24" s="57">
        <f t="shared" si="5"/>
        <v>85500</v>
      </c>
      <c r="M24" s="57">
        <f t="shared" si="5"/>
        <v>76500</v>
      </c>
      <c r="N24" s="57">
        <f t="shared" si="5"/>
        <v>67500</v>
      </c>
      <c r="O24" s="57">
        <f t="shared" si="5"/>
        <v>54000</v>
      </c>
      <c r="P24" s="57">
        <f t="shared" si="5"/>
        <v>0</v>
      </c>
      <c r="Q24" s="57">
        <f t="shared" si="5"/>
        <v>0</v>
      </c>
    </row>
    <row r="25" spans="1:17" ht="14.5" customHeight="1" thickBot="1" x14ac:dyDescent="0.4">
      <c r="A25" s="278">
        <f>ROW()</f>
        <v>25</v>
      </c>
      <c r="B25" t="s">
        <v>209</v>
      </c>
      <c r="G25" s="112" t="s">
        <v>210</v>
      </c>
      <c r="H25" s="291">
        <f>IRR(I25:Q25)</f>
        <v>8.4417703111410614E-2</v>
      </c>
      <c r="I25" s="57">
        <f>-I22</f>
        <v>-1000000</v>
      </c>
      <c r="J25" s="290">
        <f>J24-J23</f>
        <v>75000</v>
      </c>
      <c r="K25" s="290">
        <f t="shared" ref="K25:Q25" si="6">K24-K23</f>
        <v>129999.99999999999</v>
      </c>
      <c r="L25" s="290">
        <f t="shared" si="6"/>
        <v>185500</v>
      </c>
      <c r="M25" s="290">
        <f t="shared" si="6"/>
        <v>176500</v>
      </c>
      <c r="N25" s="290">
        <f t="shared" si="6"/>
        <v>217500</v>
      </c>
      <c r="O25" s="290">
        <f t="shared" si="6"/>
        <v>654000</v>
      </c>
      <c r="P25" s="290">
        <f t="shared" si="6"/>
        <v>0</v>
      </c>
      <c r="Q25" s="290">
        <f t="shared" si="6"/>
        <v>0</v>
      </c>
    </row>
    <row r="26" spans="1:17" ht="14.5" customHeight="1" thickTop="1" x14ac:dyDescent="0.35">
      <c r="A26" s="278">
        <f>ROW()</f>
        <v>26</v>
      </c>
      <c r="B26" t="s">
        <v>16</v>
      </c>
      <c r="I26" s="57"/>
      <c r="J26" s="78">
        <v>0.04</v>
      </c>
      <c r="K26" s="78">
        <v>0.04</v>
      </c>
      <c r="L26" s="78">
        <v>0.04</v>
      </c>
      <c r="M26" s="78">
        <v>0.04</v>
      </c>
      <c r="N26" s="78">
        <v>0.04</v>
      </c>
      <c r="O26" s="78">
        <v>0.04</v>
      </c>
      <c r="P26" s="78">
        <v>0.04</v>
      </c>
      <c r="Q26" s="78">
        <v>0.04</v>
      </c>
    </row>
    <row r="27" spans="1:17" ht="14.5" customHeight="1" x14ac:dyDescent="0.35">
      <c r="A27" s="278">
        <f>ROW()</f>
        <v>27</v>
      </c>
      <c r="B27" t="s">
        <v>17</v>
      </c>
      <c r="G27" s="162"/>
      <c r="J27" s="158">
        <f>+J26+J9</f>
        <v>7.4999999999999997E-2</v>
      </c>
      <c r="K27" s="158">
        <f t="shared" ref="K27:Q27" si="7">+K26+K9</f>
        <v>7.9999999999999988E-2</v>
      </c>
      <c r="L27" s="158">
        <f t="shared" si="7"/>
        <v>0.09</v>
      </c>
      <c r="M27" s="158">
        <f t="shared" si="7"/>
        <v>0.09</v>
      </c>
      <c r="N27" s="158">
        <f t="shared" si="7"/>
        <v>0.09</v>
      </c>
      <c r="O27" s="158">
        <f t="shared" si="7"/>
        <v>0.09</v>
      </c>
      <c r="P27" s="158">
        <f t="shared" si="7"/>
        <v>0.09</v>
      </c>
      <c r="Q27" s="158">
        <f t="shared" si="7"/>
        <v>0.09</v>
      </c>
    </row>
    <row r="28" spans="1:17" ht="14.5" customHeight="1" x14ac:dyDescent="0.35">
      <c r="A28" s="278">
        <f>ROW()</f>
        <v>28</v>
      </c>
    </row>
    <row r="29" spans="1:17" ht="14.5" customHeight="1" x14ac:dyDescent="0.35">
      <c r="A29" s="278">
        <f>ROW()</f>
        <v>29</v>
      </c>
      <c r="I29" t="s">
        <v>119</v>
      </c>
      <c r="J29" s="158"/>
      <c r="K29" s="78">
        <v>0.05</v>
      </c>
      <c r="L29" s="78">
        <v>0.1</v>
      </c>
      <c r="M29" s="78">
        <v>0.1</v>
      </c>
      <c r="N29" s="78">
        <v>0.15</v>
      </c>
      <c r="O29" s="78">
        <v>0.6</v>
      </c>
      <c r="P29" s="78"/>
      <c r="Q29" s="78"/>
    </row>
    <row r="30" spans="1:17" ht="14.5" customHeight="1" x14ac:dyDescent="0.35">
      <c r="A30" s="278">
        <f>ROW()</f>
        <v>30</v>
      </c>
      <c r="J30" s="158"/>
      <c r="K30" s="158"/>
      <c r="L30" s="158"/>
      <c r="M30" s="158"/>
      <c r="N30" s="158"/>
      <c r="O30" s="158"/>
      <c r="P30" s="158"/>
      <c r="Q30" s="158"/>
    </row>
    <row r="31" spans="1:17" ht="14.5" customHeight="1" x14ac:dyDescent="0.35">
      <c r="A31" s="278">
        <f>ROW()</f>
        <v>31</v>
      </c>
      <c r="B31" s="36" t="s">
        <v>4</v>
      </c>
      <c r="I31" s="57"/>
      <c r="J31" s="57"/>
      <c r="K31" s="57"/>
      <c r="L31" s="57"/>
      <c r="M31" s="57"/>
      <c r="N31" s="57"/>
      <c r="O31" s="57"/>
      <c r="P31" s="57"/>
      <c r="Q31" s="57"/>
    </row>
    <row r="32" spans="1:17" ht="14.5" customHeight="1" x14ac:dyDescent="0.35">
      <c r="A32" s="278">
        <f>ROW()</f>
        <v>32</v>
      </c>
      <c r="B32" t="s">
        <v>13</v>
      </c>
      <c r="I32" s="57">
        <f>+'Transaction S&amp;U'!C10</f>
        <v>1300000</v>
      </c>
      <c r="J32" s="57">
        <f>+I32+J33</f>
        <v>1300000</v>
      </c>
      <c r="K32" s="57">
        <f t="shared" ref="K32:Q32" si="8">+J32+K33</f>
        <v>1287000</v>
      </c>
      <c r="L32" s="57">
        <f t="shared" si="8"/>
        <v>1274000</v>
      </c>
      <c r="M32" s="57">
        <f t="shared" si="8"/>
        <v>1261000</v>
      </c>
      <c r="N32" s="57">
        <f t="shared" si="8"/>
        <v>1248000</v>
      </c>
      <c r="O32" s="57">
        <f t="shared" si="8"/>
        <v>1235000</v>
      </c>
      <c r="P32" s="57">
        <f t="shared" si="8"/>
        <v>1222000</v>
      </c>
      <c r="Q32" s="57">
        <f t="shared" si="8"/>
        <v>0</v>
      </c>
    </row>
    <row r="33" spans="1:22" ht="14.5" customHeight="1" x14ac:dyDescent="0.35">
      <c r="A33" s="278">
        <f>ROW()</f>
        <v>33</v>
      </c>
      <c r="B33" t="s">
        <v>14</v>
      </c>
      <c r="I33" s="57"/>
      <c r="J33" s="57">
        <v>0</v>
      </c>
      <c r="K33" s="57">
        <f>-K39*$I$32</f>
        <v>-13000</v>
      </c>
      <c r="L33" s="57">
        <f t="shared" ref="L33:Q33" si="9">-L39*$I$32</f>
        <v>-13000</v>
      </c>
      <c r="M33" s="57">
        <f t="shared" si="9"/>
        <v>-13000</v>
      </c>
      <c r="N33" s="57">
        <f t="shared" si="9"/>
        <v>-13000</v>
      </c>
      <c r="O33" s="57">
        <f t="shared" si="9"/>
        <v>-13000</v>
      </c>
      <c r="P33" s="57">
        <f t="shared" si="9"/>
        <v>-13000</v>
      </c>
      <c r="Q33" s="57">
        <f t="shared" si="9"/>
        <v>-1222000</v>
      </c>
      <c r="V33" s="79"/>
    </row>
    <row r="34" spans="1:22" ht="14.5" customHeight="1" x14ac:dyDescent="0.35">
      <c r="A34" s="278">
        <f>ROW()</f>
        <v>34</v>
      </c>
      <c r="B34" t="s">
        <v>15</v>
      </c>
      <c r="I34" s="57"/>
      <c r="J34" s="57">
        <f>+J37*I32</f>
        <v>117000</v>
      </c>
      <c r="K34" s="57">
        <f t="shared" ref="K34:Q34" si="10">+K37*J32</f>
        <v>123500</v>
      </c>
      <c r="L34" s="57">
        <f t="shared" si="10"/>
        <v>135135</v>
      </c>
      <c r="M34" s="57">
        <f t="shared" si="10"/>
        <v>133770</v>
      </c>
      <c r="N34" s="57">
        <f t="shared" si="10"/>
        <v>132405</v>
      </c>
      <c r="O34" s="57">
        <f t="shared" si="10"/>
        <v>131040</v>
      </c>
      <c r="P34" s="57">
        <f t="shared" si="10"/>
        <v>129675</v>
      </c>
      <c r="Q34" s="57">
        <f t="shared" si="10"/>
        <v>128310</v>
      </c>
    </row>
    <row r="35" spans="1:22" ht="14.5" customHeight="1" thickBot="1" x14ac:dyDescent="0.4">
      <c r="A35" s="278">
        <f>ROW()</f>
        <v>35</v>
      </c>
      <c r="B35" t="s">
        <v>209</v>
      </c>
      <c r="G35" s="112" t="s">
        <v>210</v>
      </c>
      <c r="H35" s="291">
        <f>IRR(I35:Q35)</f>
        <v>0.10079572149007432</v>
      </c>
      <c r="I35" s="57">
        <f>-I32</f>
        <v>-1300000</v>
      </c>
      <c r="J35" s="290">
        <f>J34-J33</f>
        <v>117000</v>
      </c>
      <c r="K35" s="290">
        <f t="shared" ref="K35" si="11">K34-K33</f>
        <v>136500</v>
      </c>
      <c r="L35" s="290">
        <f t="shared" ref="L35" si="12">L34-L33</f>
        <v>148135</v>
      </c>
      <c r="M35" s="290">
        <f t="shared" ref="M35" si="13">M34-M33</f>
        <v>146770</v>
      </c>
      <c r="N35" s="290">
        <f t="shared" ref="N35" si="14">N34-N33</f>
        <v>145405</v>
      </c>
      <c r="O35" s="290">
        <f t="shared" ref="O35" si="15">O34-O33</f>
        <v>144040</v>
      </c>
      <c r="P35" s="290">
        <f t="shared" ref="P35" si="16">P34-P33</f>
        <v>142675</v>
      </c>
      <c r="Q35" s="290">
        <f t="shared" ref="Q35" si="17">Q34-Q33</f>
        <v>1350310</v>
      </c>
    </row>
    <row r="36" spans="1:22" ht="14.5" customHeight="1" thickTop="1" x14ac:dyDescent="0.35">
      <c r="A36" s="278">
        <f>ROW()</f>
        <v>36</v>
      </c>
      <c r="B36" t="s">
        <v>16</v>
      </c>
      <c r="I36" s="57"/>
      <c r="J36" s="78">
        <v>5.5E-2</v>
      </c>
      <c r="K36" s="78">
        <v>5.5E-2</v>
      </c>
      <c r="L36" s="78">
        <v>5.5E-2</v>
      </c>
      <c r="M36" s="78">
        <v>5.5E-2</v>
      </c>
      <c r="N36" s="78">
        <v>5.5E-2</v>
      </c>
      <c r="O36" s="78">
        <v>5.5E-2</v>
      </c>
      <c r="P36" s="78">
        <v>5.5E-2</v>
      </c>
      <c r="Q36" s="78">
        <v>5.5E-2</v>
      </c>
    </row>
    <row r="37" spans="1:22" ht="14.5" customHeight="1" x14ac:dyDescent="0.35">
      <c r="A37" s="278">
        <f>ROW()</f>
        <v>37</v>
      </c>
      <c r="B37" t="s">
        <v>17</v>
      </c>
      <c r="G37" s="162"/>
      <c r="J37" s="158">
        <f>+J36+J9</f>
        <v>0.09</v>
      </c>
      <c r="K37" s="158">
        <f t="shared" ref="K37:Q37" si="18">+K36+K9</f>
        <v>9.5000000000000001E-2</v>
      </c>
      <c r="L37" s="158">
        <f t="shared" si="18"/>
        <v>0.105</v>
      </c>
      <c r="M37" s="158">
        <f t="shared" si="18"/>
        <v>0.105</v>
      </c>
      <c r="N37" s="158">
        <f t="shared" si="18"/>
        <v>0.105</v>
      </c>
      <c r="O37" s="158">
        <f t="shared" si="18"/>
        <v>0.105</v>
      </c>
      <c r="P37" s="158">
        <f t="shared" si="18"/>
        <v>0.105</v>
      </c>
      <c r="Q37" s="158">
        <f t="shared" si="18"/>
        <v>0.105</v>
      </c>
    </row>
    <row r="38" spans="1:22" ht="14.5" customHeight="1" x14ac:dyDescent="0.35">
      <c r="A38" s="278">
        <f>ROW()</f>
        <v>38</v>
      </c>
    </row>
    <row r="39" spans="1:22" ht="14.5" customHeight="1" x14ac:dyDescent="0.35">
      <c r="A39" s="278">
        <f>ROW()</f>
        <v>39</v>
      </c>
      <c r="I39" t="s">
        <v>119</v>
      </c>
      <c r="J39" s="158"/>
      <c r="K39" s="78">
        <v>0.01</v>
      </c>
      <c r="L39" s="78">
        <v>0.01</v>
      </c>
      <c r="M39" s="78">
        <v>0.01</v>
      </c>
      <c r="N39" s="78">
        <v>0.01</v>
      </c>
      <c r="O39" s="78">
        <v>0.01</v>
      </c>
      <c r="P39" s="78">
        <v>0.01</v>
      </c>
      <c r="Q39" s="78">
        <v>0.94</v>
      </c>
    </row>
    <row r="40" spans="1:22" ht="14.5" customHeight="1" x14ac:dyDescent="0.35">
      <c r="A40" s="278">
        <f>ROW()</f>
        <v>40</v>
      </c>
      <c r="J40" s="158"/>
      <c r="K40" s="158"/>
      <c r="L40" s="158"/>
      <c r="M40" s="158"/>
      <c r="N40" s="158"/>
      <c r="O40" s="158"/>
      <c r="P40" s="158"/>
      <c r="Q40" s="158"/>
    </row>
    <row r="41" spans="1:22" ht="14.5" customHeight="1" x14ac:dyDescent="0.35">
      <c r="A41" s="278">
        <f>ROW()</f>
        <v>41</v>
      </c>
      <c r="B41" s="36" t="s">
        <v>120</v>
      </c>
      <c r="I41" s="57"/>
      <c r="J41" s="57"/>
      <c r="K41" s="57"/>
      <c r="L41" s="57"/>
      <c r="M41" s="57"/>
      <c r="N41" s="57"/>
      <c r="O41" s="57"/>
      <c r="P41" s="57"/>
      <c r="Q41" s="57"/>
    </row>
    <row r="42" spans="1:22" ht="14.5" customHeight="1" x14ac:dyDescent="0.35">
      <c r="A42" s="278">
        <f>ROW()</f>
        <v>42</v>
      </c>
      <c r="B42" t="s">
        <v>13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</row>
    <row r="43" spans="1:22" ht="14.5" customHeight="1" x14ac:dyDescent="0.35">
      <c r="A43" s="278">
        <f>ROW()</f>
        <v>43</v>
      </c>
      <c r="B43" t="s">
        <v>14</v>
      </c>
      <c r="I43" s="57"/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</row>
    <row r="44" spans="1:22" ht="14.5" customHeight="1" x14ac:dyDescent="0.35">
      <c r="A44" s="278">
        <f>ROW()</f>
        <v>44</v>
      </c>
      <c r="B44" t="s">
        <v>15</v>
      </c>
      <c r="I44" s="57"/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</row>
    <row r="45" spans="1:22" ht="14.5" customHeight="1" x14ac:dyDescent="0.35">
      <c r="A45" s="278">
        <f>ROW()</f>
        <v>45</v>
      </c>
      <c r="B45" t="s">
        <v>16</v>
      </c>
      <c r="I45" s="57"/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</row>
    <row r="46" spans="1:22" ht="14.5" customHeight="1" x14ac:dyDescent="0.35">
      <c r="A46" s="278">
        <f>ROW()</f>
        <v>46</v>
      </c>
      <c r="B46" t="s">
        <v>17</v>
      </c>
      <c r="G46" s="162"/>
      <c r="J46" s="158">
        <v>0</v>
      </c>
      <c r="K46" s="158">
        <v>0</v>
      </c>
      <c r="L46" s="158">
        <v>0</v>
      </c>
      <c r="M46" s="158">
        <v>0</v>
      </c>
      <c r="N46" s="158">
        <v>0</v>
      </c>
      <c r="O46" s="158">
        <v>0</v>
      </c>
      <c r="P46" s="158">
        <v>0</v>
      </c>
      <c r="Q46" s="158">
        <v>0</v>
      </c>
    </row>
    <row r="47" spans="1:22" ht="14.5" customHeight="1" x14ac:dyDescent="0.35">
      <c r="A47" s="278">
        <f>ROW()</f>
        <v>47</v>
      </c>
    </row>
    <row r="48" spans="1:22" ht="14.5" customHeight="1" x14ac:dyDescent="0.35">
      <c r="A48" s="278">
        <f>ROW()</f>
        <v>48</v>
      </c>
      <c r="I48" t="s">
        <v>119</v>
      </c>
      <c r="J48" s="158">
        <v>0</v>
      </c>
      <c r="K48" s="158">
        <v>0</v>
      </c>
      <c r="L48" s="158">
        <v>0</v>
      </c>
      <c r="M48" s="158">
        <v>0</v>
      </c>
      <c r="N48" s="158">
        <v>0</v>
      </c>
      <c r="O48" s="158">
        <v>0</v>
      </c>
      <c r="P48" s="158">
        <v>0</v>
      </c>
      <c r="Q48" s="158">
        <v>0</v>
      </c>
    </row>
    <row r="49" spans="1:18" ht="14.5" customHeight="1" x14ac:dyDescent="0.35">
      <c r="A49" s="278">
        <f>ROW()</f>
        <v>49</v>
      </c>
      <c r="J49" s="158"/>
      <c r="K49" s="158"/>
      <c r="L49" s="158"/>
      <c r="M49" s="158"/>
      <c r="N49" s="158"/>
      <c r="O49" s="158"/>
      <c r="P49" s="158"/>
      <c r="Q49" s="158"/>
    </row>
    <row r="50" spans="1:18" ht="14.5" customHeight="1" x14ac:dyDescent="0.35">
      <c r="A50" s="278">
        <f>ROW()</f>
        <v>50</v>
      </c>
      <c r="B50" s="36" t="s">
        <v>28</v>
      </c>
      <c r="G50" s="23"/>
    </row>
    <row r="51" spans="1:18" ht="14.5" customHeight="1" x14ac:dyDescent="0.35">
      <c r="A51" s="278">
        <f>ROW()</f>
        <v>51</v>
      </c>
      <c r="B51" t="s">
        <v>13</v>
      </c>
      <c r="I51" s="57">
        <f>+'Transaction S&amp;U'!C12</f>
        <v>1500000</v>
      </c>
      <c r="J51" s="57">
        <f>+I51+J52</f>
        <v>1500000</v>
      </c>
      <c r="K51" s="57">
        <f t="shared" ref="K51:Q51" si="19">+J51+K52</f>
        <v>1500000</v>
      </c>
      <c r="L51" s="57">
        <f t="shared" si="19"/>
        <v>1500000</v>
      </c>
      <c r="M51" s="57">
        <f t="shared" si="19"/>
        <v>1500000</v>
      </c>
      <c r="N51" s="57">
        <f t="shared" si="19"/>
        <v>1500000</v>
      </c>
      <c r="O51" s="57">
        <f t="shared" si="19"/>
        <v>1500000</v>
      </c>
      <c r="P51" s="57">
        <f t="shared" si="19"/>
        <v>1500000</v>
      </c>
      <c r="Q51" s="57">
        <f t="shared" si="19"/>
        <v>1500000</v>
      </c>
    </row>
    <row r="52" spans="1:18" ht="14.5" customHeight="1" x14ac:dyDescent="0.35">
      <c r="A52" s="278">
        <f>ROW()</f>
        <v>52</v>
      </c>
      <c r="B52" t="s">
        <v>14</v>
      </c>
      <c r="I52" s="57"/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3">
        <f>-Q51</f>
        <v>-1500000</v>
      </c>
    </row>
    <row r="53" spans="1:18" ht="14.5" customHeight="1" x14ac:dyDescent="0.35">
      <c r="A53" s="278">
        <f>ROW()</f>
        <v>53</v>
      </c>
      <c r="B53" t="s">
        <v>15</v>
      </c>
      <c r="I53" s="80"/>
      <c r="J53" s="57">
        <f>+I51*J55</f>
        <v>165000</v>
      </c>
      <c r="K53" s="57">
        <f t="shared" ref="K53:R53" si="20">+J51*K55</f>
        <v>165000</v>
      </c>
      <c r="L53" s="57">
        <f t="shared" si="20"/>
        <v>165000</v>
      </c>
      <c r="M53" s="57">
        <f t="shared" si="20"/>
        <v>165000</v>
      </c>
      <c r="N53" s="57">
        <f t="shared" si="20"/>
        <v>165000</v>
      </c>
      <c r="O53" s="57">
        <f t="shared" si="20"/>
        <v>165000</v>
      </c>
      <c r="P53" s="57">
        <f t="shared" si="20"/>
        <v>165000</v>
      </c>
      <c r="Q53" s="57">
        <f t="shared" si="20"/>
        <v>165000</v>
      </c>
      <c r="R53" s="57">
        <f t="shared" si="20"/>
        <v>165000</v>
      </c>
    </row>
    <row r="54" spans="1:18" ht="14.5" customHeight="1" thickBot="1" x14ac:dyDescent="0.4">
      <c r="A54" s="278"/>
      <c r="G54" s="112" t="s">
        <v>210</v>
      </c>
      <c r="H54" s="291">
        <f>IRR(I54:R54)</f>
        <v>0.10999999999999988</v>
      </c>
      <c r="I54" s="57">
        <f>-I51</f>
        <v>-1500000</v>
      </c>
      <c r="J54" s="290">
        <f>J53-J52</f>
        <v>165000</v>
      </c>
      <c r="K54" s="290">
        <f t="shared" ref="K54" si="21">K53-K52</f>
        <v>165000</v>
      </c>
      <c r="L54" s="290">
        <f t="shared" ref="L54" si="22">L53-L52</f>
        <v>165000</v>
      </c>
      <c r="M54" s="290">
        <f t="shared" ref="M54" si="23">M53-M52</f>
        <v>165000</v>
      </c>
      <c r="N54" s="290">
        <f t="shared" ref="N54" si="24">N53-N52</f>
        <v>165000</v>
      </c>
      <c r="O54" s="290">
        <f t="shared" ref="O54" si="25">O53-O52</f>
        <v>165000</v>
      </c>
      <c r="P54" s="290">
        <f t="shared" ref="P54" si="26">P53-P52</f>
        <v>165000</v>
      </c>
      <c r="Q54" s="290">
        <f t="shared" ref="Q54:R54" si="27">Q53-Q52</f>
        <v>165000</v>
      </c>
      <c r="R54" s="290">
        <f t="shared" si="27"/>
        <v>1665000</v>
      </c>
    </row>
    <row r="55" spans="1:18" ht="14.5" customHeight="1" thickTop="1" x14ac:dyDescent="0.35">
      <c r="A55" s="278">
        <f>ROW()</f>
        <v>55</v>
      </c>
      <c r="B55" t="s">
        <v>17</v>
      </c>
      <c r="J55" s="81">
        <v>0.11</v>
      </c>
      <c r="K55" s="81">
        <v>0.11</v>
      </c>
      <c r="L55" s="81">
        <v>0.11</v>
      </c>
      <c r="M55" s="81">
        <v>0.11</v>
      </c>
      <c r="N55" s="81">
        <v>0.11</v>
      </c>
      <c r="O55" s="81">
        <v>0.11</v>
      </c>
      <c r="P55" s="81">
        <v>0.11</v>
      </c>
      <c r="Q55" s="81">
        <v>0.11</v>
      </c>
      <c r="R55" s="81">
        <v>0.11</v>
      </c>
    </row>
    <row r="56" spans="1:18" ht="14.5" customHeight="1" x14ac:dyDescent="0.35">
      <c r="A56" s="278">
        <f>ROW()</f>
        <v>56</v>
      </c>
      <c r="I56" s="57"/>
    </row>
    <row r="57" spans="1:18" ht="14.5" customHeight="1" x14ac:dyDescent="0.35">
      <c r="A57" s="278">
        <f>ROW()</f>
        <v>57</v>
      </c>
      <c r="B57" s="31" t="s">
        <v>121</v>
      </c>
      <c r="I57" s="57"/>
      <c r="J57" s="57">
        <f>+J53+J34+J24+J16</f>
        <v>360000</v>
      </c>
      <c r="K57" s="57">
        <f t="shared" ref="K57:Q57" si="28">+K53+K34+K24+K16</f>
        <v>370500</v>
      </c>
      <c r="L57" s="57">
        <f t="shared" si="28"/>
        <v>387635</v>
      </c>
      <c r="M57" s="57">
        <f t="shared" si="28"/>
        <v>377270</v>
      </c>
      <c r="N57" s="57">
        <f t="shared" si="28"/>
        <v>366905</v>
      </c>
      <c r="O57" s="57">
        <f t="shared" si="28"/>
        <v>352040</v>
      </c>
      <c r="P57" s="57">
        <f t="shared" si="28"/>
        <v>296675</v>
      </c>
      <c r="Q57" s="57">
        <f t="shared" si="28"/>
        <v>295310</v>
      </c>
    </row>
    <row r="58" spans="1:18" ht="14.5" customHeight="1" x14ac:dyDescent="0.35">
      <c r="A58" s="278">
        <f>ROW()</f>
        <v>58</v>
      </c>
      <c r="B58" s="31" t="s">
        <v>122</v>
      </c>
      <c r="I58" s="57"/>
      <c r="J58" s="57">
        <f>+J52+J33+J15</f>
        <v>0</v>
      </c>
      <c r="K58" s="57">
        <f>+K52+K33+K15+K23</f>
        <v>-63000</v>
      </c>
      <c r="L58" s="57">
        <f t="shared" ref="L58:Q58" si="29">+L52+L33+L15+L23</f>
        <v>-113000</v>
      </c>
      <c r="M58" s="57">
        <f t="shared" si="29"/>
        <v>-113000</v>
      </c>
      <c r="N58" s="57">
        <f t="shared" si="29"/>
        <v>-163000</v>
      </c>
      <c r="O58" s="57">
        <f t="shared" si="29"/>
        <v>-613000</v>
      </c>
      <c r="P58" s="57">
        <f t="shared" si="29"/>
        <v>-13000</v>
      </c>
      <c r="Q58" s="57">
        <f t="shared" si="29"/>
        <v>-1222000</v>
      </c>
    </row>
    <row r="59" spans="1:18" ht="14.5" customHeight="1" x14ac:dyDescent="0.35">
      <c r="A59" s="278">
        <f>ROW()</f>
        <v>59</v>
      </c>
      <c r="B59" s="31" t="s">
        <v>123</v>
      </c>
      <c r="G59" s="112"/>
      <c r="H59" s="291"/>
      <c r="I59" s="57"/>
      <c r="J59" s="57">
        <f>+J57-J58</f>
        <v>360000</v>
      </c>
      <c r="K59" s="57">
        <f t="shared" ref="K59:Q59" si="30">+K57-K58</f>
        <v>433500</v>
      </c>
      <c r="L59" s="57">
        <f t="shared" si="30"/>
        <v>500635</v>
      </c>
      <c r="M59" s="57">
        <f t="shared" si="30"/>
        <v>490270</v>
      </c>
      <c r="N59" s="57">
        <f t="shared" si="30"/>
        <v>529905</v>
      </c>
      <c r="O59" s="57">
        <f t="shared" si="30"/>
        <v>965040</v>
      </c>
      <c r="P59" s="57">
        <f t="shared" si="30"/>
        <v>309675</v>
      </c>
      <c r="Q59" s="57">
        <f t="shared" si="30"/>
        <v>1517310</v>
      </c>
    </row>
    <row r="60" spans="1:18" ht="14.5" customHeight="1" x14ac:dyDescent="0.35">
      <c r="A60" s="278">
        <f>ROW()</f>
        <v>60</v>
      </c>
      <c r="B60" s="31" t="s">
        <v>124</v>
      </c>
      <c r="I60" s="57"/>
      <c r="J60" s="3">
        <f>+J22+J32</f>
        <v>2300000</v>
      </c>
      <c r="K60" s="3">
        <f t="shared" ref="K60:Q60" si="31">+K22+K32</f>
        <v>2237000</v>
      </c>
      <c r="L60" s="3">
        <f t="shared" si="31"/>
        <v>2124000</v>
      </c>
      <c r="M60" s="3">
        <f t="shared" si="31"/>
        <v>2011000</v>
      </c>
      <c r="N60" s="3">
        <f t="shared" si="31"/>
        <v>1848000</v>
      </c>
      <c r="O60" s="3">
        <f t="shared" si="31"/>
        <v>1235000</v>
      </c>
      <c r="P60" s="3">
        <f t="shared" si="31"/>
        <v>1222000</v>
      </c>
      <c r="Q60" s="3">
        <f t="shared" si="31"/>
        <v>0</v>
      </c>
    </row>
    <row r="61" spans="1:18" ht="14.5" customHeight="1" x14ac:dyDescent="0.35">
      <c r="A61" s="278">
        <f>ROW()</f>
        <v>61</v>
      </c>
      <c r="B61" s="31" t="s">
        <v>125</v>
      </c>
      <c r="I61" s="57"/>
      <c r="J61" s="3">
        <f>+J60+J51</f>
        <v>3800000</v>
      </c>
      <c r="K61" s="3">
        <f t="shared" ref="K61:Q61" si="32">+K60+K51</f>
        <v>3737000</v>
      </c>
      <c r="L61" s="3">
        <f t="shared" si="32"/>
        <v>3624000</v>
      </c>
      <c r="M61" s="3">
        <f t="shared" si="32"/>
        <v>3511000</v>
      </c>
      <c r="N61" s="3">
        <f t="shared" si="32"/>
        <v>3348000</v>
      </c>
      <c r="O61" s="3">
        <f t="shared" si="32"/>
        <v>2735000</v>
      </c>
      <c r="P61" s="3">
        <f t="shared" si="32"/>
        <v>2722000</v>
      </c>
      <c r="Q61" s="3">
        <f t="shared" si="32"/>
        <v>1500000</v>
      </c>
    </row>
    <row r="62" spans="1:18" ht="14.5" customHeight="1" x14ac:dyDescent="0.35">
      <c r="A62" s="9"/>
      <c r="B62" s="31"/>
      <c r="I62" s="57"/>
      <c r="J62" s="3"/>
      <c r="K62" s="3"/>
      <c r="L62" s="3"/>
      <c r="M62" s="3"/>
      <c r="N62" s="3"/>
      <c r="O62" s="3"/>
      <c r="P62" s="3"/>
      <c r="Q62" s="3"/>
    </row>
    <row r="63" spans="1:18" ht="14.5" customHeight="1" x14ac:dyDescent="0.35">
      <c r="A63" s="9"/>
      <c r="B63" s="31"/>
      <c r="I63" s="57"/>
      <c r="J63" s="3"/>
      <c r="K63" s="3"/>
      <c r="L63" s="3"/>
      <c r="M63" s="3"/>
      <c r="N63" s="3"/>
      <c r="O63" s="3"/>
      <c r="P63" s="3"/>
      <c r="Q63" s="82"/>
    </row>
    <row r="64" spans="1:18" ht="14.5" customHeight="1" x14ac:dyDescent="0.35">
      <c r="A64" s="9"/>
      <c r="B64" s="31"/>
      <c r="I64" s="57"/>
      <c r="J64" s="3"/>
      <c r="K64" s="3"/>
      <c r="L64" s="3"/>
      <c r="M64" s="3"/>
      <c r="N64" s="3"/>
      <c r="O64" s="3"/>
      <c r="P64" s="3"/>
      <c r="Q64" s="3"/>
    </row>
    <row r="65" spans="1:17" ht="14.5" customHeight="1" x14ac:dyDescent="0.35">
      <c r="A65" s="9"/>
      <c r="B65" s="31"/>
      <c r="I65" s="57"/>
      <c r="J65" s="3"/>
      <c r="K65" s="3"/>
      <c r="L65" s="3"/>
      <c r="M65" s="3"/>
      <c r="N65" s="3"/>
      <c r="O65" s="3"/>
      <c r="P65" s="3"/>
      <c r="Q65" s="3"/>
    </row>
    <row r="66" spans="1:17" ht="14.5" customHeight="1" x14ac:dyDescent="0.35">
      <c r="B66" s="31"/>
      <c r="I66" s="57"/>
      <c r="J66" s="3"/>
      <c r="K66" s="3"/>
      <c r="L66" s="3"/>
      <c r="M66" s="3"/>
      <c r="N66" s="3"/>
      <c r="O66" s="3"/>
      <c r="P66" s="3"/>
      <c r="Q66" s="3"/>
    </row>
    <row r="67" spans="1:17" ht="14.5" customHeight="1" x14ac:dyDescent="0.35">
      <c r="B67" s="31"/>
      <c r="I67" s="57"/>
      <c r="J67" s="3"/>
      <c r="K67" s="3"/>
      <c r="L67" s="3"/>
      <c r="M67" s="3"/>
      <c r="N67" s="3"/>
      <c r="O67" s="3"/>
      <c r="P67" s="3"/>
      <c r="Q67" s="3"/>
    </row>
    <row r="68" spans="1:17" ht="14.5" customHeight="1" x14ac:dyDescent="0.35">
      <c r="B68" s="31"/>
      <c r="I68" s="57"/>
      <c r="J68" s="3"/>
      <c r="K68" s="3"/>
      <c r="L68" s="3"/>
      <c r="M68" s="3"/>
      <c r="N68" s="3"/>
      <c r="O68" s="3"/>
      <c r="P68" s="3"/>
      <c r="Q68" s="3"/>
    </row>
    <row r="69" spans="1:17" ht="14.5" customHeight="1" x14ac:dyDescent="0.35">
      <c r="B69" s="31"/>
      <c r="I69" s="57"/>
      <c r="J69" s="3"/>
      <c r="K69" s="3"/>
      <c r="L69" s="3"/>
      <c r="M69" s="3"/>
      <c r="N69" s="3"/>
      <c r="O69" s="3"/>
      <c r="P69" s="3"/>
      <c r="Q69" s="3"/>
    </row>
    <row r="70" spans="1:17" ht="14.5" customHeight="1" x14ac:dyDescent="0.35">
      <c r="B70" s="31"/>
      <c r="I70" s="57"/>
      <c r="J70" s="3"/>
      <c r="K70" s="3"/>
      <c r="L70" s="3"/>
      <c r="M70" s="3"/>
      <c r="N70" s="3"/>
      <c r="O70" s="3"/>
      <c r="P70" s="3"/>
      <c r="Q70" s="3"/>
    </row>
    <row r="71" spans="1:17" ht="21.75" customHeight="1" x14ac:dyDescent="0.35">
      <c r="A71"/>
    </row>
    <row r="72" spans="1:17" ht="21.75" customHeight="1" x14ac:dyDescent="0.35">
      <c r="A72"/>
    </row>
    <row r="73" spans="1:17" ht="21.75" customHeight="1" x14ac:dyDescent="0.35">
      <c r="A73"/>
    </row>
    <row r="74" spans="1:17" ht="21.75" customHeight="1" x14ac:dyDescent="0.35">
      <c r="A74"/>
    </row>
    <row r="75" spans="1:17" ht="21.75" customHeight="1" x14ac:dyDescent="0.35">
      <c r="A75"/>
    </row>
    <row r="76" spans="1:17" ht="21.75" customHeight="1" x14ac:dyDescent="0.35">
      <c r="A76"/>
    </row>
    <row r="77" spans="1:17" ht="21.75" customHeight="1" x14ac:dyDescent="0.35">
      <c r="A77"/>
    </row>
    <row r="78" spans="1:17" ht="21.75" customHeight="1" x14ac:dyDescent="0.35">
      <c r="A78"/>
    </row>
    <row r="79" spans="1:17" ht="21.75" customHeight="1" x14ac:dyDescent="0.35">
      <c r="A79"/>
    </row>
    <row r="80" spans="1:17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</sheetData>
  <mergeCells count="1">
    <mergeCell ref="J6:Q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Transaction S&amp;U</vt:lpstr>
      <vt:lpstr>Proforma Cap</vt:lpstr>
      <vt:lpstr>Assumptions</vt:lpstr>
      <vt:lpstr>Income Statement</vt:lpstr>
      <vt:lpstr>Cash Flow Statement</vt:lpstr>
      <vt:lpstr>Balance Sheet</vt:lpstr>
      <vt:lpstr>Debt Capacity Test</vt:lpstr>
      <vt:lpstr>Colateral Analysis</vt:lpstr>
      <vt:lpstr>Debt Schedule</vt:lpstr>
      <vt:lpstr>Ratio &amp; Cov Analysis</vt:lpstr>
      <vt:lpstr>Case_Choice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2019-02-27T14:32:04Z</dcterms:created>
  <dcterms:modified xsi:type="dcterms:W3CDTF">2024-09-29T23:32:57Z</dcterms:modified>
</cp:coreProperties>
</file>