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V - FINANCIAL MODELS\"/>
    </mc:Choice>
  </mc:AlternateContent>
  <xr:revisionPtr revIDLastSave="0" documentId="13_ncr:1_{95FEDFBB-3D0C-463B-8ED1-B3BB25C40AB6}" xr6:coauthVersionLast="47" xr6:coauthVersionMax="47" xr10:uidLastSave="{00000000-0000-0000-0000-000000000000}"/>
  <bookViews>
    <workbookView xWindow="-28920" yWindow="-120" windowWidth="29040" windowHeight="15840" xr2:uid="{26601565-F923-4EC9-81FA-A9F4B4913B98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96" i="1"/>
  <c r="D9" i="1"/>
  <c r="D10" i="1"/>
  <c r="D8" i="1"/>
  <c r="D17" i="1"/>
  <c r="E17" i="1"/>
  <c r="F17" i="1"/>
  <c r="G17" i="1"/>
  <c r="D102" i="1"/>
  <c r="D101" i="1"/>
  <c r="D100" i="1"/>
  <c r="D88" i="1"/>
  <c r="D89" i="1"/>
  <c r="D87" i="1"/>
  <c r="D85" i="1"/>
  <c r="D86" i="1"/>
  <c r="D84" i="1"/>
  <c r="D80" i="1"/>
  <c r="D79" i="1"/>
  <c r="C36" i="1"/>
  <c r="F119" i="1"/>
  <c r="G119" i="1"/>
  <c r="E34" i="1"/>
  <c r="F34" i="1"/>
  <c r="G34" i="1"/>
  <c r="G101" i="1" s="1"/>
  <c r="G80" i="1"/>
  <c r="G89" i="1"/>
  <c r="E100" i="1"/>
  <c r="F100" i="1"/>
  <c r="G100" i="1"/>
  <c r="E101" i="1"/>
  <c r="F101" i="1"/>
  <c r="E102" i="1"/>
  <c r="G102" i="1"/>
  <c r="D112" i="1"/>
  <c r="E112" i="1" s="1"/>
  <c r="D18" i="1"/>
  <c r="C14" i="1"/>
  <c r="C17" i="1" s="1"/>
  <c r="C19" i="1" s="1"/>
  <c r="C23" i="1" s="1"/>
  <c r="E71" i="1"/>
  <c r="F71" i="1" s="1"/>
  <c r="G71" i="1" s="1"/>
  <c r="E69" i="1"/>
  <c r="F69" i="1" s="1"/>
  <c r="G69" i="1" s="1"/>
  <c r="G79" i="1" s="1"/>
  <c r="C67" i="1"/>
  <c r="C59" i="1"/>
  <c r="D57" i="1"/>
  <c r="E57" i="1" s="1"/>
  <c r="F57" i="1" s="1"/>
  <c r="G57" i="1" s="1"/>
  <c r="D58" i="1"/>
  <c r="E58" i="1" s="1"/>
  <c r="F58" i="1" s="1"/>
  <c r="G58" i="1" s="1"/>
  <c r="D56" i="1"/>
  <c r="D59" i="1" s="1"/>
  <c r="C53" i="1"/>
  <c r="D51" i="1"/>
  <c r="E51" i="1" s="1"/>
  <c r="F51" i="1" s="1"/>
  <c r="G51" i="1" s="1"/>
  <c r="D52" i="1"/>
  <c r="E52" i="1" s="1"/>
  <c r="F52" i="1" s="1"/>
  <c r="G52" i="1" s="1"/>
  <c r="D50" i="1"/>
  <c r="C11" i="1"/>
  <c r="D48" i="1"/>
  <c r="E48" i="1"/>
  <c r="F48" i="1"/>
  <c r="G48" i="1"/>
  <c r="C48" i="1"/>
  <c r="C42" i="1"/>
  <c r="F39" i="1"/>
  <c r="F40" i="1"/>
  <c r="G40" i="1" s="1"/>
  <c r="E35" i="1"/>
  <c r="F35" i="1" s="1"/>
  <c r="G35" i="1" s="1"/>
  <c r="D32" i="1"/>
  <c r="D36" i="1" s="1"/>
  <c r="C32" i="1"/>
  <c r="E29" i="1"/>
  <c r="F29" i="1" s="1"/>
  <c r="G29" i="1" s="1"/>
  <c r="G88" i="1" s="1"/>
  <c r="E30" i="1"/>
  <c r="F30" i="1" s="1"/>
  <c r="G30" i="1" s="1"/>
  <c r="E28" i="1"/>
  <c r="F28" i="1" s="1"/>
  <c r="F87" i="1" s="1"/>
  <c r="E21" i="1"/>
  <c r="F21" i="1" s="1"/>
  <c r="G21" i="1" s="1"/>
  <c r="E16" i="1"/>
  <c r="F16" i="1" s="1"/>
  <c r="G16" i="1" s="1"/>
  <c r="E15" i="1"/>
  <c r="E9" i="1"/>
  <c r="F9" i="1" s="1"/>
  <c r="G9" i="1" s="1"/>
  <c r="E10" i="1"/>
  <c r="F10" i="1" s="1"/>
  <c r="G10" i="1" s="1"/>
  <c r="E8" i="1"/>
  <c r="F8" i="1" s="1"/>
  <c r="G8" i="1" s="1"/>
  <c r="G96" i="1" l="1"/>
  <c r="F85" i="1"/>
  <c r="G85" i="1"/>
  <c r="E85" i="1"/>
  <c r="D90" i="1"/>
  <c r="F102" i="1"/>
  <c r="F96" i="1"/>
  <c r="E96" i="1"/>
  <c r="D103" i="1"/>
  <c r="E103" i="1"/>
  <c r="F103" i="1"/>
  <c r="G103" i="1"/>
  <c r="F89" i="1"/>
  <c r="F79" i="1"/>
  <c r="E89" i="1"/>
  <c r="E87" i="1"/>
  <c r="E79" i="1"/>
  <c r="G86" i="1"/>
  <c r="G84" i="1"/>
  <c r="F88" i="1"/>
  <c r="F86" i="1"/>
  <c r="F84" i="1"/>
  <c r="F80" i="1"/>
  <c r="E88" i="1"/>
  <c r="E86" i="1"/>
  <c r="E84" i="1"/>
  <c r="E90" i="1" s="1"/>
  <c r="E80" i="1"/>
  <c r="D14" i="1"/>
  <c r="E18" i="1"/>
  <c r="F18" i="1" s="1"/>
  <c r="G18" i="1" s="1"/>
  <c r="F112" i="1"/>
  <c r="C61" i="1"/>
  <c r="C68" i="1" s="1"/>
  <c r="D53" i="1"/>
  <c r="D65" i="1" s="1"/>
  <c r="E50" i="1"/>
  <c r="F50" i="1" s="1"/>
  <c r="G50" i="1" s="1"/>
  <c r="G53" i="1" s="1"/>
  <c r="E56" i="1"/>
  <c r="G39" i="1"/>
  <c r="C44" i="1"/>
  <c r="C45" i="1" s="1"/>
  <c r="G28" i="1"/>
  <c r="G87" i="1" s="1"/>
  <c r="F32" i="1"/>
  <c r="F36" i="1" s="1"/>
  <c r="F15" i="1"/>
  <c r="G15" i="1" s="1"/>
  <c r="E32" i="1"/>
  <c r="E36" i="1" s="1"/>
  <c r="F90" i="1" l="1"/>
  <c r="G90" i="1"/>
  <c r="E14" i="1"/>
  <c r="D95" i="1"/>
  <c r="C118" i="1"/>
  <c r="C121" i="1"/>
  <c r="C122" i="1" s="1"/>
  <c r="G32" i="1"/>
  <c r="G36" i="1" s="1"/>
  <c r="C70" i="1"/>
  <c r="C72" i="1" s="1"/>
  <c r="C73" i="1" s="1"/>
  <c r="C114" i="1"/>
  <c r="C115" i="1" s="1"/>
  <c r="C111" i="1"/>
  <c r="G112" i="1"/>
  <c r="D66" i="1"/>
  <c r="D64" i="1"/>
  <c r="D67" i="1" s="1"/>
  <c r="D61" i="1"/>
  <c r="E53" i="1"/>
  <c r="E65" i="1" s="1"/>
  <c r="F53" i="1"/>
  <c r="F56" i="1"/>
  <c r="E59" i="1"/>
  <c r="F65" i="1" l="1"/>
  <c r="G65" i="1" s="1"/>
  <c r="D68" i="1"/>
  <c r="D19" i="1"/>
  <c r="D23" i="1" s="1"/>
  <c r="E95" i="1"/>
  <c r="E97" i="1" s="1"/>
  <c r="D97" i="1"/>
  <c r="D121" i="1"/>
  <c r="D122" i="1" s="1"/>
  <c r="D118" i="1"/>
  <c r="E66" i="1"/>
  <c r="F66" i="1" s="1"/>
  <c r="G66" i="1" s="1"/>
  <c r="E61" i="1"/>
  <c r="F14" i="1"/>
  <c r="D111" i="1"/>
  <c r="D114" i="1"/>
  <c r="D115" i="1" s="1"/>
  <c r="C74" i="1"/>
  <c r="E64" i="1"/>
  <c r="D70" i="1"/>
  <c r="D72" i="1" s="1"/>
  <c r="G56" i="1"/>
  <c r="G59" i="1" s="1"/>
  <c r="G61" i="1" s="1"/>
  <c r="F59" i="1"/>
  <c r="F61" i="1" s="1"/>
  <c r="E67" i="1" l="1"/>
  <c r="E68" i="1"/>
  <c r="E114" i="1" s="1"/>
  <c r="E115" i="1" s="1"/>
  <c r="E19" i="1"/>
  <c r="E23" i="1" s="1"/>
  <c r="G14" i="1"/>
  <c r="G19" i="1" s="1"/>
  <c r="G23" i="1" s="1"/>
  <c r="E111" i="1"/>
  <c r="F64" i="1"/>
  <c r="G64" i="1" s="1"/>
  <c r="G67" i="1" s="1"/>
  <c r="G68" i="1" s="1"/>
  <c r="D73" i="1"/>
  <c r="D74" i="1" s="1"/>
  <c r="E70" i="1" l="1"/>
  <c r="E72" i="1" s="1"/>
  <c r="E121" i="1"/>
  <c r="E122" i="1" s="1"/>
  <c r="E118" i="1"/>
  <c r="F19" i="1"/>
  <c r="F23" i="1" s="1"/>
  <c r="G95" i="1"/>
  <c r="G97" i="1" s="1"/>
  <c r="F95" i="1"/>
  <c r="F97" i="1" s="1"/>
  <c r="G118" i="1"/>
  <c r="G121" i="1"/>
  <c r="G122" i="1" s="1"/>
  <c r="G70" i="1"/>
  <c r="G72" i="1" s="1"/>
  <c r="G111" i="1"/>
  <c r="G114" i="1"/>
  <c r="G115" i="1" s="1"/>
  <c r="D41" i="1"/>
  <c r="F67" i="1"/>
  <c r="F68" i="1" s="1"/>
  <c r="D42" i="1"/>
  <c r="D44" i="1" s="1"/>
  <c r="D45" i="1" s="1"/>
  <c r="G73" i="1"/>
  <c r="G74" i="1" s="1"/>
  <c r="G78" i="1" s="1"/>
  <c r="G81" i="1" s="1"/>
  <c r="G92" i="1" s="1"/>
  <c r="G105" i="1" s="1"/>
  <c r="D78" i="1" l="1"/>
  <c r="D81" i="1" s="1"/>
  <c r="D92" i="1" s="1"/>
  <c r="D105" i="1" s="1"/>
  <c r="D7" i="1" s="1"/>
  <c r="E73" i="1"/>
  <c r="E74" i="1" s="1"/>
  <c r="F118" i="1"/>
  <c r="F121" i="1"/>
  <c r="F122" i="1" s="1"/>
  <c r="F70" i="1"/>
  <c r="F72" i="1" s="1"/>
  <c r="F73" i="1" s="1"/>
  <c r="F74" i="1" s="1"/>
  <c r="F111" i="1"/>
  <c r="F114" i="1"/>
  <c r="F115" i="1" s="1"/>
  <c r="D11" i="1" l="1"/>
  <c r="E78" i="1"/>
  <c r="E81" i="1" s="1"/>
  <c r="E92" i="1" s="1"/>
  <c r="E105" i="1" s="1"/>
  <c r="E41" i="1"/>
  <c r="E42" i="1" s="1"/>
  <c r="E44" i="1" s="1"/>
  <c r="E45" i="1" s="1"/>
  <c r="F41" i="1"/>
  <c r="F78" i="1"/>
  <c r="F81" i="1" s="1"/>
  <c r="F92" i="1" s="1"/>
  <c r="F105" i="1" s="1"/>
  <c r="G41" i="1"/>
  <c r="G42" i="1" s="1"/>
  <c r="G44" i="1" s="1"/>
  <c r="G45" i="1" s="1"/>
  <c r="F42" i="1"/>
  <c r="F44" i="1" s="1"/>
  <c r="F45" i="1" s="1"/>
  <c r="E7" i="1" l="1"/>
  <c r="F7" i="1" s="1"/>
  <c r="G7" i="1" s="1"/>
  <c r="G11" i="1"/>
  <c r="E11" i="1" l="1"/>
  <c r="F11" i="1"/>
</calcChain>
</file>

<file path=xl/sharedStrings.xml><?xml version="1.0" encoding="utf-8"?>
<sst xmlns="http://schemas.openxmlformats.org/spreadsheetml/2006/main" count="108" uniqueCount="91">
  <si>
    <t>Year 1</t>
  </si>
  <si>
    <t>Year 2</t>
  </si>
  <si>
    <t>Year 3</t>
  </si>
  <si>
    <t>Year 4</t>
  </si>
  <si>
    <t>Year 5</t>
  </si>
  <si>
    <t>Balance Sheet (000's)</t>
  </si>
  <si>
    <t>Cash Flow Statement (000's)</t>
  </si>
  <si>
    <t>Income Statement (000's)</t>
  </si>
  <si>
    <t>Current Assets</t>
  </si>
  <si>
    <t>Revenues by Geography</t>
  </si>
  <si>
    <t xml:space="preserve"> Cash</t>
  </si>
  <si>
    <t>Net Income</t>
  </si>
  <si>
    <t xml:space="preserve">  U.S.</t>
  </si>
  <si>
    <t xml:space="preserve"> Accounts Receivable</t>
  </si>
  <si>
    <t xml:space="preserve">  Europe</t>
  </si>
  <si>
    <t xml:space="preserve"> Inventories</t>
  </si>
  <si>
    <t xml:space="preserve">  Asia</t>
  </si>
  <si>
    <t xml:space="preserve"> Prepaid Expenses</t>
  </si>
  <si>
    <t>Cash Income</t>
  </si>
  <si>
    <t>Total Revenue</t>
  </si>
  <si>
    <t>Total Current Assets</t>
  </si>
  <si>
    <t>Cost of Revenues by Geography</t>
  </si>
  <si>
    <t>Property and Equipment</t>
  </si>
  <si>
    <t xml:space="preserve"> Land</t>
  </si>
  <si>
    <t xml:space="preserve"> Building</t>
  </si>
  <si>
    <t xml:space="preserve"> Furniture &amp; Equipment</t>
  </si>
  <si>
    <t>Total Cost of Revenue</t>
  </si>
  <si>
    <t>Total Gross P&amp;E</t>
  </si>
  <si>
    <t>Less Accumulated Depreciaition</t>
  </si>
  <si>
    <t>Gross Profit</t>
  </si>
  <si>
    <t>Net P&amp;E</t>
  </si>
  <si>
    <t>Operating Expenses</t>
  </si>
  <si>
    <t>Long-Term Investments</t>
  </si>
  <si>
    <t>Operating Cash Flow (OCF)</t>
  </si>
  <si>
    <t xml:space="preserve"> Administrative &amp; General</t>
  </si>
  <si>
    <t xml:space="preserve"> Marketing Expenses</t>
  </si>
  <si>
    <t>Total Assets</t>
  </si>
  <si>
    <t xml:space="preserve"> Other Operating Expenses</t>
  </si>
  <si>
    <t>Total Operating Expenses</t>
  </si>
  <si>
    <t>Liabilities and Owners Equity</t>
  </si>
  <si>
    <t>EBITDA</t>
  </si>
  <si>
    <t>Current Liabilities</t>
  </si>
  <si>
    <t xml:space="preserve"> Accounts Payable</t>
  </si>
  <si>
    <t>Depreciation</t>
  </si>
  <si>
    <t xml:space="preserve"> Accrued Income Taxes</t>
  </si>
  <si>
    <t xml:space="preserve"> Accrued Expenses</t>
  </si>
  <si>
    <t>Financing Activities</t>
  </si>
  <si>
    <t>EBIT</t>
  </si>
  <si>
    <t xml:space="preserve"> Current Portion of Long Term Debt</t>
  </si>
  <si>
    <t>Total Current Liabilities</t>
  </si>
  <si>
    <t>Interest Expense</t>
  </si>
  <si>
    <t>Long-Term Debt:</t>
  </si>
  <si>
    <t>EBT</t>
  </si>
  <si>
    <t>Deferred Income Taxes</t>
  </si>
  <si>
    <t>Free Cash Flow</t>
  </si>
  <si>
    <t>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</si>
  <si>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</si>
  <si>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</si>
  <si>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</si>
  <si>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</si>
  <si>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</si>
  <si>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</si>
  <si>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</si>
  <si>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Error</t>
  </si>
  <si>
    <t>Pegasus Technology</t>
  </si>
  <si>
    <t>Covenant Analysis</t>
  </si>
  <si>
    <t>Add Depreciation</t>
  </si>
  <si>
    <t>Add Deferred Taxes</t>
  </si>
  <si>
    <t>Working Capital Activities:</t>
  </si>
  <si>
    <t>Change in Acc. Receivable</t>
  </si>
  <si>
    <t>Change in Inventory</t>
  </si>
  <si>
    <t>Change in Other Current Assets</t>
  </si>
  <si>
    <t>Change in Accounts Payable</t>
  </si>
  <si>
    <t>Change in Acrued Taxes</t>
  </si>
  <si>
    <t>Change in Accrued Expenses</t>
  </si>
  <si>
    <t>Investment Activity</t>
  </si>
  <si>
    <t>Capital Expenditures</t>
  </si>
  <si>
    <t>Investments</t>
  </si>
  <si>
    <t xml:space="preserve">  Total Working Capital Activities</t>
  </si>
  <si>
    <t xml:space="preserve">  Total Investment Activitities</t>
  </si>
  <si>
    <t xml:space="preserve">  Long Term Debt Payment/Issuance</t>
  </si>
  <si>
    <t xml:space="preserve">  Short Term Debt Payment/Issuance</t>
  </si>
  <si>
    <t xml:space="preserve">  New Paid-in-Capital </t>
  </si>
  <si>
    <t xml:space="preserve">     Total Financing Activities</t>
  </si>
  <si>
    <t>Total Debt / EBITDA</t>
  </si>
  <si>
    <t>Covenant</t>
  </si>
  <si>
    <t>EBITDA Cushion $</t>
  </si>
  <si>
    <t>EBITDA Cushion %</t>
  </si>
  <si>
    <t>LEVERAGE RATIO</t>
  </si>
  <si>
    <t>COVERAGE RATIO</t>
  </si>
  <si>
    <t>EBITDA / 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</si>
</sst>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\x"/>
    <numFmt numFmtId="167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41" fontId="0" fillId="0" borderId="0" xfId="1" applyNumberFormat="1" applyFont="1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41" fontId="4" fillId="0" borderId="0" xfId="1" applyNumberFormat="1" applyFont="1" applyFill="1" applyBorder="1"/>
    <xf numFmtId="0" fontId="0" fillId="0" borderId="0" xfId="0" applyFill="1" applyAlignment="1">
      <alignment horizontal="center"/>
    </xf>
    <xf numFmtId="41" fontId="7" fillId="0" borderId="0" xfId="1" applyNumberFormat="1" applyFont="1" applyFill="1" applyBorder="1"/>
    <xf numFmtId="0" fontId="1" fillId="0" borderId="0" xfId="0" applyFont="1" applyFill="1" applyBorder="1"/>
    <xf numFmtId="0" fontId="0" fillId="2" borderId="3" xfId="0" applyFill="1" applyBorder="1"/>
    <xf numFmtId="0" fontId="8" fillId="0" borderId="0" xfId="0" applyFont="1" applyFill="1" applyBorder="1"/>
    <xf numFmtId="41" fontId="8" fillId="0" borderId="0" xfId="1" applyNumberFormat="1" applyFont="1" applyFill="1" applyBorder="1"/>
    <xf numFmtId="0" fontId="0" fillId="0" borderId="0" xfId="0" applyFont="1" applyBorder="1"/>
    <xf numFmtId="0" fontId="9" fillId="2" borderId="3" xfId="0" applyFont="1" applyFill="1" applyBorder="1" applyAlignment="1">
      <alignment horizontal="right"/>
    </xf>
    <xf numFmtId="0" fontId="0" fillId="0" borderId="0" xfId="0" applyFont="1" applyFill="1" applyBorder="1"/>
    <xf numFmtId="41" fontId="7" fillId="0" borderId="1" xfId="1" applyNumberFormat="1" applyFont="1" applyFill="1" applyBorder="1"/>
    <xf numFmtId="41" fontId="0" fillId="0" borderId="0" xfId="0" applyNumberFormat="1" applyFont="1" applyFill="1" applyBorder="1"/>
    <xf numFmtId="41" fontId="7" fillId="0" borderId="2" xfId="1" applyNumberFormat="1" applyFont="1" applyFill="1" applyBorder="1"/>
    <xf numFmtId="41" fontId="0" fillId="0" borderId="2" xfId="1" applyNumberFormat="1" applyFont="1" applyFill="1" applyBorder="1"/>
    <xf numFmtId="0" fontId="0" fillId="0" borderId="0" xfId="0" applyFont="1" applyFill="1"/>
    <xf numFmtId="41" fontId="0" fillId="0" borderId="1" xfId="1" applyNumberFormat="1" applyFont="1" applyFill="1" applyBorder="1"/>
    <xf numFmtId="0" fontId="2" fillId="0" borderId="0" xfId="0" applyFont="1" applyBorder="1"/>
    <xf numFmtId="0" fontId="10" fillId="0" borderId="0" xfId="0" applyFont="1" applyBorder="1"/>
    <xf numFmtId="0" fontId="2" fillId="0" borderId="0" xfId="0" applyFont="1" applyFill="1" applyBorder="1"/>
    <xf numFmtId="41" fontId="0" fillId="0" borderId="0" xfId="0" applyNumberFormat="1" applyFont="1" applyBorder="1"/>
    <xf numFmtId="41" fontId="0" fillId="0" borderId="1" xfId="0" applyNumberFormat="1" applyFont="1" applyBorder="1"/>
    <xf numFmtId="0" fontId="6" fillId="2" borderId="4" xfId="0" applyFont="1" applyFill="1" applyBorder="1"/>
    <xf numFmtId="0" fontId="0" fillId="2" borderId="4" xfId="0" applyFont="1" applyFill="1" applyBorder="1" applyAlignment="1">
      <alignment horizontal="right"/>
    </xf>
    <xf numFmtId="0" fontId="3" fillId="0" borderId="1" xfId="0" applyFont="1" applyFill="1" applyBorder="1"/>
    <xf numFmtId="165" fontId="0" fillId="0" borderId="0" xfId="0" applyNumberFormat="1" applyFont="1" applyBorder="1"/>
    <xf numFmtId="165" fontId="0" fillId="0" borderId="0" xfId="0" applyNumberFormat="1" applyBorder="1"/>
    <xf numFmtId="167" fontId="0" fillId="0" borderId="0" xfId="2" applyNumberFormat="1" applyFont="1" applyBorder="1"/>
    <xf numFmtId="10" fontId="0" fillId="0" borderId="0" xfId="3" applyNumberFormat="1" applyFont="1" applyBorder="1"/>
    <xf numFmtId="0" fontId="11" fillId="0" borderId="0" xfId="0" applyFont="1" applyBorder="1"/>
    <xf numFmtId="41" fontId="0" fillId="3" borderId="0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E8C9E-1C16-41EB-8790-A9ACC16465C1}">
  <dimension ref="A1:J132"/>
  <sheetViews>
    <sheetView showGridLines="0" tabSelected="1" workbookViewId="0">
      <selection activeCell="K10" sqref="K10"/>
    </sheetView>
  </sheetViews>
  <sheetFormatPr defaultRowHeight="14.5" x14ac:dyDescent="0.35"/>
  <cols>
    <col min="1" max="1" width="4.36328125" customWidth="1"/>
    <col min="2" max="2" width="31.36328125" style="2" customWidth="1"/>
    <col min="3" max="5" width="11.08984375" style="13" customWidth="1"/>
    <col min="6" max="7" width="10.1796875" style="13" bestFit="1" customWidth="1"/>
    <col min="8" max="8" width="8.7265625" style="2"/>
  </cols>
  <sheetData>
    <row r="1" spans="2:8" ht="19" customHeight="1" x14ac:dyDescent="0.5">
      <c r="B1" s="23" t="s">
        <v>64</v>
      </c>
    </row>
    <row r="2" spans="2:8" ht="14" customHeight="1" x14ac:dyDescent="0.35">
      <c r="B2" s="22" t="s">
        <v>65</v>
      </c>
    </row>
    <row r="3" spans="2:8" ht="21.75" customHeight="1" x14ac:dyDescent="0.35"/>
    <row r="4" spans="2:8" s="3" customFormat="1" ht="15.5" x14ac:dyDescent="0.35">
      <c r="B4" s="27" t="s">
        <v>5</v>
      </c>
      <c r="C4" s="28"/>
      <c r="D4" s="28"/>
      <c r="E4" s="28"/>
      <c r="F4" s="28"/>
      <c r="G4" s="28"/>
      <c r="H4" s="4"/>
    </row>
    <row r="5" spans="2:8" s="3" customFormat="1" ht="15" thickBot="1" x14ac:dyDescent="0.4">
      <c r="B5" s="10"/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4"/>
    </row>
    <row r="6" spans="2:8" s="3" customFormat="1" ht="18" customHeight="1" thickTop="1" x14ac:dyDescent="0.35">
      <c r="B6" s="5" t="s">
        <v>8</v>
      </c>
      <c r="C6" s="15"/>
      <c r="D6" s="15"/>
      <c r="E6" s="15"/>
      <c r="F6" s="15"/>
      <c r="G6" s="15"/>
      <c r="H6" s="4"/>
    </row>
    <row r="7" spans="2:8" s="3" customFormat="1" ht="18" customHeight="1" x14ac:dyDescent="0.35">
      <c r="B7" s="4" t="s">
        <v>10</v>
      </c>
      <c r="C7" s="8">
        <v>67500</v>
      </c>
      <c r="D7" s="8">
        <f>C7+D105</f>
        <v>103915</v>
      </c>
      <c r="E7" s="8">
        <f>D7+E105</f>
        <v>306033.5</v>
      </c>
      <c r="F7" s="8">
        <f>E7+F105</f>
        <v>531185.25000000012</v>
      </c>
      <c r="G7" s="8">
        <f>F7+G105</f>
        <v>787479.00500000024</v>
      </c>
      <c r="H7" s="4"/>
    </row>
    <row r="8" spans="2:8" s="3" customFormat="1" ht="18" customHeight="1" x14ac:dyDescent="0.35">
      <c r="B8" s="4" t="s">
        <v>13</v>
      </c>
      <c r="C8" s="8">
        <v>67500</v>
      </c>
      <c r="D8" s="8">
        <f>+C8*(1+0.1)</f>
        <v>74250</v>
      </c>
      <c r="E8" s="8">
        <f t="shared" ref="E8:G10" si="0">+D8*(1+0.1)</f>
        <v>81675</v>
      </c>
      <c r="F8" s="8">
        <f t="shared" si="0"/>
        <v>89842.5</v>
      </c>
      <c r="G8" s="8">
        <f t="shared" si="0"/>
        <v>98826.750000000015</v>
      </c>
      <c r="H8" s="4"/>
    </row>
    <row r="9" spans="2:8" s="3" customFormat="1" ht="18" customHeight="1" x14ac:dyDescent="0.35">
      <c r="B9" s="4" t="s">
        <v>15</v>
      </c>
      <c r="C9" s="8">
        <v>52500</v>
      </c>
      <c r="D9" s="8">
        <f t="shared" ref="D9:D10" si="1">+C9*(1+0.1)</f>
        <v>57750.000000000007</v>
      </c>
      <c r="E9" s="8">
        <f t="shared" si="0"/>
        <v>63525.000000000015</v>
      </c>
      <c r="F9" s="8">
        <f t="shared" si="0"/>
        <v>69877.500000000015</v>
      </c>
      <c r="G9" s="8">
        <f t="shared" si="0"/>
        <v>76865.250000000029</v>
      </c>
      <c r="H9" s="4"/>
    </row>
    <row r="10" spans="2:8" s="3" customFormat="1" ht="18" customHeight="1" x14ac:dyDescent="0.35">
      <c r="B10" s="4" t="s">
        <v>17</v>
      </c>
      <c r="C10" s="8">
        <v>15000</v>
      </c>
      <c r="D10" s="8">
        <f t="shared" si="1"/>
        <v>16500</v>
      </c>
      <c r="E10" s="8">
        <f t="shared" si="0"/>
        <v>18150</v>
      </c>
      <c r="F10" s="8">
        <f t="shared" si="0"/>
        <v>19965</v>
      </c>
      <c r="G10" s="8">
        <f t="shared" si="0"/>
        <v>21961.5</v>
      </c>
      <c r="H10" s="4"/>
    </row>
    <row r="11" spans="2:8" s="3" customFormat="1" ht="18" customHeight="1" x14ac:dyDescent="0.35">
      <c r="B11" s="4" t="s">
        <v>20</v>
      </c>
      <c r="C11" s="16">
        <f>SUM(C7:C10)</f>
        <v>202500</v>
      </c>
      <c r="D11" s="16">
        <f>SUM(D7:D10)</f>
        <v>252415</v>
      </c>
      <c r="E11" s="16">
        <f>SUM(E7:E10)</f>
        <v>469383.5</v>
      </c>
      <c r="F11" s="16">
        <f>SUM(F7:F10)</f>
        <v>710870.25000000012</v>
      </c>
      <c r="G11" s="16">
        <f>SUM(G7:G10)</f>
        <v>985132.50500000024</v>
      </c>
      <c r="H11" s="4"/>
    </row>
    <row r="12" spans="2:8" s="3" customFormat="1" ht="18" customHeight="1" x14ac:dyDescent="0.35">
      <c r="B12" s="4"/>
      <c r="C12" s="8"/>
      <c r="D12" s="8"/>
      <c r="E12" s="8"/>
      <c r="F12" s="15"/>
      <c r="G12" s="15"/>
      <c r="H12" s="4"/>
    </row>
    <row r="13" spans="2:8" s="3" customFormat="1" ht="18" customHeight="1" x14ac:dyDescent="0.35">
      <c r="B13" s="5" t="s">
        <v>22</v>
      </c>
      <c r="C13" s="8"/>
      <c r="D13" s="8"/>
      <c r="E13" s="8"/>
      <c r="F13" s="15"/>
      <c r="G13" s="15"/>
      <c r="H13" s="4"/>
    </row>
    <row r="14" spans="2:8" s="3" customFormat="1" ht="18" customHeight="1" x14ac:dyDescent="0.35">
      <c r="B14" s="4" t="s">
        <v>23</v>
      </c>
      <c r="C14" s="8">
        <f>3750000+202500</f>
        <v>3952500</v>
      </c>
      <c r="D14" s="8">
        <f>+C14</f>
        <v>3952500</v>
      </c>
      <c r="E14" s="8">
        <f>+D14</f>
        <v>3952500</v>
      </c>
      <c r="F14" s="8">
        <f>+E14</f>
        <v>3952500</v>
      </c>
      <c r="G14" s="8">
        <f>+F14</f>
        <v>3952500</v>
      </c>
      <c r="H14" s="9"/>
    </row>
    <row r="15" spans="2:8" s="3" customFormat="1" ht="18" customHeight="1" x14ac:dyDescent="0.35">
      <c r="B15" s="4" t="s">
        <v>24</v>
      </c>
      <c r="C15" s="8">
        <v>675000</v>
      </c>
      <c r="D15" s="8">
        <v>800000</v>
      </c>
      <c r="E15" s="8">
        <f t="shared" ref="E15:G16" si="2">+D15+25000</f>
        <v>825000</v>
      </c>
      <c r="F15" s="8">
        <f t="shared" si="2"/>
        <v>850000</v>
      </c>
      <c r="G15" s="8">
        <f t="shared" si="2"/>
        <v>875000</v>
      </c>
      <c r="H15" s="9"/>
    </row>
    <row r="16" spans="2:8" s="3" customFormat="1" ht="18" customHeight="1" x14ac:dyDescent="0.35">
      <c r="B16" s="4" t="s">
        <v>25</v>
      </c>
      <c r="C16" s="8">
        <v>75000</v>
      </c>
      <c r="D16" s="8">
        <v>100000</v>
      </c>
      <c r="E16" s="8">
        <f t="shared" si="2"/>
        <v>125000</v>
      </c>
      <c r="F16" s="8">
        <f t="shared" si="2"/>
        <v>150000</v>
      </c>
      <c r="G16" s="8">
        <f t="shared" si="2"/>
        <v>175000</v>
      </c>
      <c r="H16" s="9"/>
    </row>
    <row r="17" spans="1:8" s="3" customFormat="1" ht="18" customHeight="1" x14ac:dyDescent="0.35">
      <c r="B17" s="4" t="s">
        <v>27</v>
      </c>
      <c r="C17" s="16">
        <f>SUM(C14:C16)</f>
        <v>4702500</v>
      </c>
      <c r="D17" s="16">
        <f t="shared" ref="D17:G17" si="3">SUM(D14:D16)</f>
        <v>4852500</v>
      </c>
      <c r="E17" s="16">
        <f t="shared" si="3"/>
        <v>4902500</v>
      </c>
      <c r="F17" s="16">
        <f t="shared" si="3"/>
        <v>4952500</v>
      </c>
      <c r="G17" s="16">
        <f t="shared" si="3"/>
        <v>5002500</v>
      </c>
      <c r="H17" s="9"/>
    </row>
    <row r="18" spans="1:8" s="3" customFormat="1" ht="18" customHeight="1" x14ac:dyDescent="0.35">
      <c r="B18" s="4" t="s">
        <v>28</v>
      </c>
      <c r="C18" s="8">
        <v>-450000</v>
      </c>
      <c r="D18" s="8">
        <f>+C18-D69</f>
        <v>-550000</v>
      </c>
      <c r="E18" s="8">
        <f>+D18-E69</f>
        <v>-660000</v>
      </c>
      <c r="F18" s="8">
        <f>+E18-F69</f>
        <v>-780000</v>
      </c>
      <c r="G18" s="8">
        <f>+F18-G69</f>
        <v>-910000</v>
      </c>
      <c r="H18" s="9"/>
    </row>
    <row r="19" spans="1:8" s="3" customFormat="1" ht="18" customHeight="1" x14ac:dyDescent="0.35">
      <c r="B19" s="4" t="s">
        <v>30</v>
      </c>
      <c r="C19" s="16">
        <f>SUM(C17:C18)</f>
        <v>4252500</v>
      </c>
      <c r="D19" s="16">
        <f>SUM(D17:D18)</f>
        <v>4302500</v>
      </c>
      <c r="E19" s="16">
        <f>SUM(E17:E18)</f>
        <v>4242500</v>
      </c>
      <c r="F19" s="16">
        <f>SUM(F17:F18)</f>
        <v>4172500</v>
      </c>
      <c r="G19" s="16">
        <f>SUM(G17:G18)</f>
        <v>4092500</v>
      </c>
      <c r="H19" s="9"/>
    </row>
    <row r="20" spans="1:8" s="3" customFormat="1" ht="18" customHeight="1" x14ac:dyDescent="0.35">
      <c r="B20" s="4"/>
      <c r="C20" s="8"/>
      <c r="D20" s="8"/>
      <c r="E20" s="8"/>
      <c r="F20" s="15"/>
      <c r="G20" s="15"/>
      <c r="H20" s="9"/>
    </row>
    <row r="21" spans="1:8" s="3" customFormat="1" ht="18" customHeight="1" x14ac:dyDescent="0.35">
      <c r="B21" s="4" t="s">
        <v>32</v>
      </c>
      <c r="C21" s="8">
        <v>300000</v>
      </c>
      <c r="D21" s="8">
        <f>+C21*(1+0.5)</f>
        <v>450000</v>
      </c>
      <c r="E21" s="8">
        <f>+D21*(1+0.25)</f>
        <v>562500</v>
      </c>
      <c r="F21" s="8">
        <f>+E21*(1+0.25)</f>
        <v>703125</v>
      </c>
      <c r="G21" s="8">
        <f>+F21*(1+0.25)</f>
        <v>878906.25</v>
      </c>
      <c r="H21" s="9"/>
    </row>
    <row r="22" spans="1:8" s="3" customFormat="1" ht="18" customHeight="1" x14ac:dyDescent="0.35">
      <c r="B22" s="4"/>
      <c r="C22" s="8"/>
      <c r="D22" s="8"/>
      <c r="E22" s="8"/>
      <c r="F22" s="15"/>
      <c r="G22" s="15"/>
      <c r="H22" s="9"/>
    </row>
    <row r="23" spans="1:8" s="3" customFormat="1" ht="18" customHeight="1" thickBot="1" x14ac:dyDescent="0.4">
      <c r="B23" s="4" t="s">
        <v>36</v>
      </c>
      <c r="C23" s="18">
        <f>+C21+C19</f>
        <v>4552500</v>
      </c>
      <c r="D23" s="18">
        <f>+D21+D19</f>
        <v>4752500</v>
      </c>
      <c r="E23" s="18">
        <f>+E21+E19</f>
        <v>4805000</v>
      </c>
      <c r="F23" s="18">
        <f>+F21+F19</f>
        <v>4875625</v>
      </c>
      <c r="G23" s="18">
        <f>+G21+G19</f>
        <v>4971406.25</v>
      </c>
      <c r="H23" s="9"/>
    </row>
    <row r="24" spans="1:8" s="3" customFormat="1" ht="18" customHeight="1" thickTop="1" x14ac:dyDescent="0.35">
      <c r="B24" s="4"/>
      <c r="C24" s="8"/>
      <c r="D24" s="8"/>
      <c r="E24" s="8"/>
      <c r="F24" s="15"/>
      <c r="G24" s="15"/>
      <c r="H24" s="9"/>
    </row>
    <row r="25" spans="1:8" s="3" customFormat="1" ht="18" customHeight="1" x14ac:dyDescent="0.35">
      <c r="B25" s="5" t="s">
        <v>39</v>
      </c>
      <c r="C25" s="8"/>
      <c r="D25" s="8"/>
      <c r="E25" s="8"/>
      <c r="F25" s="15"/>
      <c r="G25" s="15"/>
      <c r="H25" s="9"/>
    </row>
    <row r="26" spans="1:8" s="3" customFormat="1" ht="18" customHeight="1" x14ac:dyDescent="0.35">
      <c r="B26" s="4"/>
      <c r="C26" s="8"/>
      <c r="D26" s="8"/>
      <c r="E26" s="8"/>
      <c r="F26" s="15"/>
      <c r="G26" s="15"/>
      <c r="H26" s="9"/>
    </row>
    <row r="27" spans="1:8" s="3" customFormat="1" ht="18" customHeight="1" x14ac:dyDescent="0.35">
      <c r="B27" s="5" t="s">
        <v>41</v>
      </c>
      <c r="C27" s="8"/>
      <c r="D27" s="8"/>
      <c r="E27" s="8"/>
      <c r="F27" s="15"/>
      <c r="G27" s="15"/>
      <c r="H27" s="9"/>
    </row>
    <row r="28" spans="1:8" s="3" customFormat="1" ht="18" customHeight="1" x14ac:dyDescent="0.35">
      <c r="B28" s="4" t="s">
        <v>42</v>
      </c>
      <c r="C28" s="8">
        <v>52500</v>
      </c>
      <c r="D28" s="8">
        <v>65000</v>
      </c>
      <c r="E28" s="8">
        <f>+D28*(1+0.1)</f>
        <v>71500</v>
      </c>
      <c r="F28" s="8">
        <f>+E28*(1+0.1)</f>
        <v>78650</v>
      </c>
      <c r="G28" s="8">
        <f>+F28*(1+0.1)</f>
        <v>86515</v>
      </c>
      <c r="H28" s="9"/>
    </row>
    <row r="29" spans="1:8" s="3" customFormat="1" ht="18" customHeight="1" x14ac:dyDescent="0.35">
      <c r="B29" s="4" t="s">
        <v>44</v>
      </c>
      <c r="C29" s="8">
        <v>18000</v>
      </c>
      <c r="D29" s="8">
        <v>15000</v>
      </c>
      <c r="E29" s="8">
        <f t="shared" ref="E29:G30" si="4">+D29*(1+0.1)</f>
        <v>16500</v>
      </c>
      <c r="F29" s="8">
        <f t="shared" si="4"/>
        <v>18150</v>
      </c>
      <c r="G29" s="8">
        <f t="shared" si="4"/>
        <v>19965</v>
      </c>
      <c r="H29" s="9"/>
    </row>
    <row r="30" spans="1:8" s="3" customFormat="1" ht="18" customHeight="1" x14ac:dyDescent="0.35">
      <c r="B30" s="4" t="s">
        <v>45</v>
      </c>
      <c r="C30" s="8">
        <v>15000</v>
      </c>
      <c r="D30" s="8">
        <v>10000</v>
      </c>
      <c r="E30" s="8">
        <f t="shared" si="4"/>
        <v>11000</v>
      </c>
      <c r="F30" s="8">
        <f t="shared" si="4"/>
        <v>12100.000000000002</v>
      </c>
      <c r="G30" s="8">
        <f t="shared" si="4"/>
        <v>13310.000000000004</v>
      </c>
      <c r="H30" s="9"/>
    </row>
    <row r="31" spans="1:8" s="3" customFormat="1" ht="18" customHeight="1" x14ac:dyDescent="0.35">
      <c r="A31" s="6"/>
      <c r="B31" s="4" t="s">
        <v>48</v>
      </c>
      <c r="C31" s="8">
        <v>30000</v>
      </c>
      <c r="D31" s="8">
        <v>30000</v>
      </c>
      <c r="E31" s="8">
        <v>30000</v>
      </c>
      <c r="F31" s="8">
        <v>20000</v>
      </c>
      <c r="G31" s="8">
        <v>10000</v>
      </c>
      <c r="H31" s="9"/>
    </row>
    <row r="32" spans="1:8" s="3" customFormat="1" ht="18" customHeight="1" x14ac:dyDescent="0.35">
      <c r="B32" s="4" t="s">
        <v>49</v>
      </c>
      <c r="C32" s="16">
        <f>SUM(C28:C31)</f>
        <v>115500</v>
      </c>
      <c r="D32" s="16">
        <f>SUM(D28:D31)</f>
        <v>120000</v>
      </c>
      <c r="E32" s="16">
        <f>SUM(E28:E31)</f>
        <v>129000</v>
      </c>
      <c r="F32" s="16">
        <f>SUM(F28:F31)</f>
        <v>128900</v>
      </c>
      <c r="G32" s="16">
        <f>SUM(G28:G31)</f>
        <v>129790</v>
      </c>
      <c r="H32" s="9"/>
    </row>
    <row r="33" spans="2:10" s="3" customFormat="1" ht="18" customHeight="1" x14ac:dyDescent="0.35">
      <c r="B33" s="4"/>
      <c r="C33" s="8"/>
      <c r="D33" s="8"/>
      <c r="E33" s="8"/>
      <c r="F33" s="15"/>
      <c r="G33" s="15"/>
      <c r="H33" s="9"/>
    </row>
    <row r="34" spans="2:10" s="3" customFormat="1" ht="18" customHeight="1" x14ac:dyDescent="0.35">
      <c r="B34" s="4" t="s">
        <v>51</v>
      </c>
      <c r="C34" s="8">
        <v>1800000</v>
      </c>
      <c r="D34" s="8">
        <v>1700000</v>
      </c>
      <c r="E34" s="8">
        <f>+D34-100000</f>
        <v>1600000</v>
      </c>
      <c r="F34" s="8">
        <f>+E34-100000</f>
        <v>1500000</v>
      </c>
      <c r="G34" s="8">
        <f>+F34-100000</f>
        <v>1400000</v>
      </c>
      <c r="H34" s="9"/>
    </row>
    <row r="35" spans="2:10" s="3" customFormat="1" ht="18" customHeight="1" x14ac:dyDescent="0.35">
      <c r="B35" s="4" t="s">
        <v>53</v>
      </c>
      <c r="C35" s="8">
        <v>18000</v>
      </c>
      <c r="D35" s="8">
        <v>22000</v>
      </c>
      <c r="E35" s="8">
        <f>+D35+2000</f>
        <v>24000</v>
      </c>
      <c r="F35" s="8">
        <f>+E35+2000</f>
        <v>26000</v>
      </c>
      <c r="G35" s="8">
        <f>+F35+2000</f>
        <v>28000</v>
      </c>
      <c r="H35" s="9"/>
    </row>
    <row r="36" spans="2:10" s="3" customFormat="1" ht="18" customHeight="1" x14ac:dyDescent="0.35">
      <c r="B36" s="4" t="s">
        <v>56</v>
      </c>
      <c r="C36" s="16">
        <f>+C35+C34+C32</f>
        <v>1933500</v>
      </c>
      <c r="D36" s="16">
        <f>+D35+D34+D32</f>
        <v>1842000</v>
      </c>
      <c r="E36" s="16">
        <f>+E35+E34+E32</f>
        <v>1753000</v>
      </c>
      <c r="F36" s="16">
        <f>+F35+F34+F32</f>
        <v>1654900</v>
      </c>
      <c r="G36" s="16">
        <f>+G35+G34+G32</f>
        <v>1557790</v>
      </c>
      <c r="H36" s="9"/>
    </row>
    <row r="37" spans="2:10" s="3" customFormat="1" ht="18" customHeight="1" x14ac:dyDescent="0.35">
      <c r="B37" s="4"/>
      <c r="C37" s="8"/>
      <c r="D37" s="8"/>
      <c r="E37" s="8"/>
      <c r="F37" s="15"/>
      <c r="G37" s="15"/>
      <c r="H37" s="9"/>
    </row>
    <row r="38" spans="2:10" s="3" customFormat="1" ht="18" customHeight="1" x14ac:dyDescent="0.35">
      <c r="B38" s="5" t="s">
        <v>57</v>
      </c>
      <c r="C38" s="8"/>
      <c r="D38" s="8"/>
      <c r="E38" s="8"/>
      <c r="F38" s="15"/>
      <c r="G38" s="15"/>
      <c r="H38" s="9"/>
    </row>
    <row r="39" spans="2:10" s="3" customFormat="1" ht="18" customHeight="1" x14ac:dyDescent="0.35">
      <c r="B39" s="4" t="s">
        <v>58</v>
      </c>
      <c r="C39" s="8">
        <v>1500000</v>
      </c>
      <c r="D39" s="8">
        <v>1500000</v>
      </c>
      <c r="E39" s="8">
        <v>1500000</v>
      </c>
      <c r="F39" s="17">
        <f>+E39</f>
        <v>1500000</v>
      </c>
      <c r="G39" s="17">
        <f>+F39</f>
        <v>1500000</v>
      </c>
      <c r="H39" s="9"/>
    </row>
    <row r="40" spans="2:10" s="3" customFormat="1" ht="18" customHeight="1" x14ac:dyDescent="0.35">
      <c r="B40" s="4" t="s">
        <v>59</v>
      </c>
      <c r="C40" s="8">
        <v>0</v>
      </c>
      <c r="D40" s="8">
        <v>30000</v>
      </c>
      <c r="E40" s="8">
        <v>30000</v>
      </c>
      <c r="F40" s="17">
        <f>E40</f>
        <v>30000</v>
      </c>
      <c r="G40" s="17">
        <f>F40</f>
        <v>30000</v>
      </c>
      <c r="H40" s="9"/>
    </row>
    <row r="41" spans="2:10" s="3" customFormat="1" ht="18" customHeight="1" x14ac:dyDescent="0.35">
      <c r="B41" s="4" t="s">
        <v>60</v>
      </c>
      <c r="C41" s="8">
        <v>1119000</v>
      </c>
      <c r="D41" s="8">
        <f>+C41+D74</f>
        <v>1430415</v>
      </c>
      <c r="E41" s="8">
        <f>+D41+E74</f>
        <v>1788883.5</v>
      </c>
      <c r="F41" s="8">
        <f>+E41+F74</f>
        <v>2199095.25</v>
      </c>
      <c r="G41" s="8">
        <f>+F41+G74</f>
        <v>2666248.7550000004</v>
      </c>
      <c r="H41" s="9"/>
    </row>
    <row r="42" spans="2:10" s="3" customFormat="1" ht="18" customHeight="1" x14ac:dyDescent="0.35">
      <c r="B42" s="4" t="s">
        <v>61</v>
      </c>
      <c r="C42" s="16">
        <f>SUM(C39:C41)</f>
        <v>2619000</v>
      </c>
      <c r="D42" s="16">
        <f>SUM(D39:D41)</f>
        <v>2960415</v>
      </c>
      <c r="E42" s="16">
        <f>SUM(E39:E41)</f>
        <v>3318883.5</v>
      </c>
      <c r="F42" s="16">
        <f>SUM(F39:F41)</f>
        <v>3729095.25</v>
      </c>
      <c r="G42" s="16">
        <f>SUM(G39:G41)</f>
        <v>4196248.7550000008</v>
      </c>
      <c r="H42" s="9"/>
    </row>
    <row r="43" spans="2:10" s="3" customFormat="1" ht="18" customHeight="1" x14ac:dyDescent="0.35">
      <c r="B43" s="4"/>
      <c r="C43" s="8"/>
      <c r="D43" s="8"/>
      <c r="E43" s="8"/>
      <c r="F43" s="15"/>
      <c r="G43" s="15"/>
      <c r="H43" s="9"/>
    </row>
    <row r="44" spans="2:10" s="3" customFormat="1" ht="18" customHeight="1" thickBot="1" x14ac:dyDescent="0.4">
      <c r="B44" s="4" t="s">
        <v>62</v>
      </c>
      <c r="C44" s="19">
        <f>+C42+C36</f>
        <v>4552500</v>
      </c>
      <c r="D44" s="19">
        <f>+D42+D36</f>
        <v>4802415</v>
      </c>
      <c r="E44" s="19">
        <f>+E42+E36</f>
        <v>5071883.5</v>
      </c>
      <c r="F44" s="19">
        <f>+F42+F36</f>
        <v>5383995.25</v>
      </c>
      <c r="G44" s="19">
        <f>+G42+G36</f>
        <v>5754038.7550000008</v>
      </c>
      <c r="H44" s="9"/>
    </row>
    <row r="45" spans="2:10" s="3" customFormat="1" ht="18" hidden="1" customHeight="1" thickTop="1" x14ac:dyDescent="0.35">
      <c r="B45" s="11" t="s">
        <v>63</v>
      </c>
      <c r="C45" s="12">
        <f>+C23-C44</f>
        <v>0</v>
      </c>
      <c r="D45" s="12">
        <f>+D23-D44</f>
        <v>-49915</v>
      </c>
      <c r="E45" s="12">
        <f>+E23-E44</f>
        <v>-266883.5</v>
      </c>
      <c r="F45" s="12">
        <f>+F23-F44</f>
        <v>-508370.25</v>
      </c>
      <c r="G45" s="12">
        <f>+G23-G44</f>
        <v>-782632.50500000082</v>
      </c>
      <c r="H45" s="9"/>
    </row>
    <row r="46" spans="2:10" s="3" customFormat="1" ht="18" customHeight="1" thickTop="1" x14ac:dyDescent="0.35">
      <c r="B46" s="4"/>
      <c r="C46" s="15"/>
      <c r="D46" s="15"/>
      <c r="E46" s="15"/>
      <c r="F46" s="15"/>
      <c r="G46" s="15"/>
      <c r="H46" s="9"/>
    </row>
    <row r="47" spans="2:10" s="3" customFormat="1" ht="18" customHeight="1" x14ac:dyDescent="0.35">
      <c r="B47" s="27" t="s">
        <v>7</v>
      </c>
      <c r="C47" s="28"/>
      <c r="D47" s="28"/>
      <c r="E47" s="28"/>
      <c r="F47" s="28"/>
      <c r="G47" s="28"/>
      <c r="H47" s="4"/>
      <c r="I47" s="7"/>
      <c r="J47" s="7"/>
    </row>
    <row r="48" spans="2:10" s="3" customFormat="1" ht="18" customHeight="1" thickBot="1" x14ac:dyDescent="0.4">
      <c r="B48" s="10"/>
      <c r="C48" s="14" t="str">
        <f>+C5</f>
        <v>Year 1</v>
      </c>
      <c r="D48" s="14" t="str">
        <f>+D5</f>
        <v>Year 2</v>
      </c>
      <c r="E48" s="14" t="str">
        <f>+E5</f>
        <v>Year 3</v>
      </c>
      <c r="F48" s="14" t="str">
        <f>+F5</f>
        <v>Year 4</v>
      </c>
      <c r="G48" s="14" t="str">
        <f>+G5</f>
        <v>Year 5</v>
      </c>
      <c r="I48" s="7"/>
      <c r="J48" s="7"/>
    </row>
    <row r="49" spans="1:10" s="3" customFormat="1" ht="18" customHeight="1" thickTop="1" x14ac:dyDescent="0.35">
      <c r="B49" s="5" t="s">
        <v>9</v>
      </c>
      <c r="C49" s="15"/>
      <c r="D49" s="15"/>
      <c r="E49" s="15"/>
      <c r="F49" s="20"/>
      <c r="G49" s="20"/>
      <c r="I49" s="7"/>
      <c r="J49" s="7"/>
    </row>
    <row r="50" spans="1:10" s="3" customFormat="1" ht="18" customHeight="1" x14ac:dyDescent="0.35">
      <c r="B50" s="4" t="s">
        <v>12</v>
      </c>
      <c r="C50" s="8">
        <v>1200000</v>
      </c>
      <c r="D50" s="8">
        <f t="shared" ref="D50:G52" si="5">+C50*(1+0.1)</f>
        <v>1320000</v>
      </c>
      <c r="E50" s="8">
        <f t="shared" si="5"/>
        <v>1452000.0000000002</v>
      </c>
      <c r="F50" s="8">
        <f t="shared" si="5"/>
        <v>1597200.0000000005</v>
      </c>
      <c r="G50" s="8">
        <f t="shared" si="5"/>
        <v>1756920.0000000007</v>
      </c>
      <c r="I50" s="7"/>
      <c r="J50" s="7"/>
    </row>
    <row r="51" spans="1:10" s="3" customFormat="1" ht="18" customHeight="1" x14ac:dyDescent="0.35">
      <c r="B51" s="4" t="s">
        <v>14</v>
      </c>
      <c r="C51" s="8">
        <v>180000</v>
      </c>
      <c r="D51" s="8">
        <f t="shared" si="5"/>
        <v>198000.00000000003</v>
      </c>
      <c r="E51" s="8">
        <f t="shared" si="5"/>
        <v>217800.00000000006</v>
      </c>
      <c r="F51" s="8">
        <f t="shared" si="5"/>
        <v>239580.00000000009</v>
      </c>
      <c r="G51" s="8">
        <f t="shared" si="5"/>
        <v>263538.00000000012</v>
      </c>
      <c r="I51" s="7"/>
      <c r="J51" s="7"/>
    </row>
    <row r="52" spans="1:10" s="3" customFormat="1" ht="18" customHeight="1" x14ac:dyDescent="0.35">
      <c r="A52" s="7"/>
      <c r="B52" s="4" t="s">
        <v>16</v>
      </c>
      <c r="C52" s="8">
        <v>60000</v>
      </c>
      <c r="D52" s="8">
        <f t="shared" si="5"/>
        <v>66000</v>
      </c>
      <c r="E52" s="8">
        <f t="shared" si="5"/>
        <v>72600</v>
      </c>
      <c r="F52" s="8">
        <f t="shared" si="5"/>
        <v>79860</v>
      </c>
      <c r="G52" s="8">
        <f t="shared" si="5"/>
        <v>87846</v>
      </c>
      <c r="I52" s="7"/>
      <c r="J52" s="7"/>
    </row>
    <row r="53" spans="1:10" s="3" customFormat="1" ht="18" customHeight="1" x14ac:dyDescent="0.35">
      <c r="A53" s="7"/>
      <c r="B53" s="4" t="s">
        <v>19</v>
      </c>
      <c r="C53" s="21">
        <f>SUM(C50:C52)</f>
        <v>1440000</v>
      </c>
      <c r="D53" s="21">
        <f>SUM(D50:D52)</f>
        <v>1584000</v>
      </c>
      <c r="E53" s="21">
        <f>SUM(E50:E52)</f>
        <v>1742400.0000000002</v>
      </c>
      <c r="F53" s="21">
        <f>SUM(F50:F52)</f>
        <v>1916640.0000000005</v>
      </c>
      <c r="G53" s="21">
        <f>SUM(G50:G52)</f>
        <v>2108304.0000000009</v>
      </c>
      <c r="I53" s="7"/>
      <c r="J53" s="7"/>
    </row>
    <row r="54" spans="1:10" s="3" customFormat="1" ht="18" customHeight="1" x14ac:dyDescent="0.35">
      <c r="A54" s="7"/>
      <c r="B54" s="4"/>
      <c r="C54" s="1"/>
      <c r="D54" s="1"/>
      <c r="E54" s="15"/>
      <c r="F54" s="20"/>
      <c r="G54" s="20"/>
      <c r="I54" s="7"/>
      <c r="J54" s="7"/>
    </row>
    <row r="55" spans="1:10" s="3" customFormat="1" ht="18" customHeight="1" x14ac:dyDescent="0.35">
      <c r="A55" s="7"/>
      <c r="B55" s="5" t="s">
        <v>21</v>
      </c>
      <c r="C55" s="1"/>
      <c r="D55" s="1"/>
      <c r="E55" s="15"/>
      <c r="F55" s="20"/>
      <c r="G55" s="20"/>
      <c r="I55" s="7"/>
      <c r="J55" s="7"/>
    </row>
    <row r="56" spans="1:10" s="3" customFormat="1" ht="18" customHeight="1" x14ac:dyDescent="0.35">
      <c r="A56" s="7"/>
      <c r="B56" s="4" t="s">
        <v>12</v>
      </c>
      <c r="C56" s="8">
        <v>330000</v>
      </c>
      <c r="D56" s="8">
        <f>+C56*(1+0.1)</f>
        <v>363000.00000000006</v>
      </c>
      <c r="E56" s="8">
        <f>+D56*(1+0.1)</f>
        <v>399300.00000000012</v>
      </c>
      <c r="F56" s="8">
        <f>+E56*(1+0.1)</f>
        <v>439230.00000000017</v>
      </c>
      <c r="G56" s="8">
        <f>+F56*(1+0.1)</f>
        <v>483153.00000000023</v>
      </c>
      <c r="I56" s="7"/>
      <c r="J56" s="7"/>
    </row>
    <row r="57" spans="1:10" s="3" customFormat="1" ht="18" customHeight="1" x14ac:dyDescent="0.35">
      <c r="A57" s="7"/>
      <c r="B57" s="4" t="s">
        <v>14</v>
      </c>
      <c r="C57" s="8">
        <v>150000</v>
      </c>
      <c r="D57" s="8">
        <f t="shared" ref="D57:G58" si="6">+C57*(1+0.1)</f>
        <v>165000</v>
      </c>
      <c r="E57" s="8">
        <f t="shared" si="6"/>
        <v>181500.00000000003</v>
      </c>
      <c r="F57" s="8">
        <f t="shared" si="6"/>
        <v>199650.00000000006</v>
      </c>
      <c r="G57" s="8">
        <f t="shared" si="6"/>
        <v>219615.00000000009</v>
      </c>
      <c r="I57" s="7"/>
      <c r="J57" s="7"/>
    </row>
    <row r="58" spans="1:10" s="3" customFormat="1" ht="18" customHeight="1" x14ac:dyDescent="0.35">
      <c r="A58" s="7"/>
      <c r="B58" s="4" t="s">
        <v>16</v>
      </c>
      <c r="C58" s="8">
        <v>37500</v>
      </c>
      <c r="D58" s="8">
        <f t="shared" si="6"/>
        <v>41250</v>
      </c>
      <c r="E58" s="8">
        <f t="shared" si="6"/>
        <v>45375.000000000007</v>
      </c>
      <c r="F58" s="8">
        <f t="shared" si="6"/>
        <v>49912.500000000015</v>
      </c>
      <c r="G58" s="8">
        <f t="shared" si="6"/>
        <v>54903.750000000022</v>
      </c>
      <c r="I58" s="7"/>
      <c r="J58" s="7"/>
    </row>
    <row r="59" spans="1:10" s="3" customFormat="1" ht="18" customHeight="1" x14ac:dyDescent="0.35">
      <c r="A59" s="7"/>
      <c r="B59" s="4" t="s">
        <v>26</v>
      </c>
      <c r="C59" s="21">
        <f>SUM(C56:C58)</f>
        <v>517500</v>
      </c>
      <c r="D59" s="21">
        <f>SUM(D56:D58)</f>
        <v>569250</v>
      </c>
      <c r="E59" s="21">
        <f>SUM(E56:E58)</f>
        <v>626175.00000000012</v>
      </c>
      <c r="F59" s="21">
        <f>SUM(F56:F58)</f>
        <v>688792.50000000023</v>
      </c>
      <c r="G59" s="21">
        <f>SUM(G56:G58)</f>
        <v>757671.75000000035</v>
      </c>
      <c r="I59" s="7"/>
      <c r="J59" s="7"/>
    </row>
    <row r="60" spans="1:10" s="3" customFormat="1" ht="18" customHeight="1" x14ac:dyDescent="0.35">
      <c r="A60" s="7"/>
      <c r="B60" s="4"/>
      <c r="C60" s="1"/>
      <c r="D60" s="1"/>
      <c r="E60" s="15"/>
      <c r="F60" s="20"/>
      <c r="G60" s="20"/>
      <c r="I60" s="7"/>
      <c r="J60" s="7"/>
    </row>
    <row r="61" spans="1:10" s="3" customFormat="1" ht="18" customHeight="1" x14ac:dyDescent="0.35">
      <c r="A61" s="7"/>
      <c r="B61" s="4" t="s">
        <v>29</v>
      </c>
      <c r="C61" s="1">
        <f>+C53-C59</f>
        <v>922500</v>
      </c>
      <c r="D61" s="1">
        <f>+D53-D59</f>
        <v>1014750</v>
      </c>
      <c r="E61" s="1">
        <f>+E53-E59</f>
        <v>1116225</v>
      </c>
      <c r="F61" s="1">
        <f>+F53-F59</f>
        <v>1227847.5000000002</v>
      </c>
      <c r="G61" s="1">
        <f>+G53-G59</f>
        <v>1350632.2500000005</v>
      </c>
      <c r="I61" s="7"/>
      <c r="J61" s="7"/>
    </row>
    <row r="62" spans="1:10" s="3" customFormat="1" ht="18" customHeight="1" x14ac:dyDescent="0.35">
      <c r="A62" s="7"/>
      <c r="B62" s="4"/>
      <c r="C62" s="1"/>
      <c r="D62" s="1"/>
      <c r="E62" s="15"/>
      <c r="F62" s="20"/>
      <c r="G62" s="20"/>
      <c r="I62" s="7"/>
      <c r="J62" s="7"/>
    </row>
    <row r="63" spans="1:10" s="3" customFormat="1" ht="18" customHeight="1" x14ac:dyDescent="0.35">
      <c r="A63" s="7"/>
      <c r="B63" s="5" t="s">
        <v>31</v>
      </c>
      <c r="C63" s="1"/>
      <c r="D63" s="1"/>
      <c r="E63" s="15"/>
      <c r="F63" s="20"/>
      <c r="G63" s="20"/>
      <c r="I63" s="7"/>
      <c r="J63" s="7"/>
    </row>
    <row r="64" spans="1:10" s="3" customFormat="1" ht="18" customHeight="1" x14ac:dyDescent="0.35">
      <c r="A64" s="7"/>
      <c r="B64" s="4" t="s">
        <v>34</v>
      </c>
      <c r="C64" s="8">
        <v>217500</v>
      </c>
      <c r="D64" s="8">
        <f>+C64/C53*D53</f>
        <v>239249.99999999997</v>
      </c>
      <c r="E64" s="8">
        <f>+D64/D53*E53</f>
        <v>263175</v>
      </c>
      <c r="F64" s="8">
        <f>+E64/E53*F53</f>
        <v>289492.50000000006</v>
      </c>
      <c r="G64" s="8">
        <f>+F64/F53*G53</f>
        <v>318441.75000000012</v>
      </c>
      <c r="I64" s="7"/>
      <c r="J64" s="7"/>
    </row>
    <row r="65" spans="1:10" s="3" customFormat="1" ht="18" customHeight="1" x14ac:dyDescent="0.35">
      <c r="A65" s="7"/>
      <c r="B65" s="4" t="s">
        <v>35</v>
      </c>
      <c r="C65" s="8">
        <v>112500</v>
      </c>
      <c r="D65" s="8">
        <f>+C65/C53*D53</f>
        <v>123750</v>
      </c>
      <c r="E65" s="8">
        <f>+D65/D53*E53</f>
        <v>136125.00000000003</v>
      </c>
      <c r="F65" s="8">
        <f>+E65/E53*F53</f>
        <v>149737.50000000003</v>
      </c>
      <c r="G65" s="8">
        <f>+F65/F53*G53</f>
        <v>164711.25000000006</v>
      </c>
      <c r="I65" s="7"/>
      <c r="J65" s="7"/>
    </row>
    <row r="66" spans="1:10" s="3" customFormat="1" ht="18" customHeight="1" x14ac:dyDescent="0.35">
      <c r="A66" s="7"/>
      <c r="B66" s="4" t="s">
        <v>37</v>
      </c>
      <c r="C66" s="8">
        <v>15000</v>
      </c>
      <c r="D66" s="8">
        <f>+C66/C53*D53</f>
        <v>16500</v>
      </c>
      <c r="E66" s="8">
        <f>+D66/D53*E53</f>
        <v>18150</v>
      </c>
      <c r="F66" s="8">
        <f>+E66/E53*F53</f>
        <v>19965.000000000004</v>
      </c>
      <c r="G66" s="8">
        <f>+F66/F53*G53</f>
        <v>21961.500000000007</v>
      </c>
      <c r="I66" s="7"/>
      <c r="J66" s="7"/>
    </row>
    <row r="67" spans="1:10" s="3" customFormat="1" ht="18" customHeight="1" x14ac:dyDescent="0.35">
      <c r="A67" s="7"/>
      <c r="B67" s="4" t="s">
        <v>38</v>
      </c>
      <c r="C67" s="21">
        <f>SUM(C64:C66)</f>
        <v>345000</v>
      </c>
      <c r="D67" s="21">
        <f>SUM(D64:D66)</f>
        <v>379500</v>
      </c>
      <c r="E67" s="21">
        <f>SUM(E64:E66)</f>
        <v>417450</v>
      </c>
      <c r="F67" s="21">
        <f>SUM(F64:F66)</f>
        <v>459195.00000000012</v>
      </c>
      <c r="G67" s="21">
        <f>SUM(G64:G66)</f>
        <v>505114.50000000017</v>
      </c>
      <c r="I67" s="7"/>
      <c r="J67" s="7"/>
    </row>
    <row r="68" spans="1:10" ht="18" customHeight="1" x14ac:dyDescent="0.35">
      <c r="A68" s="7"/>
      <c r="B68" s="29" t="s">
        <v>40</v>
      </c>
      <c r="C68" s="21">
        <f>+C61-C67</f>
        <v>577500</v>
      </c>
      <c r="D68" s="21">
        <f>+D61-D67</f>
        <v>635250</v>
      </c>
      <c r="E68" s="21">
        <f>+E61-E67</f>
        <v>698775</v>
      </c>
      <c r="F68" s="21">
        <f>+F61-F67</f>
        <v>768652.50000000012</v>
      </c>
      <c r="G68" s="21">
        <f>+G61-G67</f>
        <v>845517.75000000023</v>
      </c>
      <c r="H68" s="3"/>
    </row>
    <row r="69" spans="1:10" ht="18" customHeight="1" x14ac:dyDescent="0.35">
      <c r="A69" s="7"/>
      <c r="B69" s="5" t="s">
        <v>43</v>
      </c>
      <c r="C69" s="8">
        <v>90000</v>
      </c>
      <c r="D69" s="8">
        <v>100000</v>
      </c>
      <c r="E69" s="8">
        <f>+D69+10000</f>
        <v>110000</v>
      </c>
      <c r="F69" s="8">
        <f>+E69+10000</f>
        <v>120000</v>
      </c>
      <c r="G69" s="8">
        <f>+F69+10000</f>
        <v>130000</v>
      </c>
      <c r="H69" s="3"/>
    </row>
    <row r="70" spans="1:10" ht="18" customHeight="1" x14ac:dyDescent="0.35">
      <c r="A70" s="7"/>
      <c r="B70" s="5" t="s">
        <v>47</v>
      </c>
      <c r="C70" s="21">
        <f>+C68-C69</f>
        <v>487500</v>
      </c>
      <c r="D70" s="21">
        <f>+D68-D69</f>
        <v>535250</v>
      </c>
      <c r="E70" s="21">
        <f>+E68-E69</f>
        <v>588775</v>
      </c>
      <c r="F70" s="21">
        <f>+F68-F69</f>
        <v>648652.50000000012</v>
      </c>
      <c r="G70" s="21">
        <f>+G68-G69</f>
        <v>715517.75000000023</v>
      </c>
      <c r="H70" s="3"/>
    </row>
    <row r="71" spans="1:10" ht="18" customHeight="1" x14ac:dyDescent="0.35">
      <c r="A71" s="7"/>
      <c r="B71" s="5" t="s">
        <v>50</v>
      </c>
      <c r="C71" s="1">
        <v>144000</v>
      </c>
      <c r="D71" s="1">
        <v>136000</v>
      </c>
      <c r="E71" s="1">
        <f>+D71*0.95</f>
        <v>129200</v>
      </c>
      <c r="F71" s="1">
        <f>+E71*0.95</f>
        <v>122740</v>
      </c>
      <c r="G71" s="1">
        <f>+F71*0.95</f>
        <v>116603</v>
      </c>
      <c r="H71" s="3"/>
    </row>
    <row r="72" spans="1:10" ht="18" customHeight="1" x14ac:dyDescent="0.35">
      <c r="A72" s="7"/>
      <c r="B72" s="4" t="s">
        <v>52</v>
      </c>
      <c r="C72" s="1">
        <f>+C70-C71</f>
        <v>343500</v>
      </c>
      <c r="D72" s="1">
        <f>+D70-D71</f>
        <v>399250</v>
      </c>
      <c r="E72" s="1">
        <f>+E70-E71</f>
        <v>459575</v>
      </c>
      <c r="F72" s="1">
        <f>+F70-F71</f>
        <v>525912.50000000012</v>
      </c>
      <c r="G72" s="1">
        <f>+G70-G71</f>
        <v>598914.75000000023</v>
      </c>
      <c r="H72" s="3"/>
    </row>
    <row r="73" spans="1:10" ht="18" customHeight="1" x14ac:dyDescent="0.35">
      <c r="A73" s="7"/>
      <c r="B73" s="5" t="s">
        <v>55</v>
      </c>
      <c r="C73" s="1">
        <f>+C72*0.22</f>
        <v>75570</v>
      </c>
      <c r="D73" s="1">
        <f>+D72*0.22</f>
        <v>87835</v>
      </c>
      <c r="E73" s="1">
        <f>+E72*0.22</f>
        <v>101106.5</v>
      </c>
      <c r="F73" s="1">
        <f>+F72*0.22</f>
        <v>115700.75000000003</v>
      </c>
      <c r="G73" s="1">
        <f>+G72*0.22</f>
        <v>131761.24500000005</v>
      </c>
      <c r="H73" s="3"/>
    </row>
    <row r="74" spans="1:10" ht="18" customHeight="1" thickBot="1" x14ac:dyDescent="0.4">
      <c r="A74" s="7"/>
      <c r="B74" s="4" t="s">
        <v>11</v>
      </c>
      <c r="C74" s="19">
        <f>+C72-C73</f>
        <v>267930</v>
      </c>
      <c r="D74" s="19">
        <f>+D72-D73</f>
        <v>311415</v>
      </c>
      <c r="E74" s="19">
        <f>+E72-E73</f>
        <v>358468.5</v>
      </c>
      <c r="F74" s="19">
        <f>+F72-F73</f>
        <v>410211.75000000012</v>
      </c>
      <c r="G74" s="19">
        <f>+G72-G73</f>
        <v>467153.50500000018</v>
      </c>
      <c r="H74" s="3"/>
    </row>
    <row r="75" spans="1:10" ht="15" thickTop="1" x14ac:dyDescent="0.35">
      <c r="A75" s="7"/>
    </row>
    <row r="76" spans="1:10" ht="15.5" x14ac:dyDescent="0.35">
      <c r="A76" s="7"/>
      <c r="B76" s="27" t="s">
        <v>6</v>
      </c>
      <c r="C76" s="28"/>
      <c r="D76" s="28"/>
      <c r="E76" s="28"/>
      <c r="F76" s="28"/>
      <c r="G76" s="28"/>
    </row>
    <row r="77" spans="1:10" ht="15" thickBot="1" x14ac:dyDescent="0.4">
      <c r="A77" s="7"/>
      <c r="B77" s="10"/>
      <c r="C77" s="14"/>
      <c r="D77" s="14" t="s">
        <v>1</v>
      </c>
      <c r="E77" s="14" t="s">
        <v>2</v>
      </c>
      <c r="F77" s="14" t="s">
        <v>3</v>
      </c>
      <c r="G77" s="14" t="s">
        <v>4</v>
      </c>
    </row>
    <row r="78" spans="1:10" ht="15" thickTop="1" x14ac:dyDescent="0.35">
      <c r="A78" s="7"/>
      <c r="B78" s="2" t="s">
        <v>11</v>
      </c>
      <c r="C78" s="25"/>
      <c r="D78" s="25">
        <f>+D41-C41</f>
        <v>311415</v>
      </c>
      <c r="E78" s="25">
        <f>+E74</f>
        <v>358468.5</v>
      </c>
      <c r="F78" s="25">
        <f>+F74</f>
        <v>410211.75000000012</v>
      </c>
      <c r="G78" s="25">
        <f>+G74</f>
        <v>467153.50500000018</v>
      </c>
    </row>
    <row r="79" spans="1:10" x14ac:dyDescent="0.35">
      <c r="A79" s="7"/>
      <c r="B79" s="4" t="s">
        <v>66</v>
      </c>
      <c r="C79" s="25"/>
      <c r="D79" s="35">
        <f>-(+D18-C18)</f>
        <v>100000</v>
      </c>
      <c r="E79" s="25">
        <f>+E69</f>
        <v>110000</v>
      </c>
      <c r="F79" s="25">
        <f>+F69</f>
        <v>120000</v>
      </c>
      <c r="G79" s="25">
        <f>+G69</f>
        <v>130000</v>
      </c>
    </row>
    <row r="80" spans="1:10" x14ac:dyDescent="0.35">
      <c r="A80" s="7"/>
      <c r="B80" s="4" t="s">
        <v>67</v>
      </c>
      <c r="D80" s="35">
        <f>D35-C35</f>
        <v>4000</v>
      </c>
      <c r="E80" s="25">
        <f>+E35-D35</f>
        <v>2000</v>
      </c>
      <c r="F80" s="25">
        <f>+F35-E35</f>
        <v>2000</v>
      </c>
      <c r="G80" s="25">
        <f>+G35-F35</f>
        <v>2000</v>
      </c>
    </row>
    <row r="81" spans="1:7" x14ac:dyDescent="0.35">
      <c r="A81" s="7"/>
      <c r="B81" s="4" t="s">
        <v>18</v>
      </c>
      <c r="D81" s="26">
        <f>SUM(D78:D80)</f>
        <v>415415</v>
      </c>
      <c r="E81" s="26">
        <f>SUM(E78:E80)</f>
        <v>470468.5</v>
      </c>
      <c r="F81" s="26">
        <f>SUM(F78:F80)</f>
        <v>532211.75000000012</v>
      </c>
      <c r="G81" s="26">
        <f>SUM(G78:G80)</f>
        <v>599153.50500000012</v>
      </c>
    </row>
    <row r="82" spans="1:7" x14ac:dyDescent="0.35">
      <c r="A82" s="7"/>
    </row>
    <row r="83" spans="1:7" x14ac:dyDescent="0.35">
      <c r="A83" s="7"/>
      <c r="B83" s="24" t="s">
        <v>68</v>
      </c>
    </row>
    <row r="84" spans="1:7" x14ac:dyDescent="0.35">
      <c r="B84" s="4" t="s">
        <v>69</v>
      </c>
      <c r="D84" s="35">
        <f>C8-D8</f>
        <v>-6750</v>
      </c>
      <c r="E84" s="25">
        <f>+D8-E8</f>
        <v>-7425</v>
      </c>
      <c r="F84" s="25">
        <f>+E8-F8</f>
        <v>-8167.5</v>
      </c>
      <c r="G84" s="25">
        <f>+F8-G8</f>
        <v>-8984.2500000000146</v>
      </c>
    </row>
    <row r="85" spans="1:7" x14ac:dyDescent="0.35">
      <c r="B85" s="4" t="s">
        <v>70</v>
      </c>
      <c r="D85" s="35">
        <f>C9-D9</f>
        <v>-5250.0000000000073</v>
      </c>
      <c r="E85" s="25">
        <f>+D9-E9</f>
        <v>-5775.0000000000073</v>
      </c>
      <c r="F85" s="25">
        <f>+E9-F9</f>
        <v>-6352.5</v>
      </c>
      <c r="G85" s="25">
        <f>+F9-G9</f>
        <v>-6987.7500000000146</v>
      </c>
    </row>
    <row r="86" spans="1:7" x14ac:dyDescent="0.35">
      <c r="B86" s="4" t="s">
        <v>71</v>
      </c>
      <c r="D86" s="35">
        <f>C10-D10</f>
        <v>-1500</v>
      </c>
      <c r="E86" s="25">
        <f>+D10-E10</f>
        <v>-1650</v>
      </c>
      <c r="F86" s="25">
        <f>+E10-F10</f>
        <v>-1815</v>
      </c>
      <c r="G86" s="25">
        <f>+F10-G10</f>
        <v>-1996.5</v>
      </c>
    </row>
    <row r="87" spans="1:7" x14ac:dyDescent="0.35">
      <c r="B87" s="4" t="s">
        <v>72</v>
      </c>
      <c r="D87" s="35">
        <f>+D28-C28</f>
        <v>12500</v>
      </c>
      <c r="E87" s="25">
        <f>+E28-D28</f>
        <v>6500</v>
      </c>
      <c r="F87" s="25">
        <f>+F28-E28</f>
        <v>7150</v>
      </c>
      <c r="G87" s="25">
        <f>+G28-F28</f>
        <v>7865</v>
      </c>
    </row>
    <row r="88" spans="1:7" x14ac:dyDescent="0.35">
      <c r="B88" s="4" t="s">
        <v>73</v>
      </c>
      <c r="D88" s="35">
        <f>+D29-C29</f>
        <v>-3000</v>
      </c>
      <c r="E88" s="25">
        <f>+E29-D29</f>
        <v>1500</v>
      </c>
      <c r="F88" s="25">
        <f>+F29-E29</f>
        <v>1650</v>
      </c>
      <c r="G88" s="25">
        <f>+G29-F29</f>
        <v>1815</v>
      </c>
    </row>
    <row r="89" spans="1:7" x14ac:dyDescent="0.35">
      <c r="B89" s="4" t="s">
        <v>74</v>
      </c>
      <c r="D89" s="35">
        <f>+D30-C30</f>
        <v>-5000</v>
      </c>
      <c r="E89" s="25">
        <f>+E30-D30</f>
        <v>1000</v>
      </c>
      <c r="F89" s="25">
        <f>+F30-E30</f>
        <v>1100.0000000000018</v>
      </c>
      <c r="G89" s="25">
        <f>+G30-F30</f>
        <v>1210.0000000000018</v>
      </c>
    </row>
    <row r="90" spans="1:7" x14ac:dyDescent="0.35">
      <c r="B90" s="24" t="s">
        <v>78</v>
      </c>
      <c r="D90" s="26">
        <f>SUM(D84:D89)</f>
        <v>-9000.0000000000073</v>
      </c>
      <c r="E90" s="26">
        <f>SUM(E84:E89)</f>
        <v>-5850.0000000000073</v>
      </c>
      <c r="F90" s="26">
        <f>SUM(F84:F89)</f>
        <v>-6434.9999999999982</v>
      </c>
      <c r="G90" s="26">
        <f>SUM(G84:G89)</f>
        <v>-7078.5000000000273</v>
      </c>
    </row>
    <row r="92" spans="1:7" x14ac:dyDescent="0.35">
      <c r="B92" s="4" t="s">
        <v>33</v>
      </c>
      <c r="D92" s="25">
        <f>+D81+D90</f>
        <v>406415</v>
      </c>
      <c r="E92" s="25">
        <f>+E81+E90</f>
        <v>464618.5</v>
      </c>
      <c r="F92" s="25">
        <f>+F81+F90</f>
        <v>525776.75000000012</v>
      </c>
      <c r="G92" s="25">
        <f>+G81+G90</f>
        <v>592075.00500000012</v>
      </c>
    </row>
    <row r="94" spans="1:7" x14ac:dyDescent="0.35">
      <c r="B94" s="24" t="s">
        <v>75</v>
      </c>
    </row>
    <row r="95" spans="1:7" x14ac:dyDescent="0.35">
      <c r="B95" s="4" t="s">
        <v>76</v>
      </c>
      <c r="D95" s="35">
        <f>+C17-D17</f>
        <v>-150000</v>
      </c>
      <c r="E95" s="25">
        <f>+D17-E17</f>
        <v>-50000</v>
      </c>
      <c r="F95" s="25">
        <f>+E17-F17</f>
        <v>-50000</v>
      </c>
      <c r="G95" s="25">
        <f>+F17-G17</f>
        <v>-50000</v>
      </c>
    </row>
    <row r="96" spans="1:7" x14ac:dyDescent="0.35">
      <c r="B96" s="4" t="s">
        <v>77</v>
      </c>
      <c r="D96" s="35">
        <f>C21-D21</f>
        <v>-150000</v>
      </c>
      <c r="E96" s="25">
        <f>+D21-E21</f>
        <v>-112500</v>
      </c>
      <c r="F96" s="25">
        <f>+E21-F21</f>
        <v>-140625</v>
      </c>
      <c r="G96" s="25">
        <f>+F21-G21</f>
        <v>-175781.25</v>
      </c>
    </row>
    <row r="97" spans="2:8" x14ac:dyDescent="0.35">
      <c r="B97" s="24" t="s">
        <v>79</v>
      </c>
      <c r="D97" s="26">
        <f>SUM(D95:D96)</f>
        <v>-300000</v>
      </c>
      <c r="E97" s="26">
        <f>SUM(E95:E96)</f>
        <v>-162500</v>
      </c>
      <c r="F97" s="26">
        <f>SUM(F95:F96)</f>
        <v>-190625</v>
      </c>
      <c r="G97" s="26">
        <f>SUM(G95:G96)</f>
        <v>-225781.25</v>
      </c>
    </row>
    <row r="99" spans="2:8" x14ac:dyDescent="0.35">
      <c r="B99" s="24" t="s">
        <v>46</v>
      </c>
    </row>
    <row r="100" spans="2:8" x14ac:dyDescent="0.35">
      <c r="B100" s="4" t="s">
        <v>81</v>
      </c>
      <c r="D100" s="35">
        <f>D31-C31</f>
        <v>0</v>
      </c>
      <c r="E100" s="25">
        <f>+E31-D31</f>
        <v>0</v>
      </c>
      <c r="F100" s="25">
        <f>+F31-E31</f>
        <v>-10000</v>
      </c>
      <c r="G100" s="25">
        <f>+G31-F31</f>
        <v>-10000</v>
      </c>
    </row>
    <row r="101" spans="2:8" x14ac:dyDescent="0.35">
      <c r="B101" s="15" t="s">
        <v>80</v>
      </c>
      <c r="D101" s="35">
        <f>D34-C34</f>
        <v>-100000</v>
      </c>
      <c r="E101" s="25">
        <f>E34-D34</f>
        <v>-100000</v>
      </c>
      <c r="F101" s="25">
        <f>F34-E34</f>
        <v>-100000</v>
      </c>
      <c r="G101" s="25">
        <f>G34-F34</f>
        <v>-100000</v>
      </c>
    </row>
    <row r="102" spans="2:8" x14ac:dyDescent="0.35">
      <c r="B102" s="15" t="s">
        <v>82</v>
      </c>
      <c r="D102" s="35">
        <f>D40-C40</f>
        <v>30000</v>
      </c>
      <c r="E102" s="25">
        <f>+E40-D40</f>
        <v>0</v>
      </c>
      <c r="F102" s="25">
        <f>+F40-E40</f>
        <v>0</v>
      </c>
      <c r="G102" s="25">
        <f>+G40-F40</f>
        <v>0</v>
      </c>
    </row>
    <row r="103" spans="2:8" x14ac:dyDescent="0.35">
      <c r="B103" s="24" t="s">
        <v>83</v>
      </c>
      <c r="D103" s="26">
        <f>SUM(D100:D102)</f>
        <v>-70000</v>
      </c>
      <c r="E103" s="26">
        <f>SUM(E100:E102)</f>
        <v>-100000</v>
      </c>
      <c r="F103" s="26">
        <f>SUM(F100:F102)</f>
        <v>-110000</v>
      </c>
      <c r="G103" s="26">
        <f>SUM(G100:G102)</f>
        <v>-110000</v>
      </c>
    </row>
    <row r="105" spans="2:8" x14ac:dyDescent="0.35">
      <c r="B105" s="4" t="s">
        <v>54</v>
      </c>
      <c r="D105" s="26">
        <f>+D92+D97+D103</f>
        <v>36415</v>
      </c>
      <c r="E105" s="26">
        <f>+E92+E97+E103</f>
        <v>202118.5</v>
      </c>
      <c r="F105" s="26">
        <f>+F92+F97+F103</f>
        <v>225151.75000000012</v>
      </c>
      <c r="G105" s="26">
        <f>+G92+G97+G103</f>
        <v>256293.75500000012</v>
      </c>
    </row>
    <row r="107" spans="2:8" ht="15.5" x14ac:dyDescent="0.35">
      <c r="B107" s="27" t="s">
        <v>65</v>
      </c>
      <c r="C107" s="28"/>
      <c r="D107" s="28"/>
      <c r="E107" s="28"/>
      <c r="F107" s="28"/>
      <c r="G107" s="28"/>
    </row>
    <row r="108" spans="2:8" ht="15" thickBot="1" x14ac:dyDescent="0.4">
      <c r="B108" s="10"/>
      <c r="C108" s="14" t="s">
        <v>0</v>
      </c>
      <c r="D108" s="14" t="s">
        <v>1</v>
      </c>
      <c r="E108" s="14" t="s">
        <v>2</v>
      </c>
      <c r="F108" s="14" t="s">
        <v>3</v>
      </c>
      <c r="G108" s="14" t="s">
        <v>4</v>
      </c>
    </row>
    <row r="109" spans="2:8" ht="15" thickTop="1" x14ac:dyDescent="0.35"/>
    <row r="110" spans="2:8" x14ac:dyDescent="0.35">
      <c r="B110" s="34" t="s">
        <v>88</v>
      </c>
    </row>
    <row r="111" spans="2:8" x14ac:dyDescent="0.35">
      <c r="B111" s="2" t="s">
        <v>84</v>
      </c>
      <c r="C111" s="30">
        <f>+(C34+C31)/C68</f>
        <v>3.168831168831169</v>
      </c>
      <c r="D111" s="30">
        <f>+(D34+D31)/D68</f>
        <v>2.723337268791814</v>
      </c>
      <c r="E111" s="30">
        <f>+(E34+E31)/E68</f>
        <v>2.332653572322994</v>
      </c>
      <c r="F111" s="30">
        <f>+(F34+F31)/F68</f>
        <v>1.9774865755331568</v>
      </c>
      <c r="G111" s="30">
        <f>+(G34+G31)/G68</f>
        <v>1.6676172676445877</v>
      </c>
      <c r="H111" s="31"/>
    </row>
    <row r="112" spans="2:8" x14ac:dyDescent="0.35">
      <c r="B112" s="2" t="s">
        <v>85</v>
      </c>
      <c r="C112" s="30">
        <v>4</v>
      </c>
      <c r="D112" s="30">
        <f>C112-0.25</f>
        <v>3.75</v>
      </c>
      <c r="E112" s="30">
        <f>D112-0.5</f>
        <v>3.25</v>
      </c>
      <c r="F112" s="30">
        <f t="shared" ref="F112:G112" si="7">E112-0.25</f>
        <v>3</v>
      </c>
      <c r="G112" s="30">
        <f t="shared" si="7"/>
        <v>2.75</v>
      </c>
      <c r="H112" s="30"/>
    </row>
    <row r="113" spans="2:8" x14ac:dyDescent="0.35">
      <c r="C113" s="30"/>
      <c r="D113" s="30"/>
      <c r="E113" s="30"/>
      <c r="F113" s="30"/>
      <c r="G113" s="30"/>
      <c r="H113" s="30"/>
    </row>
    <row r="114" spans="2:8" x14ac:dyDescent="0.35">
      <c r="B114" s="2" t="s">
        <v>86</v>
      </c>
      <c r="C114" s="32">
        <f>(C34+C31)/C112-C68</f>
        <v>-120000</v>
      </c>
      <c r="D114" s="32">
        <f>(D34+D31)/D112-D68</f>
        <v>-173916.66666666669</v>
      </c>
      <c r="E114" s="32">
        <f>(E34+E31)/E112-E68</f>
        <v>-197236.53846153844</v>
      </c>
      <c r="F114" s="32">
        <f>(F34+F31)/F112-F68</f>
        <v>-261985.83333333343</v>
      </c>
      <c r="G114" s="32">
        <f>(G34+G31)/G112-G68</f>
        <v>-332790.47727272753</v>
      </c>
      <c r="H114" s="30"/>
    </row>
    <row r="115" spans="2:8" x14ac:dyDescent="0.35">
      <c r="B115" s="4" t="s">
        <v>87</v>
      </c>
      <c r="C115" s="33">
        <f>-C114/C68</f>
        <v>0.20779220779220781</v>
      </c>
      <c r="D115" s="33">
        <f>-D114/D68</f>
        <v>0.27377672832218292</v>
      </c>
      <c r="E115" s="33">
        <f>-E114/E68</f>
        <v>0.28226043928523264</v>
      </c>
      <c r="F115" s="33">
        <f>-F114/F68</f>
        <v>0.34083780815561437</v>
      </c>
      <c r="G115" s="33">
        <f>-G114/G68</f>
        <v>0.39359372085651356</v>
      </c>
      <c r="H115" s="30"/>
    </row>
    <row r="116" spans="2:8" x14ac:dyDescent="0.35">
      <c r="C116" s="30"/>
      <c r="D116" s="30"/>
      <c r="E116" s="30"/>
      <c r="F116" s="30"/>
      <c r="G116" s="30"/>
      <c r="H116" s="30"/>
    </row>
    <row r="117" spans="2:8" x14ac:dyDescent="0.35">
      <c r="B117" s="34" t="s">
        <v>89</v>
      </c>
      <c r="H117" s="30"/>
    </row>
    <row r="118" spans="2:8" x14ac:dyDescent="0.35">
      <c r="B118" s="2" t="s">
        <v>90</v>
      </c>
      <c r="C118" s="30">
        <f>+C68/C71</f>
        <v>4.010416666666667</v>
      </c>
      <c r="D118" s="30">
        <f>+D68/D71</f>
        <v>4.6709558823529411</v>
      </c>
      <c r="E118" s="30">
        <f>+E68/E71</f>
        <v>5.4084752321981426</v>
      </c>
      <c r="F118" s="30">
        <f>+F68/F71</f>
        <v>6.2624450057031131</v>
      </c>
      <c r="G118" s="30">
        <f>+G68/G71</f>
        <v>7.2512521118667639</v>
      </c>
      <c r="H118" s="30"/>
    </row>
    <row r="119" spans="2:8" x14ac:dyDescent="0.35">
      <c r="B119" s="2" t="s">
        <v>85</v>
      </c>
      <c r="C119" s="30">
        <v>3</v>
      </c>
      <c r="D119" s="30">
        <v>3.5</v>
      </c>
      <c r="E119" s="30">
        <v>4</v>
      </c>
      <c r="F119" s="30">
        <f t="shared" ref="F119:G119" si="8">E119-0.25</f>
        <v>3.75</v>
      </c>
      <c r="G119" s="30">
        <f t="shared" si="8"/>
        <v>3.5</v>
      </c>
      <c r="H119" s="30"/>
    </row>
    <row r="120" spans="2:8" x14ac:dyDescent="0.35">
      <c r="C120" s="30"/>
      <c r="D120" s="30"/>
      <c r="E120" s="30"/>
      <c r="F120" s="30"/>
      <c r="G120" s="30"/>
      <c r="H120" s="30"/>
    </row>
    <row r="121" spans="2:8" x14ac:dyDescent="0.35">
      <c r="B121" s="2" t="s">
        <v>86</v>
      </c>
      <c r="C121" s="32">
        <f>C71*C119-C68</f>
        <v>-145500</v>
      </c>
      <c r="D121" s="32">
        <f>D71*D119-D68</f>
        <v>-159250</v>
      </c>
      <c r="E121" s="32">
        <f>E71*E119-E68</f>
        <v>-181975</v>
      </c>
      <c r="F121" s="32">
        <f>F71*F119-F68</f>
        <v>-308377.50000000012</v>
      </c>
      <c r="G121" s="32">
        <f>G71*G119-G68</f>
        <v>-437407.25000000023</v>
      </c>
      <c r="H121" s="30"/>
    </row>
    <row r="122" spans="2:8" x14ac:dyDescent="0.35">
      <c r="B122" s="4" t="s">
        <v>87</v>
      </c>
      <c r="C122" s="33">
        <f>-C121/C68</f>
        <v>0.25194805194805192</v>
      </c>
      <c r="D122" s="33">
        <f>-D121/D68</f>
        <v>0.25068870523415976</v>
      </c>
      <c r="E122" s="33">
        <f>-E121/E68</f>
        <v>0.26042002075059928</v>
      </c>
      <c r="F122" s="33">
        <f>-F121/F68</f>
        <v>0.40119234634636597</v>
      </c>
      <c r="G122" s="33">
        <f>-G121/G68</f>
        <v>0.51732473978222238</v>
      </c>
      <c r="H122" s="30"/>
    </row>
    <row r="123" spans="2:8" x14ac:dyDescent="0.35">
      <c r="C123" s="30"/>
      <c r="D123" s="30"/>
      <c r="E123" s="30"/>
      <c r="F123" s="30"/>
      <c r="G123" s="30"/>
      <c r="H123" s="30"/>
    </row>
    <row r="124" spans="2:8" x14ac:dyDescent="0.35">
      <c r="C124" s="30"/>
      <c r="D124" s="30"/>
      <c r="E124" s="30"/>
      <c r="F124" s="30"/>
      <c r="G124" s="30"/>
      <c r="H124" s="30"/>
    </row>
    <row r="125" spans="2:8" x14ac:dyDescent="0.35">
      <c r="C125" s="30"/>
      <c r="D125" s="30"/>
      <c r="E125" s="30"/>
      <c r="F125" s="30"/>
      <c r="G125" s="30"/>
      <c r="H125" s="31"/>
    </row>
    <row r="126" spans="2:8" x14ac:dyDescent="0.35">
      <c r="C126" s="30"/>
      <c r="D126" s="30"/>
      <c r="E126" s="30"/>
      <c r="F126" s="30"/>
      <c r="G126" s="30"/>
      <c r="H126" s="31"/>
    </row>
    <row r="127" spans="2:8" x14ac:dyDescent="0.35">
      <c r="C127" s="30"/>
      <c r="D127" s="30"/>
      <c r="E127" s="30"/>
      <c r="F127" s="30"/>
      <c r="G127" s="30"/>
      <c r="H127" s="31"/>
    </row>
    <row r="128" spans="2:8" x14ac:dyDescent="0.35">
      <c r="C128" s="30"/>
      <c r="D128" s="30"/>
      <c r="E128" s="30"/>
      <c r="F128" s="30"/>
      <c r="G128" s="30"/>
      <c r="H128" s="31"/>
    </row>
    <row r="129" spans="3:8" x14ac:dyDescent="0.35">
      <c r="C129" s="30"/>
      <c r="D129" s="30"/>
      <c r="E129" s="30"/>
      <c r="F129" s="30"/>
      <c r="G129" s="30"/>
      <c r="H129" s="31"/>
    </row>
    <row r="130" spans="3:8" x14ac:dyDescent="0.35">
      <c r="C130" s="30"/>
      <c r="D130" s="30"/>
      <c r="E130" s="30"/>
      <c r="F130" s="30"/>
      <c r="G130" s="30"/>
      <c r="H130" s="31"/>
    </row>
    <row r="131" spans="3:8" x14ac:dyDescent="0.35">
      <c r="C131" s="30"/>
      <c r="D131" s="30"/>
      <c r="E131" s="30"/>
      <c r="F131" s="30"/>
      <c r="G131" s="30"/>
      <c r="H131" s="31"/>
    </row>
    <row r="132" spans="3:8" x14ac:dyDescent="0.35">
      <c r="C132" s="30"/>
      <c r="D132" s="30"/>
      <c r="E132" s="30"/>
      <c r="F132" s="30"/>
      <c r="G132" s="30"/>
      <c r="H132" s="31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2022-04-28T11:59:25Z</dcterms:created>
  <dcterms:modified xsi:type="dcterms:W3CDTF">2022-04-28T17:17:13Z</dcterms:modified>
</cp:coreProperties>
</file>