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CREDIT RISK MANAGEMENT and ANALYSIS/Chapters - Spreadsheets/PART III/"/>
    </mc:Choice>
  </mc:AlternateContent>
  <xr:revisionPtr revIDLastSave="653" documentId="8_{9DEC20A6-9DAD-4227-9B2C-58583B535801}" xr6:coauthVersionLast="47" xr6:coauthVersionMax="47" xr10:uidLastSave="{9B90D3B7-6522-4BEB-AE3E-0859EB020321}"/>
  <bookViews>
    <workbookView xWindow="28680" yWindow="-120" windowWidth="29040" windowHeight="15720" activeTab="10" xr2:uid="{2E572760-3879-4A58-B85B-1751B097F20C}"/>
  </bookViews>
  <sheets>
    <sheet name="Fig. 9.1" sheetId="1" r:id="rId1"/>
    <sheet name="Fig. 9.2" sheetId="2" r:id="rId2"/>
    <sheet name="Fig. 9.3" sheetId="3" r:id="rId3"/>
    <sheet name="Fig. 9.4" sheetId="4" r:id="rId4"/>
    <sheet name="Fig. 9.5" sheetId="5" r:id="rId5"/>
    <sheet name="Fig. 9.6" sheetId="6" r:id="rId6"/>
    <sheet name="Fig. 9.7" sheetId="7" r:id="rId7"/>
    <sheet name="Fig. 9.8" sheetId="8" r:id="rId8"/>
    <sheet name="Fig. 9.9" sheetId="9" r:id="rId9"/>
    <sheet name="Fig. 9.10" sheetId="11" r:id="rId10"/>
    <sheet name="Fig 9.11" sheetId="10" r:id="rId11"/>
    <sheet name="Fig. 9.12" sheetId="12" r:id="rId12"/>
    <sheet name="Fig. 9.13" sheetId="13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3" l="1"/>
  <c r="E62" i="13"/>
  <c r="C53" i="13"/>
  <c r="C52" i="13" s="1"/>
  <c r="C55" i="13" s="1"/>
  <c r="E64" i="13" s="1"/>
  <c r="F52" i="13"/>
  <c r="E46" i="13"/>
  <c r="I46" i="13" s="1"/>
  <c r="I45" i="13"/>
  <c r="E45" i="13"/>
  <c r="H33" i="13"/>
  <c r="G33" i="13"/>
  <c r="F33" i="13"/>
  <c r="E33" i="13"/>
  <c r="D33" i="13"/>
  <c r="E32" i="13"/>
  <c r="D32" i="13"/>
  <c r="E31" i="13"/>
  <c r="D31" i="13"/>
  <c r="E27" i="13"/>
  <c r="E26" i="13"/>
  <c r="F26" i="13" s="1"/>
  <c r="H25" i="13"/>
  <c r="H36" i="13" s="1"/>
  <c r="G25" i="13"/>
  <c r="F25" i="13"/>
  <c r="E25" i="13"/>
  <c r="D25" i="13"/>
  <c r="D27" i="13" s="1"/>
  <c r="D17" i="13"/>
  <c r="M16" i="13"/>
  <c r="D7" i="13"/>
  <c r="D7" i="12"/>
  <c r="D6" i="12"/>
  <c r="H18" i="10"/>
  <c r="I18" i="10"/>
  <c r="J18" i="10"/>
  <c r="G18" i="10"/>
  <c r="K42" i="10"/>
  <c r="J42" i="10"/>
  <c r="I42" i="10"/>
  <c r="H42" i="10"/>
  <c r="K41" i="10"/>
  <c r="J41" i="10"/>
  <c r="I41" i="10"/>
  <c r="H41" i="10"/>
  <c r="G42" i="10"/>
  <c r="G41" i="10"/>
  <c r="K13" i="11"/>
  <c r="J13" i="11"/>
  <c r="I13" i="11"/>
  <c r="H13" i="11"/>
  <c r="G13" i="11"/>
  <c r="K35" i="10"/>
  <c r="J35" i="10"/>
  <c r="I35" i="10"/>
  <c r="H35" i="10"/>
  <c r="G35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E35" i="10"/>
  <c r="E33" i="10"/>
  <c r="E32" i="10"/>
  <c r="E31" i="10"/>
  <c r="D35" i="10"/>
  <c r="D33" i="10"/>
  <c r="D32" i="10"/>
  <c r="D31" i="10"/>
  <c r="E32" i="11"/>
  <c r="K15" i="11"/>
  <c r="J15" i="11"/>
  <c r="I15" i="11"/>
  <c r="H15" i="11"/>
  <c r="G15" i="11"/>
  <c r="I12" i="11"/>
  <c r="I14" i="11" s="1"/>
  <c r="K10" i="11"/>
  <c r="K12" i="11" s="1"/>
  <c r="K14" i="11" s="1"/>
  <c r="K18" i="11" s="1"/>
  <c r="J10" i="11"/>
  <c r="J12" i="11" s="1"/>
  <c r="J14" i="11" s="1"/>
  <c r="J18" i="11" s="1"/>
  <c r="J20" i="11" s="1"/>
  <c r="I10" i="11"/>
  <c r="H10" i="11"/>
  <c r="H12" i="11" s="1"/>
  <c r="H14" i="11" s="1"/>
  <c r="G10" i="11"/>
  <c r="G12" i="11" s="1"/>
  <c r="G14" i="11" s="1"/>
  <c r="G18" i="11" s="1"/>
  <c r="G20" i="11" s="1"/>
  <c r="G29" i="11" s="1"/>
  <c r="G31" i="11" s="1"/>
  <c r="E10" i="11"/>
  <c r="E12" i="11" s="1"/>
  <c r="D10" i="11"/>
  <c r="D12" i="11" s="1"/>
  <c r="F53" i="10"/>
  <c r="F48" i="10"/>
  <c r="D21" i="10"/>
  <c r="D17" i="10"/>
  <c r="I41" i="9"/>
  <c r="I38" i="9"/>
  <c r="G42" i="9" s="1"/>
  <c r="G30" i="9"/>
  <c r="O27" i="9"/>
  <c r="N27" i="9"/>
  <c r="M27" i="9"/>
  <c r="L27" i="9"/>
  <c r="K27" i="9"/>
  <c r="J27" i="9"/>
  <c r="J6" i="9"/>
  <c r="K6" i="9" s="1"/>
  <c r="L6" i="9" s="1"/>
  <c r="M6" i="9" s="1"/>
  <c r="N6" i="9" s="1"/>
  <c r="O6" i="9" s="1"/>
  <c r="O23" i="9"/>
  <c r="N23" i="9"/>
  <c r="M23" i="9"/>
  <c r="L23" i="9"/>
  <c r="K23" i="9"/>
  <c r="J23" i="9"/>
  <c r="O13" i="9"/>
  <c r="N13" i="9"/>
  <c r="M13" i="9"/>
  <c r="L13" i="9"/>
  <c r="K13" i="9"/>
  <c r="J13" i="9"/>
  <c r="G20" i="9"/>
  <c r="I20" i="9" s="1"/>
  <c r="D18" i="9"/>
  <c r="E18" i="9"/>
  <c r="F18" i="9"/>
  <c r="D20" i="9"/>
  <c r="E20" i="9"/>
  <c r="F20" i="9"/>
  <c r="D21" i="9"/>
  <c r="E21" i="9"/>
  <c r="F21" i="9"/>
  <c r="C21" i="9"/>
  <c r="C20" i="9"/>
  <c r="C18" i="9"/>
  <c r="F10" i="9"/>
  <c r="E10" i="9"/>
  <c r="D10" i="9"/>
  <c r="F12" i="9"/>
  <c r="F11" i="9" s="1"/>
  <c r="E12" i="9"/>
  <c r="D12" i="9"/>
  <c r="C12" i="9"/>
  <c r="C10" i="9"/>
  <c r="F7" i="9"/>
  <c r="F8" i="9" s="1"/>
  <c r="E7" i="9"/>
  <c r="D7" i="9"/>
  <c r="D11" i="9" s="1"/>
  <c r="C7" i="9"/>
  <c r="D6" i="9"/>
  <c r="E6" i="9"/>
  <c r="F6" i="9"/>
  <c r="C6" i="9"/>
  <c r="F31" i="9"/>
  <c r="N33" i="9"/>
  <c r="O19" i="9"/>
  <c r="N19" i="9"/>
  <c r="M19" i="9"/>
  <c r="L19" i="9"/>
  <c r="K19" i="9"/>
  <c r="J19" i="9"/>
  <c r="F25" i="8"/>
  <c r="K23" i="8"/>
  <c r="J23" i="8"/>
  <c r="I23" i="8"/>
  <c r="H23" i="8"/>
  <c r="G23" i="8"/>
  <c r="F23" i="8"/>
  <c r="G19" i="8"/>
  <c r="G20" i="8" s="1"/>
  <c r="F19" i="8"/>
  <c r="F20" i="8" s="1"/>
  <c r="G17" i="8"/>
  <c r="H19" i="8" s="1"/>
  <c r="H20" i="8" s="1"/>
  <c r="F17" i="8"/>
  <c r="G13" i="8"/>
  <c r="H13" i="8" s="1"/>
  <c r="F11" i="8"/>
  <c r="F14" i="8" s="1"/>
  <c r="F8" i="8" s="1"/>
  <c r="F6" i="8"/>
  <c r="G6" i="8" s="1"/>
  <c r="C42" i="7"/>
  <c r="E41" i="7"/>
  <c r="H41" i="7" s="1"/>
  <c r="E40" i="7"/>
  <c r="H40" i="7" s="1"/>
  <c r="E39" i="7"/>
  <c r="H39" i="7" s="1"/>
  <c r="F38" i="7"/>
  <c r="E38" i="7"/>
  <c r="H38" i="7" s="1"/>
  <c r="H34" i="7"/>
  <c r="H33" i="7"/>
  <c r="F30" i="7"/>
  <c r="H30" i="7" s="1"/>
  <c r="F29" i="7"/>
  <c r="H29" i="7" s="1"/>
  <c r="F28" i="7"/>
  <c r="F44" i="7" s="1"/>
  <c r="C27" i="7"/>
  <c r="C31" i="7" s="1"/>
  <c r="C25" i="7"/>
  <c r="C35" i="7" s="1"/>
  <c r="H24" i="7"/>
  <c r="H23" i="7"/>
  <c r="H22" i="7"/>
  <c r="H18" i="7"/>
  <c r="H17" i="7"/>
  <c r="E16" i="7"/>
  <c r="E15" i="7"/>
  <c r="H15" i="7" s="1"/>
  <c r="H14" i="7"/>
  <c r="H13" i="7"/>
  <c r="C11" i="7"/>
  <c r="C19" i="7" s="1"/>
  <c r="H10" i="7"/>
  <c r="H9" i="7"/>
  <c r="H8" i="7"/>
  <c r="H7" i="7"/>
  <c r="H11" i="7" s="1"/>
  <c r="H5" i="7"/>
  <c r="J16" i="6"/>
  <c r="J15" i="6"/>
  <c r="G7" i="6"/>
  <c r="E6" i="6"/>
  <c r="G6" i="6" s="1"/>
  <c r="F24" i="5"/>
  <c r="E24" i="5"/>
  <c r="F19" i="5"/>
  <c r="E19" i="5"/>
  <c r="D19" i="5"/>
  <c r="G15" i="5"/>
  <c r="F15" i="5"/>
  <c r="E15" i="5"/>
  <c r="D15" i="5"/>
  <c r="G11" i="5"/>
  <c r="G12" i="5" s="1"/>
  <c r="F11" i="5"/>
  <c r="F12" i="5" s="1"/>
  <c r="E11" i="5"/>
  <c r="E12" i="5" s="1"/>
  <c r="D11" i="5"/>
  <c r="D12" i="5" s="1"/>
  <c r="G8" i="5"/>
  <c r="F8" i="5"/>
  <c r="E8" i="5"/>
  <c r="K13" i="2"/>
  <c r="H12" i="2"/>
  <c r="H9" i="2"/>
  <c r="F8" i="2"/>
  <c r="E8" i="2"/>
  <c r="E10" i="2" s="1"/>
  <c r="E13" i="2" s="1"/>
  <c r="H7" i="2"/>
  <c r="H6" i="2"/>
  <c r="J30" i="1"/>
  <c r="I30" i="1"/>
  <c r="H30" i="1"/>
  <c r="G30" i="1"/>
  <c r="F30" i="1"/>
  <c r="E30" i="1"/>
  <c r="D30" i="1"/>
  <c r="C25" i="1"/>
  <c r="D22" i="1"/>
  <c r="E22" i="1" s="1"/>
  <c r="G19" i="1"/>
  <c r="F19" i="1"/>
  <c r="E19" i="1"/>
  <c r="D19" i="1"/>
  <c r="C14" i="1"/>
  <c r="D11" i="1"/>
  <c r="E11" i="1" s="1"/>
  <c r="D7" i="1"/>
  <c r="D28" i="1" s="1"/>
  <c r="D24" i="1" s="1"/>
  <c r="D25" i="1" s="1"/>
  <c r="F32" i="13" l="1"/>
  <c r="F31" i="13"/>
  <c r="F27" i="13"/>
  <c r="G26" i="13"/>
  <c r="D8" i="13"/>
  <c r="D28" i="13"/>
  <c r="D29" i="13" s="1"/>
  <c r="D34" i="13" s="1"/>
  <c r="E28" i="13"/>
  <c r="E29" i="13" s="1"/>
  <c r="E34" i="13" s="1"/>
  <c r="D8" i="12"/>
  <c r="D10" i="12" s="1"/>
  <c r="J7" i="12" s="1"/>
  <c r="C13" i="12" s="1"/>
  <c r="C14" i="12" s="1"/>
  <c r="H34" i="10"/>
  <c r="G34" i="10"/>
  <c r="K34" i="10"/>
  <c r="J34" i="10"/>
  <c r="J48" i="10" s="1"/>
  <c r="I34" i="10"/>
  <c r="E34" i="10"/>
  <c r="E37" i="10" s="1"/>
  <c r="D34" i="10"/>
  <c r="D37" i="10" s="1"/>
  <c r="H18" i="11"/>
  <c r="H20" i="11" s="1"/>
  <c r="H29" i="11" s="1"/>
  <c r="H31" i="11" s="1"/>
  <c r="I18" i="11"/>
  <c r="I20" i="11" s="1"/>
  <c r="I29" i="11" s="1"/>
  <c r="I31" i="11" s="1"/>
  <c r="J23" i="11"/>
  <c r="K20" i="11"/>
  <c r="J24" i="11"/>
  <c r="J25" i="11"/>
  <c r="J27" i="11" s="1"/>
  <c r="J29" i="11" s="1"/>
  <c r="J31" i="11" s="1"/>
  <c r="E31" i="11" s="1"/>
  <c r="E34" i="11" s="1"/>
  <c r="E35" i="11" s="1"/>
  <c r="D8" i="10"/>
  <c r="E21" i="10" s="1"/>
  <c r="G21" i="10" s="1"/>
  <c r="G21" i="9"/>
  <c r="I21" i="9" s="1"/>
  <c r="J7" i="9"/>
  <c r="K7" i="9" s="1"/>
  <c r="K20" i="9" s="1"/>
  <c r="F26" i="9"/>
  <c r="G10" i="9"/>
  <c r="C11" i="9"/>
  <c r="G18" i="9"/>
  <c r="I18" i="9" s="1"/>
  <c r="E11" i="9"/>
  <c r="D8" i="9"/>
  <c r="E8" i="9"/>
  <c r="H28" i="7"/>
  <c r="C44" i="7"/>
  <c r="H25" i="7"/>
  <c r="I13" i="8"/>
  <c r="H6" i="8"/>
  <c r="F22" i="8"/>
  <c r="F24" i="8" s="1"/>
  <c r="F9" i="8"/>
  <c r="G11" i="8"/>
  <c r="H11" i="8" s="1"/>
  <c r="I11" i="8" s="1"/>
  <c r="J11" i="8" s="1"/>
  <c r="K11" i="8" s="1"/>
  <c r="L11" i="8" s="1"/>
  <c r="M11" i="8" s="1"/>
  <c r="H17" i="8"/>
  <c r="G25" i="8"/>
  <c r="H19" i="7"/>
  <c r="H42" i="7"/>
  <c r="E27" i="7"/>
  <c r="H27" i="7" s="1"/>
  <c r="H31" i="7" s="1"/>
  <c r="J17" i="6"/>
  <c r="G8" i="6"/>
  <c r="E14" i="6"/>
  <c r="E12" i="6"/>
  <c r="E13" i="6"/>
  <c r="H8" i="2"/>
  <c r="F10" i="2"/>
  <c r="F22" i="1"/>
  <c r="E7" i="1"/>
  <c r="F11" i="1"/>
  <c r="D17" i="1"/>
  <c r="D13" i="1" s="1"/>
  <c r="D14" i="1" s="1"/>
  <c r="R24" i="13" l="1"/>
  <c r="E38" i="13"/>
  <c r="E39" i="13" s="1"/>
  <c r="E40" i="13" s="1"/>
  <c r="R23" i="13"/>
  <c r="D38" i="13"/>
  <c r="G32" i="13"/>
  <c r="G31" i="13"/>
  <c r="G27" i="13"/>
  <c r="H26" i="13"/>
  <c r="F28" i="13"/>
  <c r="F29" i="13" s="1"/>
  <c r="F34" i="13" s="1"/>
  <c r="D13" i="12"/>
  <c r="D14" i="12"/>
  <c r="E13" i="12"/>
  <c r="K7" i="10"/>
  <c r="K8" i="10" s="1"/>
  <c r="J36" i="10" s="1"/>
  <c r="D7" i="10"/>
  <c r="E17" i="10" s="1"/>
  <c r="I36" i="10"/>
  <c r="H36" i="10"/>
  <c r="G23" i="10"/>
  <c r="G17" i="10"/>
  <c r="G26" i="10" s="1"/>
  <c r="G36" i="10"/>
  <c r="K11" i="10"/>
  <c r="H23" i="10"/>
  <c r="H21" i="10"/>
  <c r="J21" i="9"/>
  <c r="J20" i="9"/>
  <c r="J11" i="9"/>
  <c r="J10" i="9"/>
  <c r="J12" i="9" s="1"/>
  <c r="G11" i="9"/>
  <c r="K18" i="9"/>
  <c r="J18" i="9"/>
  <c r="K11" i="9"/>
  <c r="L7" i="9"/>
  <c r="L20" i="9" s="1"/>
  <c r="K10" i="9"/>
  <c r="K21" i="9"/>
  <c r="G8" i="9"/>
  <c r="H35" i="7"/>
  <c r="E44" i="7"/>
  <c r="J13" i="8"/>
  <c r="I14" i="8"/>
  <c r="I8" i="8" s="1"/>
  <c r="I19" i="8"/>
  <c r="I20" i="8" s="1"/>
  <c r="H25" i="8"/>
  <c r="I17" i="8"/>
  <c r="I6" i="8"/>
  <c r="G14" i="8"/>
  <c r="G8" i="8" s="1"/>
  <c r="H14" i="8"/>
  <c r="H8" i="8" s="1"/>
  <c r="H44" i="7"/>
  <c r="E15" i="6"/>
  <c r="H8" i="6"/>
  <c r="G9" i="6"/>
  <c r="F13" i="2"/>
  <c r="H10" i="2"/>
  <c r="G11" i="1"/>
  <c r="G22" i="1"/>
  <c r="E28" i="1"/>
  <c r="E24" i="1" s="1"/>
  <c r="E25" i="1" s="1"/>
  <c r="E17" i="1"/>
  <c r="E13" i="1" s="1"/>
  <c r="E14" i="1" s="1"/>
  <c r="F7" i="1"/>
  <c r="F38" i="13" l="1"/>
  <c r="F39" i="13" s="1"/>
  <c r="F40" i="13" s="1"/>
  <c r="R25" i="13"/>
  <c r="H31" i="13"/>
  <c r="H32" i="13"/>
  <c r="H27" i="13"/>
  <c r="D39" i="13"/>
  <c r="G29" i="13"/>
  <c r="G34" i="13" s="1"/>
  <c r="G28" i="13"/>
  <c r="F13" i="12"/>
  <c r="E14" i="12"/>
  <c r="E26" i="10"/>
  <c r="H19" i="10"/>
  <c r="H25" i="10" s="1"/>
  <c r="H44" i="10" s="1"/>
  <c r="H17" i="10"/>
  <c r="H26" i="10" s="1"/>
  <c r="G19" i="10"/>
  <c r="G25" i="10" s="1"/>
  <c r="G44" i="10" s="1"/>
  <c r="D9" i="10"/>
  <c r="C9" i="10" s="1"/>
  <c r="E56" i="10"/>
  <c r="I40" i="10"/>
  <c r="I37" i="10"/>
  <c r="K40" i="10"/>
  <c r="K37" i="10"/>
  <c r="I21" i="10"/>
  <c r="I23" i="10"/>
  <c r="H40" i="10"/>
  <c r="H37" i="10"/>
  <c r="G40" i="10"/>
  <c r="G37" i="10"/>
  <c r="J40" i="10"/>
  <c r="J37" i="10"/>
  <c r="K12" i="9"/>
  <c r="K14" i="9" s="1"/>
  <c r="M7" i="9"/>
  <c r="M20" i="9" s="1"/>
  <c r="L10" i="9"/>
  <c r="L11" i="9"/>
  <c r="L21" i="9"/>
  <c r="L18" i="9"/>
  <c r="J26" i="9"/>
  <c r="J14" i="9"/>
  <c r="I22" i="8"/>
  <c r="I24" i="8" s="1"/>
  <c r="I9" i="8"/>
  <c r="G22" i="8"/>
  <c r="G24" i="8" s="1"/>
  <c r="G9" i="8"/>
  <c r="J6" i="8"/>
  <c r="H22" i="8"/>
  <c r="H24" i="8" s="1"/>
  <c r="H9" i="8"/>
  <c r="I25" i="8"/>
  <c r="J17" i="8"/>
  <c r="J19" i="8"/>
  <c r="J20" i="8" s="1"/>
  <c r="J14" i="8"/>
  <c r="J8" i="8" s="1"/>
  <c r="K13" i="8"/>
  <c r="C15" i="6"/>
  <c r="E17" i="6"/>
  <c r="I9" i="6"/>
  <c r="H9" i="6"/>
  <c r="H7" i="6"/>
  <c r="H6" i="6"/>
  <c r="G9" i="2"/>
  <c r="G6" i="2"/>
  <c r="G12" i="2"/>
  <c r="G7" i="2"/>
  <c r="H13" i="2"/>
  <c r="G13" i="2"/>
  <c r="G8" i="2"/>
  <c r="G10" i="2"/>
  <c r="G7" i="1"/>
  <c r="F28" i="1"/>
  <c r="F24" i="1" s="1"/>
  <c r="F25" i="1" s="1"/>
  <c r="F17" i="1"/>
  <c r="F13" i="1" s="1"/>
  <c r="F14" i="1" s="1"/>
  <c r="H22" i="1"/>
  <c r="H12" i="1"/>
  <c r="H19" i="1" s="1"/>
  <c r="R26" i="13" l="1"/>
  <c r="G38" i="13"/>
  <c r="D40" i="13"/>
  <c r="H28" i="13"/>
  <c r="H29" i="13" s="1"/>
  <c r="H34" i="13" s="1"/>
  <c r="G13" i="12"/>
  <c r="F14" i="12"/>
  <c r="D10" i="10"/>
  <c r="D11" i="10" s="1"/>
  <c r="I17" i="10"/>
  <c r="I19" i="10"/>
  <c r="I25" i="10" s="1"/>
  <c r="I44" i="10" s="1"/>
  <c r="E7" i="10"/>
  <c r="G7" i="10" s="1"/>
  <c r="J38" i="10"/>
  <c r="J39" i="10" s="1"/>
  <c r="J43" i="10" s="1"/>
  <c r="H38" i="10"/>
  <c r="H39" i="10"/>
  <c r="H43" i="10" s="1"/>
  <c r="H45" i="10" s="1"/>
  <c r="H53" i="10" s="1"/>
  <c r="H55" i="10" s="1"/>
  <c r="J19" i="10"/>
  <c r="J23" i="10"/>
  <c r="J21" i="10"/>
  <c r="G38" i="10"/>
  <c r="G39" i="10" s="1"/>
  <c r="G43" i="10" s="1"/>
  <c r="G45" i="10" s="1"/>
  <c r="G53" i="10" s="1"/>
  <c r="G55" i="10" s="1"/>
  <c r="K38" i="10"/>
  <c r="K39" i="10" s="1"/>
  <c r="K43" i="10" s="1"/>
  <c r="I38" i="10"/>
  <c r="I39" i="10" s="1"/>
  <c r="I43" i="10" s="1"/>
  <c r="K26" i="9"/>
  <c r="L12" i="9"/>
  <c r="L14" i="9" s="1"/>
  <c r="J15" i="9"/>
  <c r="J16" i="9"/>
  <c r="J22" i="9" s="1"/>
  <c r="J24" i="9" s="1"/>
  <c r="J38" i="9" s="1"/>
  <c r="M10" i="9"/>
  <c r="M11" i="9"/>
  <c r="N7" i="9"/>
  <c r="N20" i="9" s="1"/>
  <c r="M21" i="9"/>
  <c r="M18" i="9"/>
  <c r="K15" i="9"/>
  <c r="K16" i="9"/>
  <c r="K22" i="9" s="1"/>
  <c r="K24" i="9" s="1"/>
  <c r="K38" i="9" s="1"/>
  <c r="K39" i="9" s="1"/>
  <c r="J22" i="8"/>
  <c r="J24" i="8" s="1"/>
  <c r="J9" i="8"/>
  <c r="K19" i="8"/>
  <c r="K20" i="8" s="1"/>
  <c r="J25" i="8"/>
  <c r="K17" i="8"/>
  <c r="K14" i="8"/>
  <c r="K8" i="8" s="1"/>
  <c r="L13" i="8"/>
  <c r="K6" i="8"/>
  <c r="F17" i="6"/>
  <c r="E16" i="6"/>
  <c r="C17" i="6"/>
  <c r="F14" i="6"/>
  <c r="F12" i="6"/>
  <c r="F13" i="6"/>
  <c r="F15" i="6"/>
  <c r="H11" i="1"/>
  <c r="I22" i="1"/>
  <c r="G28" i="1"/>
  <c r="G24" i="1" s="1"/>
  <c r="G25" i="1" s="1"/>
  <c r="G17" i="1"/>
  <c r="G13" i="1" s="1"/>
  <c r="G14" i="1" s="1"/>
  <c r="H7" i="1"/>
  <c r="H38" i="13" l="1"/>
  <c r="H39" i="13" s="1"/>
  <c r="H40" i="13" s="1"/>
  <c r="R27" i="13"/>
  <c r="G39" i="13"/>
  <c r="C38" i="13"/>
  <c r="E61" i="13" s="1"/>
  <c r="G14" i="12"/>
  <c r="H13" i="12"/>
  <c r="I45" i="10"/>
  <c r="I53" i="10" s="1"/>
  <c r="I55" i="10" s="1"/>
  <c r="J17" i="10"/>
  <c r="J26" i="10" s="1"/>
  <c r="I26" i="10"/>
  <c r="E8" i="10"/>
  <c r="G8" i="10" s="1"/>
  <c r="E11" i="10"/>
  <c r="J25" i="10"/>
  <c r="J44" i="10" s="1"/>
  <c r="J45" i="10" s="1"/>
  <c r="E10" i="10"/>
  <c r="G10" i="10" s="1"/>
  <c r="E9" i="10"/>
  <c r="G9" i="10" s="1"/>
  <c r="K21" i="10"/>
  <c r="K23" i="10"/>
  <c r="L26" i="9"/>
  <c r="M12" i="9"/>
  <c r="M14" i="9" s="1"/>
  <c r="M26" i="9"/>
  <c r="N10" i="9"/>
  <c r="N11" i="9"/>
  <c r="O7" i="9"/>
  <c r="O20" i="9" s="1"/>
  <c r="N21" i="9"/>
  <c r="N18" i="9"/>
  <c r="L15" i="9"/>
  <c r="L16" i="9" s="1"/>
  <c r="L22" i="9" s="1"/>
  <c r="L24" i="9" s="1"/>
  <c r="L38" i="9" s="1"/>
  <c r="J39" i="9"/>
  <c r="K9" i="8"/>
  <c r="K22" i="8"/>
  <c r="K24" i="8" s="1"/>
  <c r="M13" i="8"/>
  <c r="M14" i="8" s="1"/>
  <c r="L14" i="8"/>
  <c r="L8" i="8" s="1"/>
  <c r="L7" i="8"/>
  <c r="L23" i="8" s="1"/>
  <c r="L6" i="8"/>
  <c r="K25" i="8"/>
  <c r="L19" i="8"/>
  <c r="L20" i="8" s="1"/>
  <c r="L17" i="8"/>
  <c r="F16" i="6"/>
  <c r="C16" i="6"/>
  <c r="H17" i="1"/>
  <c r="H13" i="1" s="1"/>
  <c r="H14" i="1" s="1"/>
  <c r="H28" i="1"/>
  <c r="H24" i="1" s="1"/>
  <c r="H25" i="1" s="1"/>
  <c r="I7" i="1"/>
  <c r="J22" i="1"/>
  <c r="I13" i="1"/>
  <c r="I14" i="1" s="1"/>
  <c r="I11" i="1"/>
  <c r="C67" i="13" l="1"/>
  <c r="G40" i="13"/>
  <c r="C39" i="13"/>
  <c r="I13" i="12"/>
  <c r="H14" i="12"/>
  <c r="K19" i="10"/>
  <c r="K18" i="10"/>
  <c r="K17" i="10" s="1"/>
  <c r="K26" i="10" s="1"/>
  <c r="G11" i="10"/>
  <c r="F49" i="10" s="1"/>
  <c r="J49" i="10" s="1"/>
  <c r="J50" i="10" s="1"/>
  <c r="J52" i="10" s="1"/>
  <c r="J53" i="10" s="1"/>
  <c r="J55" i="10" s="1"/>
  <c r="E55" i="10" s="1"/>
  <c r="E58" i="10" s="1"/>
  <c r="E59" i="10" s="1"/>
  <c r="K25" i="10"/>
  <c r="N12" i="9"/>
  <c r="N26" i="9" s="1"/>
  <c r="N30" i="9" s="1"/>
  <c r="L39" i="9"/>
  <c r="O11" i="9"/>
  <c r="O10" i="9"/>
  <c r="O21" i="9"/>
  <c r="O18" i="9"/>
  <c r="M15" i="9"/>
  <c r="M16" i="9" s="1"/>
  <c r="M22" i="9" s="1"/>
  <c r="M24" i="9" s="1"/>
  <c r="M38" i="9" s="1"/>
  <c r="L22" i="8"/>
  <c r="L9" i="8"/>
  <c r="M8" i="8"/>
  <c r="M7" i="8"/>
  <c r="M23" i="8" s="1"/>
  <c r="L24" i="8"/>
  <c r="M19" i="8"/>
  <c r="M18" i="8"/>
  <c r="M17" i="8" s="1"/>
  <c r="L25" i="8"/>
  <c r="J13" i="1"/>
  <c r="J14" i="1" s="1"/>
  <c r="J11" i="1"/>
  <c r="I28" i="1"/>
  <c r="I24" i="1" s="1"/>
  <c r="I25" i="1" s="1"/>
  <c r="J7" i="1"/>
  <c r="J28" i="1" s="1"/>
  <c r="J24" i="1" s="1"/>
  <c r="J25" i="1" s="1"/>
  <c r="C68" i="13" l="1"/>
  <c r="E68" i="13" s="1"/>
  <c r="E67" i="13"/>
  <c r="C70" i="13" s="1"/>
  <c r="J13" i="12"/>
  <c r="J14" i="12" s="1"/>
  <c r="I14" i="12"/>
  <c r="N14" i="9"/>
  <c r="N15" i="9" s="1"/>
  <c r="N16" i="9" s="1"/>
  <c r="N22" i="9" s="1"/>
  <c r="N24" i="9" s="1"/>
  <c r="O12" i="9"/>
  <c r="O14" i="9" s="1"/>
  <c r="M39" i="9"/>
  <c r="M22" i="8"/>
  <c r="M9" i="8"/>
  <c r="M24" i="8"/>
  <c r="M20" i="8"/>
  <c r="M6" i="8"/>
  <c r="M25" i="8" s="1"/>
  <c r="L6" i="13" l="1"/>
  <c r="L7" i="13"/>
  <c r="J7" i="13" s="1"/>
  <c r="C16" i="12"/>
  <c r="O26" i="9"/>
  <c r="O15" i="9"/>
  <c r="O16" i="9" s="1"/>
  <c r="O22" i="9" s="1"/>
  <c r="L8" i="13" l="1"/>
  <c r="L10" i="13" s="1"/>
  <c r="D9" i="13" s="1"/>
  <c r="K6" i="13"/>
  <c r="C40" i="13"/>
  <c r="C41" i="13" s="1"/>
  <c r="N31" i="9"/>
  <c r="N32" i="9" s="1"/>
  <c r="N35" i="9" s="1"/>
  <c r="N38" i="9" s="1"/>
  <c r="O24" i="9"/>
  <c r="D10" i="13" l="1"/>
  <c r="N39" i="9"/>
  <c r="G41" i="9" s="1"/>
  <c r="G43" i="9" s="1"/>
  <c r="G45" i="9"/>
  <c r="E10" i="13" l="1"/>
  <c r="E6" i="13"/>
  <c r="E7" i="13"/>
  <c r="E8" i="13"/>
  <c r="E9" i="13"/>
</calcChain>
</file>

<file path=xl/sharedStrings.xml><?xml version="1.0" encoding="utf-8"?>
<sst xmlns="http://schemas.openxmlformats.org/spreadsheetml/2006/main" count="583" uniqueCount="413">
  <si>
    <t>Colorado Dental</t>
  </si>
  <si>
    <t>DEBT SCHEDULES</t>
  </si>
  <si>
    <t>($ 000's)</t>
  </si>
  <si>
    <t>Historical</t>
  </si>
  <si>
    <t>PROJECTED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</si>
  <si>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</si>
  <si>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</si>
  <si>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</si>
  <si>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</si>
  <si>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</si>
  <si>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</si>
  <si>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</si>
  <si>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</si>
  <si>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Interest Rate Assumptions</t>
  </si>
  <si>
    <t>Term Loan A</t>
  </si>
  <si>
    <t>Outstanding</t>
  </si>
  <si>
    <t>Increase / (Decrease)</t>
  </si>
  <si>
    <t>Interest Payment</t>
  </si>
  <si>
    <t xml:space="preserve"> Total Payment (Interest + Principal)</t>
  </si>
  <si>
    <t>Spread</t>
  </si>
  <si>
    <t>Interest rate</t>
  </si>
  <si>
    <t>Schedule Repayment based on Percentage %</t>
  </si>
  <si>
    <t>Term Loan B</t>
  </si>
  <si>
    <t>Figure 9.1</t>
  </si>
  <si>
    <t>TRANSACTION SOURCES &amp; USES</t>
  </si>
  <si>
    <t>Sources</t>
  </si>
  <si>
    <t>Interest 
Rate</t>
  </si>
  <si>
    <t>Term
(Years)</t>
  </si>
  <si>
    <t>Commited
($ 000's)</t>
  </si>
  <si>
    <t>Funded
($ 000's)</t>
  </si>
  <si>
    <t>% Cap</t>
  </si>
  <si>
    <t xml:space="preserve">  EBITDA
 x</t>
  </si>
  <si>
    <t>Uses</t>
  </si>
  <si>
    <t>Amount
($ 000's)</t>
  </si>
  <si>
    <t>Revolving Credit</t>
  </si>
  <si>
    <t xml:space="preserve"> 0.50%/LIBOR+3.5%</t>
  </si>
  <si>
    <t>Cash</t>
  </si>
  <si>
    <t xml:space="preserve"> LIBOR + 3.5%</t>
  </si>
  <si>
    <t>Purchase of Equity (100% shares)</t>
  </si>
  <si>
    <t xml:space="preserve"> LIBOR + 4.0%</t>
  </si>
  <si>
    <t>Refinance Existing Debt</t>
  </si>
  <si>
    <t xml:space="preserve">   Total Bank Debt</t>
  </si>
  <si>
    <t>Transaction Fees &amp; Expenses</t>
  </si>
  <si>
    <t>Senior Unsecured / Subordinated Notes</t>
  </si>
  <si>
    <t>10% FIXED</t>
  </si>
  <si>
    <t>Total Debt</t>
  </si>
  <si>
    <t>Cash Equity</t>
  </si>
  <si>
    <t>Total Sources</t>
  </si>
  <si>
    <t>Total Uses</t>
  </si>
  <si>
    <t>Acquisition Target EBITDA =</t>
  </si>
  <si>
    <t>Figure 9.2</t>
  </si>
  <si>
    <t>CORPORATE LOAN RATING AGENCIES' SCALES</t>
  </si>
  <si>
    <t>Description</t>
  </si>
  <si>
    <t>Standard &amp; Poor's</t>
  </si>
  <si>
    <t>Moody's</t>
  </si>
  <si>
    <t>Fitch</t>
  </si>
  <si>
    <t>INVESTMENT GRADE</t>
  </si>
  <si>
    <t>Highest Quality (Risk Free)</t>
  </si>
  <si>
    <t>AAA</t>
  </si>
  <si>
    <t>Aaa</t>
  </si>
  <si>
    <t>High Quality</t>
  </si>
  <si>
    <t>AA+</t>
  </si>
  <si>
    <t>Aa1</t>
  </si>
  <si>
    <t>AA</t>
  </si>
  <si>
    <t>Aa2</t>
  </si>
  <si>
    <t>AA-</t>
  </si>
  <si>
    <t>Aa3</t>
  </si>
  <si>
    <t>Strong Payment Capacity</t>
  </si>
  <si>
    <t>A+</t>
  </si>
  <si>
    <t>A1</t>
  </si>
  <si>
    <t>A</t>
  </si>
  <si>
    <t>A2</t>
  </si>
  <si>
    <t>A-</t>
  </si>
  <si>
    <t>A3</t>
  </si>
  <si>
    <t>Adequate Payment Capacity</t>
  </si>
  <si>
    <t>BBB+</t>
  </si>
  <si>
    <t>Baa1</t>
  </si>
  <si>
    <t>BBB</t>
  </si>
  <si>
    <t>Baa2</t>
  </si>
  <si>
    <t>BBB-</t>
  </si>
  <si>
    <t>Baa3</t>
  </si>
  <si>
    <t>Likely to fullfill Obligations</t>
  </si>
  <si>
    <t>NON-INVESTMENT GRADE 
(HIGH YEILD)</t>
  </si>
  <si>
    <t>BB+</t>
  </si>
  <si>
    <t>Ba1</t>
  </si>
  <si>
    <t>BB</t>
  </si>
  <si>
    <t>Ba2</t>
  </si>
  <si>
    <t>BB-</t>
  </si>
  <si>
    <t>Ba3</t>
  </si>
  <si>
    <t>High-risk Obligations</t>
  </si>
  <si>
    <t>B+</t>
  </si>
  <si>
    <t>B1</t>
  </si>
  <si>
    <t>B</t>
  </si>
  <si>
    <t>B2</t>
  </si>
  <si>
    <t>B-</t>
  </si>
  <si>
    <t>B3</t>
  </si>
  <si>
    <t>Current Vulnarable to Default</t>
  </si>
  <si>
    <t xml:space="preserve">DISTRESS </t>
  </si>
  <si>
    <t>CCC+</t>
  </si>
  <si>
    <t>Caa</t>
  </si>
  <si>
    <t>CCC</t>
  </si>
  <si>
    <t>CCC-</t>
  </si>
  <si>
    <t>CC</t>
  </si>
  <si>
    <t>C</t>
  </si>
  <si>
    <t>Default</t>
  </si>
  <si>
    <t>DEFAULT</t>
  </si>
  <si>
    <t>D</t>
  </si>
  <si>
    <t>DDD,DD,D</t>
  </si>
  <si>
    <t>Figure 9.3</t>
  </si>
  <si>
    <r>
      <rPr>
        <b/>
        <sz val="10"/>
        <color theme="1"/>
        <rFont val="Calibri"/>
        <family val="2"/>
        <scheme val="minor"/>
      </rPr>
      <t>LEAD ARRANGER BANK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Adminsitrative Bank</t>
    </r>
  </si>
  <si>
    <r>
      <rPr>
        <b/>
        <sz val="10"/>
        <color theme="1"/>
        <rFont val="Calibri"/>
        <family val="2"/>
        <scheme val="minor"/>
      </rPr>
      <t>BOOKRUNNER BANK #1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Syndication Agent</t>
    </r>
  </si>
  <si>
    <r>
      <rPr>
        <b/>
        <sz val="10"/>
        <color theme="1"/>
        <rFont val="Calibri"/>
        <family val="2"/>
        <scheme val="minor"/>
      </rPr>
      <t>BOOKRUNNER BANK #2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Documentation Agent</t>
    </r>
  </si>
  <si>
    <r>
      <rPr>
        <b/>
        <sz val="10"/>
        <color theme="1"/>
        <rFont val="Calibri"/>
        <family val="2"/>
        <scheme val="minor"/>
      </rPr>
      <t>BOOKRUNNER BANK #3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Documentation Agent</t>
    </r>
  </si>
  <si>
    <r>
      <rPr>
        <b/>
        <sz val="10"/>
        <color theme="1"/>
        <rFont val="Calibri"/>
        <family val="2"/>
        <scheme val="minor"/>
      </rPr>
      <t>CO-MGR</t>
    </r>
    <r>
      <rPr>
        <sz val="10"/>
        <color theme="1"/>
        <rFont val="Calibri"/>
        <family val="2"/>
        <scheme val="minor"/>
      </rPr>
      <t xml:space="preserve">
Bank #1</t>
    </r>
  </si>
  <si>
    <r>
      <rPr>
        <b/>
        <sz val="10"/>
        <color theme="1"/>
        <rFont val="Calibri"/>
        <family val="2"/>
        <scheme val="minor"/>
      </rPr>
      <t>CO-MGR</t>
    </r>
    <r>
      <rPr>
        <sz val="10"/>
        <color theme="1"/>
        <rFont val="Calibri"/>
        <family val="2"/>
        <scheme val="minor"/>
      </rPr>
      <t xml:space="preserve">
Bank #2</t>
    </r>
  </si>
  <si>
    <r>
      <rPr>
        <b/>
        <sz val="10"/>
        <color theme="1"/>
        <rFont val="Calibri"/>
        <family val="2"/>
        <scheme val="minor"/>
      </rPr>
      <t>CO-MGR</t>
    </r>
    <r>
      <rPr>
        <sz val="10"/>
        <color theme="1"/>
        <rFont val="Calibri"/>
        <family val="2"/>
        <scheme val="minor"/>
      </rPr>
      <t xml:space="preserve">
Bank #3</t>
    </r>
  </si>
  <si>
    <r>
      <rPr>
        <b/>
        <sz val="10"/>
        <color theme="1"/>
        <rFont val="Calibri"/>
        <family val="2"/>
        <scheme val="minor"/>
      </rPr>
      <t>CO-MGR</t>
    </r>
    <r>
      <rPr>
        <sz val="10"/>
        <color theme="1"/>
        <rFont val="Calibri"/>
        <family val="2"/>
        <scheme val="minor"/>
      </rPr>
      <t xml:space="preserve">
Bank #4</t>
    </r>
  </si>
  <si>
    <r>
      <rPr>
        <b/>
        <sz val="10"/>
        <color theme="1"/>
        <rFont val="Calibri"/>
        <family val="2"/>
        <scheme val="minor"/>
      </rPr>
      <t>CO-MGR</t>
    </r>
    <r>
      <rPr>
        <sz val="10"/>
        <color theme="1"/>
        <rFont val="Calibri"/>
        <family val="2"/>
        <scheme val="minor"/>
      </rPr>
      <t xml:space="preserve">
Bank #5</t>
    </r>
  </si>
  <si>
    <r>
      <rPr>
        <b/>
        <sz val="10"/>
        <color theme="1"/>
        <rFont val="Calibri"/>
        <family val="2"/>
        <scheme val="minor"/>
      </rPr>
      <t>CO-MGR</t>
    </r>
    <r>
      <rPr>
        <sz val="10"/>
        <color theme="1"/>
        <rFont val="Calibri"/>
        <family val="2"/>
        <scheme val="minor"/>
      </rPr>
      <t xml:space="preserve">
Bank #6</t>
    </r>
  </si>
  <si>
    <t>THE LOAN SYNDICATION PROCESS</t>
  </si>
  <si>
    <t>Bank or 
Institution</t>
  </si>
  <si>
    <t>FIRST TIER</t>
  </si>
  <si>
    <t>SECOND TIER</t>
  </si>
  <si>
    <t>RETAIL TIER</t>
  </si>
  <si>
    <t>UNDERWRITTER / LEFT LEAD</t>
  </si>
  <si>
    <t>Figure 9.4</t>
  </si>
  <si>
    <t>COMPANY
ISSUER/BORROWER</t>
  </si>
  <si>
    <t>AK Steel Holding Corporation</t>
  </si>
  <si>
    <t>($ millions)</t>
  </si>
  <si>
    <t>Income Statement Summary</t>
  </si>
  <si>
    <t>Net Sales</t>
  </si>
  <si>
    <t xml:space="preserve">  Growth</t>
  </si>
  <si>
    <t>Cost of Goods Sold</t>
  </si>
  <si>
    <t xml:space="preserve"> Gross Profit</t>
  </si>
  <si>
    <t>EBIT</t>
  </si>
  <si>
    <t xml:space="preserve">  EBIT % of Net Sales</t>
  </si>
  <si>
    <t>Cash Flow Summary</t>
  </si>
  <si>
    <t>Depreciation &amp; Amortization</t>
  </si>
  <si>
    <t>Capital Expenditures</t>
  </si>
  <si>
    <t>Balance Sheet Summary</t>
  </si>
  <si>
    <t xml:space="preserve">Working Capital </t>
  </si>
  <si>
    <t>Transactions Uses</t>
  </si>
  <si>
    <t>Current 
Stock 
Price</t>
  </si>
  <si>
    <t>Desired 
Premium</t>
  </si>
  <si>
    <t>Purchase Stock Price
Feb 28, 2019</t>
  </si>
  <si>
    <t>Shares Outstanding
(millions)</t>
  </si>
  <si>
    <t>Total
Amount
($ millions)</t>
  </si>
  <si>
    <t xml:space="preserve"> %  Total
Uses</t>
  </si>
  <si>
    <t>EBITDA
Multiple</t>
  </si>
  <si>
    <t>Purchase of 100% Shares</t>
  </si>
  <si>
    <t>Refinance Short-Term &amp; Long Term Debt</t>
  </si>
  <si>
    <t xml:space="preserve">    Total Cost of Transaction (Uses)</t>
  </si>
  <si>
    <t>Transactions Sources</t>
  </si>
  <si>
    <t>EBITDA
Multiple
(Capacity)</t>
  </si>
  <si>
    <t>Interest Rate / Expected Return</t>
  </si>
  <si>
    <t xml:space="preserve"> %  Capital</t>
  </si>
  <si>
    <t>Revolver Loan ($200 million)</t>
  </si>
  <si>
    <t>L+4.0%</t>
  </si>
  <si>
    <t>Tax Rate =</t>
  </si>
  <si>
    <t>Corporate Bonds</t>
  </si>
  <si>
    <t xml:space="preserve">   Total Debt</t>
  </si>
  <si>
    <t>EBIT =</t>
  </si>
  <si>
    <t>Equity</t>
  </si>
  <si>
    <t>Plus Deprec. &amp; Amort.=</t>
  </si>
  <si>
    <t xml:space="preserve">   Total Sources </t>
  </si>
  <si>
    <t>EBITDA =</t>
  </si>
  <si>
    <t>Figure 9.6</t>
  </si>
  <si>
    <t>SUMMARY OF FINANCIALS</t>
  </si>
  <si>
    <t>Total Amount
($ millions)</t>
  </si>
  <si>
    <t>LBO TRANSACTION SOURCES &amp; USES</t>
  </si>
  <si>
    <t>PROFORMA</t>
  </si>
  <si>
    <t>BALANCE SHEET</t>
  </si>
  <si>
    <t>AKS
Pre-
Transaction</t>
  </si>
  <si>
    <t>LBO Purchase 
Adjustments</t>
  </si>
  <si>
    <t>AKS
Post-
Transaction</t>
  </si>
  <si>
    <t>Debit</t>
  </si>
  <si>
    <t>Credit</t>
  </si>
  <si>
    <t>ASSETS</t>
  </si>
  <si>
    <t>Cash and Cash Equivalents</t>
  </si>
  <si>
    <t>Accounts Receivable</t>
  </si>
  <si>
    <t>Inventory</t>
  </si>
  <si>
    <t>Oher Current Assets</t>
  </si>
  <si>
    <t xml:space="preserve">  Total Current Assets</t>
  </si>
  <si>
    <t>Property Plant &amp; Equipment</t>
  </si>
  <si>
    <t>Lont-Term Investments</t>
  </si>
  <si>
    <t>Goodwill</t>
  </si>
  <si>
    <t>Capitalized Expenses</t>
  </si>
  <si>
    <t>Intangibe Assets</t>
  </si>
  <si>
    <t>Oher Long Term Assets</t>
  </si>
  <si>
    <t>Total Assets</t>
  </si>
  <si>
    <t>LIABILITIES</t>
  </si>
  <si>
    <t>Accounts Payable</t>
  </si>
  <si>
    <t>Other Curret Liabilities</t>
  </si>
  <si>
    <t>Current Portion of LTD</t>
  </si>
  <si>
    <t xml:space="preserve">   Total Current Liabilities</t>
  </si>
  <si>
    <t>Existing Long  Term Debt</t>
  </si>
  <si>
    <t>Revolver Loan</t>
  </si>
  <si>
    <t>Senior Unsecured Notes</t>
  </si>
  <si>
    <t xml:space="preserve">    Total Long Term Debt</t>
  </si>
  <si>
    <t>Other Liabilities</t>
  </si>
  <si>
    <t>Minority Interest</t>
  </si>
  <si>
    <t>Total Liabilities</t>
  </si>
  <si>
    <t>SHAREHOLDER'S EQUITY</t>
  </si>
  <si>
    <t>Common Stock</t>
  </si>
  <si>
    <t>Treasury Stock</t>
  </si>
  <si>
    <t>Capital Surplus</t>
  </si>
  <si>
    <t>Retained Earnings</t>
  </si>
  <si>
    <t>Total Shareholder Equity</t>
  </si>
  <si>
    <t>Total Liabilities 7 Shareholder's Equity</t>
  </si>
  <si>
    <t>Figure 9.7</t>
  </si>
  <si>
    <t>Debt Schedule</t>
  </si>
  <si>
    <t>Years</t>
  </si>
  <si>
    <t>Rate</t>
  </si>
  <si>
    <t>Bank Loan - Term Loan B</t>
  </si>
  <si>
    <t xml:space="preserve">   Outstanding</t>
  </si>
  <si>
    <t xml:space="preserve">   Scheduled Principal Payments (P)</t>
  </si>
  <si>
    <t xml:space="preserve">   Interest Payments (I)</t>
  </si>
  <si>
    <t xml:space="preserve">   Total Payments (P+I)</t>
  </si>
  <si>
    <t>Interest Rate</t>
  </si>
  <si>
    <t>Interest Payments</t>
  </si>
  <si>
    <t>Principal Payments</t>
  </si>
  <si>
    <t>Total Debt Payments</t>
  </si>
  <si>
    <t>Total Debt Outstanding</t>
  </si>
  <si>
    <t>Figure 9.8</t>
  </si>
  <si>
    <t>Equity Reurn Analysis</t>
  </si>
  <si>
    <t xml:space="preserve">  year =</t>
  </si>
  <si>
    <t xml:space="preserve"> ($ millions)</t>
  </si>
  <si>
    <t>HISTORICAL</t>
  </si>
  <si>
    <t>PROJECTIONS</t>
  </si>
  <si>
    <t>EXIT YEAR</t>
  </si>
  <si>
    <t xml:space="preserve">  Net Sales Growth</t>
  </si>
  <si>
    <t>Operating Expenses (Excl. Non-rec.)</t>
  </si>
  <si>
    <t xml:space="preserve"> EBIT</t>
  </si>
  <si>
    <t>Less Interest</t>
  </si>
  <si>
    <t>EBT</t>
  </si>
  <si>
    <t>Less Taxes (tax rate x of EBIT)</t>
  </si>
  <si>
    <t>Net Income</t>
  </si>
  <si>
    <t>Plus Depreciation &amp; Amortization</t>
  </si>
  <si>
    <t>Plus Capitalized Fee Amortization</t>
  </si>
  <si>
    <t>7 Years</t>
  </si>
  <si>
    <t xml:space="preserve">Less Capex </t>
  </si>
  <si>
    <t>Cash Flow Before Principal Payment</t>
  </si>
  <si>
    <t>Debt Principal Payment</t>
  </si>
  <si>
    <t>Equity Cash Flows</t>
  </si>
  <si>
    <t>EBITDA</t>
  </si>
  <si>
    <t xml:space="preserve">Debt </t>
  </si>
  <si>
    <t>Terminal Value</t>
  </si>
  <si>
    <t>Growth</t>
  </si>
  <si>
    <t>Assumptions</t>
  </si>
  <si>
    <t xml:space="preserve">  EBITDA Multiple Method</t>
  </si>
  <si>
    <t>(EBITDA x EBITDA Multiple)</t>
  </si>
  <si>
    <t xml:space="preserve">  Perpetuity Method </t>
  </si>
  <si>
    <t>Average</t>
  </si>
  <si>
    <t>Less Debt Outstanding (at Exit)</t>
  </si>
  <si>
    <t>Plus Cash (at Exit)</t>
  </si>
  <si>
    <t>Equity Value at Terminal</t>
  </si>
  <si>
    <t>Desired Equity Return =</t>
  </si>
  <si>
    <t>PV of CF =</t>
  </si>
  <si>
    <t>Initial Invest=</t>
  </si>
  <si>
    <t>NPV =</t>
  </si>
  <si>
    <t>IRR =</t>
  </si>
  <si>
    <t xml:space="preserve">  Gross Margin</t>
  </si>
  <si>
    <t>Less Working Capital</t>
  </si>
  <si>
    <t>Assumptions
Hist. Avg</t>
  </si>
  <si>
    <t>Acquisition</t>
  </si>
  <si>
    <t>Multiple</t>
  </si>
  <si>
    <t>per share</t>
  </si>
  <si>
    <t>EXIT 
YEAR</t>
  </si>
  <si>
    <t>Assump.
Proj.</t>
  </si>
  <si>
    <t xml:space="preserve"> Next Year's CF adj for IE / (DR - g)</t>
  </si>
  <si>
    <t>DR</t>
  </si>
  <si>
    <t>PV @25%</t>
  </si>
  <si>
    <t>Celerity Technogy Inc. ("CTI")</t>
  </si>
  <si>
    <t>Capacity EBITDA x</t>
  </si>
  <si>
    <t>Amount</t>
  </si>
  <si>
    <t xml:space="preserve"> % Capital</t>
  </si>
  <si>
    <t>Inter. / 
Exp. Ret.</t>
  </si>
  <si>
    <t>WACC</t>
  </si>
  <si>
    <t>Purchase EBITDA Multiple</t>
  </si>
  <si>
    <t>Bank Loan</t>
  </si>
  <si>
    <t>Purchase Enteprise Value</t>
  </si>
  <si>
    <t>Fees (% EV)</t>
  </si>
  <si>
    <t xml:space="preserve">  Total Debt</t>
  </si>
  <si>
    <t xml:space="preserve">  Total Sources</t>
  </si>
  <si>
    <t xml:space="preserve"> Tax Rate =</t>
  </si>
  <si>
    <t>Interest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</si>
  <si>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</si>
  <si>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</si>
  <si>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</si>
  <si>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</si>
  <si>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</si>
  <si>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Bank Loal - Outstanding</t>
  </si>
  <si>
    <t>Bank Loan  - Principal Incr./Decr.</t>
  </si>
  <si>
    <t>Bonds - Outstanding</t>
  </si>
  <si>
    <t>Bonds  - Principal Incr./Decr.</t>
  </si>
  <si>
    <t>CASH FLOW PROJECTIONS</t>
  </si>
  <si>
    <t>Year -1</t>
  </si>
  <si>
    <t>Revenues</t>
  </si>
  <si>
    <t>Cost of Revenues</t>
  </si>
  <si>
    <t>Operating Expenses</t>
  </si>
  <si>
    <t>Less Depreciation</t>
  </si>
  <si>
    <t>Less Amortization</t>
  </si>
  <si>
    <t>Less Taxes</t>
  </si>
  <si>
    <t>EAT</t>
  </si>
  <si>
    <t>Less Capital Expenditures and Investments</t>
  </si>
  <si>
    <t>Cash Before Financing Payments</t>
  </si>
  <si>
    <t>Less Debt Service (Principal + Interest)</t>
  </si>
  <si>
    <t xml:space="preserve">  Free Cash Flow</t>
  </si>
  <si>
    <t>TERMINAL VALUE (TV)</t>
  </si>
  <si>
    <t>TV Assumptions</t>
  </si>
  <si>
    <t>Terminal Value using EBITDA Multiple Method</t>
  </si>
  <si>
    <t>EBITDA Multiple =</t>
  </si>
  <si>
    <t>Terminal Value using Perpetuity Method</t>
  </si>
  <si>
    <t>Discount Rate =</t>
  </si>
  <si>
    <t xml:space="preserve">   Average Terminal Value</t>
  </si>
  <si>
    <t>Growth =</t>
  </si>
  <si>
    <t>Less Debt</t>
  </si>
  <si>
    <t>Equity Value at Exit Year</t>
  </si>
  <si>
    <t>Equity Expected Return =</t>
  </si>
  <si>
    <t>Present Value of Equity</t>
  </si>
  <si>
    <t>Plus Debt</t>
  </si>
  <si>
    <t>Less Cash</t>
  </si>
  <si>
    <t xml:space="preserve"> Firm Enterprise value</t>
  </si>
  <si>
    <t xml:space="preserve"> Enteprise Value / EBITDA</t>
  </si>
  <si>
    <t>Less Depreciation &amp; Amortization</t>
  </si>
  <si>
    <t>Total Payments (Principal and Interest)</t>
  </si>
  <si>
    <t>INCOME, CASH FLOW AND TERMINAL VALUE ANALYSIS</t>
  </si>
  <si>
    <t xml:space="preserve">LBO Method </t>
  </si>
  <si>
    <t xml:space="preserve">Discount Cash Flow Valuation Method </t>
  </si>
  <si>
    <t>(000s)</t>
  </si>
  <si>
    <t>Figure 9.10</t>
  </si>
  <si>
    <t>Figure 9.11</t>
  </si>
  <si>
    <t>Assumptions ($ millions)</t>
  </si>
  <si>
    <t>Purchase Price of Assets</t>
  </si>
  <si>
    <t>Tax Rate</t>
  </si>
  <si>
    <t>Annual Tax Savings (Tax Rate x Annual Depr.)</t>
  </si>
  <si>
    <t xml:space="preserve">  Asset Set-up</t>
  </si>
  <si>
    <t>Discount Rate</t>
  </si>
  <si>
    <t>Amortization Years</t>
  </si>
  <si>
    <t>years</t>
  </si>
  <si>
    <t>Annual Depreciation (Asset Set-up / Years)</t>
  </si>
  <si>
    <t>Year</t>
  </si>
  <si>
    <t>Annual Tax Savings</t>
  </si>
  <si>
    <t>Present Value of Annual Tax Savings</t>
  </si>
  <si>
    <t>Present Value - Savings</t>
  </si>
  <si>
    <t>million</t>
  </si>
  <si>
    <t>Asset Basis (PP&amp;E)</t>
  </si>
  <si>
    <t>Figure 9.12</t>
  </si>
  <si>
    <t>Southstar Apparel Manufacturing Inc.</t>
  </si>
  <si>
    <t>Buyout of Distress Company</t>
  </si>
  <si>
    <t>Commited</t>
  </si>
  <si>
    <t>Debt
Discount</t>
  </si>
  <si>
    <t>Purchase EBITDA Multiple
(year 3)</t>
  </si>
  <si>
    <t>Asset Based Lending</t>
  </si>
  <si>
    <t>Purchase of Equity</t>
  </si>
  <si>
    <t>Mezzanine Debt</t>
  </si>
  <si>
    <t>DEBT ASSUMPTIONS (At Bankruptcy)</t>
  </si>
  <si>
    <t>VALUE ASSUMPTIONS (Pre-bankruptcy)</t>
  </si>
  <si>
    <t>Existing Debt Outstanding (at Bankruptcy)=</t>
  </si>
  <si>
    <t>Volatility of Book Value of Equity measured by earnings (Variance)</t>
  </si>
  <si>
    <t>Remaining Term</t>
  </si>
  <si>
    <t>Volatility of Debt in the secondary market (Variance)</t>
  </si>
  <si>
    <t>WACC=</t>
  </si>
  <si>
    <t xml:space="preserve"> (Equity Return Heavy)</t>
  </si>
  <si>
    <t>Correlation between Equity (Earnings) /Debt</t>
  </si>
  <si>
    <t>Debt proportion (5 years)</t>
  </si>
  <si>
    <t>DISCOUNT CASH FLOW ANALYSIS ($ millions)</t>
  </si>
  <si>
    <t>Sales</t>
  </si>
  <si>
    <t>Operatinhg Expenses</t>
  </si>
  <si>
    <t xml:space="preserve">  EBIT</t>
  </si>
  <si>
    <t>Add Depreciation</t>
  </si>
  <si>
    <t>Less Maintenance Capex (Depreciation Levels)</t>
  </si>
  <si>
    <t xml:space="preserve">Less W/C </t>
  </si>
  <si>
    <t xml:space="preserve">  Cash Flow</t>
  </si>
  <si>
    <t>Terminal Value assumption</t>
  </si>
  <si>
    <t>EV (PV) of the firm</t>
  </si>
  <si>
    <t>EV (PV) of the Equity</t>
  </si>
  <si>
    <t>Return Analysis</t>
  </si>
  <si>
    <t>DISTRESS CASH FLOW ANALYSIS USING  BLACK-SCHOLES OPTION PRICING MODEL</t>
  </si>
  <si>
    <t>Step 1 - Find the annualized in Retained (Equity) and Debt prices:</t>
  </si>
  <si>
    <t>Annualized Variance in Retained Earnings σ^2 =</t>
  </si>
  <si>
    <t>(annual)</t>
  </si>
  <si>
    <t xml:space="preserve"> St. Dev.=</t>
  </si>
  <si>
    <t>Annualized Variance in Debt Price σ^2 =</t>
  </si>
  <si>
    <t>Step 2 - Find the annualized variance in firm value</t>
  </si>
  <si>
    <t xml:space="preserve">    (we^2  x σe^2) + (wb^2  x σb^2) + 2. (we x wd x ped x σe x σd). C</t>
  </si>
  <si>
    <t>We=</t>
  </si>
  <si>
    <t>C=</t>
  </si>
  <si>
    <t>Wd=</t>
  </si>
  <si>
    <t>Annualized Variance in firm value</t>
  </si>
  <si>
    <t>The five-year bond rate (corresponding to the weighted average duration of 5.1 years) is 6.0%</t>
  </si>
  <si>
    <t>Stet 3 - Find the value of call based upon the following parameters of equity as a call option</t>
  </si>
  <si>
    <t xml:space="preserve">Value of the underlying Enteprise Value = S = Value of the firm = </t>
  </si>
  <si>
    <t xml:space="preserve">Exercise Price  = X = Face Value of outstanding debt = </t>
  </si>
  <si>
    <t>Life of the option = t = Weighted average duration of debt=</t>
  </si>
  <si>
    <t xml:space="preserve">Variance in the value of the underlying asset = σ^2 = </t>
  </si>
  <si>
    <t>Riskless Rate = I = T-Bond for option life =</t>
  </si>
  <si>
    <t>d1=</t>
  </si>
  <si>
    <t>N (d1) =</t>
  </si>
  <si>
    <t>d2=</t>
  </si>
  <si>
    <t>N (d2) =</t>
  </si>
  <si>
    <t>Value of the call (Equity) =</t>
  </si>
  <si>
    <t>VALUE OF ANNUAL TAX SAVINGS FOR STEP-UP ASSETS DUE TO ACQUISITON</t>
  </si>
  <si>
    <t>Figure 9.13</t>
  </si>
  <si>
    <t>Figure 9.5</t>
  </si>
  <si>
    <t>Figure 9.9</t>
  </si>
  <si>
    <t>SOFR Rate</t>
  </si>
  <si>
    <t>SOFR Iincrease / Decrease</t>
  </si>
  <si>
    <t>S+4.0%</t>
  </si>
  <si>
    <t>SOFR</t>
  </si>
  <si>
    <t>SOFR Increase</t>
  </si>
  <si>
    <t>Bank Loan - Interest Payment</t>
  </si>
  <si>
    <t>Bonds - Interest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</si>
</sst>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\x"/>
    <numFmt numFmtId="168" formatCode="0.00\x"/>
    <numFmt numFmtId="169" formatCode="_(* #,##0.0000000_);_(* \(#,##0.0000000\);_(* &quot;-&quot;??_);_(@_)"/>
    <numFmt numFmtId="170" formatCode="&quot;$&quot;0.00"/>
    <numFmt numFmtId="171" formatCode="_(&quot;$&quot;* #,##0_);_(&quot;$&quot;* \(#,##0\);_(&quot;$&quot;* &quot;-&quot;??_);_(@_)"/>
    <numFmt numFmtId="172" formatCode="&quot;$&quot;#,##0.0_);[Red]\(&quot;$&quot;#,##0.0\)"/>
    <numFmt numFmtId="173" formatCode="0.0000"/>
    <numFmt numFmtId="174" formatCode="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8"/>
      <color theme="1"/>
      <name val="Arial"/>
      <family val="2"/>
    </font>
    <font>
      <sz val="9"/>
      <color indexed="9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Times New Roman"/>
      <family val="1"/>
    </font>
    <font>
      <b/>
      <sz val="16"/>
      <name val="Arial"/>
      <family val="2"/>
    </font>
    <font>
      <i/>
      <sz val="8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79">
    <xf numFmtId="0" fontId="0" fillId="0" borderId="0" xfId="0"/>
    <xf numFmtId="0" fontId="0" fillId="0" borderId="0" xfId="0" applyAlignment="1">
      <alignment horizontal="centerContinuous"/>
    </xf>
    <xf numFmtId="40" fontId="6" fillId="0" borderId="0" xfId="4" applyNumberFormat="1" applyFont="1" applyAlignment="1">
      <alignment horizontal="center" wrapText="1"/>
    </xf>
    <xf numFmtId="0" fontId="9" fillId="0" borderId="0" xfId="0" quotePrefix="1" applyFont="1"/>
    <xf numFmtId="0" fontId="10" fillId="0" borderId="0" xfId="0" applyFont="1"/>
    <xf numFmtId="10" fontId="0" fillId="0" borderId="0" xfId="0" applyNumberFormat="1"/>
    <xf numFmtId="164" fontId="13" fillId="0" borderId="0" xfId="0" applyNumberFormat="1" applyFont="1"/>
    <xf numFmtId="165" fontId="0" fillId="0" borderId="0" xfId="1" applyNumberFormat="1" applyFont="1"/>
    <xf numFmtId="10" fontId="13" fillId="0" borderId="0" xfId="3" applyNumberFormat="1" applyFont="1"/>
    <xf numFmtId="166" fontId="14" fillId="0" borderId="0" xfId="1" applyNumberFormat="1" applyFont="1"/>
    <xf numFmtId="0" fontId="0" fillId="0" borderId="0" xfId="0" applyAlignment="1">
      <alignment horizontal="center"/>
    </xf>
    <xf numFmtId="0" fontId="7" fillId="2" borderId="0" xfId="0" applyFont="1" applyFill="1"/>
    <xf numFmtId="0" fontId="8" fillId="2" borderId="0" xfId="0" applyFont="1" applyFill="1"/>
    <xf numFmtId="1" fontId="11" fillId="3" borderId="6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11" fillId="0" borderId="0" xfId="3" applyNumberFormat="1" applyFont="1"/>
    <xf numFmtId="10" fontId="1" fillId="0" borderId="0" xfId="0" applyNumberFormat="1" applyFont="1"/>
    <xf numFmtId="0" fontId="1" fillId="0" borderId="0" xfId="0" applyFont="1"/>
    <xf numFmtId="165" fontId="1" fillId="0" borderId="0" xfId="1" applyNumberFormat="1" applyFont="1"/>
    <xf numFmtId="164" fontId="0" fillId="0" borderId="0" xfId="3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5" fontId="13" fillId="0" borderId="0" xfId="1" applyNumberFormat="1" applyFont="1"/>
    <xf numFmtId="0" fontId="0" fillId="0" borderId="0" xfId="1" applyNumberFormat="1" applyFont="1" applyAlignment="1">
      <alignment horizontal="center"/>
    </xf>
    <xf numFmtId="165" fontId="5" fillId="0" borderId="0" xfId="1" applyNumberFormat="1" applyFont="1"/>
    <xf numFmtId="167" fontId="13" fillId="0" borderId="0" xfId="1" applyNumberFormat="1" applyFont="1" applyAlignment="1">
      <alignment horizontal="center"/>
    </xf>
    <xf numFmtId="165" fontId="14" fillId="0" borderId="0" xfId="1" applyNumberFormat="1" applyFont="1"/>
    <xf numFmtId="165" fontId="5" fillId="0" borderId="2" xfId="1" applyNumberFormat="1" applyFont="1" applyBorder="1"/>
    <xf numFmtId="164" fontId="0" fillId="0" borderId="2" xfId="3" applyNumberFormat="1" applyFont="1" applyBorder="1" applyAlignment="1">
      <alignment horizontal="center"/>
    </xf>
    <xf numFmtId="167" fontId="13" fillId="0" borderId="2" xfId="1" applyNumberFormat="1" applyFont="1" applyBorder="1" applyAlignment="1">
      <alignment horizontal="center"/>
    </xf>
    <xf numFmtId="167" fontId="0" fillId="0" borderId="0" xfId="0" applyNumberFormat="1"/>
    <xf numFmtId="164" fontId="0" fillId="0" borderId="0" xfId="3" quotePrefix="1" applyNumberFormat="1" applyFont="1" applyAlignment="1">
      <alignment horizontal="center"/>
    </xf>
    <xf numFmtId="0" fontId="5" fillId="0" borderId="0" xfId="0" applyFont="1"/>
    <xf numFmtId="164" fontId="0" fillId="0" borderId="0" xfId="3" applyNumberFormat="1" applyFont="1"/>
    <xf numFmtId="0" fontId="0" fillId="0" borderId="0" xfId="3" applyNumberFormat="1" applyFont="1"/>
    <xf numFmtId="165" fontId="10" fillId="0" borderId="8" xfId="1" applyNumberFormat="1" applyFont="1" applyBorder="1"/>
    <xf numFmtId="164" fontId="0" fillId="0" borderId="8" xfId="3" applyNumberFormat="1" applyFont="1" applyBorder="1" applyAlignment="1">
      <alignment horizontal="center"/>
    </xf>
    <xf numFmtId="167" fontId="13" fillId="0" borderId="8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/>
    <xf numFmtId="165" fontId="10" fillId="0" borderId="7" xfId="1" applyNumberFormat="1" applyFont="1" applyBorder="1"/>
    <xf numFmtId="164" fontId="0" fillId="0" borderId="7" xfId="3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right"/>
    </xf>
    <xf numFmtId="165" fontId="10" fillId="0" borderId="6" xfId="1" applyNumberFormat="1" applyFont="1" applyBorder="1"/>
    <xf numFmtId="165" fontId="10" fillId="0" borderId="0" xfId="1" applyNumberFormat="1" applyFont="1"/>
    <xf numFmtId="43" fontId="0" fillId="0" borderId="0" xfId="0" applyNumberFormat="1"/>
    <xf numFmtId="164" fontId="12" fillId="0" borderId="0" xfId="3" applyNumberFormat="1" applyFont="1"/>
    <xf numFmtId="0" fontId="7" fillId="2" borderId="0" xfId="4" applyFont="1" applyFill="1"/>
    <xf numFmtId="0" fontId="16" fillId="2" borderId="0" xfId="4" applyFont="1" applyFill="1"/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65" fontId="13" fillId="0" borderId="0" xfId="0" applyNumberFormat="1" applyFont="1"/>
    <xf numFmtId="165" fontId="11" fillId="0" borderId="7" xfId="1" applyNumberFormat="1" applyFont="1" applyBorder="1"/>
    <xf numFmtId="0" fontId="17" fillId="0" borderId="0" xfId="0" applyFont="1"/>
    <xf numFmtId="0" fontId="3" fillId="4" borderId="2" xfId="0" applyFont="1" applyFill="1" applyBorder="1"/>
    <xf numFmtId="0" fontId="3" fillId="0" borderId="2" xfId="0" applyFont="1" applyBorder="1"/>
    <xf numFmtId="0" fontId="3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/>
    <xf numFmtId="0" fontId="20" fillId="2" borderId="0" xfId="0" applyFont="1" applyFill="1"/>
    <xf numFmtId="0" fontId="4" fillId="2" borderId="0" xfId="0" applyFont="1" applyFill="1"/>
    <xf numFmtId="0" fontId="19" fillId="6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21" fillId="2" borderId="0" xfId="0" applyFont="1" applyFill="1"/>
    <xf numFmtId="0" fontId="0" fillId="0" borderId="0" xfId="0" applyBorder="1"/>
    <xf numFmtId="0" fontId="19" fillId="6" borderId="17" xfId="0" applyFont="1" applyFill="1" applyBorder="1" applyAlignment="1">
      <alignment horizontal="center" vertical="center" wrapText="1"/>
    </xf>
    <xf numFmtId="0" fontId="3" fillId="0" borderId="23" xfId="0" applyFont="1" applyBorder="1"/>
    <xf numFmtId="166" fontId="0" fillId="0" borderId="0" xfId="1" applyNumberFormat="1" applyFont="1"/>
    <xf numFmtId="0" fontId="22" fillId="0" borderId="0" xfId="0" applyFont="1"/>
    <xf numFmtId="164" fontId="22" fillId="0" borderId="0" xfId="3" applyNumberFormat="1" applyFont="1"/>
    <xf numFmtId="166" fontId="0" fillId="0" borderId="2" xfId="1" applyNumberFormat="1" applyFont="1" applyBorder="1"/>
    <xf numFmtId="0" fontId="3" fillId="0" borderId="24" xfId="0" applyFont="1" applyBorder="1"/>
    <xf numFmtId="6" fontId="0" fillId="0" borderId="0" xfId="0" applyNumberFormat="1"/>
    <xf numFmtId="0" fontId="25" fillId="0" borderId="0" xfId="0" applyFont="1" applyAlignment="1">
      <alignment horizontal="center"/>
    </xf>
    <xf numFmtId="0" fontId="6" fillId="0" borderId="0" xfId="0" applyFont="1"/>
    <xf numFmtId="0" fontId="25" fillId="0" borderId="0" xfId="0" applyFont="1"/>
    <xf numFmtId="44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43" fontId="5" fillId="0" borderId="0" xfId="1" applyFont="1"/>
    <xf numFmtId="165" fontId="10" fillId="0" borderId="0" xfId="1" applyNumberFormat="1" applyFont="1" applyAlignment="1">
      <alignment horizontal="center"/>
    </xf>
    <xf numFmtId="10" fontId="5" fillId="0" borderId="0" xfId="3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0" fontId="5" fillId="0" borderId="0" xfId="0" applyNumberFormat="1" applyFont="1"/>
    <xf numFmtId="165" fontId="10" fillId="0" borderId="0" xfId="0" applyNumberFormat="1" applyFont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0" fontId="5" fillId="0" borderId="7" xfId="3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0" fontId="5" fillId="0" borderId="0" xfId="3" applyNumberFormat="1" applyFont="1"/>
    <xf numFmtId="0" fontId="10" fillId="0" borderId="25" xfId="0" applyFont="1" applyBorder="1" applyAlignment="1">
      <alignment horizontal="center"/>
    </xf>
    <xf numFmtId="0" fontId="25" fillId="0" borderId="26" xfId="0" applyFont="1" applyBorder="1"/>
    <xf numFmtId="165" fontId="10" fillId="0" borderId="2" xfId="0" applyNumberFormat="1" applyFont="1" applyBorder="1" applyAlignment="1">
      <alignment horizontal="center"/>
    </xf>
    <xf numFmtId="10" fontId="5" fillId="0" borderId="2" xfId="3" applyNumberFormat="1" applyFont="1" applyBorder="1"/>
    <xf numFmtId="165" fontId="10" fillId="0" borderId="8" xfId="0" applyNumberFormat="1" applyFont="1" applyBorder="1" applyAlignment="1">
      <alignment horizontal="center"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right"/>
    </xf>
    <xf numFmtId="166" fontId="5" fillId="0" borderId="30" xfId="1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0" fontId="26" fillId="0" borderId="8" xfId="0" applyFont="1" applyBorder="1" applyAlignment="1">
      <alignment horizontal="right"/>
    </xf>
    <xf numFmtId="166" fontId="5" fillId="0" borderId="32" xfId="1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10" fontId="5" fillId="0" borderId="33" xfId="3" applyNumberFormat="1" applyFont="1" applyBorder="1"/>
    <xf numFmtId="0" fontId="26" fillId="0" borderId="34" xfId="0" applyFont="1" applyBorder="1" applyAlignment="1">
      <alignment horizontal="left"/>
    </xf>
    <xf numFmtId="0" fontId="26" fillId="0" borderId="33" xfId="0" applyFont="1" applyBorder="1" applyAlignment="1">
      <alignment horizontal="right"/>
    </xf>
    <xf numFmtId="166" fontId="10" fillId="0" borderId="35" xfId="1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4" fontId="13" fillId="0" borderId="0" xfId="0" quotePrefix="1" applyNumberFormat="1" applyFont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8" fontId="13" fillId="0" borderId="8" xfId="0" applyNumberFormat="1" applyFont="1" applyBorder="1" applyAlignment="1">
      <alignment horizontal="center"/>
    </xf>
    <xf numFmtId="164" fontId="13" fillId="0" borderId="0" xfId="3" applyNumberFormat="1" applyFont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0" xfId="0" applyFont="1"/>
    <xf numFmtId="164" fontId="10" fillId="0" borderId="27" xfId="0" applyNumberFormat="1" applyFont="1" applyBorder="1" applyAlignment="1">
      <alignment horizontal="right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 shrinkToFit="1"/>
    </xf>
    <xf numFmtId="0" fontId="10" fillId="3" borderId="4" xfId="0" applyFont="1" applyFill="1" applyBorder="1" applyAlignment="1">
      <alignment horizontal="center" wrapText="1"/>
    </xf>
    <xf numFmtId="0" fontId="3" fillId="3" borderId="7" xfId="0" quotePrefix="1" applyFont="1" applyFill="1" applyBorder="1" applyAlignment="1">
      <alignment vertical="center" wrapText="1"/>
    </xf>
    <xf numFmtId="0" fontId="0" fillId="3" borderId="7" xfId="0" applyFill="1" applyBorder="1"/>
    <xf numFmtId="0" fontId="3" fillId="3" borderId="7" xfId="0" applyFont="1" applyFill="1" applyBorder="1" applyAlignment="1">
      <alignment vertical="center"/>
    </xf>
    <xf numFmtId="0" fontId="2" fillId="2" borderId="0" xfId="0" quotePrefix="1" applyFont="1" applyFill="1" applyAlignment="1">
      <alignment wrapText="1"/>
    </xf>
    <xf numFmtId="0" fontId="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3" fillId="3" borderId="7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2" xfId="1" applyNumberFormat="1" applyFont="1" applyBorder="1"/>
    <xf numFmtId="165" fontId="0" fillId="0" borderId="36" xfId="1" applyNumberFormat="1" applyFont="1" applyBorder="1"/>
    <xf numFmtId="165" fontId="0" fillId="0" borderId="7" xfId="1" applyNumberFormat="1" applyFont="1" applyBorder="1"/>
    <xf numFmtId="165" fontId="3" fillId="0" borderId="0" xfId="1" applyNumberFormat="1" applyFont="1"/>
    <xf numFmtId="165" fontId="0" fillId="0" borderId="7" xfId="0" applyNumberFormat="1" applyBorder="1"/>
    <xf numFmtId="0" fontId="4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164" fontId="5" fillId="0" borderId="9" xfId="0" quotePrefix="1" applyNumberFormat="1" applyFont="1" applyBorder="1" applyAlignment="1">
      <alignment horizontal="center"/>
    </xf>
    <xf numFmtId="0" fontId="25" fillId="0" borderId="39" xfId="0" applyFont="1" applyBorder="1"/>
    <xf numFmtId="0" fontId="5" fillId="0" borderId="9" xfId="0" applyFont="1" applyBorder="1" applyAlignment="1">
      <alignment horizontal="center"/>
    </xf>
    <xf numFmtId="166" fontId="5" fillId="0" borderId="39" xfId="0" applyNumberFormat="1" applyFont="1" applyBorder="1"/>
    <xf numFmtId="166" fontId="5" fillId="0" borderId="0" xfId="1" applyNumberFormat="1" applyFont="1"/>
    <xf numFmtId="166" fontId="5" fillId="0" borderId="0" xfId="1" applyNumberFormat="1" applyFont="1" applyAlignment="1">
      <alignment horizontal="center"/>
    </xf>
    <xf numFmtId="166" fontId="10" fillId="0" borderId="0" xfId="1" applyNumberFormat="1" applyFont="1"/>
    <xf numFmtId="166" fontId="10" fillId="0" borderId="0" xfId="1" applyNumberFormat="1" applyFont="1" applyAlignment="1">
      <alignment horizontal="center"/>
    </xf>
    <xf numFmtId="166" fontId="27" fillId="0" borderId="39" xfId="1" applyNumberFormat="1" applyFont="1" applyBorder="1" applyAlignment="1">
      <alignment horizontal="right" vertical="top"/>
    </xf>
    <xf numFmtId="166" fontId="25" fillId="0" borderId="33" xfId="0" applyNumberFormat="1" applyFont="1" applyBorder="1"/>
    <xf numFmtId="166" fontId="25" fillId="0" borderId="33" xfId="0" applyNumberFormat="1" applyFont="1" applyBorder="1" applyAlignment="1">
      <alignment horizontal="center"/>
    </xf>
    <xf numFmtId="0" fontId="5" fillId="0" borderId="39" xfId="0" applyFont="1" applyBorder="1"/>
    <xf numFmtId="165" fontId="5" fillId="0" borderId="0" xfId="1" applyNumberFormat="1" applyFont="1" applyAlignment="1">
      <alignment horizontal="center"/>
    </xf>
    <xf numFmtId="10" fontId="5" fillId="0" borderId="39" xfId="0" applyNumberFormat="1" applyFont="1" applyBorder="1"/>
    <xf numFmtId="164" fontId="5" fillId="0" borderId="9" xfId="0" applyNumberFormat="1" applyFont="1" applyBorder="1" applyAlignment="1">
      <alignment horizontal="center"/>
    </xf>
    <xf numFmtId="166" fontId="5" fillId="0" borderId="33" xfId="1" applyNumberFormat="1" applyFont="1" applyBorder="1"/>
    <xf numFmtId="166" fontId="5" fillId="0" borderId="33" xfId="1" applyNumberFormat="1" applyFont="1" applyBorder="1" applyAlignment="1">
      <alignment horizontal="center"/>
    </xf>
    <xf numFmtId="0" fontId="5" fillId="0" borderId="9" xfId="0" applyFont="1" applyBorder="1"/>
    <xf numFmtId="166" fontId="5" fillId="0" borderId="0" xfId="0" applyNumberFormat="1" applyFont="1"/>
    <xf numFmtId="166" fontId="5" fillId="0" borderId="0" xfId="0" applyNumberFormat="1" applyFont="1" applyAlignment="1">
      <alignment horizontal="center"/>
    </xf>
    <xf numFmtId="166" fontId="5" fillId="0" borderId="8" xfId="0" applyNumberFormat="1" applyFont="1" applyBorder="1"/>
    <xf numFmtId="166" fontId="5" fillId="0" borderId="8" xfId="0" applyNumberFormat="1" applyFont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1" fontId="10" fillId="3" borderId="38" xfId="0" quotePrefix="1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21" xfId="0" applyFont="1" applyBorder="1" applyAlignment="1">
      <alignment horizontal="center"/>
    </xf>
    <xf numFmtId="9" fontId="5" fillId="0" borderId="39" xfId="0" applyNumberFormat="1" applyFont="1" applyBorder="1" applyAlignment="1">
      <alignment horizontal="center"/>
    </xf>
    <xf numFmtId="165" fontId="0" fillId="0" borderId="40" xfId="1" applyNumberFormat="1" applyFont="1" applyBorder="1"/>
    <xf numFmtId="164" fontId="5" fillId="0" borderId="3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0" fillId="0" borderId="41" xfId="1" applyNumberFormat="1" applyFont="1" applyBorder="1"/>
    <xf numFmtId="0" fontId="5" fillId="0" borderId="39" xfId="0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4" fontId="5" fillId="0" borderId="39" xfId="0" quotePrefix="1" applyNumberFormat="1" applyFont="1" applyBorder="1" applyAlignment="1">
      <alignment horizontal="center"/>
    </xf>
    <xf numFmtId="165" fontId="0" fillId="0" borderId="10" xfId="1" applyNumberFormat="1" applyFont="1" applyBorder="1"/>
    <xf numFmtId="165" fontId="10" fillId="0" borderId="40" xfId="1" applyNumberFormat="1" applyFont="1" applyBorder="1"/>
    <xf numFmtId="165" fontId="0" fillId="0" borderId="42" xfId="1" applyNumberFormat="1" applyFont="1" applyBorder="1"/>
    <xf numFmtId="165" fontId="0" fillId="0" borderId="43" xfId="1" applyNumberFormat="1" applyFont="1" applyBorder="1"/>
    <xf numFmtId="165" fontId="10" fillId="0" borderId="0" xfId="0" applyNumberFormat="1" applyFont="1"/>
    <xf numFmtId="165" fontId="10" fillId="0" borderId="40" xfId="0" applyNumberFormat="1" applyFont="1" applyBorder="1"/>
    <xf numFmtId="0" fontId="0" fillId="0" borderId="40" xfId="0" applyBorder="1"/>
    <xf numFmtId="0" fontId="32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0" fillId="0" borderId="0" xfId="0" quotePrefix="1"/>
    <xf numFmtId="165" fontId="0" fillId="0" borderId="40" xfId="0" applyNumberFormat="1" applyBorder="1"/>
    <xf numFmtId="165" fontId="0" fillId="0" borderId="22" xfId="1" applyNumberFormat="1" applyFont="1" applyBorder="1"/>
    <xf numFmtId="0" fontId="27" fillId="0" borderId="0" xfId="0" quotePrefix="1" applyFont="1" applyAlignment="1">
      <alignment shrinkToFit="1"/>
    </xf>
    <xf numFmtId="165" fontId="0" fillId="0" borderId="41" xfId="0" applyNumberFormat="1" applyBorder="1"/>
    <xf numFmtId="0" fontId="0" fillId="0" borderId="7" xfId="0" applyBorder="1"/>
    <xf numFmtId="0" fontId="33" fillId="0" borderId="7" xfId="0" applyFont="1" applyBorder="1" applyAlignment="1">
      <alignment horizontal="center"/>
    </xf>
    <xf numFmtId="165" fontId="10" fillId="0" borderId="7" xfId="0" applyNumberFormat="1" applyFont="1" applyBorder="1"/>
    <xf numFmtId="164" fontId="10" fillId="0" borderId="7" xfId="0" applyNumberFormat="1" applyFont="1" applyBorder="1"/>
    <xf numFmtId="165" fontId="10" fillId="0" borderId="44" xfId="0" applyNumberFormat="1" applyFont="1" applyBorder="1"/>
    <xf numFmtId="169" fontId="10" fillId="0" borderId="0" xfId="1" applyNumberFormat="1" applyFont="1"/>
    <xf numFmtId="6" fontId="10" fillId="0" borderId="0" xfId="0" applyNumberFormat="1" applyFont="1"/>
    <xf numFmtId="6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34" fillId="0" borderId="0" xfId="0" applyFont="1"/>
    <xf numFmtId="165" fontId="0" fillId="0" borderId="0" xfId="0" applyNumberFormat="1" applyAlignment="1">
      <alignment horizontal="right"/>
    </xf>
    <xf numFmtId="165" fontId="0" fillId="0" borderId="0" xfId="0" quotePrefix="1" applyNumberFormat="1" applyAlignment="1">
      <alignment horizontal="right"/>
    </xf>
    <xf numFmtId="0" fontId="3" fillId="0" borderId="25" xfId="0" applyFont="1" applyBorder="1" applyAlignment="1">
      <alignment horizontal="right"/>
    </xf>
    <xf numFmtId="0" fontId="24" fillId="2" borderId="40" xfId="0" applyFont="1" applyFill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165" fontId="10" fillId="0" borderId="0" xfId="1" applyNumberFormat="1" applyFont="1" applyBorder="1"/>
    <xf numFmtId="165" fontId="10" fillId="0" borderId="0" xfId="0" applyNumberFormat="1" applyFont="1" applyBorder="1"/>
    <xf numFmtId="9" fontId="5" fillId="0" borderId="9" xfId="0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25" fillId="0" borderId="9" xfId="0" applyFont="1" applyBorder="1"/>
    <xf numFmtId="0" fontId="10" fillId="0" borderId="9" xfId="0" applyFont="1" applyBorder="1"/>
    <xf numFmtId="164" fontId="5" fillId="0" borderId="0" xfId="3" applyNumberFormat="1" applyFont="1"/>
    <xf numFmtId="164" fontId="5" fillId="0" borderId="0" xfId="3" applyNumberFormat="1" applyFont="1" applyBorder="1"/>
    <xf numFmtId="164" fontId="5" fillId="0" borderId="40" xfId="3" applyNumberFormat="1" applyFont="1" applyBorder="1"/>
    <xf numFmtId="164" fontId="3" fillId="0" borderId="0" xfId="0" applyNumberFormat="1" applyFont="1" applyBorder="1"/>
    <xf numFmtId="168" fontId="10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9" fontId="3" fillId="3" borderId="17" xfId="0" applyNumberFormat="1" applyFont="1" applyFill="1" applyBorder="1" applyAlignment="1">
      <alignment horizontal="center"/>
    </xf>
    <xf numFmtId="0" fontId="31" fillId="2" borderId="40" xfId="0" applyFont="1" applyFill="1" applyBorder="1" applyAlignment="1">
      <alignment horizontal="center"/>
    </xf>
    <xf numFmtId="170" fontId="3" fillId="0" borderId="0" xfId="2" applyNumberFormat="1" applyFont="1"/>
    <xf numFmtId="0" fontId="31" fillId="2" borderId="40" xfId="0" applyFont="1" applyFill="1" applyBorder="1" applyAlignment="1">
      <alignment horizontal="center" wrapText="1"/>
    </xf>
    <xf numFmtId="0" fontId="18" fillId="0" borderId="0" xfId="0" quotePrefix="1" applyFont="1"/>
    <xf numFmtId="0" fontId="18" fillId="0" borderId="0" xfId="0" applyFont="1"/>
    <xf numFmtId="164" fontId="3" fillId="0" borderId="27" xfId="0" applyNumberFormat="1" applyFont="1" applyBorder="1" applyAlignment="1">
      <alignment horizontal="left"/>
    </xf>
    <xf numFmtId="168" fontId="3" fillId="0" borderId="0" xfId="0" applyNumberFormat="1" applyFont="1"/>
    <xf numFmtId="167" fontId="3" fillId="0" borderId="0" xfId="0" applyNumberFormat="1" applyFont="1"/>
    <xf numFmtId="10" fontId="3" fillId="0" borderId="0" xfId="0" applyNumberFormat="1" applyFont="1"/>
    <xf numFmtId="10" fontId="11" fillId="0" borderId="0" xfId="0" applyNumberFormat="1" applyFont="1"/>
    <xf numFmtId="167" fontId="25" fillId="0" borderId="0" xfId="0" applyNumberFormat="1" applyFont="1"/>
    <xf numFmtId="165" fontId="25" fillId="0" borderId="0" xfId="0" applyNumberFormat="1" applyFont="1"/>
    <xf numFmtId="164" fontId="25" fillId="0" borderId="0" xfId="3" applyNumberFormat="1" applyFont="1" applyAlignment="1">
      <alignment horizontal="center"/>
    </xf>
    <xf numFmtId="165" fontId="25" fillId="0" borderId="2" xfId="0" applyNumberFormat="1" applyFont="1" applyBorder="1"/>
    <xf numFmtId="164" fontId="25" fillId="0" borderId="2" xfId="3" applyNumberFormat="1" applyFont="1" applyBorder="1" applyAlignment="1">
      <alignment horizontal="center"/>
    </xf>
    <xf numFmtId="164" fontId="35" fillId="0" borderId="0" xfId="3" applyNumberFormat="1" applyFont="1" applyAlignment="1">
      <alignment horizontal="center"/>
    </xf>
    <xf numFmtId="164" fontId="25" fillId="0" borderId="0" xfId="3" applyNumberFormat="1" applyFont="1"/>
    <xf numFmtId="164" fontId="3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9" fontId="0" fillId="0" borderId="0" xfId="0" applyNumberFormat="1" applyAlignment="1">
      <alignment horizontal="left"/>
    </xf>
    <xf numFmtId="0" fontId="25" fillId="0" borderId="2" xfId="0" applyFont="1" applyBorder="1"/>
    <xf numFmtId="0" fontId="25" fillId="0" borderId="2" xfId="0" applyFont="1" applyBorder="1" applyAlignment="1">
      <alignment horizontal="right"/>
    </xf>
    <xf numFmtId="9" fontId="0" fillId="0" borderId="2" xfId="0" applyNumberFormat="1" applyBorder="1" applyAlignment="1">
      <alignment horizontal="left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right"/>
    </xf>
    <xf numFmtId="165" fontId="0" fillId="0" borderId="9" xfId="1" applyNumberFormat="1" applyFont="1" applyBorder="1"/>
    <xf numFmtId="165" fontId="0" fillId="0" borderId="3" xfId="1" applyNumberFormat="1" applyFont="1" applyBorder="1"/>
    <xf numFmtId="165" fontId="3" fillId="0" borderId="9" xfId="1" applyNumberFormat="1" applyFont="1" applyBorder="1"/>
    <xf numFmtId="165" fontId="3" fillId="0" borderId="8" xfId="1" applyNumberFormat="1" applyFont="1" applyBorder="1"/>
    <xf numFmtId="165" fontId="3" fillId="0" borderId="6" xfId="1" applyNumberFormat="1" applyFont="1" applyBorder="1"/>
    <xf numFmtId="0" fontId="0" fillId="0" borderId="9" xfId="0" applyBorder="1"/>
    <xf numFmtId="0" fontId="36" fillId="0" borderId="0" xfId="0" applyFont="1"/>
    <xf numFmtId="165" fontId="0" fillId="0" borderId="9" xfId="0" applyNumberFormat="1" applyBorder="1"/>
    <xf numFmtId="164" fontId="3" fillId="0" borderId="0" xfId="3" applyNumberFormat="1" applyFont="1"/>
    <xf numFmtId="164" fontId="3" fillId="0" borderId="0" xfId="0" applyNumberFormat="1" applyFont="1"/>
    <xf numFmtId="9" fontId="3" fillId="0" borderId="0" xfId="0" applyNumberFormat="1" applyFont="1"/>
    <xf numFmtId="165" fontId="0" fillId="0" borderId="2" xfId="0" applyNumberFormat="1" applyBorder="1"/>
    <xf numFmtId="9" fontId="0" fillId="0" borderId="0" xfId="0" applyNumberFormat="1"/>
    <xf numFmtId="41" fontId="0" fillId="0" borderId="0" xfId="0" applyNumberFormat="1"/>
    <xf numFmtId="165" fontId="3" fillId="0" borderId="33" xfId="0" applyNumberFormat="1" applyFont="1" applyBorder="1"/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1" fillId="2" borderId="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9" fontId="4" fillId="2" borderId="0" xfId="0" applyNumberFormat="1" applyFont="1" applyFill="1" applyAlignment="1">
      <alignment horizontal="left"/>
    </xf>
    <xf numFmtId="0" fontId="2" fillId="2" borderId="36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/>
    </xf>
    <xf numFmtId="165" fontId="26" fillId="0" borderId="7" xfId="0" applyNumberFormat="1" applyFont="1" applyBorder="1"/>
    <xf numFmtId="164" fontId="3" fillId="0" borderId="2" xfId="3" applyNumberFormat="1" applyFont="1" applyBorder="1" applyAlignment="1">
      <alignment horizontal="center"/>
    </xf>
    <xf numFmtId="9" fontId="3" fillId="0" borderId="7" xfId="0" applyNumberFormat="1" applyFont="1" applyBorder="1"/>
    <xf numFmtId="165" fontId="0" fillId="0" borderId="49" xfId="0" applyNumberFormat="1" applyBorder="1"/>
    <xf numFmtId="165" fontId="3" fillId="0" borderId="40" xfId="1" applyNumberFormat="1" applyFont="1" applyBorder="1"/>
    <xf numFmtId="165" fontId="3" fillId="0" borderId="50" xfId="1" applyNumberFormat="1" applyFont="1" applyBorder="1"/>
    <xf numFmtId="1" fontId="11" fillId="3" borderId="7" xfId="0" quotePrefix="1" applyNumberFormat="1" applyFont="1" applyFill="1" applyBorder="1" applyAlignment="1">
      <alignment horizontal="center"/>
    </xf>
    <xf numFmtId="1" fontId="10" fillId="3" borderId="49" xfId="0" applyNumberFormat="1" applyFont="1" applyFill="1" applyBorder="1" applyAlignment="1">
      <alignment horizontal="center" wrapText="1"/>
    </xf>
    <xf numFmtId="1" fontId="10" fillId="3" borderId="48" xfId="0" applyNumberFormat="1" applyFont="1" applyFill="1" applyBorder="1" applyAlignment="1">
      <alignment horizontal="center" wrapText="1"/>
    </xf>
    <xf numFmtId="1" fontId="10" fillId="3" borderId="7" xfId="0" applyNumberFormat="1" applyFont="1" applyFill="1" applyBorder="1" applyAlignment="1">
      <alignment horizontal="right"/>
    </xf>
    <xf numFmtId="1" fontId="10" fillId="3" borderId="43" xfId="0" applyNumberFormat="1" applyFont="1" applyFill="1" applyBorder="1" applyAlignment="1">
      <alignment horizontal="right"/>
    </xf>
    <xf numFmtId="0" fontId="37" fillId="3" borderId="7" xfId="0" quotePrefix="1" applyFont="1" applyFill="1" applyBorder="1"/>
    <xf numFmtId="0" fontId="25" fillId="3" borderId="7" xfId="0" applyFont="1" applyFill="1" applyBorder="1"/>
    <xf numFmtId="0" fontId="10" fillId="3" borderId="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wrapText="1"/>
    </xf>
    <xf numFmtId="165" fontId="0" fillId="0" borderId="51" xfId="0" applyNumberFormat="1" applyBorder="1"/>
    <xf numFmtId="9" fontId="5" fillId="0" borderId="0" xfId="3" applyFont="1" applyAlignment="1">
      <alignment horizontal="right"/>
    </xf>
    <xf numFmtId="171" fontId="5" fillId="0" borderId="0" xfId="2" applyNumberFormat="1" applyFont="1" applyAlignment="1">
      <alignment horizontal="center"/>
    </xf>
    <xf numFmtId="165" fontId="5" fillId="0" borderId="36" xfId="1" applyNumberFormat="1" applyFont="1" applyBorder="1"/>
    <xf numFmtId="9" fontId="5" fillId="0" borderId="0" xfId="0" applyNumberFormat="1" applyFont="1"/>
    <xf numFmtId="44" fontId="5" fillId="0" borderId="0" xfId="2" applyFont="1"/>
    <xf numFmtId="44" fontId="25" fillId="0" borderId="0" xfId="0" applyNumberFormat="1" applyFont="1" applyAlignment="1">
      <alignment horizontal="center"/>
    </xf>
    <xf numFmtId="44" fontId="25" fillId="0" borderId="0" xfId="2" applyFont="1" applyAlignment="1">
      <alignment horizontal="center"/>
    </xf>
    <xf numFmtId="0" fontId="10" fillId="3" borderId="4" xfId="0" applyFont="1" applyFill="1" applyBorder="1" applyAlignment="1">
      <alignment horizontal="left"/>
    </xf>
    <xf numFmtId="165" fontId="10" fillId="3" borderId="4" xfId="1" applyNumberFormat="1" applyFont="1" applyFill="1" applyBorder="1" applyAlignment="1">
      <alignment horizontal="left"/>
    </xf>
    <xf numFmtId="0" fontId="26" fillId="3" borderId="52" xfId="0" applyFont="1" applyFill="1" applyBorder="1"/>
    <xf numFmtId="44" fontId="26" fillId="3" borderId="8" xfId="0" applyNumberFormat="1" applyFont="1" applyFill="1" applyBorder="1" applyAlignment="1">
      <alignment horizontal="center"/>
    </xf>
    <xf numFmtId="0" fontId="26" fillId="3" borderId="53" xfId="0" applyFont="1" applyFill="1" applyBorder="1" applyAlignment="1">
      <alignment horizontal="left"/>
    </xf>
    <xf numFmtId="10" fontId="0" fillId="0" borderId="0" xfId="3" applyNumberFormat="1" applyFont="1"/>
    <xf numFmtId="0" fontId="4" fillId="8" borderId="0" xfId="0" applyFont="1" applyFill="1"/>
    <xf numFmtId="166" fontId="25" fillId="0" borderId="0" xfId="1" applyNumberFormat="1" applyFont="1"/>
    <xf numFmtId="166" fontId="25" fillId="0" borderId="0" xfId="0" applyNumberFormat="1" applyFont="1"/>
    <xf numFmtId="167" fontId="25" fillId="0" borderId="0" xfId="0" applyNumberFormat="1" applyFont="1" applyAlignment="1">
      <alignment horizontal="center"/>
    </xf>
    <xf numFmtId="166" fontId="0" fillId="0" borderId="0" xfId="0" applyNumberFormat="1"/>
    <xf numFmtId="166" fontId="25" fillId="0" borderId="2" xfId="0" applyNumberFormat="1" applyFont="1" applyBorder="1"/>
    <xf numFmtId="166" fontId="25" fillId="0" borderId="7" xfId="0" applyNumberFormat="1" applyFont="1" applyBorder="1"/>
    <xf numFmtId="0" fontId="4" fillId="0" borderId="0" xfId="0" applyFont="1"/>
    <xf numFmtId="0" fontId="31" fillId="8" borderId="0" xfId="0" applyFont="1" applyFill="1" applyAlignment="1">
      <alignment horizontal="left"/>
    </xf>
    <xf numFmtId="166" fontId="0" fillId="0" borderId="0" xfId="1" applyNumberFormat="1" applyFont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0" fontId="10" fillId="0" borderId="0" xfId="0" applyNumberFormat="1" applyFont="1"/>
    <xf numFmtId="166" fontId="10" fillId="0" borderId="2" xfId="1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72" fontId="10" fillId="0" borderId="0" xfId="0" applyNumberFormat="1" applyFont="1"/>
    <xf numFmtId="166" fontId="10" fillId="0" borderId="7" xfId="0" applyNumberFormat="1" applyFont="1" applyBorder="1" applyAlignment="1">
      <alignment horizontal="center"/>
    </xf>
    <xf numFmtId="166" fontId="0" fillId="0" borderId="7" xfId="0" applyNumberFormat="1" applyBorder="1"/>
    <xf numFmtId="0" fontId="3" fillId="0" borderId="0" xfId="0" applyFont="1" applyAlignment="1">
      <alignment horizontal="right"/>
    </xf>
    <xf numFmtId="0" fontId="38" fillId="0" borderId="0" xfId="0" applyFont="1"/>
    <xf numFmtId="172" fontId="0" fillId="0" borderId="0" xfId="0" applyNumberFormat="1"/>
    <xf numFmtId="173" fontId="0" fillId="0" borderId="0" xfId="0" applyNumberFormat="1"/>
    <xf numFmtId="173" fontId="0" fillId="0" borderId="0" xfId="0" quotePrefix="1" applyNumberFormat="1"/>
    <xf numFmtId="17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6" fillId="3" borderId="17" xfId="0" applyNumberFormat="1" applyFont="1" applyFill="1" applyBorder="1" applyAlignment="1">
      <alignment horizontal="center"/>
    </xf>
    <xf numFmtId="0" fontId="10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right" vertical="center"/>
    </xf>
    <xf numFmtId="174" fontId="10" fillId="3" borderId="27" xfId="0" applyNumberFormat="1" applyFont="1" applyFill="1" applyBorder="1" applyAlignment="1">
      <alignment vertical="center"/>
    </xf>
    <xf numFmtId="164" fontId="26" fillId="0" borderId="2" xfId="3" applyNumberFormat="1" applyFont="1" applyBorder="1" applyAlignment="1">
      <alignment horizontal="center"/>
    </xf>
    <xf numFmtId="10" fontId="25" fillId="0" borderId="0" xfId="0" applyNumberFormat="1" applyFont="1"/>
    <xf numFmtId="10" fontId="3" fillId="0" borderId="0" xfId="0" applyNumberFormat="1" applyFont="1" applyAlignment="1">
      <alignment horizontal="right"/>
    </xf>
    <xf numFmtId="40" fontId="15" fillId="0" borderId="0" xfId="4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8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31" fillId="2" borderId="4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6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DC923D3D-4669-4226-AEFE-2158611EF78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Free</a:t>
            </a:r>
            <a:r>
              <a:rPr lang="en-US" b="1" baseline="0"/>
              <a:t> Cash Flow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'[1]Fig. 9.12'!$Q$22:$Q$27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'[1]Fig. 9.12'!$R$22:$R$27</c:f>
              <c:numCache>
                <c:formatCode>General</c:formatCode>
                <c:ptCount val="6"/>
                <c:pt idx="0">
                  <c:v>0</c:v>
                </c:pt>
                <c:pt idx="1">
                  <c:v>-34.5</c:v>
                </c:pt>
                <c:pt idx="2">
                  <c:v>-13.315</c:v>
                </c:pt>
                <c:pt idx="3">
                  <c:v>7.9464000000000041</c:v>
                </c:pt>
                <c:pt idx="4">
                  <c:v>16.085599999999999</c:v>
                </c:pt>
                <c:pt idx="5">
                  <c:v>23.055999999999994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2-494B-BBC7-8D19BC2F3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338944"/>
        <c:axId val="312332712"/>
      </c:lineChart>
      <c:catAx>
        <c:axId val="31233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32712"/>
        <c:crosses val="autoZero"/>
        <c:auto val="1"/>
        <c:lblAlgn val="ctr"/>
        <c:lblOffset val="100"/>
        <c:noMultiLvlLbl val="0"/>
      </c:catAx>
      <c:valAx>
        <c:axId val="31233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3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29633</xdr:colOff>
      <xdr:row>6</xdr:row>
      <xdr:rowOff>50800</xdr:rowOff>
    </xdr:from>
    <xdr:to>
      <xdr:col>5</xdr:col>
      <xdr:colOff>385233</xdr:colOff>
      <xdr:row>6</xdr:row>
      <xdr:rowOff>317500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D17446C9-B809-46C8-8DCE-DD1CF0B9EED6}"/>
            </a:ext>
          </a:extLst>
        </xdr:cNvPr>
        <xdr:cNvSpPr/>
      </xdr:nvSpPr>
      <xdr:spPr>
        <a:xfrm>
          <a:off x="3467100" y="1202267"/>
          <a:ext cx="355600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9</xdr:row>
      <xdr:rowOff>71966</xdr:rowOff>
    </xdr:from>
    <xdr:to>
      <xdr:col>5</xdr:col>
      <xdr:colOff>355600</xdr:colOff>
      <xdr:row>9</xdr:row>
      <xdr:rowOff>338666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34BBC8AB-9460-4D46-A2CC-30B8CB88B52F}"/>
            </a:ext>
          </a:extLst>
        </xdr:cNvPr>
        <xdr:cNvSpPr/>
      </xdr:nvSpPr>
      <xdr:spPr>
        <a:xfrm>
          <a:off x="3437467" y="1943099"/>
          <a:ext cx="355600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694266</xdr:colOff>
      <xdr:row>12</xdr:row>
      <xdr:rowOff>55034</xdr:rowOff>
    </xdr:from>
    <xdr:to>
      <xdr:col>5</xdr:col>
      <xdr:colOff>351366</xdr:colOff>
      <xdr:row>13</xdr:row>
      <xdr:rowOff>118533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6271045A-6066-4920-8C98-12D75741510F}"/>
            </a:ext>
          </a:extLst>
        </xdr:cNvPr>
        <xdr:cNvSpPr/>
      </xdr:nvSpPr>
      <xdr:spPr>
        <a:xfrm>
          <a:off x="3433233" y="2688167"/>
          <a:ext cx="355600" cy="33866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85722</xdr:colOff>
      <xdr:row>19</xdr:row>
      <xdr:rowOff>55033</xdr:rowOff>
    </xdr:from>
    <xdr:to>
      <xdr:col>11</xdr:col>
      <xdr:colOff>620183</xdr:colOff>
      <xdr:row>40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FD40F9-2D0A-4559-BDF8-5092AD7ED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</xdr:colOff>
      <xdr:row>31</xdr:row>
      <xdr:rowOff>115357</xdr:rowOff>
    </xdr:from>
    <xdr:to>
      <xdr:col>9</xdr:col>
      <xdr:colOff>543983</xdr:colOff>
      <xdr:row>33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F576F6-EAE8-4BEA-90B8-0F1A458D0AC6}"/>
            </a:ext>
          </a:extLst>
        </xdr:cNvPr>
        <xdr:cNvSpPr txBox="1"/>
      </xdr:nvSpPr>
      <xdr:spPr>
        <a:xfrm>
          <a:off x="8830732" y="6459007"/>
          <a:ext cx="420159" cy="312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/>
            <a:t>"Death</a:t>
          </a:r>
          <a:r>
            <a:rPr lang="en-US" sz="600" baseline="0"/>
            <a:t> Valley"</a:t>
          </a:r>
          <a:endParaRPr lang="en-US" sz="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rou\Dropbox\File%20requests\ACTIVE%20LEARNING\Website%20templates\ACTIVE%20LEARNING\PART%20II%20-%20PRIMARY%20MARKETS\CHAPTER%20SPREADSHEETS\Chapter%209%20-%20%20Transac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ig. 9.1"/>
      <sheetName val="Fig. 9.2"/>
      <sheetName val="Fig 9.3"/>
      <sheetName val="Fig. 9.4"/>
      <sheetName val="Fig. 9.5"/>
      <sheetName val="Fig. 9.6"/>
      <sheetName val="Fig. 9.7"/>
      <sheetName val="Fig. 9.8"/>
      <sheetName val="Fig. 9.9"/>
      <sheetName val="Fig. 9.10"/>
      <sheetName val="Fig. 9.11"/>
      <sheetName val="Fig. 9.12"/>
      <sheetName val="Fig. 9.13"/>
      <sheetName val="Fig. 9.14"/>
      <sheetName val="Fig. 9.15"/>
      <sheetName val="Fig. 9.16"/>
      <sheetName val="INSTRUCTION'S PAGE"/>
      <sheetName val="Fig. xxx"/>
    </sheetNames>
    <sheetDataSet>
      <sheetData sheetId="0" refreshError="1"/>
      <sheetData sheetId="1">
        <row r="21">
          <cell r="G21">
            <v>2354.1</v>
          </cell>
        </row>
      </sheetData>
      <sheetData sheetId="2">
        <row r="6">
          <cell r="G6">
            <v>1265.23968369</v>
          </cell>
        </row>
        <row r="7">
          <cell r="G7">
            <v>2354.1</v>
          </cell>
        </row>
        <row r="8">
          <cell r="G8">
            <v>126.71188892915002</v>
          </cell>
        </row>
        <row r="12">
          <cell r="E12">
            <v>0</v>
          </cell>
        </row>
        <row r="13">
          <cell r="E13">
            <v>1233</v>
          </cell>
        </row>
        <row r="14">
          <cell r="E14">
            <v>617</v>
          </cell>
        </row>
        <row r="16">
          <cell r="E16">
            <v>1896.0515726191502</v>
          </cell>
        </row>
      </sheetData>
      <sheetData sheetId="3">
        <row r="43">
          <cell r="C43">
            <v>51.999999999999545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Q22" t="str">
            <v>Year 0</v>
          </cell>
          <cell r="R22">
            <v>0</v>
          </cell>
        </row>
        <row r="23">
          <cell r="Q23" t="str">
            <v>Year 1</v>
          </cell>
          <cell r="R23">
            <v>-34.5</v>
          </cell>
        </row>
        <row r="24">
          <cell r="Q24" t="str">
            <v>Year 2</v>
          </cell>
          <cell r="R24">
            <v>-13.315</v>
          </cell>
        </row>
        <row r="25">
          <cell r="Q25" t="str">
            <v>Year 3</v>
          </cell>
          <cell r="R25">
            <v>7.9464000000000041</v>
          </cell>
        </row>
        <row r="26">
          <cell r="Q26" t="str">
            <v>Year 4</v>
          </cell>
          <cell r="R26">
            <v>16.085599999999999</v>
          </cell>
        </row>
        <row r="27">
          <cell r="Q27" t="str">
            <v>Year 5</v>
          </cell>
          <cell r="R27">
            <v>23.055999999999994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7425-9E7B-4B54-9E84-8AEF4D60A216}">
  <dimension ref="B1:O31"/>
  <sheetViews>
    <sheetView showGridLines="0" workbookViewId="0">
      <selection activeCell="K13" sqref="K13"/>
    </sheetView>
  </sheetViews>
  <sheetFormatPr defaultRowHeight="14.5" x14ac:dyDescent="0.35"/>
  <cols>
    <col min="2" max="2" width="31.08984375" customWidth="1"/>
    <col min="3" max="10" width="10" customWidth="1"/>
    <col min="11" max="14" width="15" customWidth="1"/>
    <col min="253" max="253" width="5.08984375" customWidth="1"/>
    <col min="254" max="254" width="41.7265625" customWidth="1"/>
    <col min="255" max="255" width="14.7265625" customWidth="1"/>
    <col min="256" max="256" width="14.90625" customWidth="1"/>
    <col min="257" max="258" width="11.7265625" customWidth="1"/>
    <col min="259" max="259" width="11.90625" bestFit="1" customWidth="1"/>
    <col min="261" max="261" width="10.26953125" bestFit="1" customWidth="1"/>
    <col min="262" max="262" width="11.26953125" customWidth="1"/>
    <col min="263" max="263" width="5" customWidth="1"/>
    <col min="264" max="269" width="15" customWidth="1"/>
    <col min="509" max="509" width="5.08984375" customWidth="1"/>
    <col min="510" max="510" width="41.7265625" customWidth="1"/>
    <col min="511" max="511" width="14.7265625" customWidth="1"/>
    <col min="512" max="512" width="14.90625" customWidth="1"/>
    <col min="513" max="514" width="11.7265625" customWidth="1"/>
    <col min="515" max="515" width="11.90625" bestFit="1" customWidth="1"/>
    <col min="517" max="517" width="10.26953125" bestFit="1" customWidth="1"/>
    <col min="518" max="518" width="11.26953125" customWidth="1"/>
    <col min="519" max="519" width="5" customWidth="1"/>
    <col min="520" max="525" width="15" customWidth="1"/>
    <col min="765" max="765" width="5.08984375" customWidth="1"/>
    <col min="766" max="766" width="41.7265625" customWidth="1"/>
    <col min="767" max="767" width="14.7265625" customWidth="1"/>
    <col min="768" max="768" width="14.90625" customWidth="1"/>
    <col min="769" max="770" width="11.7265625" customWidth="1"/>
    <col min="771" max="771" width="11.90625" bestFit="1" customWidth="1"/>
    <col min="773" max="773" width="10.26953125" bestFit="1" customWidth="1"/>
    <col min="774" max="774" width="11.26953125" customWidth="1"/>
    <col min="775" max="775" width="5" customWidth="1"/>
    <col min="776" max="781" width="15" customWidth="1"/>
    <col min="1021" max="1021" width="5.08984375" customWidth="1"/>
    <col min="1022" max="1022" width="41.7265625" customWidth="1"/>
    <col min="1023" max="1023" width="14.7265625" customWidth="1"/>
    <col min="1024" max="1024" width="14.90625" customWidth="1"/>
    <col min="1025" max="1026" width="11.7265625" customWidth="1"/>
    <col min="1027" max="1027" width="11.90625" bestFit="1" customWidth="1"/>
    <col min="1029" max="1029" width="10.26953125" bestFit="1" customWidth="1"/>
    <col min="1030" max="1030" width="11.26953125" customWidth="1"/>
    <col min="1031" max="1031" width="5" customWidth="1"/>
    <col min="1032" max="1037" width="15" customWidth="1"/>
    <col min="1277" max="1277" width="5.08984375" customWidth="1"/>
    <col min="1278" max="1278" width="41.7265625" customWidth="1"/>
    <col min="1279" max="1279" width="14.7265625" customWidth="1"/>
    <col min="1280" max="1280" width="14.90625" customWidth="1"/>
    <col min="1281" max="1282" width="11.7265625" customWidth="1"/>
    <col min="1283" max="1283" width="11.90625" bestFit="1" customWidth="1"/>
    <col min="1285" max="1285" width="10.26953125" bestFit="1" customWidth="1"/>
    <col min="1286" max="1286" width="11.26953125" customWidth="1"/>
    <col min="1287" max="1287" width="5" customWidth="1"/>
    <col min="1288" max="1293" width="15" customWidth="1"/>
    <col min="1533" max="1533" width="5.08984375" customWidth="1"/>
    <col min="1534" max="1534" width="41.7265625" customWidth="1"/>
    <col min="1535" max="1535" width="14.7265625" customWidth="1"/>
    <col min="1536" max="1536" width="14.90625" customWidth="1"/>
    <col min="1537" max="1538" width="11.7265625" customWidth="1"/>
    <col min="1539" max="1539" width="11.90625" bestFit="1" customWidth="1"/>
    <col min="1541" max="1541" width="10.26953125" bestFit="1" customWidth="1"/>
    <col min="1542" max="1542" width="11.26953125" customWidth="1"/>
    <col min="1543" max="1543" width="5" customWidth="1"/>
    <col min="1544" max="1549" width="15" customWidth="1"/>
    <col min="1789" max="1789" width="5.08984375" customWidth="1"/>
    <col min="1790" max="1790" width="41.7265625" customWidth="1"/>
    <col min="1791" max="1791" width="14.7265625" customWidth="1"/>
    <col min="1792" max="1792" width="14.90625" customWidth="1"/>
    <col min="1793" max="1794" width="11.7265625" customWidth="1"/>
    <col min="1795" max="1795" width="11.90625" bestFit="1" customWidth="1"/>
    <col min="1797" max="1797" width="10.26953125" bestFit="1" customWidth="1"/>
    <col min="1798" max="1798" width="11.26953125" customWidth="1"/>
    <col min="1799" max="1799" width="5" customWidth="1"/>
    <col min="1800" max="1805" width="15" customWidth="1"/>
    <col min="2045" max="2045" width="5.08984375" customWidth="1"/>
    <col min="2046" max="2046" width="41.7265625" customWidth="1"/>
    <col min="2047" max="2047" width="14.7265625" customWidth="1"/>
    <col min="2048" max="2048" width="14.90625" customWidth="1"/>
    <col min="2049" max="2050" width="11.7265625" customWidth="1"/>
    <col min="2051" max="2051" width="11.90625" bestFit="1" customWidth="1"/>
    <col min="2053" max="2053" width="10.26953125" bestFit="1" customWidth="1"/>
    <col min="2054" max="2054" width="11.26953125" customWidth="1"/>
    <col min="2055" max="2055" width="5" customWidth="1"/>
    <col min="2056" max="2061" width="15" customWidth="1"/>
    <col min="2301" max="2301" width="5.08984375" customWidth="1"/>
    <col min="2302" max="2302" width="41.7265625" customWidth="1"/>
    <col min="2303" max="2303" width="14.7265625" customWidth="1"/>
    <col min="2304" max="2304" width="14.90625" customWidth="1"/>
    <col min="2305" max="2306" width="11.7265625" customWidth="1"/>
    <col min="2307" max="2307" width="11.90625" bestFit="1" customWidth="1"/>
    <col min="2309" max="2309" width="10.26953125" bestFit="1" customWidth="1"/>
    <col min="2310" max="2310" width="11.26953125" customWidth="1"/>
    <col min="2311" max="2311" width="5" customWidth="1"/>
    <col min="2312" max="2317" width="15" customWidth="1"/>
    <col min="2557" max="2557" width="5.08984375" customWidth="1"/>
    <col min="2558" max="2558" width="41.7265625" customWidth="1"/>
    <col min="2559" max="2559" width="14.7265625" customWidth="1"/>
    <col min="2560" max="2560" width="14.90625" customWidth="1"/>
    <col min="2561" max="2562" width="11.7265625" customWidth="1"/>
    <col min="2563" max="2563" width="11.90625" bestFit="1" customWidth="1"/>
    <col min="2565" max="2565" width="10.26953125" bestFit="1" customWidth="1"/>
    <col min="2566" max="2566" width="11.26953125" customWidth="1"/>
    <col min="2567" max="2567" width="5" customWidth="1"/>
    <col min="2568" max="2573" width="15" customWidth="1"/>
    <col min="2813" max="2813" width="5.08984375" customWidth="1"/>
    <col min="2814" max="2814" width="41.7265625" customWidth="1"/>
    <col min="2815" max="2815" width="14.7265625" customWidth="1"/>
    <col min="2816" max="2816" width="14.90625" customWidth="1"/>
    <col min="2817" max="2818" width="11.7265625" customWidth="1"/>
    <col min="2819" max="2819" width="11.90625" bestFit="1" customWidth="1"/>
    <col min="2821" max="2821" width="10.26953125" bestFit="1" customWidth="1"/>
    <col min="2822" max="2822" width="11.26953125" customWidth="1"/>
    <col min="2823" max="2823" width="5" customWidth="1"/>
    <col min="2824" max="2829" width="15" customWidth="1"/>
    <col min="3069" max="3069" width="5.08984375" customWidth="1"/>
    <col min="3070" max="3070" width="41.7265625" customWidth="1"/>
    <col min="3071" max="3071" width="14.7265625" customWidth="1"/>
    <col min="3072" max="3072" width="14.90625" customWidth="1"/>
    <col min="3073" max="3074" width="11.7265625" customWidth="1"/>
    <col min="3075" max="3075" width="11.90625" bestFit="1" customWidth="1"/>
    <col min="3077" max="3077" width="10.26953125" bestFit="1" customWidth="1"/>
    <col min="3078" max="3078" width="11.26953125" customWidth="1"/>
    <col min="3079" max="3079" width="5" customWidth="1"/>
    <col min="3080" max="3085" width="15" customWidth="1"/>
    <col min="3325" max="3325" width="5.08984375" customWidth="1"/>
    <col min="3326" max="3326" width="41.7265625" customWidth="1"/>
    <col min="3327" max="3327" width="14.7265625" customWidth="1"/>
    <col min="3328" max="3328" width="14.90625" customWidth="1"/>
    <col min="3329" max="3330" width="11.7265625" customWidth="1"/>
    <col min="3331" max="3331" width="11.90625" bestFit="1" customWidth="1"/>
    <col min="3333" max="3333" width="10.26953125" bestFit="1" customWidth="1"/>
    <col min="3334" max="3334" width="11.26953125" customWidth="1"/>
    <col min="3335" max="3335" width="5" customWidth="1"/>
    <col min="3336" max="3341" width="15" customWidth="1"/>
    <col min="3581" max="3581" width="5.08984375" customWidth="1"/>
    <col min="3582" max="3582" width="41.7265625" customWidth="1"/>
    <col min="3583" max="3583" width="14.7265625" customWidth="1"/>
    <col min="3584" max="3584" width="14.90625" customWidth="1"/>
    <col min="3585" max="3586" width="11.7265625" customWidth="1"/>
    <col min="3587" max="3587" width="11.90625" bestFit="1" customWidth="1"/>
    <col min="3589" max="3589" width="10.26953125" bestFit="1" customWidth="1"/>
    <col min="3590" max="3590" width="11.26953125" customWidth="1"/>
    <col min="3591" max="3591" width="5" customWidth="1"/>
    <col min="3592" max="3597" width="15" customWidth="1"/>
    <col min="3837" max="3837" width="5.08984375" customWidth="1"/>
    <col min="3838" max="3838" width="41.7265625" customWidth="1"/>
    <col min="3839" max="3839" width="14.7265625" customWidth="1"/>
    <col min="3840" max="3840" width="14.90625" customWidth="1"/>
    <col min="3841" max="3842" width="11.7265625" customWidth="1"/>
    <col min="3843" max="3843" width="11.90625" bestFit="1" customWidth="1"/>
    <col min="3845" max="3845" width="10.26953125" bestFit="1" customWidth="1"/>
    <col min="3846" max="3846" width="11.26953125" customWidth="1"/>
    <col min="3847" max="3847" width="5" customWidth="1"/>
    <col min="3848" max="3853" width="15" customWidth="1"/>
    <col min="4093" max="4093" width="5.08984375" customWidth="1"/>
    <col min="4094" max="4094" width="41.7265625" customWidth="1"/>
    <col min="4095" max="4095" width="14.7265625" customWidth="1"/>
    <col min="4096" max="4096" width="14.90625" customWidth="1"/>
    <col min="4097" max="4098" width="11.7265625" customWidth="1"/>
    <col min="4099" max="4099" width="11.90625" bestFit="1" customWidth="1"/>
    <col min="4101" max="4101" width="10.26953125" bestFit="1" customWidth="1"/>
    <col min="4102" max="4102" width="11.26953125" customWidth="1"/>
    <col min="4103" max="4103" width="5" customWidth="1"/>
    <col min="4104" max="4109" width="15" customWidth="1"/>
    <col min="4349" max="4349" width="5.08984375" customWidth="1"/>
    <col min="4350" max="4350" width="41.7265625" customWidth="1"/>
    <col min="4351" max="4351" width="14.7265625" customWidth="1"/>
    <col min="4352" max="4352" width="14.90625" customWidth="1"/>
    <col min="4353" max="4354" width="11.7265625" customWidth="1"/>
    <col min="4355" max="4355" width="11.90625" bestFit="1" customWidth="1"/>
    <col min="4357" max="4357" width="10.26953125" bestFit="1" customWidth="1"/>
    <col min="4358" max="4358" width="11.26953125" customWidth="1"/>
    <col min="4359" max="4359" width="5" customWidth="1"/>
    <col min="4360" max="4365" width="15" customWidth="1"/>
    <col min="4605" max="4605" width="5.08984375" customWidth="1"/>
    <col min="4606" max="4606" width="41.7265625" customWidth="1"/>
    <col min="4607" max="4607" width="14.7265625" customWidth="1"/>
    <col min="4608" max="4608" width="14.90625" customWidth="1"/>
    <col min="4609" max="4610" width="11.7265625" customWidth="1"/>
    <col min="4611" max="4611" width="11.90625" bestFit="1" customWidth="1"/>
    <col min="4613" max="4613" width="10.26953125" bestFit="1" customWidth="1"/>
    <col min="4614" max="4614" width="11.26953125" customWidth="1"/>
    <col min="4615" max="4615" width="5" customWidth="1"/>
    <col min="4616" max="4621" width="15" customWidth="1"/>
    <col min="4861" max="4861" width="5.08984375" customWidth="1"/>
    <col min="4862" max="4862" width="41.7265625" customWidth="1"/>
    <col min="4863" max="4863" width="14.7265625" customWidth="1"/>
    <col min="4864" max="4864" width="14.90625" customWidth="1"/>
    <col min="4865" max="4866" width="11.7265625" customWidth="1"/>
    <col min="4867" max="4867" width="11.90625" bestFit="1" customWidth="1"/>
    <col min="4869" max="4869" width="10.26953125" bestFit="1" customWidth="1"/>
    <col min="4870" max="4870" width="11.26953125" customWidth="1"/>
    <col min="4871" max="4871" width="5" customWidth="1"/>
    <col min="4872" max="4877" width="15" customWidth="1"/>
    <col min="5117" max="5117" width="5.08984375" customWidth="1"/>
    <col min="5118" max="5118" width="41.7265625" customWidth="1"/>
    <col min="5119" max="5119" width="14.7265625" customWidth="1"/>
    <col min="5120" max="5120" width="14.90625" customWidth="1"/>
    <col min="5121" max="5122" width="11.7265625" customWidth="1"/>
    <col min="5123" max="5123" width="11.90625" bestFit="1" customWidth="1"/>
    <col min="5125" max="5125" width="10.26953125" bestFit="1" customWidth="1"/>
    <col min="5126" max="5126" width="11.26953125" customWidth="1"/>
    <col min="5127" max="5127" width="5" customWidth="1"/>
    <col min="5128" max="5133" width="15" customWidth="1"/>
    <col min="5373" max="5373" width="5.08984375" customWidth="1"/>
    <col min="5374" max="5374" width="41.7265625" customWidth="1"/>
    <col min="5375" max="5375" width="14.7265625" customWidth="1"/>
    <col min="5376" max="5376" width="14.90625" customWidth="1"/>
    <col min="5377" max="5378" width="11.7265625" customWidth="1"/>
    <col min="5379" max="5379" width="11.90625" bestFit="1" customWidth="1"/>
    <col min="5381" max="5381" width="10.26953125" bestFit="1" customWidth="1"/>
    <col min="5382" max="5382" width="11.26953125" customWidth="1"/>
    <col min="5383" max="5383" width="5" customWidth="1"/>
    <col min="5384" max="5389" width="15" customWidth="1"/>
    <col min="5629" max="5629" width="5.08984375" customWidth="1"/>
    <col min="5630" max="5630" width="41.7265625" customWidth="1"/>
    <col min="5631" max="5631" width="14.7265625" customWidth="1"/>
    <col min="5632" max="5632" width="14.90625" customWidth="1"/>
    <col min="5633" max="5634" width="11.7265625" customWidth="1"/>
    <col min="5635" max="5635" width="11.90625" bestFit="1" customWidth="1"/>
    <col min="5637" max="5637" width="10.26953125" bestFit="1" customWidth="1"/>
    <col min="5638" max="5638" width="11.26953125" customWidth="1"/>
    <col min="5639" max="5639" width="5" customWidth="1"/>
    <col min="5640" max="5645" width="15" customWidth="1"/>
    <col min="5885" max="5885" width="5.08984375" customWidth="1"/>
    <col min="5886" max="5886" width="41.7265625" customWidth="1"/>
    <col min="5887" max="5887" width="14.7265625" customWidth="1"/>
    <col min="5888" max="5888" width="14.90625" customWidth="1"/>
    <col min="5889" max="5890" width="11.7265625" customWidth="1"/>
    <col min="5891" max="5891" width="11.90625" bestFit="1" customWidth="1"/>
    <col min="5893" max="5893" width="10.26953125" bestFit="1" customWidth="1"/>
    <col min="5894" max="5894" width="11.26953125" customWidth="1"/>
    <col min="5895" max="5895" width="5" customWidth="1"/>
    <col min="5896" max="5901" width="15" customWidth="1"/>
    <col min="6141" max="6141" width="5.08984375" customWidth="1"/>
    <col min="6142" max="6142" width="41.7265625" customWidth="1"/>
    <col min="6143" max="6143" width="14.7265625" customWidth="1"/>
    <col min="6144" max="6144" width="14.90625" customWidth="1"/>
    <col min="6145" max="6146" width="11.7265625" customWidth="1"/>
    <col min="6147" max="6147" width="11.90625" bestFit="1" customWidth="1"/>
    <col min="6149" max="6149" width="10.26953125" bestFit="1" customWidth="1"/>
    <col min="6150" max="6150" width="11.26953125" customWidth="1"/>
    <col min="6151" max="6151" width="5" customWidth="1"/>
    <col min="6152" max="6157" width="15" customWidth="1"/>
    <col min="6397" max="6397" width="5.08984375" customWidth="1"/>
    <col min="6398" max="6398" width="41.7265625" customWidth="1"/>
    <col min="6399" max="6399" width="14.7265625" customWidth="1"/>
    <col min="6400" max="6400" width="14.90625" customWidth="1"/>
    <col min="6401" max="6402" width="11.7265625" customWidth="1"/>
    <col min="6403" max="6403" width="11.90625" bestFit="1" customWidth="1"/>
    <col min="6405" max="6405" width="10.26953125" bestFit="1" customWidth="1"/>
    <col min="6406" max="6406" width="11.26953125" customWidth="1"/>
    <col min="6407" max="6407" width="5" customWidth="1"/>
    <col min="6408" max="6413" width="15" customWidth="1"/>
    <col min="6653" max="6653" width="5.08984375" customWidth="1"/>
    <col min="6654" max="6654" width="41.7265625" customWidth="1"/>
    <col min="6655" max="6655" width="14.7265625" customWidth="1"/>
    <col min="6656" max="6656" width="14.90625" customWidth="1"/>
    <col min="6657" max="6658" width="11.7265625" customWidth="1"/>
    <col min="6659" max="6659" width="11.90625" bestFit="1" customWidth="1"/>
    <col min="6661" max="6661" width="10.26953125" bestFit="1" customWidth="1"/>
    <col min="6662" max="6662" width="11.26953125" customWidth="1"/>
    <col min="6663" max="6663" width="5" customWidth="1"/>
    <col min="6664" max="6669" width="15" customWidth="1"/>
    <col min="6909" max="6909" width="5.08984375" customWidth="1"/>
    <col min="6910" max="6910" width="41.7265625" customWidth="1"/>
    <col min="6911" max="6911" width="14.7265625" customWidth="1"/>
    <col min="6912" max="6912" width="14.90625" customWidth="1"/>
    <col min="6913" max="6914" width="11.7265625" customWidth="1"/>
    <col min="6915" max="6915" width="11.90625" bestFit="1" customWidth="1"/>
    <col min="6917" max="6917" width="10.26953125" bestFit="1" customWidth="1"/>
    <col min="6918" max="6918" width="11.26953125" customWidth="1"/>
    <col min="6919" max="6919" width="5" customWidth="1"/>
    <col min="6920" max="6925" width="15" customWidth="1"/>
    <col min="7165" max="7165" width="5.08984375" customWidth="1"/>
    <col min="7166" max="7166" width="41.7265625" customWidth="1"/>
    <col min="7167" max="7167" width="14.7265625" customWidth="1"/>
    <col min="7168" max="7168" width="14.90625" customWidth="1"/>
    <col min="7169" max="7170" width="11.7265625" customWidth="1"/>
    <col min="7171" max="7171" width="11.90625" bestFit="1" customWidth="1"/>
    <col min="7173" max="7173" width="10.26953125" bestFit="1" customWidth="1"/>
    <col min="7174" max="7174" width="11.26953125" customWidth="1"/>
    <col min="7175" max="7175" width="5" customWidth="1"/>
    <col min="7176" max="7181" width="15" customWidth="1"/>
    <col min="7421" max="7421" width="5.08984375" customWidth="1"/>
    <col min="7422" max="7422" width="41.7265625" customWidth="1"/>
    <col min="7423" max="7423" width="14.7265625" customWidth="1"/>
    <col min="7424" max="7424" width="14.90625" customWidth="1"/>
    <col min="7425" max="7426" width="11.7265625" customWidth="1"/>
    <col min="7427" max="7427" width="11.90625" bestFit="1" customWidth="1"/>
    <col min="7429" max="7429" width="10.26953125" bestFit="1" customWidth="1"/>
    <col min="7430" max="7430" width="11.26953125" customWidth="1"/>
    <col min="7431" max="7431" width="5" customWidth="1"/>
    <col min="7432" max="7437" width="15" customWidth="1"/>
    <col min="7677" max="7677" width="5.08984375" customWidth="1"/>
    <col min="7678" max="7678" width="41.7265625" customWidth="1"/>
    <col min="7679" max="7679" width="14.7265625" customWidth="1"/>
    <col min="7680" max="7680" width="14.90625" customWidth="1"/>
    <col min="7681" max="7682" width="11.7265625" customWidth="1"/>
    <col min="7683" max="7683" width="11.90625" bestFit="1" customWidth="1"/>
    <col min="7685" max="7685" width="10.26953125" bestFit="1" customWidth="1"/>
    <col min="7686" max="7686" width="11.26953125" customWidth="1"/>
    <col min="7687" max="7687" width="5" customWidth="1"/>
    <col min="7688" max="7693" width="15" customWidth="1"/>
    <col min="7933" max="7933" width="5.08984375" customWidth="1"/>
    <col min="7934" max="7934" width="41.7265625" customWidth="1"/>
    <col min="7935" max="7935" width="14.7265625" customWidth="1"/>
    <col min="7936" max="7936" width="14.90625" customWidth="1"/>
    <col min="7937" max="7938" width="11.7265625" customWidth="1"/>
    <col min="7939" max="7939" width="11.90625" bestFit="1" customWidth="1"/>
    <col min="7941" max="7941" width="10.26953125" bestFit="1" customWidth="1"/>
    <col min="7942" max="7942" width="11.26953125" customWidth="1"/>
    <col min="7943" max="7943" width="5" customWidth="1"/>
    <col min="7944" max="7949" width="15" customWidth="1"/>
    <col min="8189" max="8189" width="5.08984375" customWidth="1"/>
    <col min="8190" max="8190" width="41.7265625" customWidth="1"/>
    <col min="8191" max="8191" width="14.7265625" customWidth="1"/>
    <col min="8192" max="8192" width="14.90625" customWidth="1"/>
    <col min="8193" max="8194" width="11.7265625" customWidth="1"/>
    <col min="8195" max="8195" width="11.90625" bestFit="1" customWidth="1"/>
    <col min="8197" max="8197" width="10.26953125" bestFit="1" customWidth="1"/>
    <col min="8198" max="8198" width="11.26953125" customWidth="1"/>
    <col min="8199" max="8199" width="5" customWidth="1"/>
    <col min="8200" max="8205" width="15" customWidth="1"/>
    <col min="8445" max="8445" width="5.08984375" customWidth="1"/>
    <col min="8446" max="8446" width="41.7265625" customWidth="1"/>
    <col min="8447" max="8447" width="14.7265625" customWidth="1"/>
    <col min="8448" max="8448" width="14.90625" customWidth="1"/>
    <col min="8449" max="8450" width="11.7265625" customWidth="1"/>
    <col min="8451" max="8451" width="11.90625" bestFit="1" customWidth="1"/>
    <col min="8453" max="8453" width="10.26953125" bestFit="1" customWidth="1"/>
    <col min="8454" max="8454" width="11.26953125" customWidth="1"/>
    <col min="8455" max="8455" width="5" customWidth="1"/>
    <col min="8456" max="8461" width="15" customWidth="1"/>
    <col min="8701" max="8701" width="5.08984375" customWidth="1"/>
    <col min="8702" max="8702" width="41.7265625" customWidth="1"/>
    <col min="8703" max="8703" width="14.7265625" customWidth="1"/>
    <col min="8704" max="8704" width="14.90625" customWidth="1"/>
    <col min="8705" max="8706" width="11.7265625" customWidth="1"/>
    <col min="8707" max="8707" width="11.90625" bestFit="1" customWidth="1"/>
    <col min="8709" max="8709" width="10.26953125" bestFit="1" customWidth="1"/>
    <col min="8710" max="8710" width="11.26953125" customWidth="1"/>
    <col min="8711" max="8711" width="5" customWidth="1"/>
    <col min="8712" max="8717" width="15" customWidth="1"/>
    <col min="8957" max="8957" width="5.08984375" customWidth="1"/>
    <col min="8958" max="8958" width="41.7265625" customWidth="1"/>
    <col min="8959" max="8959" width="14.7265625" customWidth="1"/>
    <col min="8960" max="8960" width="14.90625" customWidth="1"/>
    <col min="8961" max="8962" width="11.7265625" customWidth="1"/>
    <col min="8963" max="8963" width="11.90625" bestFit="1" customWidth="1"/>
    <col min="8965" max="8965" width="10.26953125" bestFit="1" customWidth="1"/>
    <col min="8966" max="8966" width="11.26953125" customWidth="1"/>
    <col min="8967" max="8967" width="5" customWidth="1"/>
    <col min="8968" max="8973" width="15" customWidth="1"/>
    <col min="9213" max="9213" width="5.08984375" customWidth="1"/>
    <col min="9214" max="9214" width="41.7265625" customWidth="1"/>
    <col min="9215" max="9215" width="14.7265625" customWidth="1"/>
    <col min="9216" max="9216" width="14.90625" customWidth="1"/>
    <col min="9217" max="9218" width="11.7265625" customWidth="1"/>
    <col min="9219" max="9219" width="11.90625" bestFit="1" customWidth="1"/>
    <col min="9221" max="9221" width="10.26953125" bestFit="1" customWidth="1"/>
    <col min="9222" max="9222" width="11.26953125" customWidth="1"/>
    <col min="9223" max="9223" width="5" customWidth="1"/>
    <col min="9224" max="9229" width="15" customWidth="1"/>
    <col min="9469" max="9469" width="5.08984375" customWidth="1"/>
    <col min="9470" max="9470" width="41.7265625" customWidth="1"/>
    <col min="9471" max="9471" width="14.7265625" customWidth="1"/>
    <col min="9472" max="9472" width="14.90625" customWidth="1"/>
    <col min="9473" max="9474" width="11.7265625" customWidth="1"/>
    <col min="9475" max="9475" width="11.90625" bestFit="1" customWidth="1"/>
    <col min="9477" max="9477" width="10.26953125" bestFit="1" customWidth="1"/>
    <col min="9478" max="9478" width="11.26953125" customWidth="1"/>
    <col min="9479" max="9479" width="5" customWidth="1"/>
    <col min="9480" max="9485" width="15" customWidth="1"/>
    <col min="9725" max="9725" width="5.08984375" customWidth="1"/>
    <col min="9726" max="9726" width="41.7265625" customWidth="1"/>
    <col min="9727" max="9727" width="14.7265625" customWidth="1"/>
    <col min="9728" max="9728" width="14.90625" customWidth="1"/>
    <col min="9729" max="9730" width="11.7265625" customWidth="1"/>
    <col min="9731" max="9731" width="11.90625" bestFit="1" customWidth="1"/>
    <col min="9733" max="9733" width="10.26953125" bestFit="1" customWidth="1"/>
    <col min="9734" max="9734" width="11.26953125" customWidth="1"/>
    <col min="9735" max="9735" width="5" customWidth="1"/>
    <col min="9736" max="9741" width="15" customWidth="1"/>
    <col min="9981" max="9981" width="5.08984375" customWidth="1"/>
    <col min="9982" max="9982" width="41.7265625" customWidth="1"/>
    <col min="9983" max="9983" width="14.7265625" customWidth="1"/>
    <col min="9984" max="9984" width="14.90625" customWidth="1"/>
    <col min="9985" max="9986" width="11.7265625" customWidth="1"/>
    <col min="9987" max="9987" width="11.90625" bestFit="1" customWidth="1"/>
    <col min="9989" max="9989" width="10.26953125" bestFit="1" customWidth="1"/>
    <col min="9990" max="9990" width="11.26953125" customWidth="1"/>
    <col min="9991" max="9991" width="5" customWidth="1"/>
    <col min="9992" max="9997" width="15" customWidth="1"/>
    <col min="10237" max="10237" width="5.08984375" customWidth="1"/>
    <col min="10238" max="10238" width="41.7265625" customWidth="1"/>
    <col min="10239" max="10239" width="14.7265625" customWidth="1"/>
    <col min="10240" max="10240" width="14.90625" customWidth="1"/>
    <col min="10241" max="10242" width="11.7265625" customWidth="1"/>
    <col min="10243" max="10243" width="11.90625" bestFit="1" customWidth="1"/>
    <col min="10245" max="10245" width="10.26953125" bestFit="1" customWidth="1"/>
    <col min="10246" max="10246" width="11.26953125" customWidth="1"/>
    <col min="10247" max="10247" width="5" customWidth="1"/>
    <col min="10248" max="10253" width="15" customWidth="1"/>
    <col min="10493" max="10493" width="5.08984375" customWidth="1"/>
    <col min="10494" max="10494" width="41.7265625" customWidth="1"/>
    <col min="10495" max="10495" width="14.7265625" customWidth="1"/>
    <col min="10496" max="10496" width="14.90625" customWidth="1"/>
    <col min="10497" max="10498" width="11.7265625" customWidth="1"/>
    <col min="10499" max="10499" width="11.90625" bestFit="1" customWidth="1"/>
    <col min="10501" max="10501" width="10.26953125" bestFit="1" customWidth="1"/>
    <col min="10502" max="10502" width="11.26953125" customWidth="1"/>
    <col min="10503" max="10503" width="5" customWidth="1"/>
    <col min="10504" max="10509" width="15" customWidth="1"/>
    <col min="10749" max="10749" width="5.08984375" customWidth="1"/>
    <col min="10750" max="10750" width="41.7265625" customWidth="1"/>
    <col min="10751" max="10751" width="14.7265625" customWidth="1"/>
    <col min="10752" max="10752" width="14.90625" customWidth="1"/>
    <col min="10753" max="10754" width="11.7265625" customWidth="1"/>
    <col min="10755" max="10755" width="11.90625" bestFit="1" customWidth="1"/>
    <col min="10757" max="10757" width="10.26953125" bestFit="1" customWidth="1"/>
    <col min="10758" max="10758" width="11.26953125" customWidth="1"/>
    <col min="10759" max="10759" width="5" customWidth="1"/>
    <col min="10760" max="10765" width="15" customWidth="1"/>
    <col min="11005" max="11005" width="5.08984375" customWidth="1"/>
    <col min="11006" max="11006" width="41.7265625" customWidth="1"/>
    <col min="11007" max="11007" width="14.7265625" customWidth="1"/>
    <col min="11008" max="11008" width="14.90625" customWidth="1"/>
    <col min="11009" max="11010" width="11.7265625" customWidth="1"/>
    <col min="11011" max="11011" width="11.90625" bestFit="1" customWidth="1"/>
    <col min="11013" max="11013" width="10.26953125" bestFit="1" customWidth="1"/>
    <col min="11014" max="11014" width="11.26953125" customWidth="1"/>
    <col min="11015" max="11015" width="5" customWidth="1"/>
    <col min="11016" max="11021" width="15" customWidth="1"/>
    <col min="11261" max="11261" width="5.08984375" customWidth="1"/>
    <col min="11262" max="11262" width="41.7265625" customWidth="1"/>
    <col min="11263" max="11263" width="14.7265625" customWidth="1"/>
    <col min="11264" max="11264" width="14.90625" customWidth="1"/>
    <col min="11265" max="11266" width="11.7265625" customWidth="1"/>
    <col min="11267" max="11267" width="11.90625" bestFit="1" customWidth="1"/>
    <col min="11269" max="11269" width="10.26953125" bestFit="1" customWidth="1"/>
    <col min="11270" max="11270" width="11.26953125" customWidth="1"/>
    <col min="11271" max="11271" width="5" customWidth="1"/>
    <col min="11272" max="11277" width="15" customWidth="1"/>
    <col min="11517" max="11517" width="5.08984375" customWidth="1"/>
    <col min="11518" max="11518" width="41.7265625" customWidth="1"/>
    <col min="11519" max="11519" width="14.7265625" customWidth="1"/>
    <col min="11520" max="11520" width="14.90625" customWidth="1"/>
    <col min="11521" max="11522" width="11.7265625" customWidth="1"/>
    <col min="11523" max="11523" width="11.90625" bestFit="1" customWidth="1"/>
    <col min="11525" max="11525" width="10.26953125" bestFit="1" customWidth="1"/>
    <col min="11526" max="11526" width="11.26953125" customWidth="1"/>
    <col min="11527" max="11527" width="5" customWidth="1"/>
    <col min="11528" max="11533" width="15" customWidth="1"/>
    <col min="11773" max="11773" width="5.08984375" customWidth="1"/>
    <col min="11774" max="11774" width="41.7265625" customWidth="1"/>
    <col min="11775" max="11775" width="14.7265625" customWidth="1"/>
    <col min="11776" max="11776" width="14.90625" customWidth="1"/>
    <col min="11777" max="11778" width="11.7265625" customWidth="1"/>
    <col min="11779" max="11779" width="11.90625" bestFit="1" customWidth="1"/>
    <col min="11781" max="11781" width="10.26953125" bestFit="1" customWidth="1"/>
    <col min="11782" max="11782" width="11.26953125" customWidth="1"/>
    <col min="11783" max="11783" width="5" customWidth="1"/>
    <col min="11784" max="11789" width="15" customWidth="1"/>
    <col min="12029" max="12029" width="5.08984375" customWidth="1"/>
    <col min="12030" max="12030" width="41.7265625" customWidth="1"/>
    <col min="12031" max="12031" width="14.7265625" customWidth="1"/>
    <col min="12032" max="12032" width="14.90625" customWidth="1"/>
    <col min="12033" max="12034" width="11.7265625" customWidth="1"/>
    <col min="12035" max="12035" width="11.90625" bestFit="1" customWidth="1"/>
    <col min="12037" max="12037" width="10.26953125" bestFit="1" customWidth="1"/>
    <col min="12038" max="12038" width="11.26953125" customWidth="1"/>
    <col min="12039" max="12039" width="5" customWidth="1"/>
    <col min="12040" max="12045" width="15" customWidth="1"/>
    <col min="12285" max="12285" width="5.08984375" customWidth="1"/>
    <col min="12286" max="12286" width="41.7265625" customWidth="1"/>
    <col min="12287" max="12287" width="14.7265625" customWidth="1"/>
    <col min="12288" max="12288" width="14.90625" customWidth="1"/>
    <col min="12289" max="12290" width="11.7265625" customWidth="1"/>
    <col min="12291" max="12291" width="11.90625" bestFit="1" customWidth="1"/>
    <col min="12293" max="12293" width="10.26953125" bestFit="1" customWidth="1"/>
    <col min="12294" max="12294" width="11.26953125" customWidth="1"/>
    <col min="12295" max="12295" width="5" customWidth="1"/>
    <col min="12296" max="12301" width="15" customWidth="1"/>
    <col min="12541" max="12541" width="5.08984375" customWidth="1"/>
    <col min="12542" max="12542" width="41.7265625" customWidth="1"/>
    <col min="12543" max="12543" width="14.7265625" customWidth="1"/>
    <col min="12544" max="12544" width="14.90625" customWidth="1"/>
    <col min="12545" max="12546" width="11.7265625" customWidth="1"/>
    <col min="12547" max="12547" width="11.90625" bestFit="1" customWidth="1"/>
    <col min="12549" max="12549" width="10.26953125" bestFit="1" customWidth="1"/>
    <col min="12550" max="12550" width="11.26953125" customWidth="1"/>
    <col min="12551" max="12551" width="5" customWidth="1"/>
    <col min="12552" max="12557" width="15" customWidth="1"/>
    <col min="12797" max="12797" width="5.08984375" customWidth="1"/>
    <col min="12798" max="12798" width="41.7265625" customWidth="1"/>
    <col min="12799" max="12799" width="14.7265625" customWidth="1"/>
    <col min="12800" max="12800" width="14.90625" customWidth="1"/>
    <col min="12801" max="12802" width="11.7265625" customWidth="1"/>
    <col min="12803" max="12803" width="11.90625" bestFit="1" customWidth="1"/>
    <col min="12805" max="12805" width="10.26953125" bestFit="1" customWidth="1"/>
    <col min="12806" max="12806" width="11.26953125" customWidth="1"/>
    <col min="12807" max="12807" width="5" customWidth="1"/>
    <col min="12808" max="12813" width="15" customWidth="1"/>
    <col min="13053" max="13053" width="5.08984375" customWidth="1"/>
    <col min="13054" max="13054" width="41.7265625" customWidth="1"/>
    <col min="13055" max="13055" width="14.7265625" customWidth="1"/>
    <col min="13056" max="13056" width="14.90625" customWidth="1"/>
    <col min="13057" max="13058" width="11.7265625" customWidth="1"/>
    <col min="13059" max="13059" width="11.90625" bestFit="1" customWidth="1"/>
    <col min="13061" max="13061" width="10.26953125" bestFit="1" customWidth="1"/>
    <col min="13062" max="13062" width="11.26953125" customWidth="1"/>
    <col min="13063" max="13063" width="5" customWidth="1"/>
    <col min="13064" max="13069" width="15" customWidth="1"/>
    <col min="13309" max="13309" width="5.08984375" customWidth="1"/>
    <col min="13310" max="13310" width="41.7265625" customWidth="1"/>
    <col min="13311" max="13311" width="14.7265625" customWidth="1"/>
    <col min="13312" max="13312" width="14.90625" customWidth="1"/>
    <col min="13313" max="13314" width="11.7265625" customWidth="1"/>
    <col min="13315" max="13315" width="11.90625" bestFit="1" customWidth="1"/>
    <col min="13317" max="13317" width="10.26953125" bestFit="1" customWidth="1"/>
    <col min="13318" max="13318" width="11.26953125" customWidth="1"/>
    <col min="13319" max="13319" width="5" customWidth="1"/>
    <col min="13320" max="13325" width="15" customWidth="1"/>
    <col min="13565" max="13565" width="5.08984375" customWidth="1"/>
    <col min="13566" max="13566" width="41.7265625" customWidth="1"/>
    <col min="13567" max="13567" width="14.7265625" customWidth="1"/>
    <col min="13568" max="13568" width="14.90625" customWidth="1"/>
    <col min="13569" max="13570" width="11.7265625" customWidth="1"/>
    <col min="13571" max="13571" width="11.90625" bestFit="1" customWidth="1"/>
    <col min="13573" max="13573" width="10.26953125" bestFit="1" customWidth="1"/>
    <col min="13574" max="13574" width="11.26953125" customWidth="1"/>
    <col min="13575" max="13575" width="5" customWidth="1"/>
    <col min="13576" max="13581" width="15" customWidth="1"/>
    <col min="13821" max="13821" width="5.08984375" customWidth="1"/>
    <col min="13822" max="13822" width="41.7265625" customWidth="1"/>
    <col min="13823" max="13823" width="14.7265625" customWidth="1"/>
    <col min="13824" max="13824" width="14.90625" customWidth="1"/>
    <col min="13825" max="13826" width="11.7265625" customWidth="1"/>
    <col min="13827" max="13827" width="11.90625" bestFit="1" customWidth="1"/>
    <col min="13829" max="13829" width="10.26953125" bestFit="1" customWidth="1"/>
    <col min="13830" max="13830" width="11.26953125" customWidth="1"/>
    <col min="13831" max="13831" width="5" customWidth="1"/>
    <col min="13832" max="13837" width="15" customWidth="1"/>
    <col min="14077" max="14077" width="5.08984375" customWidth="1"/>
    <col min="14078" max="14078" width="41.7265625" customWidth="1"/>
    <col min="14079" max="14079" width="14.7265625" customWidth="1"/>
    <col min="14080" max="14080" width="14.90625" customWidth="1"/>
    <col min="14081" max="14082" width="11.7265625" customWidth="1"/>
    <col min="14083" max="14083" width="11.90625" bestFit="1" customWidth="1"/>
    <col min="14085" max="14085" width="10.26953125" bestFit="1" customWidth="1"/>
    <col min="14086" max="14086" width="11.26953125" customWidth="1"/>
    <col min="14087" max="14087" width="5" customWidth="1"/>
    <col min="14088" max="14093" width="15" customWidth="1"/>
    <col min="14333" max="14333" width="5.08984375" customWidth="1"/>
    <col min="14334" max="14334" width="41.7265625" customWidth="1"/>
    <col min="14335" max="14335" width="14.7265625" customWidth="1"/>
    <col min="14336" max="14336" width="14.90625" customWidth="1"/>
    <col min="14337" max="14338" width="11.7265625" customWidth="1"/>
    <col min="14339" max="14339" width="11.90625" bestFit="1" customWidth="1"/>
    <col min="14341" max="14341" width="10.26953125" bestFit="1" customWidth="1"/>
    <col min="14342" max="14342" width="11.26953125" customWidth="1"/>
    <col min="14343" max="14343" width="5" customWidth="1"/>
    <col min="14344" max="14349" width="15" customWidth="1"/>
    <col min="14589" max="14589" width="5.08984375" customWidth="1"/>
    <col min="14590" max="14590" width="41.7265625" customWidth="1"/>
    <col min="14591" max="14591" width="14.7265625" customWidth="1"/>
    <col min="14592" max="14592" width="14.90625" customWidth="1"/>
    <col min="14593" max="14594" width="11.7265625" customWidth="1"/>
    <col min="14595" max="14595" width="11.90625" bestFit="1" customWidth="1"/>
    <col min="14597" max="14597" width="10.26953125" bestFit="1" customWidth="1"/>
    <col min="14598" max="14598" width="11.26953125" customWidth="1"/>
    <col min="14599" max="14599" width="5" customWidth="1"/>
    <col min="14600" max="14605" width="15" customWidth="1"/>
    <col min="14845" max="14845" width="5.08984375" customWidth="1"/>
    <col min="14846" max="14846" width="41.7265625" customWidth="1"/>
    <col min="14847" max="14847" width="14.7265625" customWidth="1"/>
    <col min="14848" max="14848" width="14.90625" customWidth="1"/>
    <col min="14849" max="14850" width="11.7265625" customWidth="1"/>
    <col min="14851" max="14851" width="11.90625" bestFit="1" customWidth="1"/>
    <col min="14853" max="14853" width="10.26953125" bestFit="1" customWidth="1"/>
    <col min="14854" max="14854" width="11.26953125" customWidth="1"/>
    <col min="14855" max="14855" width="5" customWidth="1"/>
    <col min="14856" max="14861" width="15" customWidth="1"/>
    <col min="15101" max="15101" width="5.08984375" customWidth="1"/>
    <col min="15102" max="15102" width="41.7265625" customWidth="1"/>
    <col min="15103" max="15103" width="14.7265625" customWidth="1"/>
    <col min="15104" max="15104" width="14.90625" customWidth="1"/>
    <col min="15105" max="15106" width="11.7265625" customWidth="1"/>
    <col min="15107" max="15107" width="11.90625" bestFit="1" customWidth="1"/>
    <col min="15109" max="15109" width="10.26953125" bestFit="1" customWidth="1"/>
    <col min="15110" max="15110" width="11.26953125" customWidth="1"/>
    <col min="15111" max="15111" width="5" customWidth="1"/>
    <col min="15112" max="15117" width="15" customWidth="1"/>
    <col min="15357" max="15357" width="5.08984375" customWidth="1"/>
    <col min="15358" max="15358" width="41.7265625" customWidth="1"/>
    <col min="15359" max="15359" width="14.7265625" customWidth="1"/>
    <col min="15360" max="15360" width="14.90625" customWidth="1"/>
    <col min="15361" max="15362" width="11.7265625" customWidth="1"/>
    <col min="15363" max="15363" width="11.90625" bestFit="1" customWidth="1"/>
    <col min="15365" max="15365" width="10.26953125" bestFit="1" customWidth="1"/>
    <col min="15366" max="15366" width="11.26953125" customWidth="1"/>
    <col min="15367" max="15367" width="5" customWidth="1"/>
    <col min="15368" max="15373" width="15" customWidth="1"/>
    <col min="15613" max="15613" width="5.08984375" customWidth="1"/>
    <col min="15614" max="15614" width="41.7265625" customWidth="1"/>
    <col min="15615" max="15615" width="14.7265625" customWidth="1"/>
    <col min="15616" max="15616" width="14.90625" customWidth="1"/>
    <col min="15617" max="15618" width="11.7265625" customWidth="1"/>
    <col min="15619" max="15619" width="11.90625" bestFit="1" customWidth="1"/>
    <col min="15621" max="15621" width="10.26953125" bestFit="1" customWidth="1"/>
    <col min="15622" max="15622" width="11.26953125" customWidth="1"/>
    <col min="15623" max="15623" width="5" customWidth="1"/>
    <col min="15624" max="15629" width="15" customWidth="1"/>
    <col min="15869" max="15869" width="5.08984375" customWidth="1"/>
    <col min="15870" max="15870" width="41.7265625" customWidth="1"/>
    <col min="15871" max="15871" width="14.7265625" customWidth="1"/>
    <col min="15872" max="15872" width="14.90625" customWidth="1"/>
    <col min="15873" max="15874" width="11.7265625" customWidth="1"/>
    <col min="15875" max="15875" width="11.90625" bestFit="1" customWidth="1"/>
    <col min="15877" max="15877" width="10.26953125" bestFit="1" customWidth="1"/>
    <col min="15878" max="15878" width="11.26953125" customWidth="1"/>
    <col min="15879" max="15879" width="5" customWidth="1"/>
    <col min="15880" max="15885" width="15" customWidth="1"/>
    <col min="16125" max="16125" width="5.08984375" customWidth="1"/>
    <col min="16126" max="16126" width="41.7265625" customWidth="1"/>
    <col min="16127" max="16127" width="14.7265625" customWidth="1"/>
    <col min="16128" max="16128" width="14.90625" customWidth="1"/>
    <col min="16129" max="16130" width="11.7265625" customWidth="1"/>
    <col min="16131" max="16131" width="11.90625" bestFit="1" customWidth="1"/>
    <col min="16133" max="16133" width="10.26953125" bestFit="1" customWidth="1"/>
    <col min="16134" max="16134" width="11.26953125" customWidth="1"/>
    <col min="16135" max="16135" width="5" customWidth="1"/>
    <col min="16136" max="16141" width="15" customWidth="1"/>
  </cols>
  <sheetData>
    <row r="1" spans="2:14" ht="21.75" customHeight="1" x14ac:dyDescent="0.5">
      <c r="B1" s="348" t="s">
        <v>0</v>
      </c>
      <c r="C1" s="349"/>
      <c r="D1" s="349"/>
      <c r="E1" s="349"/>
      <c r="F1" s="349"/>
      <c r="G1" s="349"/>
      <c r="H1" s="349"/>
      <c r="I1" s="349"/>
      <c r="J1" s="349"/>
      <c r="K1" s="1"/>
      <c r="L1" s="1"/>
      <c r="M1" s="1"/>
      <c r="N1" s="1"/>
    </row>
    <row r="2" spans="2:14" ht="11.25" customHeight="1" x14ac:dyDescent="0.35">
      <c r="B2" s="2"/>
      <c r="C2" s="2"/>
      <c r="D2" s="2"/>
      <c r="E2" s="2"/>
      <c r="F2" s="2"/>
      <c r="G2" s="2"/>
      <c r="H2" s="2"/>
      <c r="K2" s="1"/>
      <c r="L2" s="1"/>
      <c r="M2" s="1"/>
      <c r="N2" s="1"/>
    </row>
    <row r="3" spans="2:14" ht="21.75" customHeight="1" x14ac:dyDescent="0.4">
      <c r="B3" s="11" t="s">
        <v>1</v>
      </c>
      <c r="C3" s="12"/>
      <c r="D3" s="12"/>
      <c r="E3" s="12"/>
      <c r="F3" s="12"/>
      <c r="G3" s="12"/>
      <c r="H3" s="12"/>
      <c r="I3" s="12"/>
      <c r="J3" s="12"/>
    </row>
    <row r="4" spans="2:14" ht="21.75" customHeight="1" x14ac:dyDescent="0.35">
      <c r="B4" s="3" t="s">
        <v>2</v>
      </c>
      <c r="C4" s="16" t="s">
        <v>3</v>
      </c>
      <c r="D4" s="350" t="s">
        <v>4</v>
      </c>
      <c r="E4" s="350"/>
      <c r="F4" s="350"/>
      <c r="G4" s="350"/>
      <c r="H4" s="350"/>
      <c r="I4" s="350"/>
      <c r="J4" s="350"/>
    </row>
    <row r="5" spans="2:14" ht="21.75" customHeight="1" thickBot="1" x14ac:dyDescent="0.4">
      <c r="C5" s="13" t="s">
        <v>5</v>
      </c>
      <c r="D5" s="14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</row>
    <row r="6" spans="2:14" ht="16.75" customHeight="1" x14ac:dyDescent="0.35">
      <c r="B6" s="4" t="s">
        <v>13</v>
      </c>
    </row>
    <row r="7" spans="2:14" ht="16.75" customHeight="1" x14ac:dyDescent="0.35">
      <c r="B7" t="s">
        <v>406</v>
      </c>
      <c r="C7" s="17">
        <v>2.5000000000000001E-2</v>
      </c>
      <c r="D7" s="18">
        <f>+C7+D8</f>
        <v>3.0000000000000002E-2</v>
      </c>
      <c r="E7" s="18">
        <f t="shared" ref="E7:J7" si="0">+D7+E8</f>
        <v>3.5000000000000003E-2</v>
      </c>
      <c r="F7" s="18">
        <f t="shared" si="0"/>
        <v>4.5000000000000005E-2</v>
      </c>
      <c r="G7" s="18">
        <f t="shared" si="0"/>
        <v>4.5000000000000005E-2</v>
      </c>
      <c r="H7" s="18">
        <f t="shared" si="0"/>
        <v>4.5000000000000005E-2</v>
      </c>
      <c r="I7" s="18">
        <f t="shared" si="0"/>
        <v>4.5000000000000005E-2</v>
      </c>
      <c r="J7" s="18">
        <f t="shared" si="0"/>
        <v>4.5000000000000005E-2</v>
      </c>
    </row>
    <row r="8" spans="2:14" ht="16.75" customHeight="1" x14ac:dyDescent="0.35">
      <c r="B8" t="s">
        <v>407</v>
      </c>
      <c r="C8" s="19"/>
      <c r="D8" s="6">
        <v>5.0000000000000001E-3</v>
      </c>
      <c r="E8" s="6">
        <v>5.0000000000000001E-3</v>
      </c>
      <c r="F8" s="6">
        <v>0.01</v>
      </c>
      <c r="G8" s="6"/>
      <c r="H8" s="6"/>
      <c r="I8" s="6"/>
      <c r="J8" s="6"/>
    </row>
    <row r="9" spans="2:14" ht="16.75" customHeight="1" x14ac:dyDescent="0.35">
      <c r="C9" s="19"/>
      <c r="D9" s="19"/>
      <c r="E9" s="19"/>
      <c r="F9" s="19"/>
      <c r="G9" s="19"/>
      <c r="H9" s="19"/>
      <c r="I9" s="19"/>
      <c r="J9" s="19"/>
    </row>
    <row r="10" spans="2:14" ht="16.75" customHeight="1" x14ac:dyDescent="0.35">
      <c r="B10" s="4" t="s">
        <v>14</v>
      </c>
      <c r="C10" s="19"/>
      <c r="D10" s="19"/>
      <c r="E10" s="19"/>
      <c r="F10" s="19"/>
      <c r="G10" s="19"/>
      <c r="H10" s="19"/>
      <c r="I10" s="19"/>
      <c r="J10" s="19"/>
    </row>
    <row r="11" spans="2:14" ht="16.75" customHeight="1" x14ac:dyDescent="0.35">
      <c r="B11" t="s">
        <v>15</v>
      </c>
      <c r="C11" s="20">
        <v>180000</v>
      </c>
      <c r="D11" s="20">
        <f>+C11-D12</f>
        <v>160000</v>
      </c>
      <c r="E11" s="20">
        <f t="shared" ref="E11:J11" si="1">+D11-E12</f>
        <v>130000</v>
      </c>
      <c r="F11" s="20">
        <f t="shared" si="1"/>
        <v>95000</v>
      </c>
      <c r="G11" s="20">
        <f t="shared" si="1"/>
        <v>55000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2:14" ht="16.75" customHeight="1" x14ac:dyDescent="0.35">
      <c r="B12" t="s">
        <v>16</v>
      </c>
      <c r="C12" s="20"/>
      <c r="D12" s="20">
        <v>20000</v>
      </c>
      <c r="E12" s="20">
        <v>30000</v>
      </c>
      <c r="F12" s="20">
        <v>35000</v>
      </c>
      <c r="G12" s="20">
        <v>40000</v>
      </c>
      <c r="H12" s="20">
        <f>+G11</f>
        <v>55000</v>
      </c>
      <c r="I12" s="20"/>
      <c r="J12" s="20"/>
    </row>
    <row r="13" spans="2:14" ht="16.75" customHeight="1" x14ac:dyDescent="0.35">
      <c r="B13" t="s">
        <v>17</v>
      </c>
      <c r="C13" s="20"/>
      <c r="D13" s="20">
        <f>+C11*D17</f>
        <v>11700</v>
      </c>
      <c r="E13" s="20">
        <f t="shared" ref="E13:J13" si="2">+D11*E17</f>
        <v>11200.000000000002</v>
      </c>
      <c r="F13" s="20">
        <f t="shared" si="2"/>
        <v>10400.000000000002</v>
      </c>
      <c r="G13" s="20">
        <f t="shared" si="2"/>
        <v>7600.0000000000018</v>
      </c>
      <c r="H13" s="20">
        <f t="shared" si="2"/>
        <v>4400.0000000000009</v>
      </c>
      <c r="I13" s="20">
        <f t="shared" si="2"/>
        <v>0</v>
      </c>
      <c r="J13" s="20">
        <f t="shared" si="2"/>
        <v>0</v>
      </c>
    </row>
    <row r="14" spans="2:14" ht="16.75" customHeight="1" x14ac:dyDescent="0.35">
      <c r="B14" t="s">
        <v>18</v>
      </c>
      <c r="C14" s="20">
        <f>-C11</f>
        <v>-180000</v>
      </c>
      <c r="D14" s="20">
        <f>+D13+D12</f>
        <v>31700</v>
      </c>
      <c r="E14" s="20">
        <f t="shared" ref="E14:J14" si="3">+E13+E12</f>
        <v>41200</v>
      </c>
      <c r="F14" s="20">
        <f t="shared" si="3"/>
        <v>45400</v>
      </c>
      <c r="G14" s="20">
        <f t="shared" si="3"/>
        <v>47600</v>
      </c>
      <c r="H14" s="20">
        <f t="shared" si="3"/>
        <v>59400</v>
      </c>
      <c r="I14" s="20">
        <f t="shared" si="3"/>
        <v>0</v>
      </c>
      <c r="J14" s="20">
        <f t="shared" si="3"/>
        <v>0</v>
      </c>
    </row>
    <row r="15" spans="2:14" ht="16.75" customHeight="1" x14ac:dyDescent="0.35">
      <c r="C15" s="19"/>
      <c r="D15" s="19"/>
      <c r="E15" s="19"/>
      <c r="F15" s="19"/>
      <c r="G15" s="19"/>
      <c r="H15" s="19"/>
      <c r="I15" s="19"/>
      <c r="J15" s="19"/>
    </row>
    <row r="16" spans="2:14" ht="16.75" customHeight="1" x14ac:dyDescent="0.35">
      <c r="B16" t="s">
        <v>19</v>
      </c>
      <c r="C16" s="20"/>
      <c r="D16" s="17">
        <v>3.5000000000000003E-2</v>
      </c>
      <c r="E16" s="17">
        <v>3.5000000000000003E-2</v>
      </c>
      <c r="F16" s="17">
        <v>3.5000000000000003E-2</v>
      </c>
      <c r="G16" s="17">
        <v>3.5000000000000003E-2</v>
      </c>
      <c r="H16" s="17">
        <v>3.5000000000000003E-2</v>
      </c>
      <c r="I16" s="17"/>
      <c r="J16" s="17"/>
    </row>
    <row r="17" spans="2:15" ht="16.75" customHeight="1" x14ac:dyDescent="0.35">
      <c r="B17" t="s">
        <v>20</v>
      </c>
      <c r="C17" s="19"/>
      <c r="D17" s="18">
        <f>+D16+D7</f>
        <v>6.5000000000000002E-2</v>
      </c>
      <c r="E17" s="18">
        <f>+E16+E7</f>
        <v>7.0000000000000007E-2</v>
      </c>
      <c r="F17" s="18">
        <f>+F16+F7</f>
        <v>8.0000000000000016E-2</v>
      </c>
      <c r="G17" s="18">
        <f>+G16+G7</f>
        <v>8.0000000000000016E-2</v>
      </c>
      <c r="H17" s="18">
        <f>+H16+H7</f>
        <v>8.0000000000000016E-2</v>
      </c>
      <c r="I17" s="18"/>
      <c r="J17" s="18"/>
    </row>
    <row r="18" spans="2:15" ht="16.75" customHeight="1" x14ac:dyDescent="0.35">
      <c r="C18" s="19"/>
      <c r="D18" s="18"/>
      <c r="E18" s="18"/>
      <c r="F18" s="18"/>
      <c r="G18" s="18"/>
      <c r="H18" s="18"/>
      <c r="I18" s="18"/>
      <c r="J18" s="18"/>
    </row>
    <row r="19" spans="2:15" ht="16.75" customHeight="1" x14ac:dyDescent="0.35">
      <c r="B19" t="s">
        <v>21</v>
      </c>
      <c r="C19" s="19"/>
      <c r="D19" s="8">
        <f>+D12/$C$11</f>
        <v>0.1111111111111111</v>
      </c>
      <c r="E19" s="8">
        <f>+E12/$C$11</f>
        <v>0.16666666666666666</v>
      </c>
      <c r="F19" s="8">
        <f>+F12/$C$11</f>
        <v>0.19444444444444445</v>
      </c>
      <c r="G19" s="8">
        <f>+G12/$C$11</f>
        <v>0.22222222222222221</v>
      </c>
      <c r="H19" s="8">
        <f>+H12/$C$11</f>
        <v>0.30555555555555558</v>
      </c>
      <c r="I19" s="8"/>
      <c r="J19" s="8"/>
    </row>
    <row r="20" spans="2:15" ht="16.75" customHeight="1" x14ac:dyDescent="0.35">
      <c r="C20" s="19"/>
      <c r="D20" s="18"/>
      <c r="E20" s="18"/>
      <c r="F20" s="18"/>
      <c r="G20" s="18"/>
      <c r="H20" s="18"/>
      <c r="I20" s="18"/>
      <c r="J20" s="18"/>
    </row>
    <row r="21" spans="2:15" ht="16.75" customHeight="1" x14ac:dyDescent="0.35">
      <c r="B21" s="4" t="s">
        <v>22</v>
      </c>
      <c r="C21" s="20"/>
      <c r="D21" s="20"/>
      <c r="E21" s="20"/>
      <c r="F21" s="20"/>
      <c r="G21" s="20"/>
      <c r="H21" s="20"/>
      <c r="I21" s="20"/>
      <c r="J21" s="20"/>
    </row>
    <row r="22" spans="2:15" ht="16.75" customHeight="1" x14ac:dyDescent="0.35">
      <c r="B22" t="s">
        <v>15</v>
      </c>
      <c r="C22" s="20">
        <v>200000</v>
      </c>
      <c r="D22" s="20">
        <f>+C22-D23</f>
        <v>198000</v>
      </c>
      <c r="E22" s="20">
        <f t="shared" ref="E22:J22" si="4">+D22-E23</f>
        <v>196000</v>
      </c>
      <c r="F22" s="20">
        <f t="shared" si="4"/>
        <v>194000</v>
      </c>
      <c r="G22" s="20">
        <f t="shared" si="4"/>
        <v>192000</v>
      </c>
      <c r="H22" s="20">
        <f t="shared" si="4"/>
        <v>190000</v>
      </c>
      <c r="I22" s="20">
        <f t="shared" si="4"/>
        <v>188000</v>
      </c>
      <c r="J22" s="20">
        <f t="shared" si="4"/>
        <v>0</v>
      </c>
    </row>
    <row r="23" spans="2:15" ht="16.75" customHeight="1" x14ac:dyDescent="0.35">
      <c r="B23" t="s">
        <v>16</v>
      </c>
      <c r="C23" s="20"/>
      <c r="D23" s="20">
        <v>2000</v>
      </c>
      <c r="E23" s="20">
        <v>2000</v>
      </c>
      <c r="F23" s="20">
        <v>2000</v>
      </c>
      <c r="G23" s="20">
        <v>2000</v>
      </c>
      <c r="H23" s="20">
        <v>2000</v>
      </c>
      <c r="I23" s="20">
        <v>2000</v>
      </c>
      <c r="J23" s="20">
        <v>188000</v>
      </c>
      <c r="O23" s="9"/>
    </row>
    <row r="24" spans="2:15" ht="16.75" customHeight="1" x14ac:dyDescent="0.35">
      <c r="B24" t="s">
        <v>17</v>
      </c>
      <c r="C24" s="20"/>
      <c r="D24" s="20">
        <f>+C22*D28</f>
        <v>14000.000000000002</v>
      </c>
      <c r="E24" s="20">
        <f t="shared" ref="E24:J24" si="5">+D22*E28</f>
        <v>14850.000000000002</v>
      </c>
      <c r="F24" s="20">
        <f t="shared" si="5"/>
        <v>16660</v>
      </c>
      <c r="G24" s="20">
        <f t="shared" si="5"/>
        <v>16490</v>
      </c>
      <c r="H24" s="20">
        <f t="shared" si="5"/>
        <v>16320.000000000002</v>
      </c>
      <c r="I24" s="20">
        <f t="shared" si="5"/>
        <v>16150.000000000002</v>
      </c>
      <c r="J24" s="20">
        <f t="shared" si="5"/>
        <v>15980.000000000002</v>
      </c>
    </row>
    <row r="25" spans="2:15" ht="16.75" customHeight="1" x14ac:dyDescent="0.35">
      <c r="B25" t="s">
        <v>18</v>
      </c>
      <c r="C25" s="20">
        <f>-C22</f>
        <v>-200000</v>
      </c>
      <c r="D25" s="20">
        <f>+D24+D23</f>
        <v>16000.000000000002</v>
      </c>
      <c r="E25" s="20">
        <f t="shared" ref="E25:J25" si="6">+E24+E23</f>
        <v>16850</v>
      </c>
      <c r="F25" s="20">
        <f t="shared" si="6"/>
        <v>18660</v>
      </c>
      <c r="G25" s="20">
        <f t="shared" si="6"/>
        <v>18490</v>
      </c>
      <c r="H25" s="20">
        <f t="shared" si="6"/>
        <v>18320</v>
      </c>
      <c r="I25" s="20">
        <f t="shared" si="6"/>
        <v>18150</v>
      </c>
      <c r="J25" s="20">
        <f t="shared" si="6"/>
        <v>203980</v>
      </c>
    </row>
    <row r="26" spans="2:15" ht="16.75" customHeight="1" x14ac:dyDescent="0.35">
      <c r="C26" s="19"/>
      <c r="D26" s="19"/>
      <c r="E26" s="19"/>
      <c r="F26" s="19"/>
      <c r="G26" s="19"/>
      <c r="H26" s="19"/>
      <c r="I26" s="19"/>
      <c r="J26" s="19"/>
    </row>
    <row r="27" spans="2:15" ht="16.75" customHeight="1" x14ac:dyDescent="0.35">
      <c r="B27" t="s">
        <v>19</v>
      </c>
      <c r="C27" s="20"/>
      <c r="D27" s="17">
        <v>0.04</v>
      </c>
      <c r="E27" s="17">
        <v>0.04</v>
      </c>
      <c r="F27" s="17">
        <v>0.04</v>
      </c>
      <c r="G27" s="17">
        <v>0.04</v>
      </c>
      <c r="H27" s="17">
        <v>0.04</v>
      </c>
      <c r="I27" s="17">
        <v>0.04</v>
      </c>
      <c r="J27" s="17">
        <v>0.04</v>
      </c>
    </row>
    <row r="28" spans="2:15" ht="16.75" customHeight="1" x14ac:dyDescent="0.35">
      <c r="B28" t="s">
        <v>20</v>
      </c>
      <c r="C28" s="19"/>
      <c r="D28" s="18">
        <f t="shared" ref="D28:J28" si="7">+D27+D7</f>
        <v>7.0000000000000007E-2</v>
      </c>
      <c r="E28" s="18">
        <f t="shared" si="7"/>
        <v>7.5000000000000011E-2</v>
      </c>
      <c r="F28" s="18">
        <f t="shared" si="7"/>
        <v>8.5000000000000006E-2</v>
      </c>
      <c r="G28" s="18">
        <f t="shared" si="7"/>
        <v>8.5000000000000006E-2</v>
      </c>
      <c r="H28" s="18">
        <f t="shared" si="7"/>
        <v>8.5000000000000006E-2</v>
      </c>
      <c r="I28" s="18">
        <f t="shared" si="7"/>
        <v>8.5000000000000006E-2</v>
      </c>
      <c r="J28" s="18">
        <f t="shared" si="7"/>
        <v>8.5000000000000006E-2</v>
      </c>
    </row>
    <row r="29" spans="2:15" ht="16.75" customHeight="1" x14ac:dyDescent="0.35">
      <c r="C29" s="19"/>
      <c r="D29" s="18"/>
      <c r="E29" s="18"/>
      <c r="F29" s="18"/>
      <c r="G29" s="18"/>
      <c r="H29" s="18"/>
      <c r="I29" s="18"/>
      <c r="J29" s="18"/>
    </row>
    <row r="30" spans="2:15" ht="16.75" customHeight="1" x14ac:dyDescent="0.35">
      <c r="B30" t="s">
        <v>21</v>
      </c>
      <c r="C30" s="19"/>
      <c r="D30" s="8">
        <f t="shared" ref="D30:J30" si="8">+D23/$C$22</f>
        <v>0.01</v>
      </c>
      <c r="E30" s="8">
        <f t="shared" si="8"/>
        <v>0.01</v>
      </c>
      <c r="F30" s="8">
        <f t="shared" si="8"/>
        <v>0.01</v>
      </c>
      <c r="G30" s="8">
        <f t="shared" si="8"/>
        <v>0.01</v>
      </c>
      <c r="H30" s="8">
        <f t="shared" si="8"/>
        <v>0.01</v>
      </c>
      <c r="I30" s="8">
        <f t="shared" si="8"/>
        <v>0.01</v>
      </c>
      <c r="J30" s="8">
        <f t="shared" si="8"/>
        <v>0.94</v>
      </c>
    </row>
    <row r="31" spans="2:15" ht="21.75" customHeight="1" x14ac:dyDescent="0.35">
      <c r="D31" s="5"/>
      <c r="E31" s="5"/>
      <c r="F31" s="5"/>
      <c r="G31" s="5"/>
      <c r="H31" s="5"/>
      <c r="I31" s="5"/>
      <c r="J31" s="347" t="s">
        <v>23</v>
      </c>
    </row>
  </sheetData>
  <mergeCells count="2">
    <mergeCell ref="B1:J1"/>
    <mergeCell ref="D4:J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3CFD7-57C8-4B2C-A719-13841FFD2AF1}">
  <dimension ref="B2:K36"/>
  <sheetViews>
    <sheetView showGridLines="0" workbookViewId="0">
      <selection activeCell="K36" sqref="K36"/>
    </sheetView>
  </sheetViews>
  <sheetFormatPr defaultRowHeight="14.5" x14ac:dyDescent="0.35"/>
  <cols>
    <col min="1" max="1" width="4.54296875" customWidth="1"/>
    <col min="2" max="2" width="30.36328125" customWidth="1"/>
    <col min="4" max="4" width="12.7265625" customWidth="1"/>
    <col min="5" max="5" width="12.26953125" bestFit="1" customWidth="1"/>
    <col min="6" max="6" width="4.1796875" customWidth="1"/>
    <col min="7" max="9" width="10.26953125" customWidth="1"/>
    <col min="10" max="10" width="12" customWidth="1"/>
    <col min="11" max="11" width="10.26953125" customWidth="1"/>
    <col min="12" max="12" width="4" customWidth="1"/>
    <col min="13" max="13" width="2.453125" customWidth="1"/>
    <col min="15" max="15" width="9.7265625" bestFit="1" customWidth="1"/>
    <col min="17" max="17" width="9.7265625" bestFit="1" customWidth="1"/>
    <col min="19" max="23" width="9.7265625" bestFit="1" customWidth="1"/>
  </cols>
  <sheetData>
    <row r="2" spans="2:11" ht="20" x14ac:dyDescent="0.4">
      <c r="B2" s="173" t="s">
        <v>272</v>
      </c>
      <c r="C2" s="88"/>
      <c r="D2" s="88"/>
      <c r="E2" s="88"/>
    </row>
    <row r="3" spans="2:11" ht="15.75" customHeight="1" x14ac:dyDescent="0.35">
      <c r="B3" s="87" t="s">
        <v>328</v>
      </c>
      <c r="C3" s="88"/>
      <c r="D3" s="88"/>
      <c r="E3" s="88"/>
    </row>
    <row r="4" spans="2:11" ht="15.75" customHeight="1" x14ac:dyDescent="0.35">
      <c r="B4" s="87"/>
      <c r="C4" s="88"/>
      <c r="D4" s="88"/>
      <c r="E4" s="88"/>
    </row>
    <row r="5" spans="2:11" x14ac:dyDescent="0.35">
      <c r="B5" s="133" t="s">
        <v>326</v>
      </c>
      <c r="C5" s="72"/>
      <c r="D5" s="72"/>
      <c r="E5" s="72"/>
      <c r="F5" s="72"/>
      <c r="G5" s="273"/>
      <c r="H5" s="273"/>
      <c r="I5" s="273"/>
      <c r="J5" s="230" t="s">
        <v>229</v>
      </c>
      <c r="K5" s="273"/>
    </row>
    <row r="6" spans="2:11" ht="15" thickBot="1" x14ac:dyDescent="0.4">
      <c r="B6" s="291" t="s">
        <v>329</v>
      </c>
      <c r="C6" s="292"/>
      <c r="D6" s="293" t="s">
        <v>296</v>
      </c>
      <c r="E6" s="293" t="s">
        <v>5</v>
      </c>
      <c r="G6" s="294" t="s">
        <v>286</v>
      </c>
      <c r="H6" s="294" t="s">
        <v>287</v>
      </c>
      <c r="I6" s="294" t="s">
        <v>288</v>
      </c>
      <c r="J6" s="295" t="s">
        <v>289</v>
      </c>
      <c r="K6" s="294" t="s">
        <v>290</v>
      </c>
    </row>
    <row r="7" spans="2:11" ht="15" thickTop="1" x14ac:dyDescent="0.35">
      <c r="B7" t="s">
        <v>297</v>
      </c>
      <c r="D7" s="7">
        <v>960000</v>
      </c>
      <c r="E7" s="7">
        <v>1110000</v>
      </c>
      <c r="G7" s="7">
        <v>1228140</v>
      </c>
      <c r="H7" s="7">
        <v>1344199.848</v>
      </c>
      <c r="I7" s="7">
        <v>1442918.9540652002</v>
      </c>
      <c r="J7" s="178">
        <v>1529267.7156714478</v>
      </c>
      <c r="K7" s="7">
        <v>1605161.4860476251</v>
      </c>
    </row>
    <row r="8" spans="2:11" x14ac:dyDescent="0.35">
      <c r="B8" t="s">
        <v>298</v>
      </c>
      <c r="D8" s="7">
        <v>-345000</v>
      </c>
      <c r="E8" s="7">
        <v>-420000</v>
      </c>
      <c r="G8" s="7">
        <v>-463078.2</v>
      </c>
      <c r="H8" s="7">
        <v>-506823.33804</v>
      </c>
      <c r="I8" s="7">
        <v>-544053.13711893605</v>
      </c>
      <c r="J8" s="178">
        <v>-576709.25695468695</v>
      </c>
      <c r="K8" s="7">
        <v>-605474.36387137498</v>
      </c>
    </row>
    <row r="9" spans="2:11" x14ac:dyDescent="0.35">
      <c r="B9" t="s">
        <v>299</v>
      </c>
      <c r="D9" s="139">
        <v>-230000</v>
      </c>
      <c r="E9" s="139">
        <v>-257000</v>
      </c>
      <c r="G9" s="139">
        <v>-271501.2</v>
      </c>
      <c r="H9" s="139">
        <v>-289448.48784000002</v>
      </c>
      <c r="I9" s="139">
        <v>-306441.64132521598</v>
      </c>
      <c r="J9" s="181">
        <v>-322899.94850371598</v>
      </c>
      <c r="K9" s="139">
        <v>-338999.37669631001</v>
      </c>
    </row>
    <row r="10" spans="2:11" x14ac:dyDescent="0.35">
      <c r="B10" s="74" t="s">
        <v>244</v>
      </c>
      <c r="C10" s="74"/>
      <c r="D10" s="142">
        <f>SUM(D7:D9)</f>
        <v>385000</v>
      </c>
      <c r="E10" s="142">
        <f>SUM(E7:E9)</f>
        <v>433000</v>
      </c>
      <c r="F10" s="142"/>
      <c r="G10" s="142">
        <f t="shared" ref="G10:K10" si="0">SUM(G7:G9)</f>
        <v>493560.60000000003</v>
      </c>
      <c r="H10" s="142">
        <f t="shared" si="0"/>
        <v>547928.02211999986</v>
      </c>
      <c r="I10" s="142">
        <f t="shared" si="0"/>
        <v>592424.17562104808</v>
      </c>
      <c r="J10" s="284">
        <f t="shared" si="0"/>
        <v>629658.51021304494</v>
      </c>
      <c r="K10" s="142">
        <f t="shared" si="0"/>
        <v>660687.74547994009</v>
      </c>
    </row>
    <row r="11" spans="2:11" x14ac:dyDescent="0.35">
      <c r="B11" t="s">
        <v>324</v>
      </c>
      <c r="D11" s="139">
        <v>-60000</v>
      </c>
      <c r="E11" s="139">
        <v>-65000</v>
      </c>
      <c r="F11" s="7"/>
      <c r="G11" s="139">
        <v>-73688.399999999994</v>
      </c>
      <c r="H11" s="139">
        <v>-80651.990879999998</v>
      </c>
      <c r="I11" s="139">
        <v>-86575.137243912002</v>
      </c>
      <c r="J11" s="181">
        <v>-91756.062940286865</v>
      </c>
      <c r="K11" s="139">
        <v>-96309.689162857496</v>
      </c>
    </row>
    <row r="12" spans="2:11" x14ac:dyDescent="0.35">
      <c r="B12" s="74" t="s">
        <v>134</v>
      </c>
      <c r="C12" s="74"/>
      <c r="D12" s="7">
        <f>+D10+D11</f>
        <v>325000</v>
      </c>
      <c r="E12" s="7">
        <f>+E10+E11</f>
        <v>368000</v>
      </c>
      <c r="F12" s="142"/>
      <c r="G12" s="142">
        <f t="shared" ref="G12:K12" si="1">+G10+G11</f>
        <v>419872.20000000007</v>
      </c>
      <c r="H12" s="142">
        <f t="shared" si="1"/>
        <v>467276.03123999987</v>
      </c>
      <c r="I12" s="142">
        <f t="shared" si="1"/>
        <v>505849.03837713611</v>
      </c>
      <c r="J12" s="284">
        <f t="shared" si="1"/>
        <v>537902.44727275812</v>
      </c>
      <c r="K12" s="142">
        <f t="shared" si="1"/>
        <v>564378.05631708261</v>
      </c>
    </row>
    <row r="13" spans="2:11" x14ac:dyDescent="0.35">
      <c r="B13" t="s">
        <v>302</v>
      </c>
      <c r="C13" s="265">
        <v>0.24</v>
      </c>
      <c r="D13" s="7"/>
      <c r="E13" s="7"/>
      <c r="F13" s="7"/>
      <c r="G13" s="139">
        <f>-$C$13*G12</f>
        <v>-100769.32800000001</v>
      </c>
      <c r="H13" s="139">
        <f t="shared" ref="H13:K13" si="2">-$C$13*H12</f>
        <v>-112146.24749759996</v>
      </c>
      <c r="I13" s="139">
        <f t="shared" si="2"/>
        <v>-121403.76921051266</v>
      </c>
      <c r="J13" s="181">
        <f t="shared" si="2"/>
        <v>-129096.58734546194</v>
      </c>
      <c r="K13" s="139">
        <f t="shared" si="2"/>
        <v>-135450.73351609983</v>
      </c>
    </row>
    <row r="14" spans="2:11" x14ac:dyDescent="0.35">
      <c r="B14" s="74" t="s">
        <v>303</v>
      </c>
      <c r="C14" s="74"/>
      <c r="D14" s="7"/>
      <c r="E14" s="7"/>
      <c r="F14" s="142"/>
      <c r="G14" s="142">
        <f>+G12+G13</f>
        <v>319102.87200000009</v>
      </c>
      <c r="H14" s="142">
        <f t="shared" ref="H14:K14" si="3">+H12+H13</f>
        <v>355129.78374239989</v>
      </c>
      <c r="I14" s="142">
        <f t="shared" si="3"/>
        <v>384445.26916662348</v>
      </c>
      <c r="J14" s="284">
        <f t="shared" si="3"/>
        <v>408805.85992729617</v>
      </c>
      <c r="K14" s="142">
        <f t="shared" si="3"/>
        <v>428927.32280098274</v>
      </c>
    </row>
    <row r="15" spans="2:11" x14ac:dyDescent="0.35">
      <c r="B15" t="s">
        <v>237</v>
      </c>
      <c r="D15" s="7"/>
      <c r="E15" s="7"/>
      <c r="F15" s="7"/>
      <c r="G15" s="7">
        <f>-G11</f>
        <v>73688.399999999994</v>
      </c>
      <c r="H15" s="7">
        <f t="shared" ref="H15:K15" si="4">-H11</f>
        <v>80651.990879999998</v>
      </c>
      <c r="I15" s="7">
        <f t="shared" si="4"/>
        <v>86575.137243912002</v>
      </c>
      <c r="J15" s="178">
        <f t="shared" si="4"/>
        <v>91756.062940286865</v>
      </c>
      <c r="K15" s="7">
        <f t="shared" si="4"/>
        <v>96309.689162857496</v>
      </c>
    </row>
    <row r="16" spans="2:11" x14ac:dyDescent="0.35">
      <c r="B16" t="s">
        <v>262</v>
      </c>
      <c r="D16" s="7"/>
      <c r="E16" s="7"/>
      <c r="F16" s="7"/>
      <c r="G16" s="7">
        <v>2870.189189189201</v>
      </c>
      <c r="H16" s="7">
        <v>-4548.2913405405416</v>
      </c>
      <c r="I16" s="7">
        <v>-3868.7217241767667</v>
      </c>
      <c r="J16" s="178">
        <v>-3383.9379548394299</v>
      </c>
      <c r="K16" s="7">
        <v>-2974.2153255528992</v>
      </c>
    </row>
    <row r="17" spans="2:11" x14ac:dyDescent="0.35">
      <c r="B17" t="s">
        <v>304</v>
      </c>
      <c r="D17" s="7"/>
      <c r="E17" s="7"/>
      <c r="F17" s="7"/>
      <c r="G17" s="139">
        <v>-193625.67567567568</v>
      </c>
      <c r="H17" s="139">
        <v>-211923.39945945944</v>
      </c>
      <c r="I17" s="139">
        <v>-227487.22248775678</v>
      </c>
      <c r="J17" s="181">
        <v>-241100.76598423725</v>
      </c>
      <c r="K17" s="139">
        <v>-253066.00005255349</v>
      </c>
    </row>
    <row r="18" spans="2:11" x14ac:dyDescent="0.35">
      <c r="B18" s="74" t="s">
        <v>305</v>
      </c>
      <c r="C18" s="74"/>
      <c r="D18" s="7"/>
      <c r="E18" s="7"/>
      <c r="F18" s="142"/>
      <c r="G18" s="142">
        <f>SUM(G14:G17)</f>
        <v>202035.78551351366</v>
      </c>
      <c r="H18" s="142">
        <f t="shared" ref="H18:K18" si="5">SUM(H14:H17)</f>
        <v>219310.08382239987</v>
      </c>
      <c r="I18" s="142">
        <f t="shared" si="5"/>
        <v>239664.46219860189</v>
      </c>
      <c r="J18" s="284">
        <f t="shared" si="5"/>
        <v>256077.21892850637</v>
      </c>
      <c r="K18" s="142">
        <f t="shared" si="5"/>
        <v>269196.79658573383</v>
      </c>
    </row>
    <row r="19" spans="2:11" x14ac:dyDescent="0.35">
      <c r="B19" t="s">
        <v>306</v>
      </c>
      <c r="D19" s="7"/>
      <c r="E19" s="7"/>
      <c r="F19" s="7"/>
      <c r="G19" s="7">
        <v>-125450</v>
      </c>
      <c r="H19" s="7">
        <v>-129600</v>
      </c>
      <c r="I19" s="7">
        <v>-153450</v>
      </c>
      <c r="J19" s="178">
        <v>-201750</v>
      </c>
      <c r="K19" s="7">
        <v>-237250</v>
      </c>
    </row>
    <row r="20" spans="2:11" x14ac:dyDescent="0.35">
      <c r="B20" s="74" t="s">
        <v>307</v>
      </c>
      <c r="C20" s="74"/>
      <c r="D20" s="7"/>
      <c r="E20" s="7"/>
      <c r="F20" s="142"/>
      <c r="G20" s="258">
        <f>+G18+G19</f>
        <v>76585.785513513663</v>
      </c>
      <c r="H20" s="258">
        <f t="shared" ref="H20:K20" si="6">+H18+H19</f>
        <v>89710.083822399873</v>
      </c>
      <c r="I20" s="258">
        <f t="shared" si="6"/>
        <v>86214.46219860189</v>
      </c>
      <c r="J20" s="285">
        <f t="shared" si="6"/>
        <v>54327.218928506365</v>
      </c>
      <c r="K20" s="258">
        <f t="shared" si="6"/>
        <v>31946.796585733828</v>
      </c>
    </row>
    <row r="21" spans="2:11" x14ac:dyDescent="0.35">
      <c r="J21" s="191"/>
    </row>
    <row r="22" spans="2:11" x14ac:dyDescent="0.35">
      <c r="B22" s="261" t="s">
        <v>308</v>
      </c>
      <c r="E22" s="261" t="s">
        <v>309</v>
      </c>
      <c r="J22" s="191"/>
    </row>
    <row r="23" spans="2:11" x14ac:dyDescent="0.35">
      <c r="B23" t="s">
        <v>310</v>
      </c>
      <c r="E23" s="68" t="s">
        <v>311</v>
      </c>
      <c r="F23" s="237">
        <v>7.5</v>
      </c>
      <c r="J23" s="196">
        <f>+F23*J10</f>
        <v>4722438.8265978368</v>
      </c>
    </row>
    <row r="24" spans="2:11" x14ac:dyDescent="0.35">
      <c r="B24" t="s">
        <v>312</v>
      </c>
      <c r="E24" s="68" t="s">
        <v>313</v>
      </c>
      <c r="F24" s="265">
        <v>0.1</v>
      </c>
      <c r="J24" s="181">
        <f>+K18/(F24-F25)</f>
        <v>5383935.9317146763</v>
      </c>
    </row>
    <row r="25" spans="2:11" x14ac:dyDescent="0.35">
      <c r="B25" t="s">
        <v>314</v>
      </c>
      <c r="E25" s="68" t="s">
        <v>315</v>
      </c>
      <c r="F25" s="265">
        <v>0.05</v>
      </c>
      <c r="J25" s="196">
        <f>AVERAGE(J23:J24)</f>
        <v>5053187.3791562561</v>
      </c>
    </row>
    <row r="26" spans="2:11" x14ac:dyDescent="0.35">
      <c r="B26" t="s">
        <v>316</v>
      </c>
      <c r="E26" s="68"/>
      <c r="J26" s="181">
        <v>-1030000</v>
      </c>
    </row>
    <row r="27" spans="2:11" x14ac:dyDescent="0.35">
      <c r="B27" t="s">
        <v>317</v>
      </c>
      <c r="E27" s="68"/>
      <c r="J27" s="196">
        <f>SUM(J25:J26)</f>
        <v>4023187.3791562561</v>
      </c>
    </row>
    <row r="28" spans="2:11" x14ac:dyDescent="0.35">
      <c r="E28" s="68"/>
      <c r="J28" s="191"/>
    </row>
    <row r="29" spans="2:11" x14ac:dyDescent="0.35">
      <c r="B29" t="s">
        <v>243</v>
      </c>
      <c r="E29" s="68" t="s">
        <v>318</v>
      </c>
      <c r="F29" s="265">
        <v>0.2</v>
      </c>
      <c r="G29" s="266">
        <f>+G20</f>
        <v>76585.785513513663</v>
      </c>
      <c r="H29" s="266">
        <f>+H20</f>
        <v>89710.083822399873</v>
      </c>
      <c r="I29" s="266">
        <f>+I20</f>
        <v>86214.46219860189</v>
      </c>
      <c r="J29" s="199">
        <f>+J27+J20</f>
        <v>4077514.5980847627</v>
      </c>
    </row>
    <row r="30" spans="2:11" x14ac:dyDescent="0.35">
      <c r="E30" s="68"/>
      <c r="F30" s="267"/>
      <c r="G30" s="44"/>
      <c r="H30" s="44"/>
      <c r="I30" s="44"/>
      <c r="J30" s="196"/>
    </row>
    <row r="31" spans="2:11" x14ac:dyDescent="0.35">
      <c r="B31" t="s">
        <v>319</v>
      </c>
      <c r="E31" s="44">
        <f>SUM(G31:J31)</f>
        <v>2142406.7856841688</v>
      </c>
      <c r="G31" s="7">
        <f>G29/(1+$F$29)^1</f>
        <v>63821.487927928058</v>
      </c>
      <c r="H31" s="7">
        <f>H29/(1+$F$29)^2</f>
        <v>62298.669321111025</v>
      </c>
      <c r="I31" s="7">
        <f>I29/(1+$F$29)^3</f>
        <v>49892.628587153871</v>
      </c>
      <c r="J31" s="178">
        <f>J29/(1+$F$29)^4</f>
        <v>1966393.999847976</v>
      </c>
    </row>
    <row r="32" spans="2:11" x14ac:dyDescent="0.35">
      <c r="B32" t="s">
        <v>320</v>
      </c>
      <c r="E32" s="268">
        <f>1180000+10000</f>
        <v>1190000</v>
      </c>
    </row>
    <row r="33" spans="2:11" x14ac:dyDescent="0.35">
      <c r="B33" t="s">
        <v>321</v>
      </c>
      <c r="E33" s="268">
        <v>-65800</v>
      </c>
    </row>
    <row r="34" spans="2:11" ht="15" thickBot="1" x14ac:dyDescent="0.4">
      <c r="B34" s="74" t="s">
        <v>322</v>
      </c>
      <c r="E34" s="269">
        <f>SUM(E31:E33)</f>
        <v>3266606.7856841688</v>
      </c>
    </row>
    <row r="35" spans="2:11" x14ac:dyDescent="0.35">
      <c r="B35" t="s">
        <v>323</v>
      </c>
      <c r="E35" s="31">
        <f>+E34/E10</f>
        <v>7.5441265258294887</v>
      </c>
    </row>
    <row r="36" spans="2:11" x14ac:dyDescent="0.35">
      <c r="K36" s="74" t="s">
        <v>330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5FB8-BA8F-4BD4-AC08-294BA84C8C3C}">
  <dimension ref="B2:K60"/>
  <sheetViews>
    <sheetView showGridLines="0" tabSelected="1" workbookViewId="0">
      <selection activeCell="U11" sqref="U11"/>
    </sheetView>
  </sheetViews>
  <sheetFormatPr defaultRowHeight="14.5" x14ac:dyDescent="0.35"/>
  <cols>
    <col min="1" max="1" width="4.54296875" customWidth="1"/>
    <col min="2" max="2" width="30.36328125" customWidth="1"/>
    <col min="4" max="4" width="12.7265625" customWidth="1"/>
    <col min="5" max="5" width="10.54296875" customWidth="1"/>
    <col min="6" max="6" width="6.7265625" customWidth="1"/>
    <col min="7" max="9" width="10.26953125" customWidth="1"/>
    <col min="10" max="10" width="11.36328125" customWidth="1"/>
    <col min="11" max="11" width="10.54296875" bestFit="1" customWidth="1"/>
    <col min="12" max="12" width="4" customWidth="1"/>
    <col min="13" max="13" width="2.81640625" customWidth="1"/>
    <col min="15" max="15" width="9.7265625" bestFit="1" customWidth="1"/>
    <col min="17" max="17" width="9.7265625" bestFit="1" customWidth="1"/>
    <col min="19" max="23" width="9.7265625" bestFit="1" customWidth="1"/>
  </cols>
  <sheetData>
    <row r="2" spans="2:11" ht="20" x14ac:dyDescent="0.4">
      <c r="B2" s="173" t="s">
        <v>272</v>
      </c>
      <c r="C2" s="88"/>
      <c r="D2" s="88"/>
      <c r="E2" s="88"/>
    </row>
    <row r="3" spans="2:11" ht="15.5" x14ac:dyDescent="0.35">
      <c r="B3" s="87" t="s">
        <v>327</v>
      </c>
      <c r="C3" s="88"/>
      <c r="D3" s="88"/>
      <c r="E3" s="88"/>
    </row>
    <row r="4" spans="2:11" ht="15.5" x14ac:dyDescent="0.35">
      <c r="B4" s="87"/>
      <c r="C4" s="88"/>
      <c r="D4" s="88"/>
      <c r="E4" s="88"/>
    </row>
    <row r="5" spans="2:11" x14ac:dyDescent="0.35">
      <c r="B5" s="133" t="s">
        <v>24</v>
      </c>
      <c r="C5" s="72"/>
      <c r="D5" s="72"/>
      <c r="E5" s="72"/>
      <c r="F5" s="72"/>
      <c r="G5" s="72"/>
      <c r="H5" s="72"/>
      <c r="I5" s="72"/>
      <c r="J5" s="72"/>
      <c r="K5" s="72"/>
    </row>
    <row r="6" spans="2:11" ht="40" thickBot="1" x14ac:dyDescent="0.4">
      <c r="B6" s="296" t="s">
        <v>25</v>
      </c>
      <c r="C6" s="297" t="s">
        <v>273</v>
      </c>
      <c r="D6" s="294" t="s">
        <v>274</v>
      </c>
      <c r="E6" s="294" t="s">
        <v>275</v>
      </c>
      <c r="F6" s="297" t="s">
        <v>276</v>
      </c>
      <c r="G6" s="297" t="s">
        <v>277</v>
      </c>
      <c r="H6" s="296" t="s">
        <v>32</v>
      </c>
      <c r="I6" s="296"/>
      <c r="J6" s="297" t="s">
        <v>278</v>
      </c>
      <c r="K6" s="297" t="s">
        <v>274</v>
      </c>
    </row>
    <row r="7" spans="2:11" ht="15" thickTop="1" x14ac:dyDescent="0.35">
      <c r="B7" t="s">
        <v>279</v>
      </c>
      <c r="C7" s="240">
        <v>3</v>
      </c>
      <c r="D7" s="241">
        <f>+C7*E34</f>
        <v>1299000</v>
      </c>
      <c r="E7" s="21">
        <f>+D7/$D$11</f>
        <v>0.36231884057971014</v>
      </c>
      <c r="F7" s="242">
        <v>0.05</v>
      </c>
      <c r="G7" s="242">
        <f>+(F7*(1-$F$13))*E7</f>
        <v>1.3768115942028987E-2</v>
      </c>
      <c r="H7" t="s">
        <v>280</v>
      </c>
      <c r="J7" s="240">
        <v>8</v>
      </c>
      <c r="K7" s="44">
        <f>+J7*E34</f>
        <v>3464000</v>
      </c>
    </row>
    <row r="8" spans="2:11" x14ac:dyDescent="0.35">
      <c r="B8" t="s">
        <v>159</v>
      </c>
      <c r="C8" s="240">
        <v>2</v>
      </c>
      <c r="D8" s="243">
        <f>+C8*E34</f>
        <v>866000</v>
      </c>
      <c r="E8" s="29">
        <f t="shared" ref="E8:E11" si="0">+D8/$D$11</f>
        <v>0.24154589371980675</v>
      </c>
      <c r="F8" s="244">
        <v>0.08</v>
      </c>
      <c r="G8" s="244">
        <f t="shared" ref="G8:G9" si="1">+(F8*(1-$F$13))*E8</f>
        <v>1.4685990338164251E-2</v>
      </c>
      <c r="H8" t="s">
        <v>281</v>
      </c>
      <c r="I8" s="5">
        <v>3.5000000000000003E-2</v>
      </c>
      <c r="J8" s="240"/>
      <c r="K8" s="44">
        <f>+I8*K7</f>
        <v>121240.00000000001</v>
      </c>
    </row>
    <row r="9" spans="2:11" x14ac:dyDescent="0.35">
      <c r="B9" t="s">
        <v>282</v>
      </c>
      <c r="C9" s="240">
        <f>+D9/E34</f>
        <v>5</v>
      </c>
      <c r="D9" s="241">
        <f>SUM(D7:D8)</f>
        <v>2165000</v>
      </c>
      <c r="E9" s="21">
        <f t="shared" si="0"/>
        <v>0.60386473429951693</v>
      </c>
      <c r="F9" s="245"/>
      <c r="G9" s="242">
        <f t="shared" si="1"/>
        <v>0</v>
      </c>
    </row>
    <row r="10" spans="2:11" x14ac:dyDescent="0.35">
      <c r="B10" t="s">
        <v>162</v>
      </c>
      <c r="C10" s="88"/>
      <c r="D10" s="243">
        <f>+K11-D9</f>
        <v>1420240</v>
      </c>
      <c r="E10" s="21">
        <f t="shared" si="0"/>
        <v>0.39613526570048307</v>
      </c>
      <c r="F10" s="281">
        <v>0.25</v>
      </c>
      <c r="G10" s="29">
        <f>+E10*F10</f>
        <v>9.9033816425120769E-2</v>
      </c>
    </row>
    <row r="11" spans="2:11" ht="15" thickBot="1" x14ac:dyDescent="0.4">
      <c r="B11" t="s">
        <v>283</v>
      </c>
      <c r="C11" s="88"/>
      <c r="D11" s="280">
        <f>SUM(D9:D10)</f>
        <v>3585240</v>
      </c>
      <c r="E11" s="42">
        <f t="shared" si="0"/>
        <v>1</v>
      </c>
      <c r="F11" s="246"/>
      <c r="G11" s="247">
        <f>SUM(G9:G10)</f>
        <v>9.9033816425120769E-2</v>
      </c>
      <c r="K11" s="280">
        <f>SUM(K7:K10)</f>
        <v>3585240</v>
      </c>
    </row>
    <row r="12" spans="2:11" ht="7.5" customHeight="1" thickTop="1" x14ac:dyDescent="0.35">
      <c r="C12" s="88"/>
      <c r="D12" s="88"/>
    </row>
    <row r="13" spans="2:11" x14ac:dyDescent="0.35">
      <c r="C13" s="88"/>
      <c r="D13" s="88"/>
      <c r="E13" s="248" t="s">
        <v>284</v>
      </c>
      <c r="F13" s="249">
        <v>0.24</v>
      </c>
    </row>
    <row r="14" spans="2:11" x14ac:dyDescent="0.35">
      <c r="B14" s="62"/>
      <c r="C14" s="250"/>
      <c r="D14" s="250"/>
      <c r="E14" s="251"/>
      <c r="F14" s="252"/>
      <c r="G14" s="62"/>
    </row>
    <row r="15" spans="2:11" x14ac:dyDescent="0.35">
      <c r="B15" s="133" t="s">
        <v>1</v>
      </c>
      <c r="C15" s="72"/>
      <c r="D15" s="72"/>
      <c r="E15" s="276"/>
      <c r="F15" s="277"/>
      <c r="G15" s="273"/>
      <c r="H15" s="278"/>
      <c r="I15" s="278"/>
      <c r="J15" s="279" t="s">
        <v>229</v>
      </c>
      <c r="K15" s="278"/>
    </row>
    <row r="16" spans="2:11" ht="15" thickBot="1" x14ac:dyDescent="0.4">
      <c r="B16" s="296"/>
      <c r="C16" s="294" t="s">
        <v>211</v>
      </c>
      <c r="D16" s="294" t="s">
        <v>285</v>
      </c>
      <c r="E16" s="294" t="s">
        <v>5</v>
      </c>
      <c r="F16" s="249"/>
      <c r="G16" s="294" t="s">
        <v>286</v>
      </c>
      <c r="H16" s="294" t="s">
        <v>287</v>
      </c>
      <c r="I16" s="294" t="s">
        <v>288</v>
      </c>
      <c r="J16" s="295" t="s">
        <v>289</v>
      </c>
      <c r="K16" s="294" t="s">
        <v>290</v>
      </c>
    </row>
    <row r="17" spans="2:11" ht="15" thickTop="1" x14ac:dyDescent="0.35">
      <c r="B17" t="s">
        <v>291</v>
      </c>
      <c r="C17" s="86">
        <v>5</v>
      </c>
      <c r="D17" s="253">
        <f>+F7</f>
        <v>0.05</v>
      </c>
      <c r="E17" s="254">
        <f>+D7</f>
        <v>1299000</v>
      </c>
      <c r="F17" s="249"/>
      <c r="G17" s="44">
        <f>+E17-G18</f>
        <v>1286010</v>
      </c>
      <c r="H17" s="44">
        <f>+G17-H18</f>
        <v>1273020</v>
      </c>
      <c r="I17" s="44">
        <f t="shared" ref="I17:K17" si="2">+H17-I18</f>
        <v>1260030</v>
      </c>
      <c r="J17" s="298">
        <f t="shared" si="2"/>
        <v>1247040</v>
      </c>
      <c r="K17" s="44">
        <f t="shared" si="2"/>
        <v>0</v>
      </c>
    </row>
    <row r="18" spans="2:11" x14ac:dyDescent="0.35">
      <c r="B18" t="s">
        <v>292</v>
      </c>
      <c r="C18" s="88"/>
      <c r="D18" s="86"/>
      <c r="E18" s="248"/>
      <c r="F18" s="249"/>
      <c r="G18" s="7">
        <f>+$E$17*0.01</f>
        <v>12990</v>
      </c>
      <c r="H18" s="7">
        <f t="shared" ref="H18:J18" si="3">+$E$17*0.01</f>
        <v>12990</v>
      </c>
      <c r="I18" s="7">
        <f t="shared" si="3"/>
        <v>12990</v>
      </c>
      <c r="J18" s="255">
        <f t="shared" si="3"/>
        <v>12990</v>
      </c>
      <c r="K18" s="7">
        <f>+J17</f>
        <v>1247040</v>
      </c>
    </row>
    <row r="19" spans="2:11" x14ac:dyDescent="0.35">
      <c r="B19" t="s">
        <v>411</v>
      </c>
      <c r="C19" s="88"/>
      <c r="D19" s="86"/>
      <c r="E19" s="248"/>
      <c r="F19" s="249"/>
      <c r="G19" s="7">
        <f>+E17*$D$17</f>
        <v>64950</v>
      </c>
      <c r="H19" s="7">
        <f>+G17*$D$17</f>
        <v>64300.5</v>
      </c>
      <c r="I19" s="7">
        <f t="shared" ref="I19:K19" si="4">+H17*$D$17</f>
        <v>63651</v>
      </c>
      <c r="J19" s="255">
        <f t="shared" si="4"/>
        <v>63001.5</v>
      </c>
      <c r="K19" s="7">
        <f t="shared" si="4"/>
        <v>62352</v>
      </c>
    </row>
    <row r="20" spans="2:11" x14ac:dyDescent="0.35">
      <c r="C20" s="88"/>
      <c r="D20" s="86"/>
      <c r="E20" s="248"/>
      <c r="F20" s="249"/>
      <c r="J20" s="260"/>
    </row>
    <row r="21" spans="2:11" x14ac:dyDescent="0.35">
      <c r="B21" t="s">
        <v>293</v>
      </c>
      <c r="C21" s="86">
        <v>10</v>
      </c>
      <c r="D21" s="253">
        <f>+F8</f>
        <v>0.08</v>
      </c>
      <c r="E21" s="254">
        <f>+D8</f>
        <v>866000</v>
      </c>
      <c r="F21" s="249"/>
      <c r="G21" s="44">
        <f>+E21-G22</f>
        <v>866000</v>
      </c>
      <c r="H21" s="44">
        <f>+G21-H22</f>
        <v>866000</v>
      </c>
      <c r="I21" s="44">
        <f t="shared" ref="I21:K21" si="5">+H21-I22</f>
        <v>866000</v>
      </c>
      <c r="J21" s="262">
        <f t="shared" si="5"/>
        <v>866000</v>
      </c>
      <c r="K21" s="44">
        <f t="shared" si="5"/>
        <v>866000</v>
      </c>
    </row>
    <row r="22" spans="2:11" x14ac:dyDescent="0.35">
      <c r="B22" t="s">
        <v>294</v>
      </c>
      <c r="C22" s="88"/>
      <c r="D22" s="88"/>
      <c r="E22" s="248"/>
      <c r="F22" s="249"/>
      <c r="G22" s="7">
        <v>0</v>
      </c>
      <c r="H22" s="7">
        <v>0</v>
      </c>
      <c r="I22" s="7">
        <v>0</v>
      </c>
      <c r="J22" s="255">
        <v>0</v>
      </c>
      <c r="K22" s="7">
        <v>0</v>
      </c>
    </row>
    <row r="23" spans="2:11" x14ac:dyDescent="0.35">
      <c r="B23" t="s">
        <v>412</v>
      </c>
      <c r="C23" s="88"/>
      <c r="D23" s="88"/>
      <c r="E23" s="248"/>
      <c r="F23" s="249"/>
      <c r="G23" s="7">
        <f>+E21*$D$21</f>
        <v>69280</v>
      </c>
      <c r="H23" s="7">
        <f>+G21*$D$21</f>
        <v>69280</v>
      </c>
      <c r="I23" s="7">
        <f t="shared" ref="I23:K23" si="6">+H21*$D$21</f>
        <v>69280</v>
      </c>
      <c r="J23" s="255">
        <f t="shared" si="6"/>
        <v>69280</v>
      </c>
      <c r="K23" s="7">
        <f t="shared" si="6"/>
        <v>69280</v>
      </c>
    </row>
    <row r="24" spans="2:11" x14ac:dyDescent="0.35">
      <c r="C24" s="88"/>
      <c r="D24" s="88"/>
      <c r="E24" s="248"/>
      <c r="F24" s="249"/>
      <c r="J24" s="260"/>
    </row>
    <row r="25" spans="2:11" x14ac:dyDescent="0.35">
      <c r="B25" t="s">
        <v>325</v>
      </c>
      <c r="C25" s="88"/>
      <c r="D25" s="88"/>
      <c r="E25" s="248"/>
      <c r="F25" s="249"/>
      <c r="G25" s="44">
        <f>+G23+G22+G19+G18</f>
        <v>147220</v>
      </c>
      <c r="H25" s="44">
        <f t="shared" ref="H25:K25" si="7">+H23+H22+H19+H18</f>
        <v>146570.5</v>
      </c>
      <c r="I25" s="44">
        <f t="shared" si="7"/>
        <v>145921</v>
      </c>
      <c r="J25" s="262">
        <f t="shared" si="7"/>
        <v>145271.5</v>
      </c>
      <c r="K25" s="44">
        <f t="shared" si="7"/>
        <v>1378672</v>
      </c>
    </row>
    <row r="26" spans="2:11" x14ac:dyDescent="0.35">
      <c r="B26" t="s">
        <v>222</v>
      </c>
      <c r="C26" s="88"/>
      <c r="D26" s="88"/>
      <c r="E26" s="254">
        <f>+E21+E17</f>
        <v>2165000</v>
      </c>
      <c r="F26" s="249"/>
      <c r="G26" s="44">
        <f>+G21+G17</f>
        <v>2152010</v>
      </c>
      <c r="H26" s="44">
        <f t="shared" ref="H26:K26" si="8">+H21+H17</f>
        <v>2139020</v>
      </c>
      <c r="I26" s="44">
        <f t="shared" si="8"/>
        <v>2126030</v>
      </c>
      <c r="J26" s="262">
        <f t="shared" si="8"/>
        <v>2113040</v>
      </c>
      <c r="K26" s="44">
        <f t="shared" si="8"/>
        <v>866000</v>
      </c>
    </row>
    <row r="27" spans="2:11" x14ac:dyDescent="0.35">
      <c r="C27" s="88"/>
      <c r="D27" s="88"/>
      <c r="E27" s="248"/>
      <c r="F27" s="249"/>
    </row>
    <row r="28" spans="2:11" x14ac:dyDescent="0.35">
      <c r="B28" s="133" t="s">
        <v>295</v>
      </c>
      <c r="C28" s="72"/>
      <c r="D28" s="72"/>
      <c r="E28" s="72"/>
      <c r="F28" s="72"/>
      <c r="G28" s="273"/>
      <c r="H28" s="273"/>
      <c r="I28" s="273"/>
      <c r="J28" s="274" t="s">
        <v>229</v>
      </c>
      <c r="K28" s="273"/>
    </row>
    <row r="29" spans="2:11" ht="9" customHeight="1" x14ac:dyDescent="0.35"/>
    <row r="30" spans="2:11" x14ac:dyDescent="0.35">
      <c r="B30" s="270"/>
      <c r="C30" s="270"/>
      <c r="D30" s="272" t="s">
        <v>296</v>
      </c>
      <c r="E30" s="272" t="s">
        <v>5</v>
      </c>
      <c r="G30" s="272" t="s">
        <v>286</v>
      </c>
      <c r="H30" s="272" t="s">
        <v>287</v>
      </c>
      <c r="I30" s="272" t="s">
        <v>288</v>
      </c>
      <c r="J30" s="275" t="s">
        <v>289</v>
      </c>
      <c r="K30" s="272" t="s">
        <v>290</v>
      </c>
    </row>
    <row r="31" spans="2:11" x14ac:dyDescent="0.35">
      <c r="B31" t="s">
        <v>297</v>
      </c>
      <c r="D31" s="7">
        <f>+'Fig. 9.10'!D7</f>
        <v>960000</v>
      </c>
      <c r="E31" s="7">
        <f>+'Fig. 9.10'!E7</f>
        <v>1110000</v>
      </c>
      <c r="G31" s="7">
        <f>+'Fig. 9.10'!G7</f>
        <v>1228140</v>
      </c>
      <c r="H31" s="7">
        <f>+'Fig. 9.10'!H7</f>
        <v>1344199.848</v>
      </c>
      <c r="I31" s="7">
        <f>+'Fig. 9.10'!I7</f>
        <v>1442918.9540652002</v>
      </c>
      <c r="J31" s="255">
        <f>+'Fig. 9.10'!J7</f>
        <v>1529267.7156714478</v>
      </c>
      <c r="K31" s="7">
        <f>+'Fig. 9.10'!K7</f>
        <v>1605161.4860476251</v>
      </c>
    </row>
    <row r="32" spans="2:11" x14ac:dyDescent="0.35">
      <c r="B32" t="s">
        <v>298</v>
      </c>
      <c r="D32" s="7">
        <f>+'Fig. 9.10'!D8</f>
        <v>-345000</v>
      </c>
      <c r="E32" s="7">
        <f>+'Fig. 9.10'!E8</f>
        <v>-420000</v>
      </c>
      <c r="G32" s="7">
        <f>+'Fig. 9.10'!G8</f>
        <v>-463078.2</v>
      </c>
      <c r="H32" s="7">
        <f>+'Fig. 9.10'!H8</f>
        <v>-506823.33804</v>
      </c>
      <c r="I32" s="7">
        <f>+'Fig. 9.10'!I8</f>
        <v>-544053.13711893605</v>
      </c>
      <c r="J32" s="255">
        <f>+'Fig. 9.10'!J8</f>
        <v>-576709.25695468695</v>
      </c>
      <c r="K32" s="7">
        <f>+'Fig. 9.10'!K8</f>
        <v>-605474.36387137498</v>
      </c>
    </row>
    <row r="33" spans="2:11" x14ac:dyDescent="0.35">
      <c r="B33" t="s">
        <v>299</v>
      </c>
      <c r="D33" s="139">
        <f>+'Fig. 9.10'!D9</f>
        <v>-230000</v>
      </c>
      <c r="E33" s="139">
        <f>+'Fig. 9.10'!E9</f>
        <v>-257000</v>
      </c>
      <c r="G33" s="139">
        <f>+'Fig. 9.10'!G9</f>
        <v>-271501.2</v>
      </c>
      <c r="H33" s="139">
        <f>+'Fig. 9.10'!H9</f>
        <v>-289448.48784000002</v>
      </c>
      <c r="I33" s="139">
        <f>+'Fig. 9.10'!I9</f>
        <v>-306441.64132521598</v>
      </c>
      <c r="J33" s="256">
        <f>+'Fig. 9.10'!J9</f>
        <v>-322899.94850371598</v>
      </c>
      <c r="K33" s="139">
        <f>+'Fig. 9.10'!K9</f>
        <v>-338999.37669631001</v>
      </c>
    </row>
    <row r="34" spans="2:11" x14ac:dyDescent="0.35">
      <c r="B34" s="74" t="s">
        <v>244</v>
      </c>
      <c r="C34" s="74"/>
      <c r="D34" s="142">
        <f>SUM(D31:D33)</f>
        <v>385000</v>
      </c>
      <c r="E34" s="142">
        <f>SUM(E31:E33)</f>
        <v>433000</v>
      </c>
      <c r="F34" s="142"/>
      <c r="G34" s="142">
        <f t="shared" ref="G34:K34" si="9">SUM(G31:G33)</f>
        <v>493560.60000000003</v>
      </c>
      <c r="H34" s="142">
        <f t="shared" si="9"/>
        <v>547928.02211999986</v>
      </c>
      <c r="I34" s="142">
        <f t="shared" si="9"/>
        <v>592424.17562104808</v>
      </c>
      <c r="J34" s="257">
        <f t="shared" si="9"/>
        <v>629658.51021304494</v>
      </c>
      <c r="K34" s="142">
        <f t="shared" si="9"/>
        <v>660687.74547994009</v>
      </c>
    </row>
    <row r="35" spans="2:11" x14ac:dyDescent="0.35">
      <c r="B35" t="s">
        <v>300</v>
      </c>
      <c r="D35" s="7">
        <f>+'Fig. 9.10'!D11</f>
        <v>-60000</v>
      </c>
      <c r="E35" s="7">
        <f>+'Fig. 9.10'!E11</f>
        <v>-65000</v>
      </c>
      <c r="F35" s="7"/>
      <c r="G35" s="7">
        <f>+'Fig. 9.10'!G11</f>
        <v>-73688.399999999994</v>
      </c>
      <c r="H35" s="7">
        <f>+'Fig. 9.10'!H11</f>
        <v>-80651.990879999998</v>
      </c>
      <c r="I35" s="7">
        <f>+'Fig. 9.10'!I11</f>
        <v>-86575.137243912002</v>
      </c>
      <c r="J35" s="255">
        <f>+'Fig. 9.10'!J11</f>
        <v>-91756.062940286865</v>
      </c>
      <c r="K35" s="7">
        <f>+'Fig. 9.10'!K11</f>
        <v>-96309.689162857496</v>
      </c>
    </row>
    <row r="36" spans="2:11" x14ac:dyDescent="0.35">
      <c r="B36" t="s">
        <v>301</v>
      </c>
      <c r="D36" s="7"/>
      <c r="E36" s="7"/>
      <c r="F36" s="7"/>
      <c r="G36" s="139">
        <f>-$K$8/$C$17</f>
        <v>-24248.000000000004</v>
      </c>
      <c r="H36" s="139">
        <f t="shared" ref="H36:I36" si="10">-$K$8/$C$17</f>
        <v>-24248.000000000004</v>
      </c>
      <c r="I36" s="139">
        <f t="shared" si="10"/>
        <v>-24248.000000000004</v>
      </c>
      <c r="J36" s="256">
        <f>-$K$8/$C$17*2</f>
        <v>-48496.000000000007</v>
      </c>
      <c r="K36" s="139"/>
    </row>
    <row r="37" spans="2:11" x14ac:dyDescent="0.35">
      <c r="B37" s="74" t="s">
        <v>134</v>
      </c>
      <c r="C37" s="74"/>
      <c r="D37" s="7">
        <f>+D34+D35</f>
        <v>325000</v>
      </c>
      <c r="E37" s="7">
        <f>+E34+E35</f>
        <v>368000</v>
      </c>
      <c r="F37" s="142"/>
      <c r="G37" s="142">
        <f>+G34+G35+G36</f>
        <v>395624.20000000007</v>
      </c>
      <c r="H37" s="142">
        <f t="shared" ref="H37:K37" si="11">+H34+H35+H36</f>
        <v>443028.03123999987</v>
      </c>
      <c r="I37" s="142">
        <f t="shared" si="11"/>
        <v>481601.03837713611</v>
      </c>
      <c r="J37" s="257">
        <f t="shared" si="11"/>
        <v>489406.44727275812</v>
      </c>
      <c r="K37" s="142">
        <f t="shared" si="11"/>
        <v>564378.05631708261</v>
      </c>
    </row>
    <row r="38" spans="2:11" x14ac:dyDescent="0.35">
      <c r="B38" t="s">
        <v>302</v>
      </c>
      <c r="D38" s="7"/>
      <c r="E38" s="7"/>
      <c r="F38" s="7"/>
      <c r="G38" s="139">
        <f>-G37*$F$13</f>
        <v>-94949.808000000019</v>
      </c>
      <c r="H38" s="139">
        <f t="shared" ref="H38:K38" si="12">-H37*$F$13</f>
        <v>-106326.72749759996</v>
      </c>
      <c r="I38" s="139">
        <f t="shared" si="12"/>
        <v>-115584.24921051266</v>
      </c>
      <c r="J38" s="256">
        <f t="shared" si="12"/>
        <v>-117457.54734546195</v>
      </c>
      <c r="K38" s="139">
        <f t="shared" si="12"/>
        <v>-135450.73351609983</v>
      </c>
    </row>
    <row r="39" spans="2:11" x14ac:dyDescent="0.35">
      <c r="B39" s="74" t="s">
        <v>303</v>
      </c>
      <c r="C39" s="74"/>
      <c r="D39" s="7"/>
      <c r="E39" s="7"/>
      <c r="F39" s="142"/>
      <c r="G39" s="142">
        <f>+G37+G38</f>
        <v>300674.39200000005</v>
      </c>
      <c r="H39" s="142">
        <f t="shared" ref="H39:K39" si="13">+H37+H38</f>
        <v>336701.3037423999</v>
      </c>
      <c r="I39" s="142">
        <f t="shared" si="13"/>
        <v>366016.78916662344</v>
      </c>
      <c r="J39" s="257">
        <f t="shared" si="13"/>
        <v>371948.89992729615</v>
      </c>
      <c r="K39" s="142">
        <f t="shared" si="13"/>
        <v>428927.32280098274</v>
      </c>
    </row>
    <row r="40" spans="2:11" x14ac:dyDescent="0.35">
      <c r="B40" t="s">
        <v>237</v>
      </c>
      <c r="D40" s="7"/>
      <c r="E40" s="7"/>
      <c r="F40" s="7"/>
      <c r="G40" s="7">
        <f>-G35-G36</f>
        <v>97936.4</v>
      </c>
      <c r="H40" s="7">
        <f t="shared" ref="H40:K40" si="14">-H35-H36</f>
        <v>104899.99088</v>
      </c>
      <c r="I40" s="7">
        <f t="shared" si="14"/>
        <v>110823.137243912</v>
      </c>
      <c r="J40" s="255">
        <f t="shared" si="14"/>
        <v>140252.06294028688</v>
      </c>
      <c r="K40" s="7">
        <f t="shared" si="14"/>
        <v>96309.689162857496</v>
      </c>
    </row>
    <row r="41" spans="2:11" x14ac:dyDescent="0.35">
      <c r="B41" t="s">
        <v>262</v>
      </c>
      <c r="D41" s="7"/>
      <c r="E41" s="7"/>
      <c r="F41" s="7"/>
      <c r="G41" s="7">
        <f>+'Fig. 9.10'!G16</f>
        <v>2870.189189189201</v>
      </c>
      <c r="H41" s="7">
        <f>+'Fig. 9.10'!H16</f>
        <v>-4548.2913405405416</v>
      </c>
      <c r="I41" s="7">
        <f>+'Fig. 9.10'!I16</f>
        <v>-3868.7217241767667</v>
      </c>
      <c r="J41" s="255">
        <f>+'Fig. 9.10'!J16</f>
        <v>-3383.9379548394299</v>
      </c>
      <c r="K41" s="7">
        <f>+'Fig. 9.10'!K16</f>
        <v>-2974.2153255528992</v>
      </c>
    </row>
    <row r="42" spans="2:11" x14ac:dyDescent="0.35">
      <c r="B42" t="s">
        <v>304</v>
      </c>
      <c r="D42" s="7"/>
      <c r="E42" s="7"/>
      <c r="F42" s="7"/>
      <c r="G42" s="139">
        <f>+'Fig. 9.10'!G17</f>
        <v>-193625.67567567568</v>
      </c>
      <c r="H42" s="139">
        <f>+'Fig. 9.10'!H17</f>
        <v>-211923.39945945944</v>
      </c>
      <c r="I42" s="139">
        <f>+'Fig. 9.10'!I17</f>
        <v>-227487.22248775678</v>
      </c>
      <c r="J42" s="256">
        <f>+'Fig. 9.10'!J17</f>
        <v>-241100.76598423725</v>
      </c>
      <c r="K42" s="139">
        <f>+'Fig. 9.10'!K17</f>
        <v>-253066.00005255349</v>
      </c>
    </row>
    <row r="43" spans="2:11" x14ac:dyDescent="0.35">
      <c r="B43" s="74" t="s">
        <v>305</v>
      </c>
      <c r="C43" s="74"/>
      <c r="D43" s="7"/>
      <c r="E43" s="7"/>
      <c r="F43" s="142"/>
      <c r="G43" s="142">
        <f>SUM(G39:G42)</f>
        <v>207855.30551351357</v>
      </c>
      <c r="H43" s="142">
        <f t="shared" ref="H43:K43" si="15">SUM(H39:H42)</f>
        <v>225129.60382239989</v>
      </c>
      <c r="I43" s="142">
        <f t="shared" si="15"/>
        <v>245483.98219860191</v>
      </c>
      <c r="J43" s="257">
        <f t="shared" si="15"/>
        <v>267716.25892850634</v>
      </c>
      <c r="K43" s="142">
        <f t="shared" si="15"/>
        <v>269196.79658573383</v>
      </c>
    </row>
    <row r="44" spans="2:11" x14ac:dyDescent="0.35">
      <c r="B44" t="s">
        <v>306</v>
      </c>
      <c r="D44" s="7"/>
      <c r="E44" s="7"/>
      <c r="F44" s="7"/>
      <c r="G44" s="7">
        <f>-G25</f>
        <v>-147220</v>
      </c>
      <c r="H44" s="7">
        <f t="shared" ref="H44:J44" si="16">-H25</f>
        <v>-146570.5</v>
      </c>
      <c r="I44" s="7">
        <f t="shared" si="16"/>
        <v>-145921</v>
      </c>
      <c r="J44" s="255">
        <f t="shared" si="16"/>
        <v>-145271.5</v>
      </c>
      <c r="K44" s="7"/>
    </row>
    <row r="45" spans="2:11" x14ac:dyDescent="0.35">
      <c r="B45" s="74" t="s">
        <v>307</v>
      </c>
      <c r="C45" s="74"/>
      <c r="D45" s="7"/>
      <c r="E45" s="7"/>
      <c r="F45" s="142"/>
      <c r="G45" s="258">
        <f>+G43+G44</f>
        <v>60635.305513513566</v>
      </c>
      <c r="H45" s="258">
        <f t="shared" ref="H45:J45" si="17">+H43+H44</f>
        <v>78559.103822399891</v>
      </c>
      <c r="I45" s="258">
        <f t="shared" si="17"/>
        <v>99562.982198601909</v>
      </c>
      <c r="J45" s="259">
        <f t="shared" si="17"/>
        <v>122444.75892850634</v>
      </c>
      <c r="K45" s="258"/>
    </row>
    <row r="46" spans="2:11" x14ac:dyDescent="0.35">
      <c r="J46" s="260"/>
    </row>
    <row r="47" spans="2:11" x14ac:dyDescent="0.35">
      <c r="B47" s="261" t="s">
        <v>308</v>
      </c>
      <c r="E47" s="261" t="s">
        <v>309</v>
      </c>
      <c r="J47" s="260"/>
    </row>
    <row r="48" spans="2:11" x14ac:dyDescent="0.35">
      <c r="B48" t="s">
        <v>310</v>
      </c>
      <c r="E48" s="68" t="s">
        <v>311</v>
      </c>
      <c r="F48" s="237">
        <f>+J7</f>
        <v>8</v>
      </c>
      <c r="J48" s="262">
        <f>+F48*J34</f>
        <v>5037268.0817043595</v>
      </c>
    </row>
    <row r="49" spans="2:11" x14ac:dyDescent="0.35">
      <c r="B49" t="s">
        <v>312</v>
      </c>
      <c r="E49" s="68" t="s">
        <v>313</v>
      </c>
      <c r="F49" s="263">
        <f>+G11</f>
        <v>9.9033816425120769E-2</v>
      </c>
      <c r="J49" s="256">
        <f>+K43/(F49-F50)</f>
        <v>5490023.3392361486</v>
      </c>
    </row>
    <row r="50" spans="2:11" x14ac:dyDescent="0.35">
      <c r="B50" t="s">
        <v>314</v>
      </c>
      <c r="E50" s="68" t="s">
        <v>315</v>
      </c>
      <c r="F50" s="264">
        <v>0.05</v>
      </c>
      <c r="J50" s="262">
        <f>AVERAGE(J48:J49)</f>
        <v>5263645.7104702536</v>
      </c>
    </row>
    <row r="51" spans="2:11" x14ac:dyDescent="0.35">
      <c r="B51" t="s">
        <v>316</v>
      </c>
      <c r="E51" s="68"/>
      <c r="J51" s="256">
        <v>-1030000</v>
      </c>
    </row>
    <row r="52" spans="2:11" x14ac:dyDescent="0.35">
      <c r="B52" t="s">
        <v>317</v>
      </c>
      <c r="E52" s="68"/>
      <c r="J52" s="262">
        <f>SUM(J50:J51)</f>
        <v>4233645.7104702536</v>
      </c>
    </row>
    <row r="53" spans="2:11" ht="15" thickBot="1" x14ac:dyDescent="0.4">
      <c r="B53" t="s">
        <v>243</v>
      </c>
      <c r="E53" s="68" t="s">
        <v>318</v>
      </c>
      <c r="F53" s="282">
        <f>+F10</f>
        <v>0.25</v>
      </c>
      <c r="G53" s="143">
        <f>+G45</f>
        <v>60635.305513513566</v>
      </c>
      <c r="H53" s="143">
        <f>+H45</f>
        <v>78559.103822399891</v>
      </c>
      <c r="I53" s="143">
        <f>+I45</f>
        <v>99562.982198601909</v>
      </c>
      <c r="J53" s="283">
        <f>+J52+J45</f>
        <v>4356090.4693987602</v>
      </c>
    </row>
    <row r="54" spans="2:11" ht="15" thickTop="1" x14ac:dyDescent="0.35">
      <c r="E54" s="68"/>
      <c r="F54" s="267"/>
      <c r="G54" s="44"/>
      <c r="H54" s="44"/>
      <c r="I54" s="44"/>
      <c r="J54" s="262"/>
    </row>
    <row r="55" spans="2:11" x14ac:dyDescent="0.35">
      <c r="B55" t="s">
        <v>319</v>
      </c>
      <c r="E55" s="44">
        <f>SUM(G55:J55)</f>
        <v>1934016.974008563</v>
      </c>
      <c r="G55" s="7">
        <f>G53/(1+$F$53)^1</f>
        <v>48508.244410810854</v>
      </c>
      <c r="H55" s="7">
        <f>H53/(1+$F$53)^2</f>
        <v>50277.82644633593</v>
      </c>
      <c r="I55" s="7">
        <f>I53/(1+$F$53)^3</f>
        <v>50976.246885684181</v>
      </c>
      <c r="J55" s="255">
        <f>J53/(1+$F$53)^4</f>
        <v>1784254.6562657321</v>
      </c>
    </row>
    <row r="56" spans="2:11" x14ac:dyDescent="0.35">
      <c r="B56" t="s">
        <v>320</v>
      </c>
      <c r="E56" s="268">
        <f>+D9</f>
        <v>2165000</v>
      </c>
    </row>
    <row r="57" spans="2:11" x14ac:dyDescent="0.35">
      <c r="B57" t="s">
        <v>321</v>
      </c>
      <c r="E57" s="268">
        <v>0</v>
      </c>
    </row>
    <row r="58" spans="2:11" ht="15" thickBot="1" x14ac:dyDescent="0.4">
      <c r="B58" s="74" t="s">
        <v>322</v>
      </c>
      <c r="E58" s="269">
        <f>SUM(E55:E57)</f>
        <v>4099016.974008563</v>
      </c>
    </row>
    <row r="59" spans="2:11" x14ac:dyDescent="0.35">
      <c r="B59" t="s">
        <v>323</v>
      </c>
      <c r="E59" s="237">
        <f>+E58/E34</f>
        <v>9.4665519030220846</v>
      </c>
    </row>
    <row r="60" spans="2:11" x14ac:dyDescent="0.35">
      <c r="K60" s="330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5469-3C1A-4522-A061-74C9F522647F}">
  <dimension ref="A1:L23"/>
  <sheetViews>
    <sheetView showGridLines="0" workbookViewId="0">
      <selection activeCell="J18" sqref="J18"/>
    </sheetView>
  </sheetViews>
  <sheetFormatPr defaultRowHeight="14.5" x14ac:dyDescent="0.35"/>
  <cols>
    <col min="1" max="1" width="3.54296875" customWidth="1"/>
    <col min="2" max="2" width="33.7265625" customWidth="1"/>
    <col min="3" max="3" width="9.26953125" customWidth="1"/>
    <col min="5" max="6" width="9.36328125" customWidth="1"/>
    <col min="7" max="7" width="9.36328125" style="10" customWidth="1"/>
    <col min="8" max="8" width="9.36328125" customWidth="1"/>
    <col min="9" max="10" width="9.36328125" style="10" customWidth="1"/>
    <col min="11" max="11" width="10.26953125" style="10" customWidth="1"/>
    <col min="12" max="12" width="11.54296875" customWidth="1"/>
    <col min="13" max="13" width="11.08984375" customWidth="1"/>
  </cols>
  <sheetData>
    <row r="1" spans="1:12" ht="18.5" x14ac:dyDescent="0.45">
      <c r="A1" s="10"/>
      <c r="B1" s="57" t="s">
        <v>127</v>
      </c>
      <c r="C1" s="85"/>
    </row>
    <row r="2" spans="1:12" ht="8.4" customHeight="1" x14ac:dyDescent="0.35"/>
    <row r="3" spans="1:12" x14ac:dyDescent="0.35">
      <c r="A3" s="10"/>
      <c r="B3" s="133" t="s">
        <v>402</v>
      </c>
      <c r="C3" s="135"/>
      <c r="D3" s="135"/>
      <c r="E3" s="135"/>
      <c r="F3" s="135"/>
      <c r="G3" s="136"/>
      <c r="H3" s="135"/>
      <c r="I3" s="136"/>
      <c r="J3" s="136"/>
    </row>
    <row r="4" spans="1:12" s="88" customFormat="1" ht="15.5" x14ac:dyDescent="0.35">
      <c r="A4" s="86"/>
      <c r="B4" s="87"/>
      <c r="C4" s="33"/>
      <c r="D4" s="33"/>
      <c r="E4" s="33"/>
      <c r="F4" s="33"/>
      <c r="G4" s="39"/>
      <c r="H4" s="33"/>
      <c r="I4" s="39"/>
      <c r="J4" s="39"/>
      <c r="K4" s="10"/>
      <c r="L4"/>
    </row>
    <row r="5" spans="1:12" s="88" customFormat="1" ht="15" thickBot="1" x14ac:dyDescent="0.4">
      <c r="A5" s="86"/>
      <c r="B5" s="306" t="s">
        <v>332</v>
      </c>
      <c r="C5" s="306"/>
      <c r="D5" s="307"/>
      <c r="E5" s="307"/>
      <c r="F5" s="307"/>
      <c r="G5" s="307"/>
      <c r="H5" s="307"/>
      <c r="I5" s="307"/>
      <c r="J5" s="307"/>
      <c r="K5" s="10"/>
      <c r="L5"/>
    </row>
    <row r="6" spans="1:12" s="88" customFormat="1" x14ac:dyDescent="0.35">
      <c r="A6" s="86"/>
      <c r="B6" t="s">
        <v>333</v>
      </c>
      <c r="D6" s="25">
        <f>+'Fig. 9.6'!G9</f>
        <v>3746.0515726191502</v>
      </c>
      <c r="E6" s="25"/>
      <c r="F6" s="25" t="s">
        <v>334</v>
      </c>
      <c r="G6" s="299"/>
      <c r="J6" s="299">
        <v>0.24</v>
      </c>
      <c r="K6" s="10"/>
      <c r="L6"/>
    </row>
    <row r="7" spans="1:12" s="88" customFormat="1" x14ac:dyDescent="0.35">
      <c r="A7" s="86"/>
      <c r="B7" t="s">
        <v>346</v>
      </c>
      <c r="D7" s="25">
        <f>+'Fig. 9.7'!C13</f>
        <v>1911.6</v>
      </c>
      <c r="E7" s="25"/>
      <c r="F7" s="25" t="s">
        <v>335</v>
      </c>
      <c r="G7" s="159"/>
      <c r="J7" s="300">
        <f>+J6*D10</f>
        <v>55.033547178574509</v>
      </c>
      <c r="K7" s="10"/>
      <c r="L7"/>
    </row>
    <row r="8" spans="1:12" s="88" customFormat="1" x14ac:dyDescent="0.35">
      <c r="A8" s="86"/>
      <c r="B8" t="s">
        <v>336</v>
      </c>
      <c r="D8" s="301">
        <f>+D6-D7</f>
        <v>1834.4515726191503</v>
      </c>
      <c r="E8" s="25"/>
      <c r="F8" s="25" t="s">
        <v>337</v>
      </c>
      <c r="G8" s="159"/>
      <c r="J8" s="302">
        <v>0.1</v>
      </c>
      <c r="K8" s="10"/>
      <c r="L8"/>
    </row>
    <row r="9" spans="1:12" s="88" customFormat="1" x14ac:dyDescent="0.35">
      <c r="A9" s="86"/>
      <c r="B9" t="s">
        <v>338</v>
      </c>
      <c r="D9" s="25">
        <v>8</v>
      </c>
      <c r="E9" s="25" t="s">
        <v>339</v>
      </c>
      <c r="F9" s="25"/>
      <c r="G9" s="159"/>
      <c r="H9" s="33"/>
      <c r="I9" s="39"/>
      <c r="K9" s="10"/>
      <c r="L9"/>
    </row>
    <row r="10" spans="1:12" s="88" customFormat="1" x14ac:dyDescent="0.35">
      <c r="A10" s="86"/>
      <c r="B10" t="s">
        <v>340</v>
      </c>
      <c r="C10" s="33"/>
      <c r="D10" s="303">
        <f>+D8/D9</f>
        <v>229.30644657739379</v>
      </c>
      <c r="E10" s="33"/>
      <c r="F10" s="33"/>
      <c r="G10" s="39"/>
      <c r="H10" s="33"/>
      <c r="I10" s="39"/>
      <c r="J10" s="39"/>
      <c r="K10" s="10"/>
      <c r="L10"/>
    </row>
    <row r="11" spans="1:12" s="88" customFormat="1" x14ac:dyDescent="0.35">
      <c r="A11" s="86"/>
      <c r="B11"/>
      <c r="C11" s="33"/>
      <c r="D11" s="33"/>
      <c r="E11" s="33"/>
      <c r="F11" s="33"/>
      <c r="G11" s="39"/>
      <c r="H11" s="33"/>
      <c r="I11" s="39"/>
      <c r="J11" s="39"/>
      <c r="K11" s="10"/>
      <c r="L11"/>
    </row>
    <row r="12" spans="1:12" s="88" customFormat="1" ht="15" thickBot="1" x14ac:dyDescent="0.4">
      <c r="A12" s="86"/>
      <c r="B12" s="306" t="s">
        <v>341</v>
      </c>
      <c r="C12" s="128">
        <v>1</v>
      </c>
      <c r="D12" s="127">
        <v>2</v>
      </c>
      <c r="E12" s="128">
        <v>3</v>
      </c>
      <c r="F12" s="126">
        <v>4</v>
      </c>
      <c r="G12" s="126">
        <v>5</v>
      </c>
      <c r="H12" s="126">
        <v>6</v>
      </c>
      <c r="I12" s="126">
        <v>7</v>
      </c>
      <c r="J12" s="126">
        <v>8</v>
      </c>
      <c r="K12" s="10"/>
      <c r="L12"/>
    </row>
    <row r="13" spans="1:12" s="88" customFormat="1" x14ac:dyDescent="0.35">
      <c r="A13" s="86"/>
      <c r="B13" s="88" t="s">
        <v>342</v>
      </c>
      <c r="C13" s="304">
        <f>+J7</f>
        <v>55.033547178574509</v>
      </c>
      <c r="D13" s="304">
        <f>+C13</f>
        <v>55.033547178574509</v>
      </c>
      <c r="E13" s="304">
        <f t="shared" ref="E13:J13" si="0">+D13</f>
        <v>55.033547178574509</v>
      </c>
      <c r="F13" s="304">
        <f t="shared" si="0"/>
        <v>55.033547178574509</v>
      </c>
      <c r="G13" s="304">
        <f t="shared" si="0"/>
        <v>55.033547178574509</v>
      </c>
      <c r="H13" s="304">
        <f t="shared" si="0"/>
        <v>55.033547178574509</v>
      </c>
      <c r="I13" s="304">
        <f t="shared" si="0"/>
        <v>55.033547178574509</v>
      </c>
      <c r="J13" s="304">
        <f t="shared" si="0"/>
        <v>55.033547178574509</v>
      </c>
      <c r="K13" s="86"/>
      <c r="L13" s="86"/>
    </row>
    <row r="14" spans="1:12" s="88" customFormat="1" x14ac:dyDescent="0.35">
      <c r="A14" s="86"/>
      <c r="B14" s="88" t="s">
        <v>343</v>
      </c>
      <c r="C14" s="305">
        <f>+C13/((1+$J$8)^C12)</f>
        <v>50.03049743506773</v>
      </c>
      <c r="D14" s="305">
        <f t="shared" ref="D14:J14" si="1">+D13/((1+$J$8)^D12)</f>
        <v>45.482270395516117</v>
      </c>
      <c r="E14" s="305">
        <f t="shared" si="1"/>
        <v>41.347518541378278</v>
      </c>
      <c r="F14" s="305">
        <f t="shared" si="1"/>
        <v>37.588653219434804</v>
      </c>
      <c r="G14" s="305">
        <f t="shared" si="1"/>
        <v>34.171502926758912</v>
      </c>
      <c r="H14" s="305">
        <f t="shared" si="1"/>
        <v>31.065002660689913</v>
      </c>
      <c r="I14" s="305">
        <f t="shared" si="1"/>
        <v>28.240911509718099</v>
      </c>
      <c r="J14" s="305">
        <f t="shared" si="1"/>
        <v>25.673555917925547</v>
      </c>
      <c r="L14"/>
    </row>
    <row r="15" spans="1:12" s="88" customFormat="1" x14ac:dyDescent="0.35">
      <c r="A15" s="86"/>
      <c r="C15" s="86"/>
      <c r="D15" s="86"/>
      <c r="E15" s="86"/>
      <c r="F15" s="86"/>
      <c r="G15" s="86"/>
      <c r="H15" s="86"/>
      <c r="I15" s="86"/>
      <c r="J15" s="86"/>
      <c r="L15"/>
    </row>
    <row r="16" spans="1:12" s="88" customFormat="1" x14ac:dyDescent="0.35">
      <c r="A16" s="86"/>
      <c r="B16" s="308" t="s">
        <v>344</v>
      </c>
      <c r="C16" s="309">
        <f>SUM(C14:J14)</f>
        <v>293.5999126064894</v>
      </c>
      <c r="D16" s="310" t="s">
        <v>345</v>
      </c>
      <c r="E16" s="86"/>
      <c r="F16" s="86"/>
      <c r="G16" s="86"/>
      <c r="H16" s="86"/>
      <c r="I16" s="86"/>
      <c r="J16" s="86"/>
      <c r="L16"/>
    </row>
    <row r="17" spans="1:12" s="88" customFormat="1" x14ac:dyDescent="0.35">
      <c r="A17" s="86"/>
      <c r="C17" s="86"/>
      <c r="D17" s="86"/>
      <c r="E17" s="86"/>
      <c r="F17" s="86"/>
      <c r="G17" s="86"/>
      <c r="H17" s="86"/>
      <c r="I17" s="86"/>
      <c r="J17" s="86"/>
      <c r="L17"/>
    </row>
    <row r="18" spans="1:12" s="88" customFormat="1" x14ac:dyDescent="0.35">
      <c r="B18"/>
      <c r="C18" s="33"/>
      <c r="D18" s="33"/>
      <c r="E18"/>
      <c r="G18" s="86"/>
      <c r="H18" s="86"/>
      <c r="I18" s="39"/>
      <c r="J18" s="45" t="s">
        <v>347</v>
      </c>
      <c r="L18" s="33"/>
    </row>
    <row r="19" spans="1:12" s="88" customFormat="1" x14ac:dyDescent="0.35">
      <c r="B19"/>
      <c r="C19" s="33"/>
      <c r="D19" s="33"/>
      <c r="E19"/>
      <c r="G19" s="86"/>
      <c r="I19" s="86"/>
      <c r="J19" s="86"/>
      <c r="K19" s="86"/>
    </row>
    <row r="20" spans="1:12" s="88" customFormat="1" x14ac:dyDescent="0.35">
      <c r="B20"/>
      <c r="C20" s="33"/>
      <c r="D20" s="33"/>
      <c r="E20"/>
      <c r="G20" s="86"/>
      <c r="I20" s="86"/>
      <c r="J20" s="86"/>
      <c r="K20" s="86"/>
    </row>
    <row r="21" spans="1:12" s="88" customFormat="1" x14ac:dyDescent="0.35">
      <c r="B21"/>
      <c r="C21" s="33"/>
      <c r="D21" s="33"/>
      <c r="E21"/>
      <c r="G21" s="86"/>
      <c r="I21" s="86"/>
      <c r="J21" s="86"/>
      <c r="K21" s="86"/>
    </row>
    <row r="22" spans="1:12" s="88" customFormat="1" x14ac:dyDescent="0.35">
      <c r="B22"/>
      <c r="C22" s="33"/>
      <c r="D22" s="33"/>
      <c r="E22"/>
      <c r="F22"/>
      <c r="G22" s="10"/>
      <c r="I22" s="86"/>
      <c r="J22" s="86"/>
      <c r="K22" s="86"/>
    </row>
    <row r="23" spans="1:12" s="88" customFormat="1" x14ac:dyDescent="0.35">
      <c r="B23"/>
      <c r="C23" s="33"/>
      <c r="D23" s="33"/>
      <c r="E23"/>
      <c r="F23"/>
      <c r="G23" s="10"/>
      <c r="I23" s="86"/>
      <c r="J23" s="86"/>
      <c r="K23" s="8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0D0E-98DE-48EB-BE30-F5CCA9FB2F00}">
  <dimension ref="B1:R72"/>
  <sheetViews>
    <sheetView showGridLines="0" topLeftCell="A7" workbookViewId="0">
      <selection activeCell="M38" sqref="M38"/>
    </sheetView>
  </sheetViews>
  <sheetFormatPr defaultRowHeight="14.5" x14ac:dyDescent="0.35"/>
  <cols>
    <col min="1" max="1" width="3.26953125" customWidth="1"/>
    <col min="2" max="2" width="35.08984375" customWidth="1"/>
    <col min="3" max="3" width="10.7265625" customWidth="1"/>
    <col min="4" max="4" width="12.08984375" customWidth="1"/>
    <col min="5" max="7" width="13.08984375" customWidth="1"/>
    <col min="8" max="11" width="10.26953125" customWidth="1"/>
    <col min="12" max="12" width="9.36328125" customWidth="1"/>
    <col min="257" max="257" width="3.26953125" customWidth="1"/>
    <col min="258" max="258" width="27.26953125" customWidth="1"/>
    <col min="260" max="260" width="10.7265625" customWidth="1"/>
    <col min="261" max="261" width="13" customWidth="1"/>
    <col min="262" max="262" width="10.1796875" customWidth="1"/>
    <col min="263" max="263" width="10.81640625" customWidth="1"/>
    <col min="264" max="264" width="16.90625" customWidth="1"/>
    <col min="266" max="266" width="3.08984375" customWidth="1"/>
    <col min="513" max="513" width="3.26953125" customWidth="1"/>
    <col min="514" max="514" width="27.26953125" customWidth="1"/>
    <col min="516" max="516" width="10.7265625" customWidth="1"/>
    <col min="517" max="517" width="13" customWidth="1"/>
    <col min="518" max="518" width="10.1796875" customWidth="1"/>
    <col min="519" max="519" width="10.81640625" customWidth="1"/>
    <col min="520" max="520" width="16.90625" customWidth="1"/>
    <col min="522" max="522" width="3.08984375" customWidth="1"/>
    <col min="769" max="769" width="3.26953125" customWidth="1"/>
    <col min="770" max="770" width="27.26953125" customWidth="1"/>
    <col min="772" max="772" width="10.7265625" customWidth="1"/>
    <col min="773" max="773" width="13" customWidth="1"/>
    <col min="774" max="774" width="10.1796875" customWidth="1"/>
    <col min="775" max="775" width="10.81640625" customWidth="1"/>
    <col min="776" max="776" width="16.90625" customWidth="1"/>
    <col min="778" max="778" width="3.08984375" customWidth="1"/>
    <col min="1025" max="1025" width="3.26953125" customWidth="1"/>
    <col min="1026" max="1026" width="27.26953125" customWidth="1"/>
    <col min="1028" max="1028" width="10.7265625" customWidth="1"/>
    <col min="1029" max="1029" width="13" customWidth="1"/>
    <col min="1030" max="1030" width="10.1796875" customWidth="1"/>
    <col min="1031" max="1031" width="10.81640625" customWidth="1"/>
    <col min="1032" max="1032" width="16.90625" customWidth="1"/>
    <col min="1034" max="1034" width="3.08984375" customWidth="1"/>
    <col min="1281" max="1281" width="3.26953125" customWidth="1"/>
    <col min="1282" max="1282" width="27.26953125" customWidth="1"/>
    <col min="1284" max="1284" width="10.7265625" customWidth="1"/>
    <col min="1285" max="1285" width="13" customWidth="1"/>
    <col min="1286" max="1286" width="10.1796875" customWidth="1"/>
    <col min="1287" max="1287" width="10.81640625" customWidth="1"/>
    <col min="1288" max="1288" width="16.90625" customWidth="1"/>
    <col min="1290" max="1290" width="3.08984375" customWidth="1"/>
    <col min="1537" max="1537" width="3.26953125" customWidth="1"/>
    <col min="1538" max="1538" width="27.26953125" customWidth="1"/>
    <col min="1540" max="1540" width="10.7265625" customWidth="1"/>
    <col min="1541" max="1541" width="13" customWidth="1"/>
    <col min="1542" max="1542" width="10.1796875" customWidth="1"/>
    <col min="1543" max="1543" width="10.81640625" customWidth="1"/>
    <col min="1544" max="1544" width="16.90625" customWidth="1"/>
    <col min="1546" max="1546" width="3.08984375" customWidth="1"/>
    <col min="1793" max="1793" width="3.26953125" customWidth="1"/>
    <col min="1794" max="1794" width="27.26953125" customWidth="1"/>
    <col min="1796" max="1796" width="10.7265625" customWidth="1"/>
    <col min="1797" max="1797" width="13" customWidth="1"/>
    <col min="1798" max="1798" width="10.1796875" customWidth="1"/>
    <col min="1799" max="1799" width="10.81640625" customWidth="1"/>
    <col min="1800" max="1800" width="16.90625" customWidth="1"/>
    <col min="1802" max="1802" width="3.08984375" customWidth="1"/>
    <col min="2049" max="2049" width="3.26953125" customWidth="1"/>
    <col min="2050" max="2050" width="27.26953125" customWidth="1"/>
    <col min="2052" max="2052" width="10.7265625" customWidth="1"/>
    <col min="2053" max="2053" width="13" customWidth="1"/>
    <col min="2054" max="2054" width="10.1796875" customWidth="1"/>
    <col min="2055" max="2055" width="10.81640625" customWidth="1"/>
    <col min="2056" max="2056" width="16.90625" customWidth="1"/>
    <col min="2058" max="2058" width="3.08984375" customWidth="1"/>
    <col min="2305" max="2305" width="3.26953125" customWidth="1"/>
    <col min="2306" max="2306" width="27.26953125" customWidth="1"/>
    <col min="2308" max="2308" width="10.7265625" customWidth="1"/>
    <col min="2309" max="2309" width="13" customWidth="1"/>
    <col min="2310" max="2310" width="10.1796875" customWidth="1"/>
    <col min="2311" max="2311" width="10.81640625" customWidth="1"/>
    <col min="2312" max="2312" width="16.90625" customWidth="1"/>
    <col min="2314" max="2314" width="3.08984375" customWidth="1"/>
    <col min="2561" max="2561" width="3.26953125" customWidth="1"/>
    <col min="2562" max="2562" width="27.26953125" customWidth="1"/>
    <col min="2564" max="2564" width="10.7265625" customWidth="1"/>
    <col min="2565" max="2565" width="13" customWidth="1"/>
    <col min="2566" max="2566" width="10.1796875" customWidth="1"/>
    <col min="2567" max="2567" width="10.81640625" customWidth="1"/>
    <col min="2568" max="2568" width="16.90625" customWidth="1"/>
    <col min="2570" max="2570" width="3.08984375" customWidth="1"/>
    <col min="2817" max="2817" width="3.26953125" customWidth="1"/>
    <col min="2818" max="2818" width="27.26953125" customWidth="1"/>
    <col min="2820" max="2820" width="10.7265625" customWidth="1"/>
    <col min="2821" max="2821" width="13" customWidth="1"/>
    <col min="2822" max="2822" width="10.1796875" customWidth="1"/>
    <col min="2823" max="2823" width="10.81640625" customWidth="1"/>
    <col min="2824" max="2824" width="16.90625" customWidth="1"/>
    <col min="2826" max="2826" width="3.08984375" customWidth="1"/>
    <col min="3073" max="3073" width="3.26953125" customWidth="1"/>
    <col min="3074" max="3074" width="27.26953125" customWidth="1"/>
    <col min="3076" max="3076" width="10.7265625" customWidth="1"/>
    <col min="3077" max="3077" width="13" customWidth="1"/>
    <col min="3078" max="3078" width="10.1796875" customWidth="1"/>
    <col min="3079" max="3079" width="10.81640625" customWidth="1"/>
    <col min="3080" max="3080" width="16.90625" customWidth="1"/>
    <col min="3082" max="3082" width="3.08984375" customWidth="1"/>
    <col min="3329" max="3329" width="3.26953125" customWidth="1"/>
    <col min="3330" max="3330" width="27.26953125" customWidth="1"/>
    <col min="3332" max="3332" width="10.7265625" customWidth="1"/>
    <col min="3333" max="3333" width="13" customWidth="1"/>
    <col min="3334" max="3334" width="10.1796875" customWidth="1"/>
    <col min="3335" max="3335" width="10.81640625" customWidth="1"/>
    <col min="3336" max="3336" width="16.90625" customWidth="1"/>
    <col min="3338" max="3338" width="3.08984375" customWidth="1"/>
    <col min="3585" max="3585" width="3.26953125" customWidth="1"/>
    <col min="3586" max="3586" width="27.26953125" customWidth="1"/>
    <col min="3588" max="3588" width="10.7265625" customWidth="1"/>
    <col min="3589" max="3589" width="13" customWidth="1"/>
    <col min="3590" max="3590" width="10.1796875" customWidth="1"/>
    <col min="3591" max="3591" width="10.81640625" customWidth="1"/>
    <col min="3592" max="3592" width="16.90625" customWidth="1"/>
    <col min="3594" max="3594" width="3.08984375" customWidth="1"/>
    <col min="3841" max="3841" width="3.26953125" customWidth="1"/>
    <col min="3842" max="3842" width="27.26953125" customWidth="1"/>
    <col min="3844" max="3844" width="10.7265625" customWidth="1"/>
    <col min="3845" max="3845" width="13" customWidth="1"/>
    <col min="3846" max="3846" width="10.1796875" customWidth="1"/>
    <col min="3847" max="3847" width="10.81640625" customWidth="1"/>
    <col min="3848" max="3848" width="16.90625" customWidth="1"/>
    <col min="3850" max="3850" width="3.08984375" customWidth="1"/>
    <col min="4097" max="4097" width="3.26953125" customWidth="1"/>
    <col min="4098" max="4098" width="27.26953125" customWidth="1"/>
    <col min="4100" max="4100" width="10.7265625" customWidth="1"/>
    <col min="4101" max="4101" width="13" customWidth="1"/>
    <col min="4102" max="4102" width="10.1796875" customWidth="1"/>
    <col min="4103" max="4103" width="10.81640625" customWidth="1"/>
    <col min="4104" max="4104" width="16.90625" customWidth="1"/>
    <col min="4106" max="4106" width="3.08984375" customWidth="1"/>
    <col min="4353" max="4353" width="3.26953125" customWidth="1"/>
    <col min="4354" max="4354" width="27.26953125" customWidth="1"/>
    <col min="4356" max="4356" width="10.7265625" customWidth="1"/>
    <col min="4357" max="4357" width="13" customWidth="1"/>
    <col min="4358" max="4358" width="10.1796875" customWidth="1"/>
    <col min="4359" max="4359" width="10.81640625" customWidth="1"/>
    <col min="4360" max="4360" width="16.90625" customWidth="1"/>
    <col min="4362" max="4362" width="3.08984375" customWidth="1"/>
    <col min="4609" max="4609" width="3.26953125" customWidth="1"/>
    <col min="4610" max="4610" width="27.26953125" customWidth="1"/>
    <col min="4612" max="4612" width="10.7265625" customWidth="1"/>
    <col min="4613" max="4613" width="13" customWidth="1"/>
    <col min="4614" max="4614" width="10.1796875" customWidth="1"/>
    <col min="4615" max="4615" width="10.81640625" customWidth="1"/>
    <col min="4616" max="4616" width="16.90625" customWidth="1"/>
    <col min="4618" max="4618" width="3.08984375" customWidth="1"/>
    <col min="4865" max="4865" width="3.26953125" customWidth="1"/>
    <col min="4866" max="4866" width="27.26953125" customWidth="1"/>
    <col min="4868" max="4868" width="10.7265625" customWidth="1"/>
    <col min="4869" max="4869" width="13" customWidth="1"/>
    <col min="4870" max="4870" width="10.1796875" customWidth="1"/>
    <col min="4871" max="4871" width="10.81640625" customWidth="1"/>
    <col min="4872" max="4872" width="16.90625" customWidth="1"/>
    <col min="4874" max="4874" width="3.08984375" customWidth="1"/>
    <col min="5121" max="5121" width="3.26953125" customWidth="1"/>
    <col min="5122" max="5122" width="27.26953125" customWidth="1"/>
    <col min="5124" max="5124" width="10.7265625" customWidth="1"/>
    <col min="5125" max="5125" width="13" customWidth="1"/>
    <col min="5126" max="5126" width="10.1796875" customWidth="1"/>
    <col min="5127" max="5127" width="10.81640625" customWidth="1"/>
    <col min="5128" max="5128" width="16.90625" customWidth="1"/>
    <col min="5130" max="5130" width="3.08984375" customWidth="1"/>
    <col min="5377" max="5377" width="3.26953125" customWidth="1"/>
    <col min="5378" max="5378" width="27.26953125" customWidth="1"/>
    <col min="5380" max="5380" width="10.7265625" customWidth="1"/>
    <col min="5381" max="5381" width="13" customWidth="1"/>
    <col min="5382" max="5382" width="10.1796875" customWidth="1"/>
    <col min="5383" max="5383" width="10.81640625" customWidth="1"/>
    <col min="5384" max="5384" width="16.90625" customWidth="1"/>
    <col min="5386" max="5386" width="3.08984375" customWidth="1"/>
    <col min="5633" max="5633" width="3.26953125" customWidth="1"/>
    <col min="5634" max="5634" width="27.26953125" customWidth="1"/>
    <col min="5636" max="5636" width="10.7265625" customWidth="1"/>
    <col min="5637" max="5637" width="13" customWidth="1"/>
    <col min="5638" max="5638" width="10.1796875" customWidth="1"/>
    <col min="5639" max="5639" width="10.81640625" customWidth="1"/>
    <col min="5640" max="5640" width="16.90625" customWidth="1"/>
    <col min="5642" max="5642" width="3.08984375" customWidth="1"/>
    <col min="5889" max="5889" width="3.26953125" customWidth="1"/>
    <col min="5890" max="5890" width="27.26953125" customWidth="1"/>
    <col min="5892" max="5892" width="10.7265625" customWidth="1"/>
    <col min="5893" max="5893" width="13" customWidth="1"/>
    <col min="5894" max="5894" width="10.1796875" customWidth="1"/>
    <col min="5895" max="5895" width="10.81640625" customWidth="1"/>
    <col min="5896" max="5896" width="16.90625" customWidth="1"/>
    <col min="5898" max="5898" width="3.08984375" customWidth="1"/>
    <col min="6145" max="6145" width="3.26953125" customWidth="1"/>
    <col min="6146" max="6146" width="27.26953125" customWidth="1"/>
    <col min="6148" max="6148" width="10.7265625" customWidth="1"/>
    <col min="6149" max="6149" width="13" customWidth="1"/>
    <col min="6150" max="6150" width="10.1796875" customWidth="1"/>
    <col min="6151" max="6151" width="10.81640625" customWidth="1"/>
    <col min="6152" max="6152" width="16.90625" customWidth="1"/>
    <col min="6154" max="6154" width="3.08984375" customWidth="1"/>
    <col min="6401" max="6401" width="3.26953125" customWidth="1"/>
    <col min="6402" max="6402" width="27.26953125" customWidth="1"/>
    <col min="6404" max="6404" width="10.7265625" customWidth="1"/>
    <col min="6405" max="6405" width="13" customWidth="1"/>
    <col min="6406" max="6406" width="10.1796875" customWidth="1"/>
    <col min="6407" max="6407" width="10.81640625" customWidth="1"/>
    <col min="6408" max="6408" width="16.90625" customWidth="1"/>
    <col min="6410" max="6410" width="3.08984375" customWidth="1"/>
    <col min="6657" max="6657" width="3.26953125" customWidth="1"/>
    <col min="6658" max="6658" width="27.26953125" customWidth="1"/>
    <col min="6660" max="6660" width="10.7265625" customWidth="1"/>
    <col min="6661" max="6661" width="13" customWidth="1"/>
    <col min="6662" max="6662" width="10.1796875" customWidth="1"/>
    <col min="6663" max="6663" width="10.81640625" customWidth="1"/>
    <col min="6664" max="6664" width="16.90625" customWidth="1"/>
    <col min="6666" max="6666" width="3.08984375" customWidth="1"/>
    <col min="6913" max="6913" width="3.26953125" customWidth="1"/>
    <col min="6914" max="6914" width="27.26953125" customWidth="1"/>
    <col min="6916" max="6916" width="10.7265625" customWidth="1"/>
    <col min="6917" max="6917" width="13" customWidth="1"/>
    <col min="6918" max="6918" width="10.1796875" customWidth="1"/>
    <col min="6919" max="6919" width="10.81640625" customWidth="1"/>
    <col min="6920" max="6920" width="16.90625" customWidth="1"/>
    <col min="6922" max="6922" width="3.08984375" customWidth="1"/>
    <col min="7169" max="7169" width="3.26953125" customWidth="1"/>
    <col min="7170" max="7170" width="27.26953125" customWidth="1"/>
    <col min="7172" max="7172" width="10.7265625" customWidth="1"/>
    <col min="7173" max="7173" width="13" customWidth="1"/>
    <col min="7174" max="7174" width="10.1796875" customWidth="1"/>
    <col min="7175" max="7175" width="10.81640625" customWidth="1"/>
    <col min="7176" max="7176" width="16.90625" customWidth="1"/>
    <col min="7178" max="7178" width="3.08984375" customWidth="1"/>
    <col min="7425" max="7425" width="3.26953125" customWidth="1"/>
    <col min="7426" max="7426" width="27.26953125" customWidth="1"/>
    <col min="7428" max="7428" width="10.7265625" customWidth="1"/>
    <col min="7429" max="7429" width="13" customWidth="1"/>
    <col min="7430" max="7430" width="10.1796875" customWidth="1"/>
    <col min="7431" max="7431" width="10.81640625" customWidth="1"/>
    <col min="7432" max="7432" width="16.90625" customWidth="1"/>
    <col min="7434" max="7434" width="3.08984375" customWidth="1"/>
    <col min="7681" max="7681" width="3.26953125" customWidth="1"/>
    <col min="7682" max="7682" width="27.26953125" customWidth="1"/>
    <col min="7684" max="7684" width="10.7265625" customWidth="1"/>
    <col min="7685" max="7685" width="13" customWidth="1"/>
    <col min="7686" max="7686" width="10.1796875" customWidth="1"/>
    <col min="7687" max="7687" width="10.81640625" customWidth="1"/>
    <col min="7688" max="7688" width="16.90625" customWidth="1"/>
    <col min="7690" max="7690" width="3.08984375" customWidth="1"/>
    <col min="7937" max="7937" width="3.26953125" customWidth="1"/>
    <col min="7938" max="7938" width="27.26953125" customWidth="1"/>
    <col min="7940" max="7940" width="10.7265625" customWidth="1"/>
    <col min="7941" max="7941" width="13" customWidth="1"/>
    <col min="7942" max="7942" width="10.1796875" customWidth="1"/>
    <col min="7943" max="7943" width="10.81640625" customWidth="1"/>
    <col min="7944" max="7944" width="16.90625" customWidth="1"/>
    <col min="7946" max="7946" width="3.08984375" customWidth="1"/>
    <col min="8193" max="8193" width="3.26953125" customWidth="1"/>
    <col min="8194" max="8194" width="27.26953125" customWidth="1"/>
    <col min="8196" max="8196" width="10.7265625" customWidth="1"/>
    <col min="8197" max="8197" width="13" customWidth="1"/>
    <col min="8198" max="8198" width="10.1796875" customWidth="1"/>
    <col min="8199" max="8199" width="10.81640625" customWidth="1"/>
    <col min="8200" max="8200" width="16.90625" customWidth="1"/>
    <col min="8202" max="8202" width="3.08984375" customWidth="1"/>
    <col min="8449" max="8449" width="3.26953125" customWidth="1"/>
    <col min="8450" max="8450" width="27.26953125" customWidth="1"/>
    <col min="8452" max="8452" width="10.7265625" customWidth="1"/>
    <col min="8453" max="8453" width="13" customWidth="1"/>
    <col min="8454" max="8454" width="10.1796875" customWidth="1"/>
    <col min="8455" max="8455" width="10.81640625" customWidth="1"/>
    <col min="8456" max="8456" width="16.90625" customWidth="1"/>
    <col min="8458" max="8458" width="3.08984375" customWidth="1"/>
    <col min="8705" max="8705" width="3.26953125" customWidth="1"/>
    <col min="8706" max="8706" width="27.26953125" customWidth="1"/>
    <col min="8708" max="8708" width="10.7265625" customWidth="1"/>
    <col min="8709" max="8709" width="13" customWidth="1"/>
    <col min="8710" max="8710" width="10.1796875" customWidth="1"/>
    <col min="8711" max="8711" width="10.81640625" customWidth="1"/>
    <col min="8712" max="8712" width="16.90625" customWidth="1"/>
    <col min="8714" max="8714" width="3.08984375" customWidth="1"/>
    <col min="8961" max="8961" width="3.26953125" customWidth="1"/>
    <col min="8962" max="8962" width="27.26953125" customWidth="1"/>
    <col min="8964" max="8964" width="10.7265625" customWidth="1"/>
    <col min="8965" max="8965" width="13" customWidth="1"/>
    <col min="8966" max="8966" width="10.1796875" customWidth="1"/>
    <col min="8967" max="8967" width="10.81640625" customWidth="1"/>
    <col min="8968" max="8968" width="16.90625" customWidth="1"/>
    <col min="8970" max="8970" width="3.08984375" customWidth="1"/>
    <col min="9217" max="9217" width="3.26953125" customWidth="1"/>
    <col min="9218" max="9218" width="27.26953125" customWidth="1"/>
    <col min="9220" max="9220" width="10.7265625" customWidth="1"/>
    <col min="9221" max="9221" width="13" customWidth="1"/>
    <col min="9222" max="9222" width="10.1796875" customWidth="1"/>
    <col min="9223" max="9223" width="10.81640625" customWidth="1"/>
    <col min="9224" max="9224" width="16.90625" customWidth="1"/>
    <col min="9226" max="9226" width="3.08984375" customWidth="1"/>
    <col min="9473" max="9473" width="3.26953125" customWidth="1"/>
    <col min="9474" max="9474" width="27.26953125" customWidth="1"/>
    <col min="9476" max="9476" width="10.7265625" customWidth="1"/>
    <col min="9477" max="9477" width="13" customWidth="1"/>
    <col min="9478" max="9478" width="10.1796875" customWidth="1"/>
    <col min="9479" max="9479" width="10.81640625" customWidth="1"/>
    <col min="9480" max="9480" width="16.90625" customWidth="1"/>
    <col min="9482" max="9482" width="3.08984375" customWidth="1"/>
    <col min="9729" max="9729" width="3.26953125" customWidth="1"/>
    <col min="9730" max="9730" width="27.26953125" customWidth="1"/>
    <col min="9732" max="9732" width="10.7265625" customWidth="1"/>
    <col min="9733" max="9733" width="13" customWidth="1"/>
    <col min="9734" max="9734" width="10.1796875" customWidth="1"/>
    <col min="9735" max="9735" width="10.81640625" customWidth="1"/>
    <col min="9736" max="9736" width="16.90625" customWidth="1"/>
    <col min="9738" max="9738" width="3.08984375" customWidth="1"/>
    <col min="9985" max="9985" width="3.26953125" customWidth="1"/>
    <col min="9986" max="9986" width="27.26953125" customWidth="1"/>
    <col min="9988" max="9988" width="10.7265625" customWidth="1"/>
    <col min="9989" max="9989" width="13" customWidth="1"/>
    <col min="9990" max="9990" width="10.1796875" customWidth="1"/>
    <col min="9991" max="9991" width="10.81640625" customWidth="1"/>
    <col min="9992" max="9992" width="16.90625" customWidth="1"/>
    <col min="9994" max="9994" width="3.08984375" customWidth="1"/>
    <col min="10241" max="10241" width="3.26953125" customWidth="1"/>
    <col min="10242" max="10242" width="27.26953125" customWidth="1"/>
    <col min="10244" max="10244" width="10.7265625" customWidth="1"/>
    <col min="10245" max="10245" width="13" customWidth="1"/>
    <col min="10246" max="10246" width="10.1796875" customWidth="1"/>
    <col min="10247" max="10247" width="10.81640625" customWidth="1"/>
    <col min="10248" max="10248" width="16.90625" customWidth="1"/>
    <col min="10250" max="10250" width="3.08984375" customWidth="1"/>
    <col min="10497" max="10497" width="3.26953125" customWidth="1"/>
    <col min="10498" max="10498" width="27.26953125" customWidth="1"/>
    <col min="10500" max="10500" width="10.7265625" customWidth="1"/>
    <col min="10501" max="10501" width="13" customWidth="1"/>
    <col min="10502" max="10502" width="10.1796875" customWidth="1"/>
    <col min="10503" max="10503" width="10.81640625" customWidth="1"/>
    <col min="10504" max="10504" width="16.90625" customWidth="1"/>
    <col min="10506" max="10506" width="3.08984375" customWidth="1"/>
    <col min="10753" max="10753" width="3.26953125" customWidth="1"/>
    <col min="10754" max="10754" width="27.26953125" customWidth="1"/>
    <col min="10756" max="10756" width="10.7265625" customWidth="1"/>
    <col min="10757" max="10757" width="13" customWidth="1"/>
    <col min="10758" max="10758" width="10.1796875" customWidth="1"/>
    <col min="10759" max="10759" width="10.81640625" customWidth="1"/>
    <col min="10760" max="10760" width="16.90625" customWidth="1"/>
    <col min="10762" max="10762" width="3.08984375" customWidth="1"/>
    <col min="11009" max="11009" width="3.26953125" customWidth="1"/>
    <col min="11010" max="11010" width="27.26953125" customWidth="1"/>
    <col min="11012" max="11012" width="10.7265625" customWidth="1"/>
    <col min="11013" max="11013" width="13" customWidth="1"/>
    <col min="11014" max="11014" width="10.1796875" customWidth="1"/>
    <col min="11015" max="11015" width="10.81640625" customWidth="1"/>
    <col min="11016" max="11016" width="16.90625" customWidth="1"/>
    <col min="11018" max="11018" width="3.08984375" customWidth="1"/>
    <col min="11265" max="11265" width="3.26953125" customWidth="1"/>
    <col min="11266" max="11266" width="27.26953125" customWidth="1"/>
    <col min="11268" max="11268" width="10.7265625" customWidth="1"/>
    <col min="11269" max="11269" width="13" customWidth="1"/>
    <col min="11270" max="11270" width="10.1796875" customWidth="1"/>
    <col min="11271" max="11271" width="10.81640625" customWidth="1"/>
    <col min="11272" max="11272" width="16.90625" customWidth="1"/>
    <col min="11274" max="11274" width="3.08984375" customWidth="1"/>
    <col min="11521" max="11521" width="3.26953125" customWidth="1"/>
    <col min="11522" max="11522" width="27.26953125" customWidth="1"/>
    <col min="11524" max="11524" width="10.7265625" customWidth="1"/>
    <col min="11525" max="11525" width="13" customWidth="1"/>
    <col min="11526" max="11526" width="10.1796875" customWidth="1"/>
    <col min="11527" max="11527" width="10.81640625" customWidth="1"/>
    <col min="11528" max="11528" width="16.90625" customWidth="1"/>
    <col min="11530" max="11530" width="3.08984375" customWidth="1"/>
    <col min="11777" max="11777" width="3.26953125" customWidth="1"/>
    <col min="11778" max="11778" width="27.26953125" customWidth="1"/>
    <col min="11780" max="11780" width="10.7265625" customWidth="1"/>
    <col min="11781" max="11781" width="13" customWidth="1"/>
    <col min="11782" max="11782" width="10.1796875" customWidth="1"/>
    <col min="11783" max="11783" width="10.81640625" customWidth="1"/>
    <col min="11784" max="11784" width="16.90625" customWidth="1"/>
    <col min="11786" max="11786" width="3.08984375" customWidth="1"/>
    <col min="12033" max="12033" width="3.26953125" customWidth="1"/>
    <col min="12034" max="12034" width="27.26953125" customWidth="1"/>
    <col min="12036" max="12036" width="10.7265625" customWidth="1"/>
    <col min="12037" max="12037" width="13" customWidth="1"/>
    <col min="12038" max="12038" width="10.1796875" customWidth="1"/>
    <col min="12039" max="12039" width="10.81640625" customWidth="1"/>
    <col min="12040" max="12040" width="16.90625" customWidth="1"/>
    <col min="12042" max="12042" width="3.08984375" customWidth="1"/>
    <col min="12289" max="12289" width="3.26953125" customWidth="1"/>
    <col min="12290" max="12290" width="27.26953125" customWidth="1"/>
    <col min="12292" max="12292" width="10.7265625" customWidth="1"/>
    <col min="12293" max="12293" width="13" customWidth="1"/>
    <col min="12294" max="12294" width="10.1796875" customWidth="1"/>
    <col min="12295" max="12295" width="10.81640625" customWidth="1"/>
    <col min="12296" max="12296" width="16.90625" customWidth="1"/>
    <col min="12298" max="12298" width="3.08984375" customWidth="1"/>
    <col min="12545" max="12545" width="3.26953125" customWidth="1"/>
    <col min="12546" max="12546" width="27.26953125" customWidth="1"/>
    <col min="12548" max="12548" width="10.7265625" customWidth="1"/>
    <col min="12549" max="12549" width="13" customWidth="1"/>
    <col min="12550" max="12550" width="10.1796875" customWidth="1"/>
    <col min="12551" max="12551" width="10.81640625" customWidth="1"/>
    <col min="12552" max="12552" width="16.90625" customWidth="1"/>
    <col min="12554" max="12554" width="3.08984375" customWidth="1"/>
    <col min="12801" max="12801" width="3.26953125" customWidth="1"/>
    <col min="12802" max="12802" width="27.26953125" customWidth="1"/>
    <col min="12804" max="12804" width="10.7265625" customWidth="1"/>
    <col min="12805" max="12805" width="13" customWidth="1"/>
    <col min="12806" max="12806" width="10.1796875" customWidth="1"/>
    <col min="12807" max="12807" width="10.81640625" customWidth="1"/>
    <col min="12808" max="12808" width="16.90625" customWidth="1"/>
    <col min="12810" max="12810" width="3.08984375" customWidth="1"/>
    <col min="13057" max="13057" width="3.26953125" customWidth="1"/>
    <col min="13058" max="13058" width="27.26953125" customWidth="1"/>
    <col min="13060" max="13060" width="10.7265625" customWidth="1"/>
    <col min="13061" max="13061" width="13" customWidth="1"/>
    <col min="13062" max="13062" width="10.1796875" customWidth="1"/>
    <col min="13063" max="13063" width="10.81640625" customWidth="1"/>
    <col min="13064" max="13064" width="16.90625" customWidth="1"/>
    <col min="13066" max="13066" width="3.08984375" customWidth="1"/>
    <col min="13313" max="13313" width="3.26953125" customWidth="1"/>
    <col min="13314" max="13314" width="27.26953125" customWidth="1"/>
    <col min="13316" max="13316" width="10.7265625" customWidth="1"/>
    <col min="13317" max="13317" width="13" customWidth="1"/>
    <col min="13318" max="13318" width="10.1796875" customWidth="1"/>
    <col min="13319" max="13319" width="10.81640625" customWidth="1"/>
    <col min="13320" max="13320" width="16.90625" customWidth="1"/>
    <col min="13322" max="13322" width="3.08984375" customWidth="1"/>
    <col min="13569" max="13569" width="3.26953125" customWidth="1"/>
    <col min="13570" max="13570" width="27.26953125" customWidth="1"/>
    <col min="13572" max="13572" width="10.7265625" customWidth="1"/>
    <col min="13573" max="13573" width="13" customWidth="1"/>
    <col min="13574" max="13574" width="10.1796875" customWidth="1"/>
    <col min="13575" max="13575" width="10.81640625" customWidth="1"/>
    <col min="13576" max="13576" width="16.90625" customWidth="1"/>
    <col min="13578" max="13578" width="3.08984375" customWidth="1"/>
    <col min="13825" max="13825" width="3.26953125" customWidth="1"/>
    <col min="13826" max="13826" width="27.26953125" customWidth="1"/>
    <col min="13828" max="13828" width="10.7265625" customWidth="1"/>
    <col min="13829" max="13829" width="13" customWidth="1"/>
    <col min="13830" max="13830" width="10.1796875" customWidth="1"/>
    <col min="13831" max="13831" width="10.81640625" customWidth="1"/>
    <col min="13832" max="13832" width="16.90625" customWidth="1"/>
    <col min="13834" max="13834" width="3.08984375" customWidth="1"/>
    <col min="14081" max="14081" width="3.26953125" customWidth="1"/>
    <col min="14082" max="14082" width="27.26953125" customWidth="1"/>
    <col min="14084" max="14084" width="10.7265625" customWidth="1"/>
    <col min="14085" max="14085" width="13" customWidth="1"/>
    <col min="14086" max="14086" width="10.1796875" customWidth="1"/>
    <col min="14087" max="14087" width="10.81640625" customWidth="1"/>
    <col min="14088" max="14088" width="16.90625" customWidth="1"/>
    <col min="14090" max="14090" width="3.08984375" customWidth="1"/>
    <col min="14337" max="14337" width="3.26953125" customWidth="1"/>
    <col min="14338" max="14338" width="27.26953125" customWidth="1"/>
    <col min="14340" max="14340" width="10.7265625" customWidth="1"/>
    <col min="14341" max="14341" width="13" customWidth="1"/>
    <col min="14342" max="14342" width="10.1796875" customWidth="1"/>
    <col min="14343" max="14343" width="10.81640625" customWidth="1"/>
    <col min="14344" max="14344" width="16.90625" customWidth="1"/>
    <col min="14346" max="14346" width="3.08984375" customWidth="1"/>
    <col min="14593" max="14593" width="3.26953125" customWidth="1"/>
    <col min="14594" max="14594" width="27.26953125" customWidth="1"/>
    <col min="14596" max="14596" width="10.7265625" customWidth="1"/>
    <col min="14597" max="14597" width="13" customWidth="1"/>
    <col min="14598" max="14598" width="10.1796875" customWidth="1"/>
    <col min="14599" max="14599" width="10.81640625" customWidth="1"/>
    <col min="14600" max="14600" width="16.90625" customWidth="1"/>
    <col min="14602" max="14602" width="3.08984375" customWidth="1"/>
    <col min="14849" max="14849" width="3.26953125" customWidth="1"/>
    <col min="14850" max="14850" width="27.26953125" customWidth="1"/>
    <col min="14852" max="14852" width="10.7265625" customWidth="1"/>
    <col min="14853" max="14853" width="13" customWidth="1"/>
    <col min="14854" max="14854" width="10.1796875" customWidth="1"/>
    <col min="14855" max="14855" width="10.81640625" customWidth="1"/>
    <col min="14856" max="14856" width="16.90625" customWidth="1"/>
    <col min="14858" max="14858" width="3.08984375" customWidth="1"/>
    <col min="15105" max="15105" width="3.26953125" customWidth="1"/>
    <col min="15106" max="15106" width="27.26953125" customWidth="1"/>
    <col min="15108" max="15108" width="10.7265625" customWidth="1"/>
    <col min="15109" max="15109" width="13" customWidth="1"/>
    <col min="15110" max="15110" width="10.1796875" customWidth="1"/>
    <col min="15111" max="15111" width="10.81640625" customWidth="1"/>
    <col min="15112" max="15112" width="16.90625" customWidth="1"/>
    <col min="15114" max="15114" width="3.08984375" customWidth="1"/>
    <col min="15361" max="15361" width="3.26953125" customWidth="1"/>
    <col min="15362" max="15362" width="27.26953125" customWidth="1"/>
    <col min="15364" max="15364" width="10.7265625" customWidth="1"/>
    <col min="15365" max="15365" width="13" customWidth="1"/>
    <col min="15366" max="15366" width="10.1796875" customWidth="1"/>
    <col min="15367" max="15367" width="10.81640625" customWidth="1"/>
    <col min="15368" max="15368" width="16.90625" customWidth="1"/>
    <col min="15370" max="15370" width="3.08984375" customWidth="1"/>
    <col min="15617" max="15617" width="3.26953125" customWidth="1"/>
    <col min="15618" max="15618" width="27.26953125" customWidth="1"/>
    <col min="15620" max="15620" width="10.7265625" customWidth="1"/>
    <col min="15621" max="15621" width="13" customWidth="1"/>
    <col min="15622" max="15622" width="10.1796875" customWidth="1"/>
    <col min="15623" max="15623" width="10.81640625" customWidth="1"/>
    <col min="15624" max="15624" width="16.90625" customWidth="1"/>
    <col min="15626" max="15626" width="3.08984375" customWidth="1"/>
    <col min="15873" max="15873" width="3.26953125" customWidth="1"/>
    <col min="15874" max="15874" width="27.26953125" customWidth="1"/>
    <col min="15876" max="15876" width="10.7265625" customWidth="1"/>
    <col min="15877" max="15877" width="13" customWidth="1"/>
    <col min="15878" max="15878" width="10.1796875" customWidth="1"/>
    <col min="15879" max="15879" width="10.81640625" customWidth="1"/>
    <col min="15880" max="15880" width="16.90625" customWidth="1"/>
    <col min="15882" max="15882" width="3.08984375" customWidth="1"/>
    <col min="16129" max="16129" width="3.26953125" customWidth="1"/>
    <col min="16130" max="16130" width="27.26953125" customWidth="1"/>
    <col min="16132" max="16132" width="10.7265625" customWidth="1"/>
    <col min="16133" max="16133" width="13" customWidth="1"/>
    <col min="16134" max="16134" width="10.1796875" customWidth="1"/>
    <col min="16135" max="16135" width="10.81640625" customWidth="1"/>
    <col min="16136" max="16136" width="16.90625" customWidth="1"/>
    <col min="16138" max="16138" width="3.08984375" customWidth="1"/>
  </cols>
  <sheetData>
    <row r="1" spans="2:13" ht="20" x14ac:dyDescent="0.4">
      <c r="B1" s="173" t="s">
        <v>348</v>
      </c>
    </row>
    <row r="2" spans="2:13" x14ac:dyDescent="0.35">
      <c r="B2" s="4" t="s">
        <v>349</v>
      </c>
      <c r="F2" s="311"/>
      <c r="H2" s="311"/>
    </row>
    <row r="3" spans="2:13" x14ac:dyDescent="0.35">
      <c r="B3" s="4"/>
      <c r="F3" s="311"/>
      <c r="H3" s="311"/>
    </row>
    <row r="4" spans="2:13" s="138" customFormat="1" ht="18" customHeight="1" x14ac:dyDescent="0.35">
      <c r="B4" s="338" t="s">
        <v>24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2:13" ht="54.4" customHeight="1" x14ac:dyDescent="0.35">
      <c r="B5" s="270" t="s">
        <v>25</v>
      </c>
      <c r="C5" s="271" t="s">
        <v>350</v>
      </c>
      <c r="D5" s="272" t="s">
        <v>274</v>
      </c>
      <c r="E5" s="272" t="s">
        <v>275</v>
      </c>
      <c r="F5" s="271" t="s">
        <v>276</v>
      </c>
      <c r="H5" s="270" t="s">
        <v>32</v>
      </c>
      <c r="I5" s="270"/>
      <c r="J5" s="271" t="s">
        <v>351</v>
      </c>
      <c r="K5" s="271" t="s">
        <v>352</v>
      </c>
      <c r="L5" s="271" t="s">
        <v>274</v>
      </c>
    </row>
    <row r="6" spans="2:13" x14ac:dyDescent="0.35">
      <c r="B6" t="s">
        <v>353</v>
      </c>
      <c r="C6" s="313">
        <v>50</v>
      </c>
      <c r="D6" s="314">
        <v>0</v>
      </c>
      <c r="E6" s="21">
        <f>+D6/$D$10</f>
        <v>0</v>
      </c>
      <c r="F6" s="242">
        <v>0</v>
      </c>
      <c r="H6" t="s">
        <v>354</v>
      </c>
      <c r="K6" s="315">
        <f>+L6/F27</f>
        <v>3.1241776139407471</v>
      </c>
      <c r="L6" s="316">
        <f>+C70</f>
        <v>49.674424061657895</v>
      </c>
    </row>
    <row r="7" spans="2:13" x14ac:dyDescent="0.35">
      <c r="B7" t="s">
        <v>355</v>
      </c>
      <c r="C7" s="313"/>
      <c r="D7" s="317">
        <f>+C7*E32</f>
        <v>0</v>
      </c>
      <c r="E7" s="29">
        <f t="shared" ref="E7:E10" si="0">+D7/$D$10</f>
        <v>0</v>
      </c>
      <c r="F7" s="244">
        <v>0</v>
      </c>
      <c r="H7" t="s">
        <v>40</v>
      </c>
      <c r="J7" s="34">
        <f>+L7/D14</f>
        <v>0.62942219166842883</v>
      </c>
      <c r="L7" s="316">
        <f>+E61-C70</f>
        <v>25.176887666737152</v>
      </c>
    </row>
    <row r="8" spans="2:13" x14ac:dyDescent="0.35">
      <c r="B8" t="s">
        <v>282</v>
      </c>
      <c r="C8" s="313"/>
      <c r="D8" s="314">
        <f>SUM(D6:D7)</f>
        <v>0</v>
      </c>
      <c r="E8" s="21">
        <f t="shared" si="0"/>
        <v>0</v>
      </c>
      <c r="F8" s="245"/>
      <c r="H8" t="s">
        <v>281</v>
      </c>
      <c r="I8" s="5">
        <v>3.5000000000000003E-2</v>
      </c>
      <c r="K8" s="240"/>
      <c r="L8" s="316">
        <f>+I8*L6</f>
        <v>1.7386048421580265</v>
      </c>
    </row>
    <row r="9" spans="2:13" x14ac:dyDescent="0.35">
      <c r="B9" t="s">
        <v>162</v>
      </c>
      <c r="C9" s="313"/>
      <c r="D9" s="317">
        <f>+L10-D8</f>
        <v>76.589916570553072</v>
      </c>
      <c r="E9" s="21">
        <f t="shared" si="0"/>
        <v>1</v>
      </c>
      <c r="F9" s="345">
        <v>0.25</v>
      </c>
      <c r="L9" s="316"/>
    </row>
    <row r="10" spans="2:13" ht="15" thickBot="1" x14ac:dyDescent="0.4">
      <c r="B10" t="s">
        <v>283</v>
      </c>
      <c r="C10" s="313"/>
      <c r="D10" s="318">
        <f>SUM(D8:D9)</f>
        <v>76.589916570553072</v>
      </c>
      <c r="E10" s="42">
        <f t="shared" si="0"/>
        <v>1</v>
      </c>
      <c r="F10" s="246"/>
      <c r="L10" s="318">
        <f>SUM(L6:L9)</f>
        <v>76.589916570553072</v>
      </c>
    </row>
    <row r="11" spans="2:13" ht="15" thickTop="1" x14ac:dyDescent="0.35"/>
    <row r="13" spans="2:13" s="138" customFormat="1" ht="20.5" customHeight="1" x14ac:dyDescent="0.35">
      <c r="B13" s="338" t="s">
        <v>356</v>
      </c>
      <c r="C13" s="337"/>
      <c r="D13" s="337"/>
      <c r="E13" s="337"/>
      <c r="G13" s="338" t="s">
        <v>357</v>
      </c>
      <c r="H13" s="337"/>
      <c r="I13" s="337"/>
      <c r="J13" s="337"/>
      <c r="K13" s="337"/>
      <c r="L13" s="337"/>
    </row>
    <row r="14" spans="2:13" x14ac:dyDescent="0.35">
      <c r="B14" t="s">
        <v>358</v>
      </c>
      <c r="D14">
        <v>40</v>
      </c>
      <c r="E14" t="s">
        <v>345</v>
      </c>
      <c r="G14" t="s">
        <v>359</v>
      </c>
      <c r="L14" s="5">
        <v>3.1510000000000003E-2</v>
      </c>
    </row>
    <row r="15" spans="2:13" x14ac:dyDescent="0.35">
      <c r="B15" t="s">
        <v>360</v>
      </c>
      <c r="D15">
        <v>5</v>
      </c>
      <c r="E15" t="s">
        <v>339</v>
      </c>
      <c r="G15" t="s">
        <v>361</v>
      </c>
      <c r="L15" s="5">
        <v>2.1600000000000001E-2</v>
      </c>
    </row>
    <row r="16" spans="2:13" x14ac:dyDescent="0.35">
      <c r="B16" t="s">
        <v>362</v>
      </c>
      <c r="D16" s="34">
        <v>0.2</v>
      </c>
      <c r="E16" t="s">
        <v>363</v>
      </c>
      <c r="G16" t="s">
        <v>364</v>
      </c>
      <c r="L16">
        <v>0.25</v>
      </c>
      <c r="M16" s="319">
        <f>80/((1.1)^10)</f>
        <v>30.843463154362517</v>
      </c>
    </row>
    <row r="17" spans="2:18" x14ac:dyDescent="0.35">
      <c r="B17" t="s">
        <v>158</v>
      </c>
      <c r="D17" s="34">
        <f>162/450</f>
        <v>0.36</v>
      </c>
      <c r="G17" t="s">
        <v>365</v>
      </c>
      <c r="L17" s="5">
        <v>0.88300000000000001</v>
      </c>
    </row>
    <row r="19" spans="2:18" s="138" customFormat="1" ht="17.399999999999999" customHeight="1" x14ac:dyDescent="0.35">
      <c r="B19" s="338" t="s">
        <v>366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</row>
    <row r="20" spans="2:18" ht="17.5" customHeight="1" x14ac:dyDescent="0.35">
      <c r="C20" s="272" t="s">
        <v>5</v>
      </c>
      <c r="D20" s="272" t="s">
        <v>6</v>
      </c>
      <c r="E20" s="272" t="s">
        <v>7</v>
      </c>
      <c r="F20" s="272" t="s">
        <v>8</v>
      </c>
      <c r="G20" s="272" t="s">
        <v>9</v>
      </c>
      <c r="H20" s="272" t="s">
        <v>10</v>
      </c>
    </row>
    <row r="21" spans="2:18" ht="9" customHeight="1" x14ac:dyDescent="0.35">
      <c r="D21" s="10"/>
      <c r="E21" s="10"/>
      <c r="F21" s="10"/>
      <c r="G21" s="10"/>
      <c r="H21" s="10"/>
    </row>
    <row r="22" spans="2:18" x14ac:dyDescent="0.35">
      <c r="B22" t="s">
        <v>367</v>
      </c>
      <c r="C22" s="5"/>
      <c r="D22" s="321">
        <v>125</v>
      </c>
      <c r="E22" s="321">
        <v>113.75</v>
      </c>
      <c r="F22" s="321">
        <v>111.48</v>
      </c>
      <c r="G22" s="321">
        <v>125</v>
      </c>
      <c r="H22" s="321">
        <v>140</v>
      </c>
      <c r="Q22" t="s">
        <v>5</v>
      </c>
      <c r="R22">
        <v>0</v>
      </c>
    </row>
    <row r="23" spans="2:18" x14ac:dyDescent="0.35">
      <c r="B23" t="s">
        <v>132</v>
      </c>
      <c r="C23" s="5"/>
      <c r="D23" s="321">
        <v>-98</v>
      </c>
      <c r="E23" s="321">
        <v>-81</v>
      </c>
      <c r="F23" s="321">
        <v>-70</v>
      </c>
      <c r="G23" s="321">
        <v>-69.56</v>
      </c>
      <c r="H23" s="321">
        <v>-72.34</v>
      </c>
      <c r="Q23" t="s">
        <v>6</v>
      </c>
      <c r="R23" s="316">
        <f>+D34</f>
        <v>-34.5</v>
      </c>
    </row>
    <row r="24" spans="2:18" x14ac:dyDescent="0.35">
      <c r="B24" t="s">
        <v>368</v>
      </c>
      <c r="C24" s="5"/>
      <c r="D24" s="322">
        <v>-72</v>
      </c>
      <c r="E24" s="322">
        <v>-45</v>
      </c>
      <c r="F24" s="322">
        <v>-20.58</v>
      </c>
      <c r="G24" s="322">
        <v>-21.4</v>
      </c>
      <c r="H24" s="322">
        <v>-22.26</v>
      </c>
      <c r="Q24" t="s">
        <v>7</v>
      </c>
      <c r="R24" s="316">
        <f>+E34</f>
        <v>-13.315</v>
      </c>
    </row>
    <row r="25" spans="2:18" x14ac:dyDescent="0.35">
      <c r="B25" s="74" t="s">
        <v>244</v>
      </c>
      <c r="C25" s="5"/>
      <c r="D25" s="321">
        <f>SUM(D22:D24)</f>
        <v>-45</v>
      </c>
      <c r="E25" s="321">
        <f t="shared" ref="E25:H25" si="1">SUM(E22:E24)</f>
        <v>-12.25</v>
      </c>
      <c r="F25" s="321">
        <f t="shared" si="1"/>
        <v>20.900000000000006</v>
      </c>
      <c r="G25" s="321">
        <f t="shared" si="1"/>
        <v>34.04</v>
      </c>
      <c r="H25" s="321">
        <f t="shared" si="1"/>
        <v>45.399999999999991</v>
      </c>
      <c r="Q25" t="s">
        <v>8</v>
      </c>
      <c r="R25" s="316">
        <f>+F34</f>
        <v>7.9464000000000041</v>
      </c>
    </row>
    <row r="26" spans="2:18" x14ac:dyDescent="0.35">
      <c r="B26" t="s">
        <v>300</v>
      </c>
      <c r="C26" s="5"/>
      <c r="D26" s="322">
        <v>-5</v>
      </c>
      <c r="E26" s="322">
        <f>+D26</f>
        <v>-5</v>
      </c>
      <c r="F26" s="322">
        <f t="shared" ref="F26:H26" si="2">+E26</f>
        <v>-5</v>
      </c>
      <c r="G26" s="322">
        <f t="shared" si="2"/>
        <v>-5</v>
      </c>
      <c r="H26" s="322">
        <f t="shared" si="2"/>
        <v>-5</v>
      </c>
      <c r="Q26" t="s">
        <v>9</v>
      </c>
      <c r="R26" s="316">
        <f>+G34</f>
        <v>16.085599999999999</v>
      </c>
    </row>
    <row r="27" spans="2:18" x14ac:dyDescent="0.35">
      <c r="B27" s="4" t="s">
        <v>369</v>
      </c>
      <c r="C27" s="323"/>
      <c r="D27" s="154">
        <f>+D25+D26</f>
        <v>-50</v>
      </c>
      <c r="E27" s="154">
        <f t="shared" ref="E27:H27" si="3">+E25+E26</f>
        <v>-17.25</v>
      </c>
      <c r="F27" s="154">
        <f t="shared" si="3"/>
        <v>15.900000000000006</v>
      </c>
      <c r="G27" s="154">
        <f t="shared" si="3"/>
        <v>29.04</v>
      </c>
      <c r="H27" s="154">
        <f t="shared" si="3"/>
        <v>40.399999999999991</v>
      </c>
      <c r="Q27" t="s">
        <v>10</v>
      </c>
      <c r="R27" s="316">
        <f>+H34</f>
        <v>23.055999999999994</v>
      </c>
    </row>
    <row r="28" spans="2:18" x14ac:dyDescent="0.35">
      <c r="B28" s="33" t="s">
        <v>302</v>
      </c>
      <c r="C28" s="323"/>
      <c r="D28" s="324">
        <f>-$D$17*D27</f>
        <v>18</v>
      </c>
      <c r="E28" s="324">
        <f>-$D$17*E27</f>
        <v>6.21</v>
      </c>
      <c r="F28" s="324">
        <f>-$D$17*F27</f>
        <v>-5.724000000000002</v>
      </c>
      <c r="G28" s="324">
        <f>-$D$17*G27</f>
        <v>-10.4544</v>
      </c>
      <c r="H28" s="324">
        <f>-$D$17*H27</f>
        <v>-14.543999999999997</v>
      </c>
    </row>
    <row r="29" spans="2:18" x14ac:dyDescent="0.35">
      <c r="B29" s="4" t="s">
        <v>236</v>
      </c>
      <c r="C29" s="323"/>
      <c r="D29" s="154">
        <f>+D27+D28</f>
        <v>-32</v>
      </c>
      <c r="E29" s="154">
        <f t="shared" ref="E29:H29" si="4">+E27+E28</f>
        <v>-11.04</v>
      </c>
      <c r="F29" s="154">
        <f t="shared" si="4"/>
        <v>10.176000000000004</v>
      </c>
      <c r="G29" s="154">
        <f t="shared" si="4"/>
        <v>18.585599999999999</v>
      </c>
      <c r="H29" s="154">
        <f t="shared" si="4"/>
        <v>25.855999999999995</v>
      </c>
    </row>
    <row r="30" spans="2:18" x14ac:dyDescent="0.35">
      <c r="B30" s="4"/>
      <c r="C30" s="323"/>
      <c r="D30" s="154"/>
      <c r="E30" s="154"/>
      <c r="F30" s="154"/>
      <c r="G30" s="154"/>
      <c r="H30" s="154"/>
    </row>
    <row r="31" spans="2:18" x14ac:dyDescent="0.35">
      <c r="B31" s="33" t="s">
        <v>370</v>
      </c>
      <c r="C31" s="323"/>
      <c r="D31" s="152">
        <f>-D26</f>
        <v>5</v>
      </c>
      <c r="E31" s="152">
        <f t="shared" ref="E31:H31" si="5">-E26</f>
        <v>5</v>
      </c>
      <c r="F31" s="152">
        <f t="shared" si="5"/>
        <v>5</v>
      </c>
      <c r="G31" s="152">
        <f t="shared" si="5"/>
        <v>5</v>
      </c>
      <c r="H31" s="152">
        <f t="shared" si="5"/>
        <v>5</v>
      </c>
    </row>
    <row r="32" spans="2:18" x14ac:dyDescent="0.35">
      <c r="B32" t="s">
        <v>371</v>
      </c>
      <c r="C32" s="5"/>
      <c r="D32" s="321">
        <f>+D26</f>
        <v>-5</v>
      </c>
      <c r="E32" s="321">
        <f t="shared" ref="E32:H32" si="6">+E26</f>
        <v>-5</v>
      </c>
      <c r="F32" s="321">
        <f t="shared" si="6"/>
        <v>-5</v>
      </c>
      <c r="G32" s="321">
        <f t="shared" si="6"/>
        <v>-5</v>
      </c>
      <c r="H32" s="321">
        <f t="shared" si="6"/>
        <v>-5</v>
      </c>
    </row>
    <row r="33" spans="2:12" x14ac:dyDescent="0.35">
      <c r="B33" t="s">
        <v>372</v>
      </c>
      <c r="C33" s="267">
        <v>0.02</v>
      </c>
      <c r="D33" s="321">
        <f>-$C$33*D22</f>
        <v>-2.5</v>
      </c>
      <c r="E33" s="321">
        <f>-$C$33*E22</f>
        <v>-2.2749999999999999</v>
      </c>
      <c r="F33" s="321">
        <f>-$C$33*F22</f>
        <v>-2.2296</v>
      </c>
      <c r="G33" s="321">
        <f>-$C$33*G22</f>
        <v>-2.5</v>
      </c>
      <c r="H33" s="321">
        <f>-$C$33*H22</f>
        <v>-2.8000000000000003</v>
      </c>
    </row>
    <row r="34" spans="2:12" ht="15" thickBot="1" x14ac:dyDescent="0.4">
      <c r="B34" t="s">
        <v>373</v>
      </c>
      <c r="D34" s="325">
        <f>SUM(D29:D33)</f>
        <v>-34.5</v>
      </c>
      <c r="E34" s="325">
        <f>SUM(E29:E33)</f>
        <v>-13.315</v>
      </c>
      <c r="F34" s="325">
        <f>SUM(F29:F33)</f>
        <v>7.9464000000000041</v>
      </c>
      <c r="G34" s="325">
        <f>SUM(G29:G33)</f>
        <v>16.085599999999999</v>
      </c>
      <c r="H34" s="325">
        <f>SUM(H29:H33)</f>
        <v>23.055999999999994</v>
      </c>
    </row>
    <row r="35" spans="2:12" ht="15" thickTop="1" x14ac:dyDescent="0.35">
      <c r="D35" s="10"/>
      <c r="E35" s="326"/>
      <c r="F35" s="326"/>
      <c r="G35" s="326"/>
      <c r="H35" s="326"/>
    </row>
    <row r="36" spans="2:12" x14ac:dyDescent="0.35">
      <c r="B36" t="s">
        <v>374</v>
      </c>
      <c r="C36" s="31">
        <v>5</v>
      </c>
      <c r="D36" s="10" t="s">
        <v>244</v>
      </c>
      <c r="E36" s="326"/>
      <c r="F36" s="326"/>
      <c r="G36" s="326"/>
      <c r="H36" s="326">
        <f>+C36*H25</f>
        <v>226.99999999999994</v>
      </c>
    </row>
    <row r="37" spans="2:12" x14ac:dyDescent="0.35">
      <c r="D37" s="10"/>
      <c r="E37" s="10"/>
      <c r="F37" s="10"/>
      <c r="G37" s="10"/>
      <c r="H37" s="10"/>
    </row>
    <row r="38" spans="2:12" ht="15" thickBot="1" x14ac:dyDescent="0.4">
      <c r="B38" s="4" t="s">
        <v>375</v>
      </c>
      <c r="C38" s="327">
        <f>NPV(D16,D38:H38)</f>
        <v>74.851311728395046</v>
      </c>
      <c r="D38" s="328">
        <f>SUM(D34:D37)</f>
        <v>-34.5</v>
      </c>
      <c r="E38" s="328">
        <f>SUM(E34:E37)</f>
        <v>-13.315</v>
      </c>
      <c r="F38" s="328">
        <f>SUM(F34:F37)</f>
        <v>7.9464000000000041</v>
      </c>
      <c r="G38" s="328">
        <f>SUM(G34:G37)</f>
        <v>16.085599999999999</v>
      </c>
      <c r="H38" s="328">
        <f>SUM(H34:H37)</f>
        <v>250.05599999999993</v>
      </c>
    </row>
    <row r="39" spans="2:12" ht="15" thickTop="1" x14ac:dyDescent="0.35">
      <c r="B39" s="4" t="s">
        <v>376</v>
      </c>
      <c r="C39" s="327">
        <f>NPV(F9,D39:H39)</f>
        <v>56.473968639999974</v>
      </c>
      <c r="D39" s="316">
        <f>+D38</f>
        <v>-34.5</v>
      </c>
      <c r="E39" s="316">
        <f t="shared" ref="E39:H40" si="7">+E38</f>
        <v>-13.315</v>
      </c>
      <c r="F39" s="316">
        <f t="shared" si="7"/>
        <v>7.9464000000000041</v>
      </c>
      <c r="G39" s="316">
        <f t="shared" si="7"/>
        <v>16.085599999999999</v>
      </c>
      <c r="H39" s="316">
        <f t="shared" si="7"/>
        <v>250.05599999999993</v>
      </c>
    </row>
    <row r="40" spans="2:12" ht="15" thickBot="1" x14ac:dyDescent="0.4">
      <c r="B40" s="74" t="s">
        <v>377</v>
      </c>
      <c r="C40" s="316">
        <f>-L6</f>
        <v>-49.674424061657895</v>
      </c>
      <c r="D40" s="329">
        <f>+D39</f>
        <v>-34.5</v>
      </c>
      <c r="E40" s="329">
        <f>+E39</f>
        <v>-13.315</v>
      </c>
      <c r="F40" s="329">
        <f t="shared" si="7"/>
        <v>7.9464000000000041</v>
      </c>
      <c r="G40" s="329">
        <f t="shared" si="7"/>
        <v>16.085599999999999</v>
      </c>
      <c r="H40" s="329">
        <f t="shared" si="7"/>
        <v>250.05599999999993</v>
      </c>
    </row>
    <row r="41" spans="2:12" ht="15.5" thickTop="1" thickBot="1" x14ac:dyDescent="0.4">
      <c r="B41" s="330" t="s">
        <v>260</v>
      </c>
      <c r="C41" s="339">
        <f>IRR(C40:H40)</f>
        <v>0.27225094469916988</v>
      </c>
    </row>
    <row r="43" spans="2:12" x14ac:dyDescent="0.35">
      <c r="B43" s="320" t="s">
        <v>378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2:12" ht="15.5" x14ac:dyDescent="0.35">
      <c r="B44" s="331" t="s">
        <v>379</v>
      </c>
    </row>
    <row r="45" spans="2:12" x14ac:dyDescent="0.35">
      <c r="B45" t="s">
        <v>380</v>
      </c>
      <c r="E45" s="195">
        <f>+L14*12</f>
        <v>0.37812000000000001</v>
      </c>
      <c r="F45" s="195" t="s">
        <v>381</v>
      </c>
      <c r="H45" t="s">
        <v>382</v>
      </c>
      <c r="I45">
        <f>SQRT(E45)</f>
        <v>0.61491462822086129</v>
      </c>
    </row>
    <row r="46" spans="2:12" x14ac:dyDescent="0.35">
      <c r="B46" t="s">
        <v>383</v>
      </c>
      <c r="E46">
        <f>+L15*12</f>
        <v>0.25919999999999999</v>
      </c>
      <c r="F46" s="195" t="s">
        <v>381</v>
      </c>
      <c r="H46" t="s">
        <v>382</v>
      </c>
      <c r="I46">
        <f>SQRT(E46)</f>
        <v>0.50911688245431419</v>
      </c>
    </row>
    <row r="48" spans="2:12" ht="15.5" x14ac:dyDescent="0.35">
      <c r="B48" s="331" t="s">
        <v>384</v>
      </c>
    </row>
    <row r="49" spans="2:6" ht="15" thickBot="1" x14ac:dyDescent="0.4">
      <c r="B49" s="209"/>
    </row>
    <row r="50" spans="2:6" ht="19.5" customHeight="1" thickBot="1" x14ac:dyDescent="0.4">
      <c r="B50" s="340" t="s">
        <v>385</v>
      </c>
      <c r="C50" s="341"/>
      <c r="D50" s="341"/>
      <c r="E50" s="341"/>
      <c r="F50" s="342"/>
    </row>
    <row r="51" spans="2:6" ht="8.5" customHeight="1" x14ac:dyDescent="0.35">
      <c r="B51" s="209"/>
    </row>
    <row r="52" spans="2:6" x14ac:dyDescent="0.35">
      <c r="B52" s="4" t="s">
        <v>386</v>
      </c>
      <c r="C52" s="5">
        <f>1-C53</f>
        <v>0.11699999999999999</v>
      </c>
      <c r="E52" s="68" t="s">
        <v>387</v>
      </c>
      <c r="F52">
        <f>+L16</f>
        <v>0.25</v>
      </c>
    </row>
    <row r="53" spans="2:6" x14ac:dyDescent="0.35">
      <c r="B53" s="4" t="s">
        <v>388</v>
      </c>
      <c r="C53" s="5">
        <f>+L17</f>
        <v>0.88300000000000001</v>
      </c>
    </row>
    <row r="54" spans="2:6" ht="7.75" customHeight="1" x14ac:dyDescent="0.35">
      <c r="B54" s="33"/>
    </row>
    <row r="55" spans="2:6" x14ac:dyDescent="0.35">
      <c r="B55" t="s">
        <v>389</v>
      </c>
      <c r="C55">
        <f>+((C52^2)*(E45))+((C53^2)*(E46))+(2*C52*C53*L16*I45*I46)*L16</f>
        <v>0.21131433533352173</v>
      </c>
    </row>
    <row r="56" spans="2:6" ht="8" customHeight="1" x14ac:dyDescent="0.35"/>
    <row r="57" spans="2:6" x14ac:dyDescent="0.35">
      <c r="B57" t="s">
        <v>390</v>
      </c>
    </row>
    <row r="59" spans="2:6" ht="15.5" x14ac:dyDescent="0.35">
      <c r="B59" s="331" t="s">
        <v>391</v>
      </c>
    </row>
    <row r="61" spans="2:6" x14ac:dyDescent="0.35">
      <c r="B61" t="s">
        <v>392</v>
      </c>
      <c r="E61" s="332">
        <f>+C38</f>
        <v>74.851311728395046</v>
      </c>
    </row>
    <row r="62" spans="2:6" x14ac:dyDescent="0.35">
      <c r="B62" t="s">
        <v>393</v>
      </c>
      <c r="E62" s="332">
        <f>+D14</f>
        <v>40</v>
      </c>
    </row>
    <row r="63" spans="2:6" x14ac:dyDescent="0.35">
      <c r="B63" t="s">
        <v>394</v>
      </c>
      <c r="E63">
        <f>+D15</f>
        <v>5</v>
      </c>
      <c r="F63" t="s">
        <v>339</v>
      </c>
    </row>
    <row r="64" spans="2:6" x14ac:dyDescent="0.35">
      <c r="B64" t="s">
        <v>395</v>
      </c>
      <c r="E64" s="333">
        <f>+C55</f>
        <v>0.21131433533352173</v>
      </c>
    </row>
    <row r="65" spans="2:12" x14ac:dyDescent="0.35">
      <c r="B65" t="s">
        <v>396</v>
      </c>
      <c r="E65" s="346">
        <v>0.06</v>
      </c>
    </row>
    <row r="67" spans="2:12" x14ac:dyDescent="0.35">
      <c r="B67" s="68" t="s">
        <v>397</v>
      </c>
      <c r="C67" s="334">
        <f>+(LN(E61/E62)+(E65+E64/2)*E63)/((SQRT(E64)*(SQRT(E63))))</f>
        <v>1.4154243171707859</v>
      </c>
      <c r="D67" s="335" t="s">
        <v>398</v>
      </c>
      <c r="E67" s="333">
        <f>NORMSDIST(C67)</f>
        <v>0.92152793798750898</v>
      </c>
    </row>
    <row r="68" spans="2:12" x14ac:dyDescent="0.35">
      <c r="B68" s="68" t="s">
        <v>399</v>
      </c>
      <c r="C68" s="334">
        <f>+C67-((SQRT(E64)*(SQRT(E63))))</f>
        <v>0.38752759246172808</v>
      </c>
      <c r="D68" s="335" t="s">
        <v>400</v>
      </c>
      <c r="E68" s="333">
        <f>NORMSDIST(C68)</f>
        <v>0.65081716909911691</v>
      </c>
    </row>
    <row r="69" spans="2:12" ht="8.5" customHeight="1" thickBot="1" x14ac:dyDescent="0.4"/>
    <row r="70" spans="2:12" ht="15" thickBot="1" x14ac:dyDescent="0.4">
      <c r="B70" s="343" t="s">
        <v>401</v>
      </c>
      <c r="C70" s="344">
        <f>+(E61*E67)-(E62*(2.71^(-E65*E63))*E68)</f>
        <v>49.674424061657895</v>
      </c>
    </row>
    <row r="71" spans="2:12" x14ac:dyDescent="0.35">
      <c r="L71" s="74" t="s">
        <v>403</v>
      </c>
    </row>
    <row r="72" spans="2:12" x14ac:dyDescent="0.35">
      <c r="B72" s="3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2399-BAA6-4209-A915-7921EB2A40D9}">
  <dimension ref="B1:O70"/>
  <sheetViews>
    <sheetView showGridLines="0" workbookViewId="0">
      <selection activeCell="Q12" sqref="Q12"/>
    </sheetView>
  </sheetViews>
  <sheetFormatPr defaultRowHeight="14.5" x14ac:dyDescent="0.35"/>
  <cols>
    <col min="2" max="2" width="34.90625" customWidth="1"/>
    <col min="3" max="3" width="16.1796875" customWidth="1"/>
    <col min="4" max="4" width="7.81640625" customWidth="1"/>
    <col min="5" max="5" width="11.453125" customWidth="1"/>
    <col min="6" max="6" width="12" customWidth="1"/>
    <col min="7" max="7" width="10.90625" customWidth="1"/>
    <col min="8" max="8" width="10.08984375" customWidth="1"/>
    <col min="9" max="9" width="5.90625" customWidth="1"/>
    <col min="10" max="10" width="26.6328125" customWidth="1"/>
    <col min="11" max="11" width="9.90625" customWidth="1"/>
    <col min="12" max="12" width="4.453125" customWidth="1"/>
    <col min="13" max="15" width="15" customWidth="1"/>
    <col min="254" max="254" width="5.08984375" customWidth="1"/>
    <col min="255" max="255" width="41.7265625" customWidth="1"/>
    <col min="256" max="256" width="14.7265625" customWidth="1"/>
    <col min="257" max="257" width="14.90625" customWidth="1"/>
    <col min="258" max="259" width="11.7265625" customWidth="1"/>
    <col min="260" max="260" width="11.90625" bestFit="1" customWidth="1"/>
    <col min="262" max="262" width="10.26953125" bestFit="1" customWidth="1"/>
    <col min="263" max="263" width="11.26953125" customWidth="1"/>
    <col min="264" max="264" width="5" customWidth="1"/>
    <col min="265" max="270" width="15" customWidth="1"/>
    <col min="510" max="510" width="5.08984375" customWidth="1"/>
    <col min="511" max="511" width="41.7265625" customWidth="1"/>
    <col min="512" max="512" width="14.7265625" customWidth="1"/>
    <col min="513" max="513" width="14.90625" customWidth="1"/>
    <col min="514" max="515" width="11.7265625" customWidth="1"/>
    <col min="516" max="516" width="11.90625" bestFit="1" customWidth="1"/>
    <col min="518" max="518" width="10.26953125" bestFit="1" customWidth="1"/>
    <col min="519" max="519" width="11.26953125" customWidth="1"/>
    <col min="520" max="520" width="5" customWidth="1"/>
    <col min="521" max="526" width="15" customWidth="1"/>
    <col min="766" max="766" width="5.08984375" customWidth="1"/>
    <col min="767" max="767" width="41.7265625" customWidth="1"/>
    <col min="768" max="768" width="14.7265625" customWidth="1"/>
    <col min="769" max="769" width="14.90625" customWidth="1"/>
    <col min="770" max="771" width="11.7265625" customWidth="1"/>
    <col min="772" max="772" width="11.90625" bestFit="1" customWidth="1"/>
    <col min="774" max="774" width="10.26953125" bestFit="1" customWidth="1"/>
    <col min="775" max="775" width="11.26953125" customWidth="1"/>
    <col min="776" max="776" width="5" customWidth="1"/>
    <col min="777" max="782" width="15" customWidth="1"/>
    <col min="1022" max="1022" width="5.08984375" customWidth="1"/>
    <col min="1023" max="1023" width="41.7265625" customWidth="1"/>
    <col min="1024" max="1024" width="14.7265625" customWidth="1"/>
    <col min="1025" max="1025" width="14.90625" customWidth="1"/>
    <col min="1026" max="1027" width="11.7265625" customWidth="1"/>
    <col min="1028" max="1028" width="11.90625" bestFit="1" customWidth="1"/>
    <col min="1030" max="1030" width="10.26953125" bestFit="1" customWidth="1"/>
    <col min="1031" max="1031" width="11.26953125" customWidth="1"/>
    <col min="1032" max="1032" width="5" customWidth="1"/>
    <col min="1033" max="1038" width="15" customWidth="1"/>
    <col min="1278" max="1278" width="5.08984375" customWidth="1"/>
    <col min="1279" max="1279" width="41.7265625" customWidth="1"/>
    <col min="1280" max="1280" width="14.7265625" customWidth="1"/>
    <col min="1281" max="1281" width="14.90625" customWidth="1"/>
    <col min="1282" max="1283" width="11.7265625" customWidth="1"/>
    <col min="1284" max="1284" width="11.90625" bestFit="1" customWidth="1"/>
    <col min="1286" max="1286" width="10.26953125" bestFit="1" customWidth="1"/>
    <col min="1287" max="1287" width="11.26953125" customWidth="1"/>
    <col min="1288" max="1288" width="5" customWidth="1"/>
    <col min="1289" max="1294" width="15" customWidth="1"/>
    <col min="1534" max="1534" width="5.08984375" customWidth="1"/>
    <col min="1535" max="1535" width="41.7265625" customWidth="1"/>
    <col min="1536" max="1536" width="14.7265625" customWidth="1"/>
    <col min="1537" max="1537" width="14.90625" customWidth="1"/>
    <col min="1538" max="1539" width="11.7265625" customWidth="1"/>
    <col min="1540" max="1540" width="11.90625" bestFit="1" customWidth="1"/>
    <col min="1542" max="1542" width="10.26953125" bestFit="1" customWidth="1"/>
    <col min="1543" max="1543" width="11.26953125" customWidth="1"/>
    <col min="1544" max="1544" width="5" customWidth="1"/>
    <col min="1545" max="1550" width="15" customWidth="1"/>
    <col min="1790" max="1790" width="5.08984375" customWidth="1"/>
    <col min="1791" max="1791" width="41.7265625" customWidth="1"/>
    <col min="1792" max="1792" width="14.7265625" customWidth="1"/>
    <col min="1793" max="1793" width="14.90625" customWidth="1"/>
    <col min="1794" max="1795" width="11.7265625" customWidth="1"/>
    <col min="1796" max="1796" width="11.90625" bestFit="1" customWidth="1"/>
    <col min="1798" max="1798" width="10.26953125" bestFit="1" customWidth="1"/>
    <col min="1799" max="1799" width="11.26953125" customWidth="1"/>
    <col min="1800" max="1800" width="5" customWidth="1"/>
    <col min="1801" max="1806" width="15" customWidth="1"/>
    <col min="2046" max="2046" width="5.08984375" customWidth="1"/>
    <col min="2047" max="2047" width="41.7265625" customWidth="1"/>
    <col min="2048" max="2048" width="14.7265625" customWidth="1"/>
    <col min="2049" max="2049" width="14.90625" customWidth="1"/>
    <col min="2050" max="2051" width="11.7265625" customWidth="1"/>
    <col min="2052" max="2052" width="11.90625" bestFit="1" customWidth="1"/>
    <col min="2054" max="2054" width="10.26953125" bestFit="1" customWidth="1"/>
    <col min="2055" max="2055" width="11.26953125" customWidth="1"/>
    <col min="2056" max="2056" width="5" customWidth="1"/>
    <col min="2057" max="2062" width="15" customWidth="1"/>
    <col min="2302" max="2302" width="5.08984375" customWidth="1"/>
    <col min="2303" max="2303" width="41.7265625" customWidth="1"/>
    <col min="2304" max="2304" width="14.7265625" customWidth="1"/>
    <col min="2305" max="2305" width="14.90625" customWidth="1"/>
    <col min="2306" max="2307" width="11.7265625" customWidth="1"/>
    <col min="2308" max="2308" width="11.90625" bestFit="1" customWidth="1"/>
    <col min="2310" max="2310" width="10.26953125" bestFit="1" customWidth="1"/>
    <col min="2311" max="2311" width="11.26953125" customWidth="1"/>
    <col min="2312" max="2312" width="5" customWidth="1"/>
    <col min="2313" max="2318" width="15" customWidth="1"/>
    <col min="2558" max="2558" width="5.08984375" customWidth="1"/>
    <col min="2559" max="2559" width="41.7265625" customWidth="1"/>
    <col min="2560" max="2560" width="14.7265625" customWidth="1"/>
    <col min="2561" max="2561" width="14.90625" customWidth="1"/>
    <col min="2562" max="2563" width="11.7265625" customWidth="1"/>
    <col min="2564" max="2564" width="11.90625" bestFit="1" customWidth="1"/>
    <col min="2566" max="2566" width="10.26953125" bestFit="1" customWidth="1"/>
    <col min="2567" max="2567" width="11.26953125" customWidth="1"/>
    <col min="2568" max="2568" width="5" customWidth="1"/>
    <col min="2569" max="2574" width="15" customWidth="1"/>
    <col min="2814" max="2814" width="5.08984375" customWidth="1"/>
    <col min="2815" max="2815" width="41.7265625" customWidth="1"/>
    <col min="2816" max="2816" width="14.7265625" customWidth="1"/>
    <col min="2817" max="2817" width="14.90625" customWidth="1"/>
    <col min="2818" max="2819" width="11.7265625" customWidth="1"/>
    <col min="2820" max="2820" width="11.90625" bestFit="1" customWidth="1"/>
    <col min="2822" max="2822" width="10.26953125" bestFit="1" customWidth="1"/>
    <col min="2823" max="2823" width="11.26953125" customWidth="1"/>
    <col min="2824" max="2824" width="5" customWidth="1"/>
    <col min="2825" max="2830" width="15" customWidth="1"/>
    <col min="3070" max="3070" width="5.08984375" customWidth="1"/>
    <col min="3071" max="3071" width="41.7265625" customWidth="1"/>
    <col min="3072" max="3072" width="14.7265625" customWidth="1"/>
    <col min="3073" max="3073" width="14.90625" customWidth="1"/>
    <col min="3074" max="3075" width="11.7265625" customWidth="1"/>
    <col min="3076" max="3076" width="11.90625" bestFit="1" customWidth="1"/>
    <col min="3078" max="3078" width="10.26953125" bestFit="1" customWidth="1"/>
    <col min="3079" max="3079" width="11.26953125" customWidth="1"/>
    <col min="3080" max="3080" width="5" customWidth="1"/>
    <col min="3081" max="3086" width="15" customWidth="1"/>
    <col min="3326" max="3326" width="5.08984375" customWidth="1"/>
    <col min="3327" max="3327" width="41.7265625" customWidth="1"/>
    <col min="3328" max="3328" width="14.7265625" customWidth="1"/>
    <col min="3329" max="3329" width="14.90625" customWidth="1"/>
    <col min="3330" max="3331" width="11.7265625" customWidth="1"/>
    <col min="3332" max="3332" width="11.90625" bestFit="1" customWidth="1"/>
    <col min="3334" max="3334" width="10.26953125" bestFit="1" customWidth="1"/>
    <col min="3335" max="3335" width="11.26953125" customWidth="1"/>
    <col min="3336" max="3336" width="5" customWidth="1"/>
    <col min="3337" max="3342" width="15" customWidth="1"/>
    <col min="3582" max="3582" width="5.08984375" customWidth="1"/>
    <col min="3583" max="3583" width="41.7265625" customWidth="1"/>
    <col min="3584" max="3584" width="14.7265625" customWidth="1"/>
    <col min="3585" max="3585" width="14.90625" customWidth="1"/>
    <col min="3586" max="3587" width="11.7265625" customWidth="1"/>
    <col min="3588" max="3588" width="11.90625" bestFit="1" customWidth="1"/>
    <col min="3590" max="3590" width="10.26953125" bestFit="1" customWidth="1"/>
    <col min="3591" max="3591" width="11.26953125" customWidth="1"/>
    <col min="3592" max="3592" width="5" customWidth="1"/>
    <col min="3593" max="3598" width="15" customWidth="1"/>
    <col min="3838" max="3838" width="5.08984375" customWidth="1"/>
    <col min="3839" max="3839" width="41.7265625" customWidth="1"/>
    <col min="3840" max="3840" width="14.7265625" customWidth="1"/>
    <col min="3841" max="3841" width="14.90625" customWidth="1"/>
    <col min="3842" max="3843" width="11.7265625" customWidth="1"/>
    <col min="3844" max="3844" width="11.90625" bestFit="1" customWidth="1"/>
    <col min="3846" max="3846" width="10.26953125" bestFit="1" customWidth="1"/>
    <col min="3847" max="3847" width="11.26953125" customWidth="1"/>
    <col min="3848" max="3848" width="5" customWidth="1"/>
    <col min="3849" max="3854" width="15" customWidth="1"/>
    <col min="4094" max="4094" width="5.08984375" customWidth="1"/>
    <col min="4095" max="4095" width="41.7265625" customWidth="1"/>
    <col min="4096" max="4096" width="14.7265625" customWidth="1"/>
    <col min="4097" max="4097" width="14.90625" customWidth="1"/>
    <col min="4098" max="4099" width="11.7265625" customWidth="1"/>
    <col min="4100" max="4100" width="11.90625" bestFit="1" customWidth="1"/>
    <col min="4102" max="4102" width="10.26953125" bestFit="1" customWidth="1"/>
    <col min="4103" max="4103" width="11.26953125" customWidth="1"/>
    <col min="4104" max="4104" width="5" customWidth="1"/>
    <col min="4105" max="4110" width="15" customWidth="1"/>
    <col min="4350" max="4350" width="5.08984375" customWidth="1"/>
    <col min="4351" max="4351" width="41.7265625" customWidth="1"/>
    <col min="4352" max="4352" width="14.7265625" customWidth="1"/>
    <col min="4353" max="4353" width="14.90625" customWidth="1"/>
    <col min="4354" max="4355" width="11.7265625" customWidth="1"/>
    <col min="4356" max="4356" width="11.90625" bestFit="1" customWidth="1"/>
    <col min="4358" max="4358" width="10.26953125" bestFit="1" customWidth="1"/>
    <col min="4359" max="4359" width="11.26953125" customWidth="1"/>
    <col min="4360" max="4360" width="5" customWidth="1"/>
    <col min="4361" max="4366" width="15" customWidth="1"/>
    <col min="4606" max="4606" width="5.08984375" customWidth="1"/>
    <col min="4607" max="4607" width="41.7265625" customWidth="1"/>
    <col min="4608" max="4608" width="14.7265625" customWidth="1"/>
    <col min="4609" max="4609" width="14.90625" customWidth="1"/>
    <col min="4610" max="4611" width="11.7265625" customWidth="1"/>
    <col min="4612" max="4612" width="11.90625" bestFit="1" customWidth="1"/>
    <col min="4614" max="4614" width="10.26953125" bestFit="1" customWidth="1"/>
    <col min="4615" max="4615" width="11.26953125" customWidth="1"/>
    <col min="4616" max="4616" width="5" customWidth="1"/>
    <col min="4617" max="4622" width="15" customWidth="1"/>
    <col min="4862" max="4862" width="5.08984375" customWidth="1"/>
    <col min="4863" max="4863" width="41.7265625" customWidth="1"/>
    <col min="4864" max="4864" width="14.7265625" customWidth="1"/>
    <col min="4865" max="4865" width="14.90625" customWidth="1"/>
    <col min="4866" max="4867" width="11.7265625" customWidth="1"/>
    <col min="4868" max="4868" width="11.90625" bestFit="1" customWidth="1"/>
    <col min="4870" max="4870" width="10.26953125" bestFit="1" customWidth="1"/>
    <col min="4871" max="4871" width="11.26953125" customWidth="1"/>
    <col min="4872" max="4872" width="5" customWidth="1"/>
    <col min="4873" max="4878" width="15" customWidth="1"/>
    <col min="5118" max="5118" width="5.08984375" customWidth="1"/>
    <col min="5119" max="5119" width="41.7265625" customWidth="1"/>
    <col min="5120" max="5120" width="14.7265625" customWidth="1"/>
    <col min="5121" max="5121" width="14.90625" customWidth="1"/>
    <col min="5122" max="5123" width="11.7265625" customWidth="1"/>
    <col min="5124" max="5124" width="11.90625" bestFit="1" customWidth="1"/>
    <col min="5126" max="5126" width="10.26953125" bestFit="1" customWidth="1"/>
    <col min="5127" max="5127" width="11.26953125" customWidth="1"/>
    <col min="5128" max="5128" width="5" customWidth="1"/>
    <col min="5129" max="5134" width="15" customWidth="1"/>
    <col min="5374" max="5374" width="5.08984375" customWidth="1"/>
    <col min="5375" max="5375" width="41.7265625" customWidth="1"/>
    <col min="5376" max="5376" width="14.7265625" customWidth="1"/>
    <col min="5377" max="5377" width="14.90625" customWidth="1"/>
    <col min="5378" max="5379" width="11.7265625" customWidth="1"/>
    <col min="5380" max="5380" width="11.90625" bestFit="1" customWidth="1"/>
    <col min="5382" max="5382" width="10.26953125" bestFit="1" customWidth="1"/>
    <col min="5383" max="5383" width="11.26953125" customWidth="1"/>
    <col min="5384" max="5384" width="5" customWidth="1"/>
    <col min="5385" max="5390" width="15" customWidth="1"/>
    <col min="5630" max="5630" width="5.08984375" customWidth="1"/>
    <col min="5631" max="5631" width="41.7265625" customWidth="1"/>
    <col min="5632" max="5632" width="14.7265625" customWidth="1"/>
    <col min="5633" max="5633" width="14.90625" customWidth="1"/>
    <col min="5634" max="5635" width="11.7265625" customWidth="1"/>
    <col min="5636" max="5636" width="11.90625" bestFit="1" customWidth="1"/>
    <col min="5638" max="5638" width="10.26953125" bestFit="1" customWidth="1"/>
    <col min="5639" max="5639" width="11.26953125" customWidth="1"/>
    <col min="5640" max="5640" width="5" customWidth="1"/>
    <col min="5641" max="5646" width="15" customWidth="1"/>
    <col min="5886" max="5886" width="5.08984375" customWidth="1"/>
    <col min="5887" max="5887" width="41.7265625" customWidth="1"/>
    <col min="5888" max="5888" width="14.7265625" customWidth="1"/>
    <col min="5889" max="5889" width="14.90625" customWidth="1"/>
    <col min="5890" max="5891" width="11.7265625" customWidth="1"/>
    <col min="5892" max="5892" width="11.90625" bestFit="1" customWidth="1"/>
    <col min="5894" max="5894" width="10.26953125" bestFit="1" customWidth="1"/>
    <col min="5895" max="5895" width="11.26953125" customWidth="1"/>
    <col min="5896" max="5896" width="5" customWidth="1"/>
    <col min="5897" max="5902" width="15" customWidth="1"/>
    <col min="6142" max="6142" width="5.08984375" customWidth="1"/>
    <col min="6143" max="6143" width="41.7265625" customWidth="1"/>
    <col min="6144" max="6144" width="14.7265625" customWidth="1"/>
    <col min="6145" max="6145" width="14.90625" customWidth="1"/>
    <col min="6146" max="6147" width="11.7265625" customWidth="1"/>
    <col min="6148" max="6148" width="11.90625" bestFit="1" customWidth="1"/>
    <col min="6150" max="6150" width="10.26953125" bestFit="1" customWidth="1"/>
    <col min="6151" max="6151" width="11.26953125" customWidth="1"/>
    <col min="6152" max="6152" width="5" customWidth="1"/>
    <col min="6153" max="6158" width="15" customWidth="1"/>
    <col min="6398" max="6398" width="5.08984375" customWidth="1"/>
    <col min="6399" max="6399" width="41.7265625" customWidth="1"/>
    <col min="6400" max="6400" width="14.7265625" customWidth="1"/>
    <col min="6401" max="6401" width="14.90625" customWidth="1"/>
    <col min="6402" max="6403" width="11.7265625" customWidth="1"/>
    <col min="6404" max="6404" width="11.90625" bestFit="1" customWidth="1"/>
    <col min="6406" max="6406" width="10.26953125" bestFit="1" customWidth="1"/>
    <col min="6407" max="6407" width="11.26953125" customWidth="1"/>
    <col min="6408" max="6408" width="5" customWidth="1"/>
    <col min="6409" max="6414" width="15" customWidth="1"/>
    <col min="6654" max="6654" width="5.08984375" customWidth="1"/>
    <col min="6655" max="6655" width="41.7265625" customWidth="1"/>
    <col min="6656" max="6656" width="14.7265625" customWidth="1"/>
    <col min="6657" max="6657" width="14.90625" customWidth="1"/>
    <col min="6658" max="6659" width="11.7265625" customWidth="1"/>
    <col min="6660" max="6660" width="11.90625" bestFit="1" customWidth="1"/>
    <col min="6662" max="6662" width="10.26953125" bestFit="1" customWidth="1"/>
    <col min="6663" max="6663" width="11.26953125" customWidth="1"/>
    <col min="6664" max="6664" width="5" customWidth="1"/>
    <col min="6665" max="6670" width="15" customWidth="1"/>
    <col min="6910" max="6910" width="5.08984375" customWidth="1"/>
    <col min="6911" max="6911" width="41.7265625" customWidth="1"/>
    <col min="6912" max="6912" width="14.7265625" customWidth="1"/>
    <col min="6913" max="6913" width="14.90625" customWidth="1"/>
    <col min="6914" max="6915" width="11.7265625" customWidth="1"/>
    <col min="6916" max="6916" width="11.90625" bestFit="1" customWidth="1"/>
    <col min="6918" max="6918" width="10.26953125" bestFit="1" customWidth="1"/>
    <col min="6919" max="6919" width="11.26953125" customWidth="1"/>
    <col min="6920" max="6920" width="5" customWidth="1"/>
    <col min="6921" max="6926" width="15" customWidth="1"/>
    <col min="7166" max="7166" width="5.08984375" customWidth="1"/>
    <col min="7167" max="7167" width="41.7265625" customWidth="1"/>
    <col min="7168" max="7168" width="14.7265625" customWidth="1"/>
    <col min="7169" max="7169" width="14.90625" customWidth="1"/>
    <col min="7170" max="7171" width="11.7265625" customWidth="1"/>
    <col min="7172" max="7172" width="11.90625" bestFit="1" customWidth="1"/>
    <col min="7174" max="7174" width="10.26953125" bestFit="1" customWidth="1"/>
    <col min="7175" max="7175" width="11.26953125" customWidth="1"/>
    <col min="7176" max="7176" width="5" customWidth="1"/>
    <col min="7177" max="7182" width="15" customWidth="1"/>
    <col min="7422" max="7422" width="5.08984375" customWidth="1"/>
    <col min="7423" max="7423" width="41.7265625" customWidth="1"/>
    <col min="7424" max="7424" width="14.7265625" customWidth="1"/>
    <col min="7425" max="7425" width="14.90625" customWidth="1"/>
    <col min="7426" max="7427" width="11.7265625" customWidth="1"/>
    <col min="7428" max="7428" width="11.90625" bestFit="1" customWidth="1"/>
    <col min="7430" max="7430" width="10.26953125" bestFit="1" customWidth="1"/>
    <col min="7431" max="7431" width="11.26953125" customWidth="1"/>
    <col min="7432" max="7432" width="5" customWidth="1"/>
    <col min="7433" max="7438" width="15" customWidth="1"/>
    <col min="7678" max="7678" width="5.08984375" customWidth="1"/>
    <col min="7679" max="7679" width="41.7265625" customWidth="1"/>
    <col min="7680" max="7680" width="14.7265625" customWidth="1"/>
    <col min="7681" max="7681" width="14.90625" customWidth="1"/>
    <col min="7682" max="7683" width="11.7265625" customWidth="1"/>
    <col min="7684" max="7684" width="11.90625" bestFit="1" customWidth="1"/>
    <col min="7686" max="7686" width="10.26953125" bestFit="1" customWidth="1"/>
    <col min="7687" max="7687" width="11.26953125" customWidth="1"/>
    <col min="7688" max="7688" width="5" customWidth="1"/>
    <col min="7689" max="7694" width="15" customWidth="1"/>
    <col min="7934" max="7934" width="5.08984375" customWidth="1"/>
    <col min="7935" max="7935" width="41.7265625" customWidth="1"/>
    <col min="7936" max="7936" width="14.7265625" customWidth="1"/>
    <col min="7937" max="7937" width="14.90625" customWidth="1"/>
    <col min="7938" max="7939" width="11.7265625" customWidth="1"/>
    <col min="7940" max="7940" width="11.90625" bestFit="1" customWidth="1"/>
    <col min="7942" max="7942" width="10.26953125" bestFit="1" customWidth="1"/>
    <col min="7943" max="7943" width="11.26953125" customWidth="1"/>
    <col min="7944" max="7944" width="5" customWidth="1"/>
    <col min="7945" max="7950" width="15" customWidth="1"/>
    <col min="8190" max="8190" width="5.08984375" customWidth="1"/>
    <col min="8191" max="8191" width="41.7265625" customWidth="1"/>
    <col min="8192" max="8192" width="14.7265625" customWidth="1"/>
    <col min="8193" max="8193" width="14.90625" customWidth="1"/>
    <col min="8194" max="8195" width="11.7265625" customWidth="1"/>
    <col min="8196" max="8196" width="11.90625" bestFit="1" customWidth="1"/>
    <col min="8198" max="8198" width="10.26953125" bestFit="1" customWidth="1"/>
    <col min="8199" max="8199" width="11.26953125" customWidth="1"/>
    <col min="8200" max="8200" width="5" customWidth="1"/>
    <col min="8201" max="8206" width="15" customWidth="1"/>
    <col min="8446" max="8446" width="5.08984375" customWidth="1"/>
    <col min="8447" max="8447" width="41.7265625" customWidth="1"/>
    <col min="8448" max="8448" width="14.7265625" customWidth="1"/>
    <col min="8449" max="8449" width="14.90625" customWidth="1"/>
    <col min="8450" max="8451" width="11.7265625" customWidth="1"/>
    <col min="8452" max="8452" width="11.90625" bestFit="1" customWidth="1"/>
    <col min="8454" max="8454" width="10.26953125" bestFit="1" customWidth="1"/>
    <col min="8455" max="8455" width="11.26953125" customWidth="1"/>
    <col min="8456" max="8456" width="5" customWidth="1"/>
    <col min="8457" max="8462" width="15" customWidth="1"/>
    <col min="8702" max="8702" width="5.08984375" customWidth="1"/>
    <col min="8703" max="8703" width="41.7265625" customWidth="1"/>
    <col min="8704" max="8704" width="14.7265625" customWidth="1"/>
    <col min="8705" max="8705" width="14.90625" customWidth="1"/>
    <col min="8706" max="8707" width="11.7265625" customWidth="1"/>
    <col min="8708" max="8708" width="11.90625" bestFit="1" customWidth="1"/>
    <col min="8710" max="8710" width="10.26953125" bestFit="1" customWidth="1"/>
    <col min="8711" max="8711" width="11.26953125" customWidth="1"/>
    <col min="8712" max="8712" width="5" customWidth="1"/>
    <col min="8713" max="8718" width="15" customWidth="1"/>
    <col min="8958" max="8958" width="5.08984375" customWidth="1"/>
    <col min="8959" max="8959" width="41.7265625" customWidth="1"/>
    <col min="8960" max="8960" width="14.7265625" customWidth="1"/>
    <col min="8961" max="8961" width="14.90625" customWidth="1"/>
    <col min="8962" max="8963" width="11.7265625" customWidth="1"/>
    <col min="8964" max="8964" width="11.90625" bestFit="1" customWidth="1"/>
    <col min="8966" max="8966" width="10.26953125" bestFit="1" customWidth="1"/>
    <col min="8967" max="8967" width="11.26953125" customWidth="1"/>
    <col min="8968" max="8968" width="5" customWidth="1"/>
    <col min="8969" max="8974" width="15" customWidth="1"/>
    <col min="9214" max="9214" width="5.08984375" customWidth="1"/>
    <col min="9215" max="9215" width="41.7265625" customWidth="1"/>
    <col min="9216" max="9216" width="14.7265625" customWidth="1"/>
    <col min="9217" max="9217" width="14.90625" customWidth="1"/>
    <col min="9218" max="9219" width="11.7265625" customWidth="1"/>
    <col min="9220" max="9220" width="11.90625" bestFit="1" customWidth="1"/>
    <col min="9222" max="9222" width="10.26953125" bestFit="1" customWidth="1"/>
    <col min="9223" max="9223" width="11.26953125" customWidth="1"/>
    <col min="9224" max="9224" width="5" customWidth="1"/>
    <col min="9225" max="9230" width="15" customWidth="1"/>
    <col min="9470" max="9470" width="5.08984375" customWidth="1"/>
    <col min="9471" max="9471" width="41.7265625" customWidth="1"/>
    <col min="9472" max="9472" width="14.7265625" customWidth="1"/>
    <col min="9473" max="9473" width="14.90625" customWidth="1"/>
    <col min="9474" max="9475" width="11.7265625" customWidth="1"/>
    <col min="9476" max="9476" width="11.90625" bestFit="1" customWidth="1"/>
    <col min="9478" max="9478" width="10.26953125" bestFit="1" customWidth="1"/>
    <col min="9479" max="9479" width="11.26953125" customWidth="1"/>
    <col min="9480" max="9480" width="5" customWidth="1"/>
    <col min="9481" max="9486" width="15" customWidth="1"/>
    <col min="9726" max="9726" width="5.08984375" customWidth="1"/>
    <col min="9727" max="9727" width="41.7265625" customWidth="1"/>
    <col min="9728" max="9728" width="14.7265625" customWidth="1"/>
    <col min="9729" max="9729" width="14.90625" customWidth="1"/>
    <col min="9730" max="9731" width="11.7265625" customWidth="1"/>
    <col min="9732" max="9732" width="11.90625" bestFit="1" customWidth="1"/>
    <col min="9734" max="9734" width="10.26953125" bestFit="1" customWidth="1"/>
    <col min="9735" max="9735" width="11.26953125" customWidth="1"/>
    <col min="9736" max="9736" width="5" customWidth="1"/>
    <col min="9737" max="9742" width="15" customWidth="1"/>
    <col min="9982" max="9982" width="5.08984375" customWidth="1"/>
    <col min="9983" max="9983" width="41.7265625" customWidth="1"/>
    <col min="9984" max="9984" width="14.7265625" customWidth="1"/>
    <col min="9985" max="9985" width="14.90625" customWidth="1"/>
    <col min="9986" max="9987" width="11.7265625" customWidth="1"/>
    <col min="9988" max="9988" width="11.90625" bestFit="1" customWidth="1"/>
    <col min="9990" max="9990" width="10.26953125" bestFit="1" customWidth="1"/>
    <col min="9991" max="9991" width="11.26953125" customWidth="1"/>
    <col min="9992" max="9992" width="5" customWidth="1"/>
    <col min="9993" max="9998" width="15" customWidth="1"/>
    <col min="10238" max="10238" width="5.08984375" customWidth="1"/>
    <col min="10239" max="10239" width="41.7265625" customWidth="1"/>
    <col min="10240" max="10240" width="14.7265625" customWidth="1"/>
    <col min="10241" max="10241" width="14.90625" customWidth="1"/>
    <col min="10242" max="10243" width="11.7265625" customWidth="1"/>
    <col min="10244" max="10244" width="11.90625" bestFit="1" customWidth="1"/>
    <col min="10246" max="10246" width="10.26953125" bestFit="1" customWidth="1"/>
    <col min="10247" max="10247" width="11.26953125" customWidth="1"/>
    <col min="10248" max="10248" width="5" customWidth="1"/>
    <col min="10249" max="10254" width="15" customWidth="1"/>
    <col min="10494" max="10494" width="5.08984375" customWidth="1"/>
    <col min="10495" max="10495" width="41.7265625" customWidth="1"/>
    <col min="10496" max="10496" width="14.7265625" customWidth="1"/>
    <col min="10497" max="10497" width="14.90625" customWidth="1"/>
    <col min="10498" max="10499" width="11.7265625" customWidth="1"/>
    <col min="10500" max="10500" width="11.90625" bestFit="1" customWidth="1"/>
    <col min="10502" max="10502" width="10.26953125" bestFit="1" customWidth="1"/>
    <col min="10503" max="10503" width="11.26953125" customWidth="1"/>
    <col min="10504" max="10504" width="5" customWidth="1"/>
    <col min="10505" max="10510" width="15" customWidth="1"/>
    <col min="10750" max="10750" width="5.08984375" customWidth="1"/>
    <col min="10751" max="10751" width="41.7265625" customWidth="1"/>
    <col min="10752" max="10752" width="14.7265625" customWidth="1"/>
    <col min="10753" max="10753" width="14.90625" customWidth="1"/>
    <col min="10754" max="10755" width="11.7265625" customWidth="1"/>
    <col min="10756" max="10756" width="11.90625" bestFit="1" customWidth="1"/>
    <col min="10758" max="10758" width="10.26953125" bestFit="1" customWidth="1"/>
    <col min="10759" max="10759" width="11.26953125" customWidth="1"/>
    <col min="10760" max="10760" width="5" customWidth="1"/>
    <col min="10761" max="10766" width="15" customWidth="1"/>
    <col min="11006" max="11006" width="5.08984375" customWidth="1"/>
    <col min="11007" max="11007" width="41.7265625" customWidth="1"/>
    <col min="11008" max="11008" width="14.7265625" customWidth="1"/>
    <col min="11009" max="11009" width="14.90625" customWidth="1"/>
    <col min="11010" max="11011" width="11.7265625" customWidth="1"/>
    <col min="11012" max="11012" width="11.90625" bestFit="1" customWidth="1"/>
    <col min="11014" max="11014" width="10.26953125" bestFit="1" customWidth="1"/>
    <col min="11015" max="11015" width="11.26953125" customWidth="1"/>
    <col min="11016" max="11016" width="5" customWidth="1"/>
    <col min="11017" max="11022" width="15" customWidth="1"/>
    <col min="11262" max="11262" width="5.08984375" customWidth="1"/>
    <col min="11263" max="11263" width="41.7265625" customWidth="1"/>
    <col min="11264" max="11264" width="14.7265625" customWidth="1"/>
    <col min="11265" max="11265" width="14.90625" customWidth="1"/>
    <col min="11266" max="11267" width="11.7265625" customWidth="1"/>
    <col min="11268" max="11268" width="11.90625" bestFit="1" customWidth="1"/>
    <col min="11270" max="11270" width="10.26953125" bestFit="1" customWidth="1"/>
    <col min="11271" max="11271" width="11.26953125" customWidth="1"/>
    <col min="11272" max="11272" width="5" customWidth="1"/>
    <col min="11273" max="11278" width="15" customWidth="1"/>
    <col min="11518" max="11518" width="5.08984375" customWidth="1"/>
    <col min="11519" max="11519" width="41.7265625" customWidth="1"/>
    <col min="11520" max="11520" width="14.7265625" customWidth="1"/>
    <col min="11521" max="11521" width="14.90625" customWidth="1"/>
    <col min="11522" max="11523" width="11.7265625" customWidth="1"/>
    <col min="11524" max="11524" width="11.90625" bestFit="1" customWidth="1"/>
    <col min="11526" max="11526" width="10.26953125" bestFit="1" customWidth="1"/>
    <col min="11527" max="11527" width="11.26953125" customWidth="1"/>
    <col min="11528" max="11528" width="5" customWidth="1"/>
    <col min="11529" max="11534" width="15" customWidth="1"/>
    <col min="11774" max="11774" width="5.08984375" customWidth="1"/>
    <col min="11775" max="11775" width="41.7265625" customWidth="1"/>
    <col min="11776" max="11776" width="14.7265625" customWidth="1"/>
    <col min="11777" max="11777" width="14.90625" customWidth="1"/>
    <col min="11778" max="11779" width="11.7265625" customWidth="1"/>
    <col min="11780" max="11780" width="11.90625" bestFit="1" customWidth="1"/>
    <col min="11782" max="11782" width="10.26953125" bestFit="1" customWidth="1"/>
    <col min="11783" max="11783" width="11.26953125" customWidth="1"/>
    <col min="11784" max="11784" width="5" customWidth="1"/>
    <col min="11785" max="11790" width="15" customWidth="1"/>
    <col min="12030" max="12030" width="5.08984375" customWidth="1"/>
    <col min="12031" max="12031" width="41.7265625" customWidth="1"/>
    <col min="12032" max="12032" width="14.7265625" customWidth="1"/>
    <col min="12033" max="12033" width="14.90625" customWidth="1"/>
    <col min="12034" max="12035" width="11.7265625" customWidth="1"/>
    <col min="12036" max="12036" width="11.90625" bestFit="1" customWidth="1"/>
    <col min="12038" max="12038" width="10.26953125" bestFit="1" customWidth="1"/>
    <col min="12039" max="12039" width="11.26953125" customWidth="1"/>
    <col min="12040" max="12040" width="5" customWidth="1"/>
    <col min="12041" max="12046" width="15" customWidth="1"/>
    <col min="12286" max="12286" width="5.08984375" customWidth="1"/>
    <col min="12287" max="12287" width="41.7265625" customWidth="1"/>
    <col min="12288" max="12288" width="14.7265625" customWidth="1"/>
    <col min="12289" max="12289" width="14.90625" customWidth="1"/>
    <col min="12290" max="12291" width="11.7265625" customWidth="1"/>
    <col min="12292" max="12292" width="11.90625" bestFit="1" customWidth="1"/>
    <col min="12294" max="12294" width="10.26953125" bestFit="1" customWidth="1"/>
    <col min="12295" max="12295" width="11.26953125" customWidth="1"/>
    <col min="12296" max="12296" width="5" customWidth="1"/>
    <col min="12297" max="12302" width="15" customWidth="1"/>
    <col min="12542" max="12542" width="5.08984375" customWidth="1"/>
    <col min="12543" max="12543" width="41.7265625" customWidth="1"/>
    <col min="12544" max="12544" width="14.7265625" customWidth="1"/>
    <col min="12545" max="12545" width="14.90625" customWidth="1"/>
    <col min="12546" max="12547" width="11.7265625" customWidth="1"/>
    <col min="12548" max="12548" width="11.90625" bestFit="1" customWidth="1"/>
    <col min="12550" max="12550" width="10.26953125" bestFit="1" customWidth="1"/>
    <col min="12551" max="12551" width="11.26953125" customWidth="1"/>
    <col min="12552" max="12552" width="5" customWidth="1"/>
    <col min="12553" max="12558" width="15" customWidth="1"/>
    <col min="12798" max="12798" width="5.08984375" customWidth="1"/>
    <col min="12799" max="12799" width="41.7265625" customWidth="1"/>
    <col min="12800" max="12800" width="14.7265625" customWidth="1"/>
    <col min="12801" max="12801" width="14.90625" customWidth="1"/>
    <col min="12802" max="12803" width="11.7265625" customWidth="1"/>
    <col min="12804" max="12804" width="11.90625" bestFit="1" customWidth="1"/>
    <col min="12806" max="12806" width="10.26953125" bestFit="1" customWidth="1"/>
    <col min="12807" max="12807" width="11.26953125" customWidth="1"/>
    <col min="12808" max="12808" width="5" customWidth="1"/>
    <col min="12809" max="12814" width="15" customWidth="1"/>
    <col min="13054" max="13054" width="5.08984375" customWidth="1"/>
    <col min="13055" max="13055" width="41.7265625" customWidth="1"/>
    <col min="13056" max="13056" width="14.7265625" customWidth="1"/>
    <col min="13057" max="13057" width="14.90625" customWidth="1"/>
    <col min="13058" max="13059" width="11.7265625" customWidth="1"/>
    <col min="13060" max="13060" width="11.90625" bestFit="1" customWidth="1"/>
    <col min="13062" max="13062" width="10.26953125" bestFit="1" customWidth="1"/>
    <col min="13063" max="13063" width="11.26953125" customWidth="1"/>
    <col min="13064" max="13064" width="5" customWidth="1"/>
    <col min="13065" max="13070" width="15" customWidth="1"/>
    <col min="13310" max="13310" width="5.08984375" customWidth="1"/>
    <col min="13311" max="13311" width="41.7265625" customWidth="1"/>
    <col min="13312" max="13312" width="14.7265625" customWidth="1"/>
    <col min="13313" max="13313" width="14.90625" customWidth="1"/>
    <col min="13314" max="13315" width="11.7265625" customWidth="1"/>
    <col min="13316" max="13316" width="11.90625" bestFit="1" customWidth="1"/>
    <col min="13318" max="13318" width="10.26953125" bestFit="1" customWidth="1"/>
    <col min="13319" max="13319" width="11.26953125" customWidth="1"/>
    <col min="13320" max="13320" width="5" customWidth="1"/>
    <col min="13321" max="13326" width="15" customWidth="1"/>
    <col min="13566" max="13566" width="5.08984375" customWidth="1"/>
    <col min="13567" max="13567" width="41.7265625" customWidth="1"/>
    <col min="13568" max="13568" width="14.7265625" customWidth="1"/>
    <col min="13569" max="13569" width="14.90625" customWidth="1"/>
    <col min="13570" max="13571" width="11.7265625" customWidth="1"/>
    <col min="13572" max="13572" width="11.90625" bestFit="1" customWidth="1"/>
    <col min="13574" max="13574" width="10.26953125" bestFit="1" customWidth="1"/>
    <col min="13575" max="13575" width="11.26953125" customWidth="1"/>
    <col min="13576" max="13576" width="5" customWidth="1"/>
    <col min="13577" max="13582" width="15" customWidth="1"/>
    <col min="13822" max="13822" width="5.08984375" customWidth="1"/>
    <col min="13823" max="13823" width="41.7265625" customWidth="1"/>
    <col min="13824" max="13824" width="14.7265625" customWidth="1"/>
    <col min="13825" max="13825" width="14.90625" customWidth="1"/>
    <col min="13826" max="13827" width="11.7265625" customWidth="1"/>
    <col min="13828" max="13828" width="11.90625" bestFit="1" customWidth="1"/>
    <col min="13830" max="13830" width="10.26953125" bestFit="1" customWidth="1"/>
    <col min="13831" max="13831" width="11.26953125" customWidth="1"/>
    <col min="13832" max="13832" width="5" customWidth="1"/>
    <col min="13833" max="13838" width="15" customWidth="1"/>
    <col min="14078" max="14078" width="5.08984375" customWidth="1"/>
    <col min="14079" max="14079" width="41.7265625" customWidth="1"/>
    <col min="14080" max="14080" width="14.7265625" customWidth="1"/>
    <col min="14081" max="14081" width="14.90625" customWidth="1"/>
    <col min="14082" max="14083" width="11.7265625" customWidth="1"/>
    <col min="14084" max="14084" width="11.90625" bestFit="1" customWidth="1"/>
    <col min="14086" max="14086" width="10.26953125" bestFit="1" customWidth="1"/>
    <col min="14087" max="14087" width="11.26953125" customWidth="1"/>
    <col min="14088" max="14088" width="5" customWidth="1"/>
    <col min="14089" max="14094" width="15" customWidth="1"/>
    <col min="14334" max="14334" width="5.08984375" customWidth="1"/>
    <col min="14335" max="14335" width="41.7265625" customWidth="1"/>
    <col min="14336" max="14336" width="14.7265625" customWidth="1"/>
    <col min="14337" max="14337" width="14.90625" customWidth="1"/>
    <col min="14338" max="14339" width="11.7265625" customWidth="1"/>
    <col min="14340" max="14340" width="11.90625" bestFit="1" customWidth="1"/>
    <col min="14342" max="14342" width="10.26953125" bestFit="1" customWidth="1"/>
    <col min="14343" max="14343" width="11.26953125" customWidth="1"/>
    <col min="14344" max="14344" width="5" customWidth="1"/>
    <col min="14345" max="14350" width="15" customWidth="1"/>
    <col min="14590" max="14590" width="5.08984375" customWidth="1"/>
    <col min="14591" max="14591" width="41.7265625" customWidth="1"/>
    <col min="14592" max="14592" width="14.7265625" customWidth="1"/>
    <col min="14593" max="14593" width="14.90625" customWidth="1"/>
    <col min="14594" max="14595" width="11.7265625" customWidth="1"/>
    <col min="14596" max="14596" width="11.90625" bestFit="1" customWidth="1"/>
    <col min="14598" max="14598" width="10.26953125" bestFit="1" customWidth="1"/>
    <col min="14599" max="14599" width="11.26953125" customWidth="1"/>
    <col min="14600" max="14600" width="5" customWidth="1"/>
    <col min="14601" max="14606" width="15" customWidth="1"/>
    <col min="14846" max="14846" width="5.08984375" customWidth="1"/>
    <col min="14847" max="14847" width="41.7265625" customWidth="1"/>
    <col min="14848" max="14848" width="14.7265625" customWidth="1"/>
    <col min="14849" max="14849" width="14.90625" customWidth="1"/>
    <col min="14850" max="14851" width="11.7265625" customWidth="1"/>
    <col min="14852" max="14852" width="11.90625" bestFit="1" customWidth="1"/>
    <col min="14854" max="14854" width="10.26953125" bestFit="1" customWidth="1"/>
    <col min="14855" max="14855" width="11.26953125" customWidth="1"/>
    <col min="14856" max="14856" width="5" customWidth="1"/>
    <col min="14857" max="14862" width="15" customWidth="1"/>
    <col min="15102" max="15102" width="5.08984375" customWidth="1"/>
    <col min="15103" max="15103" width="41.7265625" customWidth="1"/>
    <col min="15104" max="15104" width="14.7265625" customWidth="1"/>
    <col min="15105" max="15105" width="14.90625" customWidth="1"/>
    <col min="15106" max="15107" width="11.7265625" customWidth="1"/>
    <col min="15108" max="15108" width="11.90625" bestFit="1" customWidth="1"/>
    <col min="15110" max="15110" width="10.26953125" bestFit="1" customWidth="1"/>
    <col min="15111" max="15111" width="11.26953125" customWidth="1"/>
    <col min="15112" max="15112" width="5" customWidth="1"/>
    <col min="15113" max="15118" width="15" customWidth="1"/>
    <col min="15358" max="15358" width="5.08984375" customWidth="1"/>
    <col min="15359" max="15359" width="41.7265625" customWidth="1"/>
    <col min="15360" max="15360" width="14.7265625" customWidth="1"/>
    <col min="15361" max="15361" width="14.90625" customWidth="1"/>
    <col min="15362" max="15363" width="11.7265625" customWidth="1"/>
    <col min="15364" max="15364" width="11.90625" bestFit="1" customWidth="1"/>
    <col min="15366" max="15366" width="10.26953125" bestFit="1" customWidth="1"/>
    <col min="15367" max="15367" width="11.26953125" customWidth="1"/>
    <col min="15368" max="15368" width="5" customWidth="1"/>
    <col min="15369" max="15374" width="15" customWidth="1"/>
    <col min="15614" max="15614" width="5.08984375" customWidth="1"/>
    <col min="15615" max="15615" width="41.7265625" customWidth="1"/>
    <col min="15616" max="15616" width="14.7265625" customWidth="1"/>
    <col min="15617" max="15617" width="14.90625" customWidth="1"/>
    <col min="15618" max="15619" width="11.7265625" customWidth="1"/>
    <col min="15620" max="15620" width="11.90625" bestFit="1" customWidth="1"/>
    <col min="15622" max="15622" width="10.26953125" bestFit="1" customWidth="1"/>
    <col min="15623" max="15623" width="11.26953125" customWidth="1"/>
    <col min="15624" max="15624" width="5" customWidth="1"/>
    <col min="15625" max="15630" width="15" customWidth="1"/>
    <col min="15870" max="15870" width="5.08984375" customWidth="1"/>
    <col min="15871" max="15871" width="41.7265625" customWidth="1"/>
    <col min="15872" max="15872" width="14.7265625" customWidth="1"/>
    <col min="15873" max="15873" width="14.90625" customWidth="1"/>
    <col min="15874" max="15875" width="11.7265625" customWidth="1"/>
    <col min="15876" max="15876" width="11.90625" bestFit="1" customWidth="1"/>
    <col min="15878" max="15878" width="10.26953125" bestFit="1" customWidth="1"/>
    <col min="15879" max="15879" width="11.26953125" customWidth="1"/>
    <col min="15880" max="15880" width="5" customWidth="1"/>
    <col min="15881" max="15886" width="15" customWidth="1"/>
    <col min="16126" max="16126" width="5.08984375" customWidth="1"/>
    <col min="16127" max="16127" width="41.7265625" customWidth="1"/>
    <col min="16128" max="16128" width="14.7265625" customWidth="1"/>
    <col min="16129" max="16129" width="14.90625" customWidth="1"/>
    <col min="16130" max="16131" width="11.7265625" customWidth="1"/>
    <col min="16132" max="16132" width="11.90625" bestFit="1" customWidth="1"/>
    <col min="16134" max="16134" width="10.26953125" bestFit="1" customWidth="1"/>
    <col min="16135" max="16135" width="11.26953125" customWidth="1"/>
    <col min="16136" max="16136" width="5" customWidth="1"/>
    <col min="16137" max="16142" width="15" customWidth="1"/>
  </cols>
  <sheetData>
    <row r="1" spans="2:15" ht="26.25" customHeight="1" x14ac:dyDescent="0.5">
      <c r="B1" s="348" t="s">
        <v>0</v>
      </c>
      <c r="C1" s="349"/>
      <c r="D1" s="349"/>
      <c r="E1" s="349"/>
      <c r="F1" s="349"/>
      <c r="G1" s="349"/>
      <c r="H1" s="349"/>
      <c r="I1" s="349"/>
      <c r="J1" s="349"/>
      <c r="K1" s="349"/>
      <c r="L1" s="10"/>
      <c r="M1" s="10"/>
      <c r="N1" s="10"/>
      <c r="O1" s="10"/>
    </row>
    <row r="2" spans="2:15" ht="21.75" customHeight="1" x14ac:dyDescent="0.4">
      <c r="B2" s="50" t="s">
        <v>24</v>
      </c>
      <c r="C2" s="51"/>
      <c r="D2" s="51"/>
      <c r="E2" s="51"/>
      <c r="F2" s="51"/>
      <c r="G2" s="51"/>
      <c r="H2" s="51"/>
      <c r="I2" s="51"/>
      <c r="J2" s="12"/>
      <c r="K2" s="12"/>
      <c r="L2" s="1"/>
      <c r="M2" s="1"/>
      <c r="N2" s="1"/>
      <c r="O2" s="1"/>
    </row>
    <row r="3" spans="2:15" ht="11" customHeight="1" x14ac:dyDescent="0.35">
      <c r="L3" s="1"/>
      <c r="M3" s="1"/>
      <c r="N3" s="1"/>
      <c r="O3" s="1"/>
    </row>
    <row r="4" spans="2:15" ht="34" customHeight="1" thickBot="1" x14ac:dyDescent="0.4">
      <c r="B4" s="52" t="s">
        <v>25</v>
      </c>
      <c r="C4" s="53" t="s">
        <v>26</v>
      </c>
      <c r="D4" s="53" t="s">
        <v>27</v>
      </c>
      <c r="E4" s="53" t="s">
        <v>28</v>
      </c>
      <c r="F4" s="53" t="s">
        <v>29</v>
      </c>
      <c r="G4" s="54" t="s">
        <v>30</v>
      </c>
      <c r="H4" s="53" t="s">
        <v>31</v>
      </c>
      <c r="J4" s="52" t="s">
        <v>32</v>
      </c>
      <c r="K4" s="53" t="s">
        <v>33</v>
      </c>
      <c r="L4" s="1"/>
      <c r="M4" s="1"/>
      <c r="N4" s="1"/>
      <c r="O4" s="1"/>
    </row>
    <row r="5" spans="2:15" ht="21.75" customHeight="1" thickTop="1" x14ac:dyDescent="0.35">
      <c r="B5" t="s">
        <v>34</v>
      </c>
      <c r="C5" s="21" t="s">
        <v>35</v>
      </c>
      <c r="D5" s="22"/>
      <c r="E5" s="23">
        <v>100000</v>
      </c>
      <c r="F5" s="23">
        <v>0</v>
      </c>
      <c r="G5" s="21"/>
      <c r="H5" s="22"/>
      <c r="J5" t="s">
        <v>36</v>
      </c>
      <c r="K5" s="23">
        <v>0</v>
      </c>
      <c r="L5" s="1"/>
      <c r="M5" s="1"/>
      <c r="N5" s="1"/>
      <c r="O5" s="1"/>
    </row>
    <row r="6" spans="2:15" ht="21.75" customHeight="1" x14ac:dyDescent="0.35">
      <c r="B6" t="s">
        <v>14</v>
      </c>
      <c r="C6" s="21" t="s">
        <v>37</v>
      </c>
      <c r="D6" s="24">
        <v>5</v>
      </c>
      <c r="E6" s="25">
        <v>180000</v>
      </c>
      <c r="F6" s="25">
        <v>180000</v>
      </c>
      <c r="G6" s="21">
        <f>+F6/$F$13</f>
        <v>0.18367346938775511</v>
      </c>
      <c r="H6" s="26">
        <f>+F6/$C$15</f>
        <v>1.5</v>
      </c>
      <c r="J6" t="s">
        <v>38</v>
      </c>
      <c r="K6" s="23">
        <v>740000</v>
      </c>
      <c r="L6" s="1"/>
      <c r="M6" s="1"/>
      <c r="N6" s="1"/>
      <c r="O6" s="1"/>
    </row>
    <row r="7" spans="2:15" ht="21.75" customHeight="1" x14ac:dyDescent="0.35">
      <c r="B7" t="s">
        <v>22</v>
      </c>
      <c r="C7" s="21" t="s">
        <v>39</v>
      </c>
      <c r="D7" s="24">
        <v>7</v>
      </c>
      <c r="E7" s="28">
        <v>200000</v>
      </c>
      <c r="F7" s="28">
        <v>200000</v>
      </c>
      <c r="G7" s="29">
        <f>+F7/$F$13</f>
        <v>0.20408163265306123</v>
      </c>
      <c r="H7" s="30">
        <f t="shared" ref="H7:H10" si="0">+F7/$C$15</f>
        <v>1.6666666666666667</v>
      </c>
      <c r="J7" t="s">
        <v>40</v>
      </c>
      <c r="K7" s="23">
        <v>220000</v>
      </c>
      <c r="L7" s="31"/>
      <c r="M7" s="31"/>
      <c r="N7" s="31"/>
      <c r="O7" s="31"/>
    </row>
    <row r="8" spans="2:15" ht="21.75" customHeight="1" x14ac:dyDescent="0.35">
      <c r="B8" t="s">
        <v>41</v>
      </c>
      <c r="C8" s="21"/>
      <c r="D8" s="24"/>
      <c r="E8" s="25">
        <f>SUM(E5:E7)</f>
        <v>480000</v>
      </c>
      <c r="F8" s="25">
        <f>SUM(F6:F7)</f>
        <v>380000</v>
      </c>
      <c r="G8" s="21">
        <f>+F8/$F$13</f>
        <v>0.38775510204081631</v>
      </c>
      <c r="H8" s="26">
        <f t="shared" si="0"/>
        <v>3.1666666666666665</v>
      </c>
      <c r="J8" t="s">
        <v>42</v>
      </c>
      <c r="K8" s="23">
        <v>20000</v>
      </c>
    </row>
    <row r="9" spans="2:15" ht="21.75" customHeight="1" x14ac:dyDescent="0.35">
      <c r="B9" t="s">
        <v>43</v>
      </c>
      <c r="C9" s="32" t="s">
        <v>44</v>
      </c>
      <c r="D9" s="24"/>
      <c r="E9" s="28">
        <v>200000</v>
      </c>
      <c r="F9" s="28">
        <v>200000</v>
      </c>
      <c r="G9" s="29">
        <f>+F9/$F$13</f>
        <v>0.20408163265306123</v>
      </c>
      <c r="H9" s="30">
        <f t="shared" si="0"/>
        <v>1.6666666666666667</v>
      </c>
      <c r="K9" s="55"/>
    </row>
    <row r="10" spans="2:15" ht="21.75" customHeight="1" x14ac:dyDescent="0.35">
      <c r="B10" s="33" t="s">
        <v>45</v>
      </c>
      <c r="C10" s="34"/>
      <c r="D10" s="35"/>
      <c r="E10" s="36">
        <f>+E9+E8</f>
        <v>680000</v>
      </c>
      <c r="F10" s="36">
        <f>+F9+F8</f>
        <v>580000</v>
      </c>
      <c r="G10" s="37">
        <f>+F10/$F$13</f>
        <v>0.59183673469387754</v>
      </c>
      <c r="H10" s="38">
        <f t="shared" si="0"/>
        <v>4.833333333333333</v>
      </c>
      <c r="K10" s="55"/>
    </row>
    <row r="11" spans="2:15" ht="7.75" customHeight="1" x14ac:dyDescent="0.35">
      <c r="B11" s="33"/>
      <c r="C11" s="34"/>
      <c r="D11" s="35"/>
      <c r="E11" s="33"/>
      <c r="F11" s="33"/>
      <c r="G11" s="39"/>
      <c r="H11" s="40"/>
      <c r="K11" s="55"/>
    </row>
    <row r="12" spans="2:15" ht="21.75" customHeight="1" x14ac:dyDescent="0.35">
      <c r="B12" s="33" t="s">
        <v>46</v>
      </c>
      <c r="C12" s="34"/>
      <c r="D12" s="35"/>
      <c r="E12" s="23">
        <v>400000</v>
      </c>
      <c r="F12" s="23">
        <v>400000</v>
      </c>
      <c r="G12" s="21">
        <f>+F12/$F$13</f>
        <v>0.40816326530612246</v>
      </c>
      <c r="H12" s="22">
        <f>+F12/C15</f>
        <v>3.3333333333333335</v>
      </c>
      <c r="K12" s="55"/>
    </row>
    <row r="13" spans="2:15" ht="21.75" customHeight="1" thickBot="1" x14ac:dyDescent="0.4">
      <c r="B13" s="4" t="s">
        <v>47</v>
      </c>
      <c r="C13" s="34"/>
      <c r="D13" s="35"/>
      <c r="E13" s="41">
        <f>+E12+E10</f>
        <v>1080000</v>
      </c>
      <c r="F13" s="41">
        <f>+F12+F10</f>
        <v>980000</v>
      </c>
      <c r="G13" s="42">
        <f>+F13/$F$13</f>
        <v>1</v>
      </c>
      <c r="H13" s="43">
        <f>+F13/C15</f>
        <v>8.1666666666666661</v>
      </c>
      <c r="J13" s="4" t="s">
        <v>48</v>
      </c>
      <c r="K13" s="56">
        <f>SUM(K5:K12)</f>
        <v>980000</v>
      </c>
    </row>
    <row r="14" spans="2:15" ht="21.75" customHeight="1" thickTop="1" x14ac:dyDescent="0.35">
      <c r="C14" s="44"/>
      <c r="D14" s="35"/>
      <c r="E14" s="44"/>
    </row>
    <row r="15" spans="2:15" ht="21.75" customHeight="1" x14ac:dyDescent="0.35">
      <c r="B15" s="45" t="s">
        <v>49</v>
      </c>
      <c r="C15" s="46">
        <v>120000</v>
      </c>
      <c r="D15" s="47"/>
      <c r="E15" s="47"/>
      <c r="F15" s="44"/>
      <c r="J15" s="48"/>
    </row>
    <row r="16" spans="2:15" ht="21.75" customHeight="1" x14ac:dyDescent="0.35">
      <c r="B16" s="45"/>
      <c r="F16" s="49"/>
      <c r="K16" s="330" t="s">
        <v>50</v>
      </c>
    </row>
    <row r="17" spans="2:6" ht="21.75" customHeight="1" x14ac:dyDescent="0.35">
      <c r="B17" s="45"/>
      <c r="F17" s="49"/>
    </row>
    <row r="18" spans="2:6" ht="21.75" customHeight="1" x14ac:dyDescent="0.35"/>
    <row r="19" spans="2:6" ht="21.75" customHeight="1" x14ac:dyDescent="0.35"/>
    <row r="20" spans="2:6" ht="21.75" customHeight="1" x14ac:dyDescent="0.35"/>
    <row r="21" spans="2:6" ht="21.75" customHeight="1" x14ac:dyDescent="0.35"/>
    <row r="22" spans="2:6" ht="21.75" customHeight="1" x14ac:dyDescent="0.35"/>
    <row r="23" spans="2:6" ht="21.75" customHeight="1" x14ac:dyDescent="0.35"/>
    <row r="24" spans="2:6" ht="21.75" customHeight="1" x14ac:dyDescent="0.35"/>
    <row r="25" spans="2:6" ht="21.75" customHeight="1" x14ac:dyDescent="0.35"/>
    <row r="26" spans="2:6" ht="21.75" customHeight="1" x14ac:dyDescent="0.35"/>
    <row r="27" spans="2:6" ht="21.75" customHeight="1" x14ac:dyDescent="0.35"/>
    <row r="28" spans="2:6" ht="21.75" customHeight="1" x14ac:dyDescent="0.35"/>
    <row r="29" spans="2:6" ht="21.75" customHeight="1" x14ac:dyDescent="0.35"/>
    <row r="30" spans="2:6" ht="21.75" customHeight="1" x14ac:dyDescent="0.35"/>
    <row r="31" spans="2:6" ht="21.75" customHeight="1" x14ac:dyDescent="0.35"/>
    <row r="32" spans="2:6" ht="21.75" customHeight="1" x14ac:dyDescent="0.35"/>
    <row r="33" ht="21.75" customHeight="1" x14ac:dyDescent="0.35"/>
    <row r="34" ht="21.75" customHeight="1" x14ac:dyDescent="0.35"/>
    <row r="35" ht="21.75" customHeight="1" x14ac:dyDescent="0.35"/>
    <row r="36" ht="21.75" customHeight="1" x14ac:dyDescent="0.35"/>
    <row r="37" ht="21.75" customHeight="1" x14ac:dyDescent="0.35"/>
    <row r="38" ht="21.75" customHeight="1" x14ac:dyDescent="0.35"/>
    <row r="39" ht="21.75" customHeight="1" x14ac:dyDescent="0.35"/>
    <row r="40" ht="21.75" customHeight="1" x14ac:dyDescent="0.35"/>
    <row r="41" ht="21.75" customHeight="1" x14ac:dyDescent="0.35"/>
    <row r="42" ht="21.75" customHeight="1" x14ac:dyDescent="0.35"/>
    <row r="43" ht="21.75" customHeight="1" x14ac:dyDescent="0.35"/>
    <row r="44" ht="21.75" customHeight="1" x14ac:dyDescent="0.35"/>
    <row r="45" ht="21.75" customHeight="1" x14ac:dyDescent="0.35"/>
    <row r="46" ht="21.75" customHeight="1" x14ac:dyDescent="0.35"/>
    <row r="47" ht="21.75" customHeight="1" x14ac:dyDescent="0.35"/>
    <row r="48" ht="21.75" customHeight="1" x14ac:dyDescent="0.35"/>
    <row r="49" ht="21.75" customHeight="1" x14ac:dyDescent="0.35"/>
    <row r="50" ht="21.75" customHeight="1" x14ac:dyDescent="0.35"/>
    <row r="51" ht="21.75" customHeight="1" x14ac:dyDescent="0.35"/>
    <row r="52" ht="21.75" customHeight="1" x14ac:dyDescent="0.35"/>
    <row r="53" ht="21.75" customHeight="1" x14ac:dyDescent="0.35"/>
    <row r="54" ht="21.75" customHeight="1" x14ac:dyDescent="0.35"/>
    <row r="55" ht="21.75" customHeight="1" x14ac:dyDescent="0.35"/>
    <row r="56" ht="21.75" customHeight="1" x14ac:dyDescent="0.35"/>
    <row r="57" ht="21.75" customHeight="1" x14ac:dyDescent="0.35"/>
    <row r="58" ht="21.75" customHeight="1" x14ac:dyDescent="0.35"/>
    <row r="59" ht="21.75" customHeight="1" x14ac:dyDescent="0.35"/>
    <row r="60" ht="21.75" customHeight="1" x14ac:dyDescent="0.35"/>
    <row r="61" ht="21.75" customHeight="1" x14ac:dyDescent="0.35"/>
    <row r="62" ht="21.75" customHeight="1" x14ac:dyDescent="0.35"/>
    <row r="63" ht="21.75" customHeight="1" x14ac:dyDescent="0.35"/>
    <row r="64" ht="21.75" customHeight="1" x14ac:dyDescent="0.35"/>
    <row r="65" ht="21.75" customHeight="1" x14ac:dyDescent="0.35"/>
    <row r="66" ht="21.75" customHeight="1" x14ac:dyDescent="0.35"/>
    <row r="67" ht="21.75" customHeight="1" x14ac:dyDescent="0.35"/>
    <row r="68" ht="21.75" customHeight="1" x14ac:dyDescent="0.35"/>
    <row r="69" ht="21.75" customHeight="1" x14ac:dyDescent="0.35"/>
    <row r="70" ht="21.75" customHeight="1" x14ac:dyDescent="0.35"/>
  </sheetData>
  <mergeCells count="1">
    <mergeCell ref="B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A1B19-9669-421F-A1B7-5C80873AEC25}">
  <dimension ref="B2:H36"/>
  <sheetViews>
    <sheetView showGridLines="0" workbookViewId="0">
      <selection activeCell="B2" sqref="B2:H36"/>
    </sheetView>
  </sheetViews>
  <sheetFormatPr defaultRowHeight="14.5" x14ac:dyDescent="0.35"/>
  <cols>
    <col min="2" max="2" width="26.36328125" customWidth="1"/>
    <col min="3" max="3" width="9.81640625" customWidth="1"/>
    <col min="4" max="4" width="10.54296875" customWidth="1"/>
    <col min="5" max="5" width="3.54296875" customWidth="1"/>
    <col min="7" max="7" width="3.54296875" customWidth="1"/>
    <col min="9" max="9" width="2.90625" customWidth="1"/>
  </cols>
  <sheetData>
    <row r="2" spans="2:8" ht="18.5" x14ac:dyDescent="0.45">
      <c r="B2" s="57" t="s">
        <v>51</v>
      </c>
    </row>
    <row r="4" spans="2:8" ht="29" x14ac:dyDescent="0.35">
      <c r="B4" s="58" t="s">
        <v>52</v>
      </c>
      <c r="C4" s="59"/>
      <c r="D4" s="60" t="s">
        <v>53</v>
      </c>
      <c r="E4" s="61"/>
      <c r="F4" s="60" t="s">
        <v>54</v>
      </c>
      <c r="G4" s="61"/>
      <c r="H4" s="60" t="s">
        <v>55</v>
      </c>
    </row>
    <row r="5" spans="2:8" x14ac:dyDescent="0.35">
      <c r="C5" s="351" t="s">
        <v>56</v>
      </c>
      <c r="D5" s="10"/>
      <c r="E5" s="10"/>
      <c r="F5" s="10"/>
      <c r="G5" s="10"/>
      <c r="H5" s="10"/>
    </row>
    <row r="6" spans="2:8" x14ac:dyDescent="0.35">
      <c r="B6" t="s">
        <v>57</v>
      </c>
      <c r="C6" s="351"/>
      <c r="D6" s="10" t="s">
        <v>58</v>
      </c>
      <c r="E6" s="10"/>
      <c r="F6" s="10" t="s">
        <v>59</v>
      </c>
      <c r="G6" s="10"/>
      <c r="H6" s="10" t="s">
        <v>58</v>
      </c>
    </row>
    <row r="7" spans="2:8" x14ac:dyDescent="0.35">
      <c r="B7" s="62"/>
      <c r="C7" s="351"/>
      <c r="D7" s="63"/>
      <c r="E7" s="63"/>
      <c r="F7" s="63"/>
      <c r="G7" s="63"/>
      <c r="H7" s="63"/>
    </row>
    <row r="8" spans="2:8" x14ac:dyDescent="0.35">
      <c r="B8" t="s">
        <v>60</v>
      </c>
      <c r="C8" s="351"/>
      <c r="D8" s="10" t="s">
        <v>61</v>
      </c>
      <c r="E8" s="10"/>
      <c r="F8" s="10" t="s">
        <v>62</v>
      </c>
      <c r="G8" s="10"/>
      <c r="H8" s="10" t="s">
        <v>61</v>
      </c>
    </row>
    <row r="9" spans="2:8" x14ac:dyDescent="0.35">
      <c r="C9" s="351"/>
      <c r="D9" s="10" t="s">
        <v>63</v>
      </c>
      <c r="E9" s="10"/>
      <c r="F9" s="10" t="s">
        <v>64</v>
      </c>
      <c r="G9" s="10"/>
      <c r="H9" s="10" t="s">
        <v>63</v>
      </c>
    </row>
    <row r="10" spans="2:8" x14ac:dyDescent="0.35">
      <c r="C10" s="351"/>
      <c r="D10" s="10" t="s">
        <v>65</v>
      </c>
      <c r="E10" s="10"/>
      <c r="F10" s="10" t="s">
        <v>66</v>
      </c>
      <c r="G10" s="10"/>
      <c r="H10" s="10" t="s">
        <v>65</v>
      </c>
    </row>
    <row r="11" spans="2:8" x14ac:dyDescent="0.35">
      <c r="B11" s="62"/>
      <c r="C11" s="351"/>
      <c r="D11" s="63"/>
      <c r="E11" s="63"/>
      <c r="F11" s="63"/>
      <c r="G11" s="63"/>
      <c r="H11" s="63"/>
    </row>
    <row r="12" spans="2:8" x14ac:dyDescent="0.35">
      <c r="B12" t="s">
        <v>67</v>
      </c>
      <c r="C12" s="351"/>
      <c r="D12" s="10" t="s">
        <v>68</v>
      </c>
      <c r="E12" s="10"/>
      <c r="F12" s="10" t="s">
        <v>69</v>
      </c>
      <c r="G12" s="10"/>
      <c r="H12" s="10" t="s">
        <v>68</v>
      </c>
    </row>
    <row r="13" spans="2:8" x14ac:dyDescent="0.35">
      <c r="C13" s="351"/>
      <c r="D13" s="10" t="s">
        <v>70</v>
      </c>
      <c r="E13" s="10"/>
      <c r="F13" s="10" t="s">
        <v>71</v>
      </c>
      <c r="G13" s="10"/>
      <c r="H13" s="10" t="s">
        <v>70</v>
      </c>
    </row>
    <row r="14" spans="2:8" x14ac:dyDescent="0.35">
      <c r="C14" s="351"/>
      <c r="D14" s="10" t="s">
        <v>72</v>
      </c>
      <c r="E14" s="10"/>
      <c r="F14" s="10" t="s">
        <v>73</v>
      </c>
      <c r="G14" s="10"/>
      <c r="H14" s="10" t="s">
        <v>72</v>
      </c>
    </row>
    <row r="15" spans="2:8" x14ac:dyDescent="0.35">
      <c r="B15" s="62"/>
      <c r="C15" s="351"/>
      <c r="D15" s="63"/>
      <c r="E15" s="63"/>
      <c r="F15" s="63"/>
      <c r="G15" s="63"/>
      <c r="H15" s="63"/>
    </row>
    <row r="16" spans="2:8" x14ac:dyDescent="0.35">
      <c r="B16" t="s">
        <v>74</v>
      </c>
      <c r="C16" s="351"/>
      <c r="D16" s="10" t="s">
        <v>75</v>
      </c>
      <c r="E16" s="10"/>
      <c r="F16" s="10" t="s">
        <v>76</v>
      </c>
      <c r="G16" s="10"/>
      <c r="H16" s="10" t="s">
        <v>75</v>
      </c>
    </row>
    <row r="17" spans="2:8" x14ac:dyDescent="0.35">
      <c r="C17" s="351"/>
      <c r="D17" s="10" t="s">
        <v>77</v>
      </c>
      <c r="E17" s="10"/>
      <c r="F17" s="10" t="s">
        <v>78</v>
      </c>
      <c r="G17" s="10"/>
      <c r="H17" s="10" t="s">
        <v>77</v>
      </c>
    </row>
    <row r="18" spans="2:8" x14ac:dyDescent="0.35">
      <c r="C18" s="351"/>
      <c r="D18" s="10" t="s">
        <v>79</v>
      </c>
      <c r="E18" s="10"/>
      <c r="F18" s="10" t="s">
        <v>80</v>
      </c>
      <c r="G18" s="10"/>
      <c r="H18" s="10" t="s">
        <v>79</v>
      </c>
    </row>
    <row r="19" spans="2:8" x14ac:dyDescent="0.35">
      <c r="B19" s="62"/>
      <c r="C19" s="351"/>
      <c r="D19" s="63"/>
      <c r="E19" s="63"/>
      <c r="F19" s="63"/>
      <c r="G19" s="63"/>
      <c r="H19" s="63"/>
    </row>
    <row r="20" spans="2:8" x14ac:dyDescent="0.35">
      <c r="B20" t="s">
        <v>81</v>
      </c>
      <c r="C20" s="352" t="s">
        <v>82</v>
      </c>
      <c r="D20" s="10" t="s">
        <v>83</v>
      </c>
      <c r="E20" s="10"/>
      <c r="F20" s="10" t="s">
        <v>84</v>
      </c>
      <c r="G20" s="10"/>
      <c r="H20" s="10" t="s">
        <v>83</v>
      </c>
    </row>
    <row r="21" spans="2:8" x14ac:dyDescent="0.35">
      <c r="C21" s="353"/>
      <c r="D21" s="10" t="s">
        <v>85</v>
      </c>
      <c r="E21" s="10"/>
      <c r="F21" s="10" t="s">
        <v>86</v>
      </c>
      <c r="G21" s="10"/>
      <c r="H21" s="10" t="s">
        <v>85</v>
      </c>
    </row>
    <row r="22" spans="2:8" x14ac:dyDescent="0.35">
      <c r="C22" s="353"/>
      <c r="D22" s="10" t="s">
        <v>87</v>
      </c>
      <c r="E22" s="10"/>
      <c r="F22" s="10" t="s">
        <v>88</v>
      </c>
      <c r="G22" s="10"/>
      <c r="H22" s="10" t="s">
        <v>87</v>
      </c>
    </row>
    <row r="23" spans="2:8" x14ac:dyDescent="0.35">
      <c r="B23" s="62"/>
      <c r="C23" s="353"/>
      <c r="D23" s="63"/>
      <c r="E23" s="63"/>
      <c r="F23" s="63"/>
      <c r="G23" s="63"/>
      <c r="H23" s="63"/>
    </row>
    <row r="24" spans="2:8" x14ac:dyDescent="0.35">
      <c r="B24" t="s">
        <v>89</v>
      </c>
      <c r="C24" s="353"/>
      <c r="D24" s="10" t="s">
        <v>90</v>
      </c>
      <c r="E24" s="10"/>
      <c r="F24" s="10" t="s">
        <v>91</v>
      </c>
      <c r="G24" s="10"/>
      <c r="H24" s="10" t="s">
        <v>90</v>
      </c>
    </row>
    <row r="25" spans="2:8" x14ac:dyDescent="0.35">
      <c r="C25" s="353"/>
      <c r="D25" s="10" t="s">
        <v>92</v>
      </c>
      <c r="E25" s="10"/>
      <c r="F25" s="10" t="s">
        <v>93</v>
      </c>
      <c r="G25" s="10"/>
      <c r="H25" s="10" t="s">
        <v>92</v>
      </c>
    </row>
    <row r="26" spans="2:8" x14ac:dyDescent="0.35">
      <c r="C26" s="353"/>
      <c r="D26" s="10" t="s">
        <v>94</v>
      </c>
      <c r="E26" s="10"/>
      <c r="F26" s="10" t="s">
        <v>95</v>
      </c>
      <c r="G26" s="10"/>
      <c r="H26" s="10" t="s">
        <v>94</v>
      </c>
    </row>
    <row r="27" spans="2:8" x14ac:dyDescent="0.35">
      <c r="B27" s="64"/>
      <c r="C27" s="354"/>
      <c r="D27" s="65"/>
      <c r="E27" s="63"/>
      <c r="F27" s="63"/>
      <c r="G27" s="63"/>
      <c r="H27" s="63"/>
    </row>
    <row r="28" spans="2:8" x14ac:dyDescent="0.35">
      <c r="B28" t="s">
        <v>96</v>
      </c>
      <c r="C28" s="355" t="s">
        <v>97</v>
      </c>
      <c r="D28" s="10" t="s">
        <v>98</v>
      </c>
      <c r="E28" s="10"/>
      <c r="F28" s="10" t="s">
        <v>99</v>
      </c>
      <c r="G28" s="10"/>
      <c r="H28" s="10" t="s">
        <v>100</v>
      </c>
    </row>
    <row r="29" spans="2:8" x14ac:dyDescent="0.35">
      <c r="C29" s="353"/>
      <c r="D29" s="10" t="s">
        <v>100</v>
      </c>
      <c r="E29" s="10"/>
      <c r="F29" s="10"/>
      <c r="G29" s="10"/>
      <c r="H29" s="10"/>
    </row>
    <row r="30" spans="2:8" x14ac:dyDescent="0.35">
      <c r="C30" s="353"/>
      <c r="D30" s="10" t="s">
        <v>101</v>
      </c>
    </row>
    <row r="31" spans="2:8" x14ac:dyDescent="0.35">
      <c r="C31" s="353"/>
      <c r="D31" s="10" t="s">
        <v>102</v>
      </c>
    </row>
    <row r="32" spans="2:8" x14ac:dyDescent="0.35">
      <c r="C32" s="353"/>
      <c r="D32" s="10" t="s">
        <v>103</v>
      </c>
    </row>
    <row r="33" spans="2:8" x14ac:dyDescent="0.35">
      <c r="B33" s="62"/>
      <c r="C33" s="356"/>
      <c r="D33" s="62"/>
      <c r="E33" s="62"/>
      <c r="F33" s="62"/>
      <c r="G33" s="62"/>
      <c r="H33" s="62"/>
    </row>
    <row r="34" spans="2:8" x14ac:dyDescent="0.35">
      <c r="B34" t="s">
        <v>104</v>
      </c>
      <c r="C34" s="66" t="s">
        <v>105</v>
      </c>
      <c r="D34" s="10" t="s">
        <v>106</v>
      </c>
      <c r="F34" s="10" t="s">
        <v>106</v>
      </c>
      <c r="H34" t="s">
        <v>107</v>
      </c>
    </row>
    <row r="35" spans="2:8" x14ac:dyDescent="0.35">
      <c r="B35" s="62"/>
      <c r="C35" s="67"/>
      <c r="D35" s="62"/>
      <c r="E35" s="62"/>
      <c r="F35" s="62"/>
      <c r="G35" s="62"/>
      <c r="H35" s="62"/>
    </row>
    <row r="36" spans="2:8" x14ac:dyDescent="0.35">
      <c r="H36" s="330" t="s">
        <v>108</v>
      </c>
    </row>
  </sheetData>
  <mergeCells count="3">
    <mergeCell ref="C5:C19"/>
    <mergeCell ref="C20:C27"/>
    <mergeCell ref="C28:C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3009-FA42-42A6-9B88-6671CED89DD9}">
  <dimension ref="B3:N22"/>
  <sheetViews>
    <sheetView showGridLines="0" workbookViewId="0">
      <selection activeCell="G24" sqref="G24"/>
    </sheetView>
  </sheetViews>
  <sheetFormatPr defaultRowHeight="14.5" x14ac:dyDescent="0.35"/>
  <cols>
    <col min="1" max="1" width="4" customWidth="1"/>
    <col min="2" max="2" width="9.7265625" customWidth="1"/>
    <col min="3" max="3" width="8.7265625" customWidth="1"/>
    <col min="4" max="4" width="9.7265625" customWidth="1"/>
    <col min="5" max="5" width="8.7265625" customWidth="1"/>
    <col min="6" max="6" width="9.7265625" customWidth="1"/>
    <col min="7" max="7" width="8.7265625" customWidth="1"/>
    <col min="8" max="8" width="9.7265625" customWidth="1"/>
    <col min="9" max="9" width="8.7265625" customWidth="1"/>
    <col min="10" max="10" width="9.7265625" customWidth="1"/>
    <col min="11" max="11" width="8.7265625" customWidth="1"/>
    <col min="12" max="12" width="9.7265625" customWidth="1"/>
    <col min="13" max="13" width="1.54296875" customWidth="1"/>
    <col min="14" max="14" width="11.7265625" customWidth="1"/>
  </cols>
  <sheetData>
    <row r="3" spans="2:14" ht="18.5" x14ac:dyDescent="0.45">
      <c r="B3" s="76" t="s">
        <v>119</v>
      </c>
      <c r="C3" s="72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" thickBot="1" x14ac:dyDescent="0.4"/>
    <row r="5" spans="2:14" ht="15" thickTop="1" x14ac:dyDescent="0.35">
      <c r="B5" s="359" t="s">
        <v>126</v>
      </c>
      <c r="C5" s="360"/>
      <c r="E5" s="363" t="s">
        <v>109</v>
      </c>
      <c r="F5" s="364"/>
      <c r="H5" s="74" t="s">
        <v>124</v>
      </c>
      <c r="N5" s="74"/>
    </row>
    <row r="6" spans="2:14" ht="15" thickBot="1" x14ac:dyDescent="0.4">
      <c r="B6" s="361"/>
      <c r="C6" s="362"/>
      <c r="E6" s="365"/>
      <c r="F6" s="366"/>
      <c r="N6" s="74"/>
    </row>
    <row r="7" spans="2:14" ht="27.5" customHeight="1" thickTop="1" thickBot="1" x14ac:dyDescent="0.4">
      <c r="B7" s="77"/>
      <c r="C7" s="77"/>
      <c r="D7" s="62"/>
      <c r="E7" s="77"/>
      <c r="F7" s="77"/>
      <c r="G7" s="62"/>
      <c r="H7" s="77"/>
      <c r="I7" s="77"/>
      <c r="J7" s="62"/>
      <c r="K7" s="62"/>
      <c r="L7" s="62"/>
      <c r="M7" s="62"/>
      <c r="N7" s="59"/>
    </row>
    <row r="8" spans="2:14" ht="14.75" customHeight="1" x14ac:dyDescent="0.35">
      <c r="B8" s="367" t="s">
        <v>110</v>
      </c>
      <c r="C8" s="368"/>
      <c r="E8" s="367" t="s">
        <v>111</v>
      </c>
      <c r="F8" s="368"/>
      <c r="H8" s="367" t="s">
        <v>112</v>
      </c>
      <c r="I8" s="368"/>
      <c r="N8" s="74" t="s">
        <v>121</v>
      </c>
    </row>
    <row r="9" spans="2:14" ht="23" customHeight="1" thickBot="1" x14ac:dyDescent="0.4">
      <c r="B9" s="369"/>
      <c r="C9" s="370"/>
      <c r="E9" s="369"/>
      <c r="F9" s="370"/>
      <c r="H9" s="369"/>
      <c r="I9" s="370"/>
      <c r="N9" s="74"/>
    </row>
    <row r="10" spans="2:14" ht="30.75" customHeight="1" thickBot="1" x14ac:dyDescent="0.4">
      <c r="B10" s="77"/>
      <c r="C10" s="62"/>
      <c r="D10" s="77"/>
      <c r="E10" s="62"/>
      <c r="F10" s="77"/>
      <c r="G10" s="62"/>
      <c r="H10" s="77"/>
      <c r="I10" s="62"/>
      <c r="J10" s="77"/>
      <c r="K10" s="62"/>
      <c r="L10" s="77"/>
      <c r="M10" s="62"/>
      <c r="N10" s="59"/>
    </row>
    <row r="11" spans="2:14" x14ac:dyDescent="0.35">
      <c r="B11" s="357" t="s">
        <v>113</v>
      </c>
      <c r="D11" s="357" t="s">
        <v>114</v>
      </c>
      <c r="F11" s="357" t="s">
        <v>115</v>
      </c>
      <c r="H11" s="357" t="s">
        <v>116</v>
      </c>
      <c r="J11" s="357" t="s">
        <v>117</v>
      </c>
      <c r="L11" s="357" t="s">
        <v>118</v>
      </c>
      <c r="N11" s="74" t="s">
        <v>122</v>
      </c>
    </row>
    <row r="12" spans="2:14" ht="15" thickBot="1" x14ac:dyDescent="0.4">
      <c r="B12" s="358"/>
      <c r="D12" s="358"/>
      <c r="F12" s="358"/>
      <c r="H12" s="358"/>
      <c r="J12" s="358"/>
      <c r="L12" s="358"/>
      <c r="N12" s="74"/>
    </row>
    <row r="13" spans="2:14" ht="21.75" customHeight="1" x14ac:dyDescent="0.35">
      <c r="N13" s="74"/>
    </row>
    <row r="14" spans="2:14" ht="15" thickBot="1" x14ac:dyDescent="0.4">
      <c r="B14" s="77"/>
      <c r="C14" s="62"/>
      <c r="D14" s="77"/>
      <c r="E14" s="62"/>
      <c r="F14" s="77"/>
      <c r="G14" s="62"/>
      <c r="H14" s="77"/>
      <c r="I14" s="62"/>
      <c r="J14" s="77"/>
      <c r="K14" s="62"/>
      <c r="L14" s="77"/>
      <c r="M14" s="62"/>
      <c r="N14" s="59"/>
    </row>
    <row r="15" spans="2:14" ht="26.5" thickBot="1" x14ac:dyDescent="0.4">
      <c r="B15" s="78" t="s">
        <v>120</v>
      </c>
      <c r="D15" s="78" t="s">
        <v>120</v>
      </c>
      <c r="F15" s="78" t="s">
        <v>120</v>
      </c>
      <c r="H15" s="78" t="s">
        <v>120</v>
      </c>
      <c r="J15" s="78" t="s">
        <v>120</v>
      </c>
      <c r="L15" s="78" t="s">
        <v>120</v>
      </c>
      <c r="N15" s="75" t="s">
        <v>123</v>
      </c>
    </row>
    <row r="16" spans="2:14" ht="7.75" customHeight="1" thickBot="1" x14ac:dyDescent="0.4">
      <c r="N16" s="74"/>
    </row>
    <row r="17" spans="2:14" ht="27" thickTop="1" thickBot="1" x14ac:dyDescent="0.4">
      <c r="B17" s="73" t="s">
        <v>120</v>
      </c>
      <c r="D17" s="73" t="s">
        <v>120</v>
      </c>
      <c r="F17" s="73" t="s">
        <v>120</v>
      </c>
      <c r="H17" s="73" t="s">
        <v>120</v>
      </c>
      <c r="J17" s="73" t="s">
        <v>120</v>
      </c>
      <c r="L17" s="73" t="s">
        <v>120</v>
      </c>
      <c r="N17" s="74"/>
    </row>
    <row r="18" spans="2:14" ht="7.75" customHeight="1" thickTop="1" thickBot="1" x14ac:dyDescent="0.4"/>
    <row r="19" spans="2:14" ht="27" thickTop="1" thickBot="1" x14ac:dyDescent="0.4">
      <c r="B19" s="73" t="s">
        <v>120</v>
      </c>
      <c r="D19" s="73" t="s">
        <v>120</v>
      </c>
      <c r="F19" s="73" t="s">
        <v>120</v>
      </c>
      <c r="H19" s="73" t="s">
        <v>120</v>
      </c>
      <c r="J19" s="73" t="s">
        <v>120</v>
      </c>
      <c r="L19" s="73" t="s">
        <v>120</v>
      </c>
    </row>
    <row r="20" spans="2:14" ht="7.75" customHeight="1" thickTop="1" thickBot="1" x14ac:dyDescent="0.4"/>
    <row r="21" spans="2:14" ht="27" thickTop="1" thickBot="1" x14ac:dyDescent="0.4">
      <c r="B21" s="73" t="s">
        <v>120</v>
      </c>
      <c r="D21" s="73" t="s">
        <v>120</v>
      </c>
      <c r="F21" s="73" t="s">
        <v>120</v>
      </c>
      <c r="H21" s="73" t="s">
        <v>120</v>
      </c>
      <c r="J21" s="73" t="s">
        <v>120</v>
      </c>
      <c r="L21" s="73" t="s">
        <v>120</v>
      </c>
    </row>
    <row r="22" spans="2:14" ht="15" thickTop="1" x14ac:dyDescent="0.35">
      <c r="N22" s="330" t="s">
        <v>125</v>
      </c>
    </row>
  </sheetData>
  <mergeCells count="11">
    <mergeCell ref="J11:J12"/>
    <mergeCell ref="L11:L12"/>
    <mergeCell ref="B5:C6"/>
    <mergeCell ref="E5:F6"/>
    <mergeCell ref="B8:C9"/>
    <mergeCell ref="E8:F9"/>
    <mergeCell ref="H8:I9"/>
    <mergeCell ref="B11:B12"/>
    <mergeCell ref="D11:D12"/>
    <mergeCell ref="F11:F12"/>
    <mergeCell ref="H11:H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FA3A-4807-4791-A092-8B915815EC6F}">
  <dimension ref="B1:G26"/>
  <sheetViews>
    <sheetView showGridLines="0" workbookViewId="0">
      <selection activeCell="I33" sqref="I33"/>
    </sheetView>
  </sheetViews>
  <sheetFormatPr defaultRowHeight="14.5" x14ac:dyDescent="0.35"/>
  <cols>
    <col min="1" max="1" width="3.26953125" customWidth="1"/>
    <col min="2" max="2" width="24.36328125" customWidth="1"/>
    <col min="3" max="3" width="2.81640625" customWidth="1"/>
    <col min="8" max="8" width="3.26953125" customWidth="1"/>
  </cols>
  <sheetData>
    <row r="1" spans="2:7" ht="18.5" x14ac:dyDescent="0.45">
      <c r="B1" s="57" t="s">
        <v>127</v>
      </c>
    </row>
    <row r="2" spans="2:7" ht="18.5" x14ac:dyDescent="0.45">
      <c r="B2" s="57"/>
    </row>
    <row r="3" spans="2:7" x14ac:dyDescent="0.35">
      <c r="B3" s="132" t="s">
        <v>167</v>
      </c>
      <c r="C3" s="133"/>
      <c r="D3" s="133"/>
      <c r="E3" s="133"/>
      <c r="F3" s="133"/>
      <c r="G3" s="133"/>
    </row>
    <row r="4" spans="2:7" ht="8.75" customHeight="1" x14ac:dyDescent="0.35"/>
    <row r="5" spans="2:7" ht="15" thickBot="1" x14ac:dyDescent="0.4">
      <c r="B5" s="129" t="s">
        <v>128</v>
      </c>
      <c r="C5" s="130"/>
      <c r="D5" s="131">
        <v>2015</v>
      </c>
      <c r="E5" s="131">
        <v>2016</v>
      </c>
      <c r="F5" s="131">
        <v>2017</v>
      </c>
      <c r="G5" s="131">
        <v>2018</v>
      </c>
    </row>
    <row r="6" spans="2:7" ht="15.5" thickTop="1" thickBot="1" x14ac:dyDescent="0.4">
      <c r="B6" s="79" t="s">
        <v>129</v>
      </c>
    </row>
    <row r="7" spans="2:7" ht="15" thickTop="1" x14ac:dyDescent="0.35">
      <c r="B7" s="74" t="s">
        <v>130</v>
      </c>
      <c r="D7" s="80">
        <v>6692.9</v>
      </c>
      <c r="E7" s="80">
        <v>5882.5</v>
      </c>
      <c r="F7" s="80">
        <v>6080.5</v>
      </c>
      <c r="G7" s="80">
        <v>6818.2</v>
      </c>
    </row>
    <row r="8" spans="2:7" x14ac:dyDescent="0.35">
      <c r="B8" s="81" t="s">
        <v>131</v>
      </c>
      <c r="C8" s="81"/>
      <c r="D8" s="81"/>
      <c r="E8" s="82">
        <f>+E7/D7-1</f>
        <v>-0.12108353628471957</v>
      </c>
      <c r="F8" s="82">
        <f>+F7/E7-1</f>
        <v>3.3659158521037069E-2</v>
      </c>
      <c r="G8" s="82">
        <f>+G7/F7-1</f>
        <v>0.1213222596825918</v>
      </c>
    </row>
    <row r="9" spans="2:7" ht="9.75" customHeight="1" x14ac:dyDescent="0.35"/>
    <row r="10" spans="2:7" x14ac:dyDescent="0.35">
      <c r="B10" t="s">
        <v>132</v>
      </c>
      <c r="D10" s="83">
        <v>6032</v>
      </c>
      <c r="E10" s="83">
        <v>5064.7</v>
      </c>
      <c r="F10" s="83">
        <v>5359.7</v>
      </c>
      <c r="G10" s="83">
        <v>5911</v>
      </c>
    </row>
    <row r="11" spans="2:7" x14ac:dyDescent="0.35">
      <c r="B11" t="s">
        <v>133</v>
      </c>
      <c r="D11" s="80">
        <f>+D7-D10</f>
        <v>660.89999999999964</v>
      </c>
      <c r="E11" s="80">
        <f t="shared" ref="E11:G11" si="0">+E7-E10</f>
        <v>817.80000000000018</v>
      </c>
      <c r="F11" s="80">
        <f t="shared" si="0"/>
        <v>720.80000000000018</v>
      </c>
      <c r="G11" s="80">
        <f t="shared" si="0"/>
        <v>907.19999999999982</v>
      </c>
    </row>
    <row r="12" spans="2:7" x14ac:dyDescent="0.35">
      <c r="B12" t="s">
        <v>261</v>
      </c>
      <c r="D12" s="34">
        <f>+D11/D7</f>
        <v>9.8746432786983168E-2</v>
      </c>
      <c r="E12" s="34">
        <f t="shared" ref="E12:G12" si="1">+E11/E7</f>
        <v>0.13902252443688912</v>
      </c>
      <c r="F12" s="34">
        <f t="shared" si="1"/>
        <v>0.11854288298659653</v>
      </c>
      <c r="G12" s="34">
        <f t="shared" si="1"/>
        <v>0.13305564518494614</v>
      </c>
    </row>
    <row r="14" spans="2:7" x14ac:dyDescent="0.35">
      <c r="B14" t="s">
        <v>134</v>
      </c>
      <c r="D14" s="83">
        <v>86.7</v>
      </c>
      <c r="E14" s="83">
        <v>230.2</v>
      </c>
      <c r="F14" s="83">
        <v>220</v>
      </c>
      <c r="G14" s="83">
        <v>364.4</v>
      </c>
    </row>
    <row r="15" spans="2:7" x14ac:dyDescent="0.35">
      <c r="B15" t="s">
        <v>135</v>
      </c>
      <c r="D15" s="34">
        <f>+D14/D7</f>
        <v>1.2954025908051817E-2</v>
      </c>
      <c r="E15" s="34">
        <f t="shared" ref="E15:G15" si="2">+E14/E7</f>
        <v>3.9133021674458139E-2</v>
      </c>
      <c r="F15" s="34">
        <f t="shared" si="2"/>
        <v>3.6181235095798042E-2</v>
      </c>
      <c r="G15" s="34">
        <f t="shared" si="2"/>
        <v>5.3445190812824499E-2</v>
      </c>
    </row>
    <row r="17" spans="2:7" ht="15" thickBot="1" x14ac:dyDescent="0.4">
      <c r="B17" s="84" t="s">
        <v>136</v>
      </c>
    </row>
    <row r="18" spans="2:7" ht="6.75" customHeight="1" thickTop="1" x14ac:dyDescent="0.35"/>
    <row r="19" spans="2:7" x14ac:dyDescent="0.35">
      <c r="B19" t="s">
        <v>137</v>
      </c>
      <c r="D19" s="80">
        <f>201.7+14.3+21.2</f>
        <v>237.2</v>
      </c>
      <c r="E19" s="80">
        <f>201.7+14.9+18.4</f>
        <v>235</v>
      </c>
      <c r="F19" s="80">
        <f>209.8+16.2+24.1</f>
        <v>250.1</v>
      </c>
      <c r="G19" s="80">
        <v>252.2</v>
      </c>
    </row>
    <row r="20" spans="2:7" x14ac:dyDescent="0.35">
      <c r="B20" t="s">
        <v>140</v>
      </c>
      <c r="D20" s="80">
        <v>-50.196749999999994</v>
      </c>
      <c r="E20" s="80">
        <v>-44.118749999999999</v>
      </c>
      <c r="F20" s="80">
        <v>-45.603749999999998</v>
      </c>
      <c r="G20" s="80">
        <v>-51.136499999999998</v>
      </c>
    </row>
    <row r="21" spans="2:7" x14ac:dyDescent="0.35">
      <c r="B21" t="s">
        <v>138</v>
      </c>
      <c r="D21" s="80">
        <v>-99</v>
      </c>
      <c r="E21" s="80">
        <v>-127.6</v>
      </c>
      <c r="F21" s="80">
        <v>-152.5</v>
      </c>
      <c r="G21" s="80">
        <v>-152</v>
      </c>
    </row>
    <row r="23" spans="2:7" ht="15" thickBot="1" x14ac:dyDescent="0.4">
      <c r="B23" s="84" t="s">
        <v>139</v>
      </c>
    </row>
    <row r="24" spans="2:7" ht="15" thickTop="1" x14ac:dyDescent="0.35">
      <c r="B24" t="s">
        <v>45</v>
      </c>
      <c r="E24" s="80">
        <f>41.3+1816.6</f>
        <v>1857.8999999999999</v>
      </c>
      <c r="F24" s="80">
        <f>40.1+2110.1</f>
        <v>2150.1999999999998</v>
      </c>
      <c r="G24" s="80">
        <v>2354.1</v>
      </c>
    </row>
    <row r="26" spans="2:7" x14ac:dyDescent="0.35">
      <c r="G26" s="330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09D0-D209-4114-87C5-B8E823C0C083}">
  <dimension ref="A1:L24"/>
  <sheetViews>
    <sheetView showGridLines="0" workbookViewId="0">
      <selection activeCell="O19" sqref="O19"/>
    </sheetView>
  </sheetViews>
  <sheetFormatPr defaultRowHeight="14.5" x14ac:dyDescent="0.35"/>
  <cols>
    <col min="1" max="1" width="3.54296875" customWidth="1"/>
    <col min="2" max="2" width="33.7265625" customWidth="1"/>
    <col min="3" max="3" width="10.7265625" customWidth="1"/>
    <col min="4" max="4" width="9.36328125" customWidth="1"/>
    <col min="5" max="5" width="10.54296875" customWidth="1"/>
    <col min="6" max="6" width="11.54296875" customWidth="1"/>
    <col min="7" max="7" width="10.7265625" style="10" customWidth="1"/>
    <col min="8" max="8" width="10.08984375" customWidth="1"/>
    <col min="9" max="9" width="9.7265625" style="10" customWidth="1"/>
    <col min="10" max="11" width="10.26953125" style="10" customWidth="1"/>
    <col min="12" max="12" width="11.54296875" customWidth="1"/>
    <col min="13" max="13" width="11.08984375" customWidth="1"/>
  </cols>
  <sheetData>
    <row r="1" spans="1:12" ht="18.5" x14ac:dyDescent="0.45">
      <c r="A1" s="10"/>
      <c r="B1" s="57" t="s">
        <v>127</v>
      </c>
      <c r="C1" s="85"/>
    </row>
    <row r="3" spans="1:12" x14ac:dyDescent="0.35">
      <c r="A3" s="10"/>
      <c r="B3" s="132" t="s">
        <v>169</v>
      </c>
      <c r="C3" s="135"/>
      <c r="D3" s="135"/>
      <c r="E3" s="135"/>
      <c r="F3" s="135"/>
      <c r="G3" s="136"/>
      <c r="H3" s="135"/>
      <c r="I3" s="136"/>
      <c r="J3" s="136"/>
    </row>
    <row r="4" spans="1:12" s="88" customFormat="1" ht="15.5" x14ac:dyDescent="0.35">
      <c r="A4" s="86"/>
      <c r="B4" s="87"/>
      <c r="C4" s="33"/>
      <c r="D4" s="33"/>
      <c r="E4" s="33"/>
      <c r="F4" s="33"/>
      <c r="G4" s="39"/>
      <c r="H4" s="33"/>
      <c r="I4" s="39"/>
      <c r="J4" s="39"/>
      <c r="K4" s="10"/>
      <c r="L4"/>
    </row>
    <row r="5" spans="1:12" s="88" customFormat="1" ht="58.5" thickBot="1" x14ac:dyDescent="0.4">
      <c r="A5" s="86"/>
      <c r="B5" s="129" t="s">
        <v>141</v>
      </c>
      <c r="C5" s="129" t="s">
        <v>142</v>
      </c>
      <c r="D5" s="129" t="s">
        <v>143</v>
      </c>
      <c r="E5" s="137" t="s">
        <v>144</v>
      </c>
      <c r="F5" s="129" t="s">
        <v>145</v>
      </c>
      <c r="G5" s="129" t="s">
        <v>146</v>
      </c>
      <c r="H5" s="129" t="s">
        <v>147</v>
      </c>
      <c r="I5" s="129" t="s">
        <v>148</v>
      </c>
      <c r="K5" s="10"/>
      <c r="L5"/>
    </row>
    <row r="6" spans="1:12" s="88" customFormat="1" ht="15" thickTop="1" x14ac:dyDescent="0.35">
      <c r="A6" s="86"/>
      <c r="B6" t="s">
        <v>149</v>
      </c>
      <c r="C6" s="89">
        <v>3</v>
      </c>
      <c r="D6" s="90">
        <v>0.33333299999999999</v>
      </c>
      <c r="E6" s="89">
        <f>+C6*(1+D6)</f>
        <v>3.9999990000000003</v>
      </c>
      <c r="F6" s="91">
        <v>316.31</v>
      </c>
      <c r="G6" s="92">
        <f>+F6*E6</f>
        <v>1265.23968369</v>
      </c>
      <c r="H6" s="93">
        <f>+G6/$G$9</f>
        <v>0.3377528737025301</v>
      </c>
      <c r="I6" s="94"/>
      <c r="K6" s="10"/>
      <c r="L6"/>
    </row>
    <row r="7" spans="1:12" s="88" customFormat="1" x14ac:dyDescent="0.35">
      <c r="A7" s="86"/>
      <c r="B7" t="s">
        <v>150</v>
      </c>
      <c r="C7" s="33"/>
      <c r="D7" s="33"/>
      <c r="E7" s="39"/>
      <c r="F7" s="33"/>
      <c r="G7" s="92">
        <f>+'[1]Fig. 9.1'!G21</f>
        <v>2354.1</v>
      </c>
      <c r="H7" s="93">
        <f>+G7/$G$9</f>
        <v>0.62842167395844717</v>
      </c>
      <c r="I7" s="94"/>
      <c r="K7" s="10"/>
      <c r="L7"/>
    </row>
    <row r="8" spans="1:12" s="88" customFormat="1" x14ac:dyDescent="0.35">
      <c r="A8" s="86"/>
      <c r="B8" t="s">
        <v>42</v>
      </c>
      <c r="C8" s="95">
        <v>3.5000000000000003E-2</v>
      </c>
      <c r="D8" s="33"/>
      <c r="E8" s="39"/>
      <c r="F8" s="33"/>
      <c r="G8" s="96">
        <f>+C8*(1+G6+G7)</f>
        <v>126.71188892915002</v>
      </c>
      <c r="H8" s="93">
        <f>+G8/$G$9</f>
        <v>3.3825452339022677E-2</v>
      </c>
      <c r="I8" s="94"/>
      <c r="K8" s="10"/>
      <c r="L8"/>
    </row>
    <row r="9" spans="1:12" s="88" customFormat="1" ht="15" thickBot="1" x14ac:dyDescent="0.4">
      <c r="A9" s="86"/>
      <c r="B9" t="s">
        <v>151</v>
      </c>
      <c r="C9" s="33"/>
      <c r="D9" s="33"/>
      <c r="E9" s="39"/>
      <c r="F9" s="33"/>
      <c r="G9" s="97">
        <f>SUM(G6:G8)</f>
        <v>3746.0515726191502</v>
      </c>
      <c r="H9" s="98">
        <f>+G9/$G$9</f>
        <v>1</v>
      </c>
      <c r="I9" s="227">
        <f>+G9/J17</f>
        <v>6.0753350188439033</v>
      </c>
      <c r="J9" s="88" t="s">
        <v>264</v>
      </c>
      <c r="K9" s="10"/>
      <c r="L9"/>
    </row>
    <row r="10" spans="1:12" s="88" customFormat="1" ht="15" thickTop="1" x14ac:dyDescent="0.35">
      <c r="A10" s="86"/>
      <c r="B10"/>
      <c r="C10" s="33"/>
      <c r="D10" s="33"/>
      <c r="E10" s="39"/>
      <c r="F10" s="33"/>
      <c r="G10" s="39"/>
      <c r="J10" s="228" t="s">
        <v>265</v>
      </c>
      <c r="K10" s="10"/>
      <c r="L10"/>
    </row>
    <row r="11" spans="1:12" s="88" customFormat="1" ht="58.5" thickBot="1" x14ac:dyDescent="0.4">
      <c r="A11" s="86"/>
      <c r="B11" s="129" t="s">
        <v>152</v>
      </c>
      <c r="C11" s="129" t="s">
        <v>153</v>
      </c>
      <c r="D11" s="129" t="s">
        <v>154</v>
      </c>
      <c r="E11" s="137" t="s">
        <v>168</v>
      </c>
      <c r="F11" s="129" t="s">
        <v>155</v>
      </c>
      <c r="G11" s="86"/>
      <c r="I11" s="86"/>
      <c r="J11" s="39"/>
      <c r="K11" s="10"/>
      <c r="L11"/>
    </row>
    <row r="12" spans="1:12" s="88" customFormat="1" ht="15.5" thickTop="1" thickBot="1" x14ac:dyDescent="0.4">
      <c r="A12" s="86"/>
      <c r="B12" s="99" t="s">
        <v>156</v>
      </c>
      <c r="C12" s="117">
        <v>0</v>
      </c>
      <c r="D12" s="118" t="s">
        <v>408</v>
      </c>
      <c r="E12" s="96">
        <f>ROUND(+C12*$J$17,0)</f>
        <v>0</v>
      </c>
      <c r="F12" s="100">
        <f t="shared" ref="F12:F17" si="0">+E12/$E$17</f>
        <v>0</v>
      </c>
      <c r="G12" s="86"/>
      <c r="H12" s="86"/>
      <c r="I12" s="86"/>
      <c r="J12" s="86"/>
      <c r="K12" s="86"/>
      <c r="L12" s="86"/>
    </row>
    <row r="13" spans="1:12" s="88" customFormat="1" ht="15" thickBot="1" x14ac:dyDescent="0.4">
      <c r="A13" s="86"/>
      <c r="B13" t="s">
        <v>22</v>
      </c>
      <c r="C13" s="117">
        <v>2</v>
      </c>
      <c r="D13" s="118" t="s">
        <v>408</v>
      </c>
      <c r="E13" s="96">
        <f>ROUND(+C13*$J$17,0)</f>
        <v>1233</v>
      </c>
      <c r="F13" s="100">
        <f t="shared" si="0"/>
        <v>0.32914656301379103</v>
      </c>
      <c r="G13" s="86"/>
      <c r="H13" s="101" t="s">
        <v>158</v>
      </c>
      <c r="I13" s="102"/>
      <c r="J13" s="125">
        <v>0.28000000000000003</v>
      </c>
      <c r="L13"/>
    </row>
    <row r="14" spans="1:12" s="88" customFormat="1" ht="15" thickBot="1" x14ac:dyDescent="0.4">
      <c r="A14" s="86"/>
      <c r="B14" t="s">
        <v>159</v>
      </c>
      <c r="C14" s="119">
        <v>1</v>
      </c>
      <c r="D14" s="120">
        <v>8.5000000000000006E-2</v>
      </c>
      <c r="E14" s="103">
        <f>ROUND(+C14*$J$17,0)</f>
        <v>617</v>
      </c>
      <c r="F14" s="104">
        <f t="shared" si="0"/>
        <v>0.16470675537673077</v>
      </c>
      <c r="G14" s="86"/>
      <c r="L14"/>
    </row>
    <row r="15" spans="1:12" s="88" customFormat="1" x14ac:dyDescent="0.35">
      <c r="A15" s="86"/>
      <c r="B15" t="s">
        <v>160</v>
      </c>
      <c r="C15" s="121">
        <f>+E15/J17</f>
        <v>3.0003243593902047</v>
      </c>
      <c r="D15" s="120"/>
      <c r="E15" s="105">
        <f>+E14+E13</f>
        <v>1850</v>
      </c>
      <c r="F15" s="104">
        <f t="shared" si="0"/>
        <v>0.49385331839052177</v>
      </c>
      <c r="G15" s="86"/>
      <c r="H15" s="106" t="s">
        <v>161</v>
      </c>
      <c r="I15" s="107"/>
      <c r="J15" s="108">
        <f>+'Fig. 9.5'!G14</f>
        <v>364.4</v>
      </c>
      <c r="L15"/>
    </row>
    <row r="16" spans="1:12" s="88" customFormat="1" x14ac:dyDescent="0.35">
      <c r="A16" s="86"/>
      <c r="B16" t="s">
        <v>162</v>
      </c>
      <c r="C16" s="117">
        <f>+E16/J17</f>
        <v>3.0750106594536986</v>
      </c>
      <c r="D16" s="122"/>
      <c r="E16" s="96">
        <f>+E17-E14-E13</f>
        <v>1896.0515726191502</v>
      </c>
      <c r="F16" s="100">
        <f t="shared" si="0"/>
        <v>0.50614668160947818</v>
      </c>
      <c r="G16" s="86"/>
      <c r="H16" s="109" t="s">
        <v>163</v>
      </c>
      <c r="I16" s="110"/>
      <c r="J16" s="111">
        <f>+'Fig. 9.5'!G19</f>
        <v>252.2</v>
      </c>
      <c r="L16"/>
    </row>
    <row r="17" spans="1:12" s="88" customFormat="1" ht="15" thickBot="1" x14ac:dyDescent="0.4">
      <c r="A17" s="86"/>
      <c r="B17" t="s">
        <v>164</v>
      </c>
      <c r="C17" s="123">
        <f>+E17/J17</f>
        <v>6.0753350188439033</v>
      </c>
      <c r="D17" s="124"/>
      <c r="E17" s="112">
        <f>+G9</f>
        <v>3746.0515726191502</v>
      </c>
      <c r="F17" s="113">
        <f t="shared" si="0"/>
        <v>1</v>
      </c>
      <c r="G17" s="86"/>
      <c r="H17" s="114" t="s">
        <v>165</v>
      </c>
      <c r="I17" s="115"/>
      <c r="J17" s="116">
        <f>+J16+J15</f>
        <v>616.59999999999991</v>
      </c>
      <c r="L17"/>
    </row>
    <row r="18" spans="1:12" s="88" customFormat="1" x14ac:dyDescent="0.35">
      <c r="A18" s="86"/>
      <c r="B18"/>
      <c r="C18" s="33"/>
      <c r="D18" s="33"/>
      <c r="E18" s="33"/>
      <c r="F18" s="33"/>
      <c r="G18" s="39"/>
      <c r="H18" s="39"/>
      <c r="I18" s="39"/>
      <c r="J18" s="39"/>
      <c r="L18"/>
    </row>
    <row r="19" spans="1:12" s="88" customFormat="1" x14ac:dyDescent="0.35">
      <c r="B19"/>
      <c r="C19" s="33"/>
      <c r="D19" s="33"/>
      <c r="E19"/>
      <c r="G19" s="86"/>
      <c r="H19" s="86"/>
      <c r="I19" s="39"/>
      <c r="J19" s="45" t="s">
        <v>166</v>
      </c>
      <c r="L19" s="33"/>
    </row>
    <row r="20" spans="1:12" s="88" customFormat="1" x14ac:dyDescent="0.35">
      <c r="B20"/>
      <c r="C20" s="33"/>
      <c r="D20" s="33"/>
      <c r="E20"/>
      <c r="G20" s="86"/>
      <c r="I20" s="86"/>
      <c r="J20" s="86"/>
      <c r="K20" s="86"/>
    </row>
    <row r="21" spans="1:12" s="88" customFormat="1" x14ac:dyDescent="0.35">
      <c r="B21"/>
      <c r="C21" s="33"/>
      <c r="D21" s="33"/>
      <c r="E21"/>
      <c r="G21" s="86"/>
      <c r="I21" s="86"/>
      <c r="J21" s="86"/>
      <c r="K21" s="86"/>
    </row>
    <row r="22" spans="1:12" s="88" customFormat="1" x14ac:dyDescent="0.35">
      <c r="B22"/>
      <c r="C22" s="33"/>
      <c r="D22" s="33"/>
      <c r="E22"/>
      <c r="G22" s="86"/>
      <c r="I22" s="86"/>
      <c r="J22" s="86"/>
      <c r="K22" s="86"/>
    </row>
    <row r="23" spans="1:12" s="88" customFormat="1" x14ac:dyDescent="0.35">
      <c r="B23"/>
      <c r="C23" s="33"/>
      <c r="D23" s="33"/>
      <c r="E23"/>
      <c r="F23"/>
      <c r="G23" s="10"/>
      <c r="I23" s="86"/>
      <c r="J23" s="86"/>
      <c r="K23" s="86"/>
    </row>
    <row r="24" spans="1:12" s="88" customFormat="1" x14ac:dyDescent="0.35">
      <c r="B24"/>
      <c r="C24" s="33"/>
      <c r="D24" s="33"/>
      <c r="E24"/>
      <c r="F24"/>
      <c r="G24" s="10"/>
      <c r="I24" s="86"/>
      <c r="J24" s="86"/>
      <c r="K24" s="8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C62A3-B0C5-43C1-A94E-D5BA699DCA1E}">
  <dimension ref="B1:H46"/>
  <sheetViews>
    <sheetView showGridLines="0" workbookViewId="0">
      <selection activeCell="O28" sqref="O28"/>
    </sheetView>
  </sheetViews>
  <sheetFormatPr defaultRowHeight="14.5" x14ac:dyDescent="0.35"/>
  <cols>
    <col min="1" max="1" width="6.7265625" customWidth="1"/>
    <col min="2" max="2" width="32.08984375" bestFit="1" customWidth="1"/>
    <col min="3" max="3" width="10" bestFit="1" customWidth="1"/>
    <col min="4" max="4" width="4.81640625" customWidth="1"/>
    <col min="5" max="5" width="7" bestFit="1" customWidth="1"/>
    <col min="6" max="6" width="6.36328125" bestFit="1" customWidth="1"/>
    <col min="7" max="7" width="4.81640625" customWidth="1"/>
    <col min="8" max="8" width="10.36328125" bestFit="1" customWidth="1"/>
  </cols>
  <sheetData>
    <row r="1" spans="2:8" ht="18.5" x14ac:dyDescent="0.45">
      <c r="B1" s="57" t="s">
        <v>127</v>
      </c>
    </row>
    <row r="3" spans="2:8" x14ac:dyDescent="0.35">
      <c r="H3" s="146" t="s">
        <v>170</v>
      </c>
    </row>
    <row r="4" spans="2:8" ht="43" customHeight="1" x14ac:dyDescent="0.35">
      <c r="B4" s="74" t="s">
        <v>171</v>
      </c>
      <c r="C4" s="144" t="s">
        <v>172</v>
      </c>
      <c r="D4" s="138"/>
      <c r="E4" s="371" t="s">
        <v>173</v>
      </c>
      <c r="F4" s="372"/>
      <c r="G4" s="69"/>
      <c r="H4" s="144" t="s">
        <v>174</v>
      </c>
    </row>
    <row r="5" spans="2:8" x14ac:dyDescent="0.35">
      <c r="C5" s="145">
        <v>2018</v>
      </c>
      <c r="D5" s="10"/>
      <c r="E5" s="145" t="s">
        <v>175</v>
      </c>
      <c r="F5" s="145" t="s">
        <v>176</v>
      </c>
      <c r="G5" s="10"/>
      <c r="H5" s="145">
        <f>+C5</f>
        <v>2018</v>
      </c>
    </row>
    <row r="6" spans="2:8" x14ac:dyDescent="0.35">
      <c r="B6" s="74" t="s">
        <v>177</v>
      </c>
      <c r="F6" s="7"/>
    </row>
    <row r="7" spans="2:8" x14ac:dyDescent="0.35">
      <c r="B7" s="7" t="s">
        <v>178</v>
      </c>
      <c r="C7" s="7">
        <v>48.6</v>
      </c>
      <c r="D7" s="7"/>
      <c r="E7" s="44"/>
      <c r="F7" s="7"/>
      <c r="H7" s="44">
        <f>+C7+E7-F7</f>
        <v>48.6</v>
      </c>
    </row>
    <row r="8" spans="2:8" x14ac:dyDescent="0.35">
      <c r="B8" s="7" t="s">
        <v>179</v>
      </c>
      <c r="C8" s="7">
        <v>635.79999999999995</v>
      </c>
      <c r="D8" s="7"/>
      <c r="E8" s="7"/>
      <c r="F8" s="7"/>
      <c r="H8" s="44">
        <f t="shared" ref="H8:H10" si="0">+C8+E8-F8</f>
        <v>635.79999999999995</v>
      </c>
    </row>
    <row r="9" spans="2:8" x14ac:dyDescent="0.35">
      <c r="B9" s="7" t="s">
        <v>180</v>
      </c>
      <c r="C9" s="7">
        <v>1419.9</v>
      </c>
      <c r="D9" s="7"/>
      <c r="E9" s="7"/>
      <c r="F9" s="7"/>
      <c r="H9" s="44">
        <f t="shared" si="0"/>
        <v>1419.9</v>
      </c>
    </row>
    <row r="10" spans="2:8" x14ac:dyDescent="0.35">
      <c r="B10" s="7" t="s">
        <v>181</v>
      </c>
      <c r="C10" s="139">
        <v>97</v>
      </c>
      <c r="D10" s="7"/>
      <c r="E10" s="7"/>
      <c r="F10" s="7"/>
      <c r="H10" s="44">
        <f t="shared" si="0"/>
        <v>97</v>
      </c>
    </row>
    <row r="11" spans="2:8" x14ac:dyDescent="0.35">
      <c r="B11" s="7" t="s">
        <v>182</v>
      </c>
      <c r="C11" s="140">
        <f>SUM(C7:C10)</f>
        <v>2201.3000000000002</v>
      </c>
      <c r="D11" s="7"/>
      <c r="E11" s="7"/>
      <c r="F11" s="7"/>
      <c r="H11" s="140">
        <f>SUM(H7:H10)</f>
        <v>2201.3000000000002</v>
      </c>
    </row>
    <row r="12" spans="2:8" x14ac:dyDescent="0.35">
      <c r="B12" s="7"/>
      <c r="C12" s="7"/>
      <c r="D12" s="7"/>
      <c r="E12" s="7"/>
      <c r="F12" s="7"/>
    </row>
    <row r="13" spans="2:8" x14ac:dyDescent="0.35">
      <c r="B13" s="7" t="s">
        <v>183</v>
      </c>
      <c r="C13" s="7">
        <v>1911.6</v>
      </c>
      <c r="D13" s="7"/>
      <c r="E13" s="7"/>
      <c r="F13" s="7"/>
      <c r="H13" s="44">
        <f t="shared" ref="H13:H18" si="1">+C13+E13-F13</f>
        <v>1911.6</v>
      </c>
    </row>
    <row r="14" spans="2:8" x14ac:dyDescent="0.35">
      <c r="B14" s="7" t="s">
        <v>184</v>
      </c>
      <c r="C14" s="7">
        <v>80.5</v>
      </c>
      <c r="D14" s="7"/>
      <c r="E14" s="7"/>
      <c r="F14" s="7"/>
      <c r="H14" s="44">
        <f t="shared" si="1"/>
        <v>80.5</v>
      </c>
    </row>
    <row r="15" spans="2:8" x14ac:dyDescent="0.35">
      <c r="B15" s="7" t="s">
        <v>185</v>
      </c>
      <c r="C15" s="7">
        <v>255</v>
      </c>
      <c r="D15" s="7"/>
      <c r="E15" s="7">
        <f>+'[1]Fig. 9.2'!G6-'[1]Fig 9.3'!C43</f>
        <v>1213.2396836900004</v>
      </c>
      <c r="F15" s="7"/>
      <c r="H15" s="44">
        <f t="shared" si="1"/>
        <v>1468.2396836900004</v>
      </c>
    </row>
    <row r="16" spans="2:8" x14ac:dyDescent="0.35">
      <c r="B16" s="7" t="s">
        <v>186</v>
      </c>
      <c r="C16" s="7">
        <v>0</v>
      </c>
      <c r="D16" s="7"/>
      <c r="E16" s="7">
        <f>+'[1]Fig. 9.2'!G8</f>
        <v>126.71188892915002</v>
      </c>
      <c r="F16" s="7"/>
      <c r="H16" s="44"/>
    </row>
    <row r="17" spans="2:8" x14ac:dyDescent="0.35">
      <c r="B17" s="7" t="s">
        <v>187</v>
      </c>
      <c r="C17" s="7">
        <v>43.9</v>
      </c>
      <c r="D17" s="7"/>
      <c r="E17" s="7"/>
      <c r="F17" s="7"/>
      <c r="H17" s="44">
        <f t="shared" si="1"/>
        <v>43.9</v>
      </c>
    </row>
    <row r="18" spans="2:8" x14ac:dyDescent="0.35">
      <c r="B18" s="7" t="s">
        <v>188</v>
      </c>
      <c r="C18" s="7">
        <v>23.4</v>
      </c>
      <c r="D18" s="7"/>
      <c r="E18" s="7"/>
      <c r="F18" s="7"/>
      <c r="H18" s="44">
        <f t="shared" si="1"/>
        <v>23.4</v>
      </c>
    </row>
    <row r="19" spans="2:8" ht="15" thickBot="1" x14ac:dyDescent="0.4">
      <c r="B19" s="7" t="s">
        <v>189</v>
      </c>
      <c r="C19" s="141">
        <f>SUM(C11:C18)</f>
        <v>4515.6999999999989</v>
      </c>
      <c r="D19" s="7"/>
      <c r="E19" s="7"/>
      <c r="F19" s="7"/>
      <c r="H19" s="141">
        <f>SUM(H11:H18)</f>
        <v>5728.9396836899996</v>
      </c>
    </row>
    <row r="20" spans="2:8" ht="15" thickTop="1" x14ac:dyDescent="0.35">
      <c r="B20" s="7"/>
      <c r="C20" s="7"/>
      <c r="D20" s="7"/>
      <c r="E20" s="7"/>
      <c r="F20" s="7"/>
    </row>
    <row r="21" spans="2:8" x14ac:dyDescent="0.35">
      <c r="B21" s="142" t="s">
        <v>190</v>
      </c>
      <c r="C21" s="7"/>
      <c r="D21" s="7"/>
      <c r="E21" s="7"/>
      <c r="F21" s="7"/>
    </row>
    <row r="22" spans="2:8" x14ac:dyDescent="0.35">
      <c r="B22" s="7" t="s">
        <v>191</v>
      </c>
      <c r="C22" s="7">
        <v>801</v>
      </c>
      <c r="D22" s="7"/>
      <c r="E22" s="7"/>
      <c r="F22" s="7"/>
      <c r="H22" s="44">
        <f>+C22-E22+F22</f>
        <v>801</v>
      </c>
    </row>
    <row r="23" spans="2:8" x14ac:dyDescent="0.35">
      <c r="B23" s="7" t="s">
        <v>192</v>
      </c>
      <c r="C23" s="7">
        <v>15.1</v>
      </c>
      <c r="D23" s="7"/>
      <c r="E23" s="7"/>
      <c r="F23" s="7"/>
      <c r="H23" s="44">
        <f t="shared" ref="H23:H24" si="2">+C23-E23+F23</f>
        <v>15.1</v>
      </c>
    </row>
    <row r="24" spans="2:8" x14ac:dyDescent="0.35">
      <c r="B24" s="7" t="s">
        <v>193</v>
      </c>
      <c r="C24" s="139">
        <v>0</v>
      </c>
      <c r="D24" s="7"/>
      <c r="E24" s="7"/>
      <c r="F24" s="7"/>
      <c r="H24" s="44">
        <f t="shared" si="2"/>
        <v>0</v>
      </c>
    </row>
    <row r="25" spans="2:8" x14ac:dyDescent="0.35">
      <c r="B25" s="7" t="s">
        <v>194</v>
      </c>
      <c r="C25" s="140">
        <f>SUM(C22:C24)</f>
        <v>816.1</v>
      </c>
      <c r="D25" s="7"/>
      <c r="E25" s="7"/>
      <c r="F25" s="7"/>
      <c r="H25" s="140">
        <f>SUM(H22:H24)</f>
        <v>816.1</v>
      </c>
    </row>
    <row r="26" spans="2:8" x14ac:dyDescent="0.35">
      <c r="B26" s="7"/>
      <c r="C26" s="7"/>
      <c r="D26" s="7"/>
      <c r="E26" s="7"/>
      <c r="F26" s="7"/>
    </row>
    <row r="27" spans="2:8" x14ac:dyDescent="0.35">
      <c r="B27" s="7" t="s">
        <v>195</v>
      </c>
      <c r="C27" s="7">
        <f>+'[1]Fig. 9.2'!G7</f>
        <v>2354.1</v>
      </c>
      <c r="D27" s="7"/>
      <c r="E27" s="7">
        <f>+C27</f>
        <v>2354.1</v>
      </c>
      <c r="F27" s="7"/>
      <c r="H27" s="44">
        <f t="shared" ref="H27:H34" si="3">+C27-E27+F27</f>
        <v>0</v>
      </c>
    </row>
    <row r="28" spans="2:8" x14ac:dyDescent="0.35">
      <c r="B28" s="7" t="s">
        <v>196</v>
      </c>
      <c r="C28" s="7"/>
      <c r="D28" s="7"/>
      <c r="E28" s="7"/>
      <c r="F28" s="7">
        <f>+'[1]Fig. 9.2'!E12</f>
        <v>0</v>
      </c>
      <c r="H28" s="44">
        <f t="shared" si="3"/>
        <v>0</v>
      </c>
    </row>
    <row r="29" spans="2:8" x14ac:dyDescent="0.35">
      <c r="B29" s="7" t="s">
        <v>22</v>
      </c>
      <c r="C29" s="7"/>
      <c r="D29" s="7"/>
      <c r="E29" s="7"/>
      <c r="F29" s="7">
        <f>+'[1]Fig. 9.2'!E13</f>
        <v>1233</v>
      </c>
      <c r="H29" s="44">
        <f t="shared" si="3"/>
        <v>1233</v>
      </c>
    </row>
    <row r="30" spans="2:8" x14ac:dyDescent="0.35">
      <c r="B30" s="7" t="s">
        <v>197</v>
      </c>
      <c r="C30" s="7"/>
      <c r="D30" s="7"/>
      <c r="E30" s="7"/>
      <c r="F30" s="7">
        <f>+'[1]Fig. 9.2'!E14</f>
        <v>617</v>
      </c>
      <c r="H30" s="44">
        <f t="shared" si="3"/>
        <v>617</v>
      </c>
    </row>
    <row r="31" spans="2:8" x14ac:dyDescent="0.35">
      <c r="B31" s="7" t="s">
        <v>198</v>
      </c>
      <c r="C31" s="140">
        <f>SUM(C27:C30)</f>
        <v>2354.1</v>
      </c>
      <c r="D31" s="7"/>
      <c r="E31" s="7"/>
      <c r="F31" s="7"/>
      <c r="H31" s="140">
        <f>SUM(H27:H30)</f>
        <v>1850</v>
      </c>
    </row>
    <row r="32" spans="2:8" x14ac:dyDescent="0.35">
      <c r="B32" s="7"/>
      <c r="C32" s="7"/>
      <c r="D32" s="7"/>
      <c r="E32" s="7"/>
      <c r="F32" s="7"/>
      <c r="H32" s="44"/>
    </row>
    <row r="33" spans="2:8" x14ac:dyDescent="0.35">
      <c r="B33" s="7" t="s">
        <v>199</v>
      </c>
      <c r="C33" s="7">
        <v>963.9</v>
      </c>
      <c r="D33" s="7"/>
      <c r="E33" s="7"/>
      <c r="F33" s="7"/>
      <c r="H33" s="44">
        <f t="shared" si="3"/>
        <v>963.9</v>
      </c>
    </row>
    <row r="34" spans="2:8" x14ac:dyDescent="0.35">
      <c r="B34" s="7" t="s">
        <v>200</v>
      </c>
      <c r="C34" s="139">
        <v>329.6</v>
      </c>
      <c r="D34" s="7"/>
      <c r="E34" s="7"/>
      <c r="F34" s="7"/>
      <c r="H34" s="44">
        <f t="shared" si="3"/>
        <v>329.6</v>
      </c>
    </row>
    <row r="35" spans="2:8" x14ac:dyDescent="0.35">
      <c r="B35" s="7" t="s">
        <v>201</v>
      </c>
      <c r="C35" s="140">
        <f>SUM(C31:C34)+C25</f>
        <v>4463.7</v>
      </c>
      <c r="D35" s="7"/>
      <c r="E35" s="7"/>
      <c r="F35" s="7"/>
      <c r="H35" s="140">
        <f>SUM(H31:H34)+H25</f>
        <v>3959.6</v>
      </c>
    </row>
    <row r="36" spans="2:8" x14ac:dyDescent="0.35">
      <c r="B36" s="7"/>
      <c r="C36" s="7"/>
      <c r="D36" s="7"/>
      <c r="E36" s="7"/>
      <c r="F36" s="7"/>
    </row>
    <row r="37" spans="2:8" x14ac:dyDescent="0.35">
      <c r="B37" s="142" t="s">
        <v>202</v>
      </c>
      <c r="F37" s="7"/>
    </row>
    <row r="38" spans="2:8" x14ac:dyDescent="0.35">
      <c r="B38" s="7" t="s">
        <v>203</v>
      </c>
      <c r="C38" s="7">
        <v>3.2</v>
      </c>
      <c r="E38" s="44">
        <f>+C38</f>
        <v>3.2</v>
      </c>
      <c r="F38" s="7">
        <f>+'[1]Fig. 9.2'!E16</f>
        <v>1896.0515726191502</v>
      </c>
      <c r="H38" s="44">
        <f t="shared" ref="H38:H41" si="4">+C38-E38+F38</f>
        <v>1896.0515726191502</v>
      </c>
    </row>
    <row r="39" spans="2:8" x14ac:dyDescent="0.35">
      <c r="B39" s="7" t="s">
        <v>204</v>
      </c>
      <c r="C39" s="7">
        <v>-106.4</v>
      </c>
      <c r="E39" s="44">
        <f>+C39</f>
        <v>-106.4</v>
      </c>
      <c r="F39" s="7"/>
      <c r="H39" s="44">
        <f t="shared" si="4"/>
        <v>0</v>
      </c>
    </row>
    <row r="40" spans="2:8" x14ac:dyDescent="0.35">
      <c r="B40" s="7" t="s">
        <v>205</v>
      </c>
      <c r="C40" s="7">
        <v>2894.9</v>
      </c>
      <c r="E40" s="44">
        <f>+C40</f>
        <v>2894.9</v>
      </c>
      <c r="F40" s="7"/>
      <c r="H40" s="44">
        <f t="shared" si="4"/>
        <v>0</v>
      </c>
    </row>
    <row r="41" spans="2:8" x14ac:dyDescent="0.35">
      <c r="B41" s="7" t="s">
        <v>206</v>
      </c>
      <c r="C41" s="139">
        <v>-2739.7000000000007</v>
      </c>
      <c r="D41" s="44"/>
      <c r="E41" s="44">
        <f>+C41</f>
        <v>-2739.7000000000007</v>
      </c>
      <c r="F41" s="7"/>
      <c r="H41" s="44">
        <f t="shared" si="4"/>
        <v>0</v>
      </c>
    </row>
    <row r="42" spans="2:8" x14ac:dyDescent="0.35">
      <c r="B42" s="7" t="s">
        <v>207</v>
      </c>
      <c r="C42" s="140">
        <f>SUM(C38:C41)</f>
        <v>51.999999999999545</v>
      </c>
      <c r="F42" s="7"/>
      <c r="H42" s="140">
        <f>SUM(H38:H41)</f>
        <v>1896.0515726191502</v>
      </c>
    </row>
    <row r="43" spans="2:8" x14ac:dyDescent="0.35">
      <c r="F43" s="7"/>
    </row>
    <row r="44" spans="2:8" ht="15" thickBot="1" x14ac:dyDescent="0.4">
      <c r="B44" s="7" t="s">
        <v>208</v>
      </c>
      <c r="C44" s="143">
        <f>+C42+C35</f>
        <v>4515.6999999999989</v>
      </c>
      <c r="E44" s="141">
        <f>SUM(E6:E43)</f>
        <v>3746.0515726191497</v>
      </c>
      <c r="F44" s="141">
        <f>SUM(F6:F43)</f>
        <v>3746.0515726191502</v>
      </c>
      <c r="H44" s="143">
        <f>+H42+H35</f>
        <v>5855.6515726191501</v>
      </c>
    </row>
    <row r="45" spans="2:8" ht="15" thickTop="1" x14ac:dyDescent="0.35"/>
    <row r="46" spans="2:8" x14ac:dyDescent="0.35">
      <c r="H46" s="330" t="s">
        <v>209</v>
      </c>
    </row>
  </sheetData>
  <mergeCells count="1"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E83A-CAC8-4378-85A6-1FB501CB8A5D}">
  <dimension ref="A1:M27"/>
  <sheetViews>
    <sheetView showGridLines="0" workbookViewId="0">
      <selection activeCell="D32" sqref="D32"/>
    </sheetView>
  </sheetViews>
  <sheetFormatPr defaultRowHeight="14.5" x14ac:dyDescent="0.35"/>
  <cols>
    <col min="1" max="1" width="3.54296875" customWidth="1"/>
    <col min="2" max="2" width="31.36328125" bestFit="1" customWidth="1"/>
    <col min="3" max="3" width="5.6328125" bestFit="1" customWidth="1"/>
    <col min="4" max="4" width="6.90625" bestFit="1" customWidth="1"/>
    <col min="5" max="6" width="8.26953125" customWidth="1"/>
    <col min="7" max="7" width="8.26953125" style="10" customWidth="1"/>
    <col min="8" max="8" width="8.26953125" customWidth="1"/>
    <col min="9" max="11" width="8.26953125" style="10" customWidth="1"/>
    <col min="12" max="13" width="8.26953125" customWidth="1"/>
  </cols>
  <sheetData>
    <row r="1" spans="1:13" ht="18.5" x14ac:dyDescent="0.45">
      <c r="A1" s="10"/>
      <c r="B1" s="57" t="s">
        <v>127</v>
      </c>
      <c r="C1" s="85"/>
    </row>
    <row r="3" spans="1:13" x14ac:dyDescent="0.35">
      <c r="A3" s="10"/>
      <c r="B3" s="132" t="s">
        <v>1</v>
      </c>
      <c r="C3" s="135"/>
      <c r="D3" s="135"/>
      <c r="E3" s="135"/>
      <c r="F3" s="135"/>
      <c r="G3" s="136"/>
      <c r="H3" s="135"/>
      <c r="I3" s="136"/>
      <c r="J3" s="136"/>
      <c r="K3" s="136"/>
      <c r="L3" s="136"/>
      <c r="M3" s="136"/>
    </row>
    <row r="4" spans="1:13" s="88" customFormat="1" ht="15" thickBot="1" x14ac:dyDescent="0.4">
      <c r="A4" s="86"/>
      <c r="B4" s="126" t="s">
        <v>210</v>
      </c>
      <c r="C4" s="126" t="s">
        <v>211</v>
      </c>
      <c r="D4" s="169" t="s">
        <v>212</v>
      </c>
      <c r="E4" s="170">
        <v>2018</v>
      </c>
      <c r="F4" s="171">
        <v>2019</v>
      </c>
      <c r="G4" s="171">
        <v>2020</v>
      </c>
      <c r="H4" s="171">
        <v>2021</v>
      </c>
      <c r="I4" s="171">
        <v>2022</v>
      </c>
      <c r="J4" s="171">
        <v>2023</v>
      </c>
      <c r="K4" s="171">
        <v>2024</v>
      </c>
      <c r="L4" s="171">
        <v>2025</v>
      </c>
      <c r="M4" s="171">
        <v>2026</v>
      </c>
    </row>
    <row r="5" spans="1:13" s="88" customFormat="1" x14ac:dyDescent="0.35">
      <c r="A5" s="86"/>
      <c r="B5" s="74" t="s">
        <v>213</v>
      </c>
      <c r="C5" s="39">
        <v>7</v>
      </c>
      <c r="D5" s="147" t="s">
        <v>157</v>
      </c>
      <c r="E5" s="148"/>
      <c r="G5" s="86"/>
      <c r="I5" s="86"/>
      <c r="J5" s="86"/>
      <c r="K5" s="86"/>
    </row>
    <row r="6" spans="1:13" s="88" customFormat="1" x14ac:dyDescent="0.35">
      <c r="A6" s="86"/>
      <c r="B6" t="s">
        <v>214</v>
      </c>
      <c r="C6" s="39"/>
      <c r="D6" s="149"/>
      <c r="E6" s="150">
        <v>1233</v>
      </c>
      <c r="F6" s="151">
        <f t="shared" ref="F6:M6" si="0">+E6-F7</f>
        <v>1183</v>
      </c>
      <c r="G6" s="152">
        <f t="shared" si="0"/>
        <v>1108</v>
      </c>
      <c r="H6" s="151">
        <f t="shared" si="0"/>
        <v>1008</v>
      </c>
      <c r="I6" s="152">
        <f t="shared" si="0"/>
        <v>883</v>
      </c>
      <c r="J6" s="152">
        <f t="shared" si="0"/>
        <v>733</v>
      </c>
      <c r="K6" s="152">
        <f t="shared" si="0"/>
        <v>533</v>
      </c>
      <c r="L6" s="151">
        <f t="shared" si="0"/>
        <v>0</v>
      </c>
      <c r="M6" s="151">
        <f t="shared" si="0"/>
        <v>0</v>
      </c>
    </row>
    <row r="7" spans="1:13" s="88" customFormat="1" x14ac:dyDescent="0.35">
      <c r="A7" s="86"/>
      <c r="B7" t="s">
        <v>215</v>
      </c>
      <c r="C7" s="39"/>
      <c r="D7" s="149"/>
      <c r="E7" s="150"/>
      <c r="F7" s="153">
        <v>50</v>
      </c>
      <c r="G7" s="154">
        <v>75</v>
      </c>
      <c r="H7" s="153">
        <v>100</v>
      </c>
      <c r="I7" s="154">
        <v>125</v>
      </c>
      <c r="J7" s="154">
        <v>150</v>
      </c>
      <c r="K7" s="154">
        <v>200</v>
      </c>
      <c r="L7" s="153">
        <f>+K6</f>
        <v>533</v>
      </c>
      <c r="M7" s="153">
        <f>+L6</f>
        <v>0</v>
      </c>
    </row>
    <row r="8" spans="1:13" s="88" customFormat="1" x14ac:dyDescent="0.35">
      <c r="A8" s="86"/>
      <c r="B8" t="s">
        <v>216</v>
      </c>
      <c r="C8" s="39"/>
      <c r="D8" s="149"/>
      <c r="E8" s="155"/>
      <c r="F8" s="151">
        <f>+E6*F14</f>
        <v>83.227500000000006</v>
      </c>
      <c r="G8" s="151">
        <f t="shared" ref="G8:M8" si="1">+F6*G14</f>
        <v>85.767500000000013</v>
      </c>
      <c r="H8" s="151">
        <f t="shared" si="1"/>
        <v>91.410000000000011</v>
      </c>
      <c r="I8" s="151">
        <f t="shared" si="1"/>
        <v>83.160000000000011</v>
      </c>
      <c r="J8" s="151">
        <f t="shared" si="1"/>
        <v>72.847499999999997</v>
      </c>
      <c r="K8" s="151">
        <f t="shared" si="1"/>
        <v>60.472500000000004</v>
      </c>
      <c r="L8" s="151">
        <f t="shared" si="1"/>
        <v>43.972500000000004</v>
      </c>
      <c r="M8" s="151">
        <f t="shared" si="1"/>
        <v>0</v>
      </c>
    </row>
    <row r="9" spans="1:13" ht="15" thickBot="1" x14ac:dyDescent="0.4">
      <c r="A9" s="86"/>
      <c r="B9" t="s">
        <v>217</v>
      </c>
      <c r="C9" s="39"/>
      <c r="D9" s="149"/>
      <c r="E9" s="150"/>
      <c r="F9" s="156">
        <f t="shared" ref="F9:M9" si="2">+F8+F7</f>
        <v>133.22750000000002</v>
      </c>
      <c r="G9" s="157">
        <f t="shared" si="2"/>
        <v>160.76750000000001</v>
      </c>
      <c r="H9" s="156">
        <f t="shared" si="2"/>
        <v>191.41000000000003</v>
      </c>
      <c r="I9" s="157">
        <f t="shared" si="2"/>
        <v>208.16000000000003</v>
      </c>
      <c r="J9" s="157">
        <f t="shared" si="2"/>
        <v>222.8475</v>
      </c>
      <c r="K9" s="157">
        <f t="shared" si="2"/>
        <v>260.47250000000003</v>
      </c>
      <c r="L9" s="156">
        <f t="shared" si="2"/>
        <v>576.97249999999997</v>
      </c>
      <c r="M9" s="156">
        <f t="shared" si="2"/>
        <v>0</v>
      </c>
    </row>
    <row r="10" spans="1:13" x14ac:dyDescent="0.35">
      <c r="A10" s="86"/>
      <c r="C10" s="39"/>
      <c r="D10" s="149"/>
      <c r="E10" s="158"/>
      <c r="F10" s="25"/>
      <c r="G10" s="159"/>
      <c r="H10" s="25"/>
      <c r="I10" s="159"/>
      <c r="J10" s="159"/>
      <c r="K10" s="159"/>
      <c r="L10" s="25"/>
      <c r="M10" s="25"/>
    </row>
    <row r="11" spans="1:13" x14ac:dyDescent="0.35">
      <c r="A11" s="86"/>
      <c r="B11" t="s">
        <v>409</v>
      </c>
      <c r="C11" s="39"/>
      <c r="D11" s="149"/>
      <c r="E11" s="160">
        <v>2.2499999999999999E-2</v>
      </c>
      <c r="F11" s="100">
        <f>+E11+F12</f>
        <v>2.75E-2</v>
      </c>
      <c r="G11" s="100">
        <f t="shared" ref="G11:M11" si="3">+F11+G12</f>
        <v>3.2500000000000001E-2</v>
      </c>
      <c r="H11" s="100">
        <f t="shared" si="3"/>
        <v>4.2500000000000003E-2</v>
      </c>
      <c r="I11" s="100">
        <f t="shared" si="3"/>
        <v>4.2500000000000003E-2</v>
      </c>
      <c r="J11" s="100">
        <f t="shared" si="3"/>
        <v>4.2500000000000003E-2</v>
      </c>
      <c r="K11" s="100">
        <f t="shared" si="3"/>
        <v>4.2500000000000003E-2</v>
      </c>
      <c r="L11" s="100">
        <f t="shared" si="3"/>
        <v>4.2500000000000003E-2</v>
      </c>
      <c r="M11" s="100">
        <f t="shared" si="3"/>
        <v>4.2500000000000003E-2</v>
      </c>
    </row>
    <row r="12" spans="1:13" x14ac:dyDescent="0.35">
      <c r="A12" s="86"/>
      <c r="B12" t="s">
        <v>410</v>
      </c>
      <c r="C12" s="39"/>
      <c r="D12" s="149"/>
      <c r="E12" s="158"/>
      <c r="F12" s="100">
        <v>5.0000000000000001E-3</v>
      </c>
      <c r="G12" s="100">
        <v>5.0000000000000001E-3</v>
      </c>
      <c r="H12" s="100">
        <v>0.01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</row>
    <row r="13" spans="1:13" x14ac:dyDescent="0.35">
      <c r="A13" s="86"/>
      <c r="B13" t="s">
        <v>19</v>
      </c>
      <c r="C13" s="39"/>
      <c r="D13" s="149"/>
      <c r="E13" s="158"/>
      <c r="F13" s="100">
        <v>0.04</v>
      </c>
      <c r="G13" s="100">
        <f>+F13</f>
        <v>0.04</v>
      </c>
      <c r="H13" s="100">
        <f t="shared" ref="H13:M13" si="4">+G13</f>
        <v>0.04</v>
      </c>
      <c r="I13" s="100">
        <f t="shared" si="4"/>
        <v>0.04</v>
      </c>
      <c r="J13" s="100">
        <f t="shared" si="4"/>
        <v>0.04</v>
      </c>
      <c r="K13" s="100">
        <f t="shared" si="4"/>
        <v>0.04</v>
      </c>
      <c r="L13" s="100">
        <f t="shared" si="4"/>
        <v>0.04</v>
      </c>
      <c r="M13" s="100">
        <f t="shared" si="4"/>
        <v>0.04</v>
      </c>
    </row>
    <row r="14" spans="1:13" x14ac:dyDescent="0.35">
      <c r="A14" s="86"/>
      <c r="B14" t="s">
        <v>218</v>
      </c>
      <c r="C14" s="39"/>
      <c r="D14" s="149"/>
      <c r="E14" s="158"/>
      <c r="F14" s="100">
        <f>+F13+F11</f>
        <v>6.7500000000000004E-2</v>
      </c>
      <c r="G14" s="100">
        <f t="shared" ref="G14:M14" si="5">+G13+G11</f>
        <v>7.2500000000000009E-2</v>
      </c>
      <c r="H14" s="100">
        <f t="shared" si="5"/>
        <v>8.2500000000000004E-2</v>
      </c>
      <c r="I14" s="100">
        <f t="shared" si="5"/>
        <v>8.2500000000000004E-2</v>
      </c>
      <c r="J14" s="100">
        <f t="shared" si="5"/>
        <v>8.2500000000000004E-2</v>
      </c>
      <c r="K14" s="100">
        <f t="shared" si="5"/>
        <v>8.2500000000000004E-2</v>
      </c>
      <c r="L14" s="100">
        <f t="shared" si="5"/>
        <v>8.2500000000000004E-2</v>
      </c>
      <c r="M14" s="100">
        <f t="shared" si="5"/>
        <v>8.2500000000000004E-2</v>
      </c>
    </row>
    <row r="15" spans="1:13" x14ac:dyDescent="0.35">
      <c r="A15" s="86"/>
      <c r="C15" s="39"/>
      <c r="D15" s="149"/>
      <c r="E15" s="158"/>
      <c r="F15" s="25"/>
      <c r="G15" s="159"/>
      <c r="H15" s="25"/>
      <c r="I15" s="159"/>
      <c r="J15" s="159"/>
      <c r="K15" s="159"/>
      <c r="L15" s="25"/>
      <c r="M15" s="25"/>
    </row>
    <row r="16" spans="1:13" x14ac:dyDescent="0.35">
      <c r="A16" s="86"/>
      <c r="B16" s="74" t="s">
        <v>159</v>
      </c>
      <c r="C16" s="39">
        <v>8</v>
      </c>
      <c r="D16" s="161">
        <v>8.5000000000000006E-2</v>
      </c>
      <c r="E16" s="148"/>
      <c r="F16" s="88"/>
      <c r="G16" s="86"/>
      <c r="H16" s="88"/>
      <c r="I16" s="86"/>
      <c r="J16" s="86"/>
      <c r="K16" s="86"/>
      <c r="L16" s="88"/>
      <c r="M16" s="88"/>
    </row>
    <row r="17" spans="1:13" x14ac:dyDescent="0.35">
      <c r="A17" s="86"/>
      <c r="B17" t="s">
        <v>214</v>
      </c>
      <c r="C17" s="39"/>
      <c r="D17" s="149"/>
      <c r="E17" s="150">
        <v>617</v>
      </c>
      <c r="F17" s="151">
        <f t="shared" ref="F17:M17" si="6">+E17-F18</f>
        <v>617</v>
      </c>
      <c r="G17" s="152">
        <f t="shared" si="6"/>
        <v>617</v>
      </c>
      <c r="H17" s="151">
        <f t="shared" si="6"/>
        <v>617</v>
      </c>
      <c r="I17" s="152">
        <f t="shared" si="6"/>
        <v>617</v>
      </c>
      <c r="J17" s="152">
        <f t="shared" si="6"/>
        <v>617</v>
      </c>
      <c r="K17" s="152">
        <f t="shared" si="6"/>
        <v>617</v>
      </c>
      <c r="L17" s="151">
        <f t="shared" si="6"/>
        <v>617</v>
      </c>
      <c r="M17" s="151">
        <f t="shared" si="6"/>
        <v>0</v>
      </c>
    </row>
    <row r="18" spans="1:13" x14ac:dyDescent="0.35">
      <c r="A18" s="86"/>
      <c r="B18" t="s">
        <v>215</v>
      </c>
      <c r="C18" s="39"/>
      <c r="D18" s="149"/>
      <c r="E18" s="150"/>
      <c r="F18" s="151">
        <v>0</v>
      </c>
      <c r="G18" s="152">
        <v>0</v>
      </c>
      <c r="H18" s="151">
        <v>0</v>
      </c>
      <c r="I18" s="152">
        <v>0</v>
      </c>
      <c r="J18" s="152">
        <v>0</v>
      </c>
      <c r="K18" s="152">
        <v>0</v>
      </c>
      <c r="L18" s="151">
        <v>0</v>
      </c>
      <c r="M18" s="151">
        <f>+L17</f>
        <v>617</v>
      </c>
    </row>
    <row r="19" spans="1:13" x14ac:dyDescent="0.35">
      <c r="A19" s="86"/>
      <c r="B19" t="s">
        <v>216</v>
      </c>
      <c r="C19" s="39"/>
      <c r="D19" s="149"/>
      <c r="E19" s="155"/>
      <c r="F19" s="151">
        <f>+E17*D16</f>
        <v>52.445</v>
      </c>
      <c r="G19" s="152">
        <f t="shared" ref="G19:M19" si="7">+F17*$D$16</f>
        <v>52.445</v>
      </c>
      <c r="H19" s="151">
        <f t="shared" si="7"/>
        <v>52.445</v>
      </c>
      <c r="I19" s="152">
        <f t="shared" si="7"/>
        <v>52.445</v>
      </c>
      <c r="J19" s="152">
        <f t="shared" si="7"/>
        <v>52.445</v>
      </c>
      <c r="K19" s="152">
        <f t="shared" si="7"/>
        <v>52.445</v>
      </c>
      <c r="L19" s="151">
        <f t="shared" si="7"/>
        <v>52.445</v>
      </c>
      <c r="M19" s="151">
        <f t="shared" si="7"/>
        <v>52.445</v>
      </c>
    </row>
    <row r="20" spans="1:13" ht="15" thickBot="1" x14ac:dyDescent="0.4">
      <c r="A20" s="86"/>
      <c r="B20" t="s">
        <v>217</v>
      </c>
      <c r="C20" s="39"/>
      <c r="D20" s="149"/>
      <c r="E20" s="150"/>
      <c r="F20" s="162">
        <f t="shared" ref="F20:M20" si="8">+F19+F18</f>
        <v>52.445</v>
      </c>
      <c r="G20" s="163">
        <f t="shared" si="8"/>
        <v>52.445</v>
      </c>
      <c r="H20" s="162">
        <f t="shared" si="8"/>
        <v>52.445</v>
      </c>
      <c r="I20" s="163">
        <f t="shared" si="8"/>
        <v>52.445</v>
      </c>
      <c r="J20" s="163">
        <f t="shared" si="8"/>
        <v>52.445</v>
      </c>
      <c r="K20" s="163">
        <f t="shared" si="8"/>
        <v>52.445</v>
      </c>
      <c r="L20" s="162">
        <f t="shared" si="8"/>
        <v>52.445</v>
      </c>
      <c r="M20" s="162">
        <f t="shared" si="8"/>
        <v>669.44500000000005</v>
      </c>
    </row>
    <row r="21" spans="1:13" x14ac:dyDescent="0.35">
      <c r="A21" s="86"/>
      <c r="C21" s="33"/>
      <c r="D21" s="164"/>
      <c r="E21" s="158"/>
      <c r="F21" s="33"/>
      <c r="G21" s="39"/>
      <c r="H21" s="33"/>
      <c r="I21" s="39"/>
      <c r="J21" s="39"/>
      <c r="K21" s="39"/>
      <c r="L21" s="33"/>
      <c r="M21" s="33"/>
    </row>
    <row r="22" spans="1:13" x14ac:dyDescent="0.35">
      <c r="A22" s="86"/>
      <c r="B22" t="s">
        <v>219</v>
      </c>
      <c r="C22" s="33"/>
      <c r="D22" s="164"/>
      <c r="E22" s="158"/>
      <c r="F22" s="165">
        <f t="shared" ref="F22:M22" si="9">+F8+F19</f>
        <v>135.67250000000001</v>
      </c>
      <c r="G22" s="166">
        <f t="shared" si="9"/>
        <v>138.21250000000001</v>
      </c>
      <c r="H22" s="165">
        <f t="shared" si="9"/>
        <v>143.85500000000002</v>
      </c>
      <c r="I22" s="166">
        <f t="shared" si="9"/>
        <v>135.60500000000002</v>
      </c>
      <c r="J22" s="166">
        <f t="shared" si="9"/>
        <v>125.29249999999999</v>
      </c>
      <c r="K22" s="166">
        <f t="shared" si="9"/>
        <v>112.9175</v>
      </c>
      <c r="L22" s="165">
        <f t="shared" si="9"/>
        <v>96.417500000000004</v>
      </c>
      <c r="M22" s="165">
        <f t="shared" si="9"/>
        <v>52.445</v>
      </c>
    </row>
    <row r="23" spans="1:13" x14ac:dyDescent="0.35">
      <c r="A23" s="86"/>
      <c r="B23" t="s">
        <v>220</v>
      </c>
      <c r="C23" s="33"/>
      <c r="D23" s="164"/>
      <c r="E23" s="158"/>
      <c r="F23" s="165">
        <f t="shared" ref="F23:M23" si="10">+F7+F18</f>
        <v>50</v>
      </c>
      <c r="G23" s="166">
        <f t="shared" si="10"/>
        <v>75</v>
      </c>
      <c r="H23" s="165">
        <f t="shared" si="10"/>
        <v>100</v>
      </c>
      <c r="I23" s="166">
        <f t="shared" si="10"/>
        <v>125</v>
      </c>
      <c r="J23" s="166">
        <f t="shared" si="10"/>
        <v>150</v>
      </c>
      <c r="K23" s="166">
        <f t="shared" si="10"/>
        <v>200</v>
      </c>
      <c r="L23" s="165">
        <f t="shared" si="10"/>
        <v>533</v>
      </c>
      <c r="M23" s="165">
        <f t="shared" si="10"/>
        <v>617</v>
      </c>
    </row>
    <row r="24" spans="1:13" x14ac:dyDescent="0.35">
      <c r="A24" s="86"/>
      <c r="B24" t="s">
        <v>221</v>
      </c>
      <c r="C24" s="33"/>
      <c r="D24" s="164"/>
      <c r="E24" s="158"/>
      <c r="F24" s="167">
        <f>+F23+F22</f>
        <v>185.67250000000001</v>
      </c>
      <c r="G24" s="168">
        <f t="shared" ref="G24:M24" si="11">+G23+G22</f>
        <v>213.21250000000001</v>
      </c>
      <c r="H24" s="167">
        <f t="shared" si="11"/>
        <v>243.85500000000002</v>
      </c>
      <c r="I24" s="168">
        <f t="shared" si="11"/>
        <v>260.60500000000002</v>
      </c>
      <c r="J24" s="168">
        <f t="shared" si="11"/>
        <v>275.29250000000002</v>
      </c>
      <c r="K24" s="168">
        <f t="shared" si="11"/>
        <v>312.91750000000002</v>
      </c>
      <c r="L24" s="167">
        <f t="shared" si="11"/>
        <v>629.41750000000002</v>
      </c>
      <c r="M24" s="167">
        <f t="shared" si="11"/>
        <v>669.44500000000005</v>
      </c>
    </row>
    <row r="25" spans="1:13" x14ac:dyDescent="0.35">
      <c r="A25" s="86"/>
      <c r="B25" t="s">
        <v>222</v>
      </c>
      <c r="C25" s="33"/>
      <c r="D25" s="164"/>
      <c r="E25" s="158"/>
      <c r="F25" s="165">
        <f t="shared" ref="F25:M25" si="12">+F17+F6</f>
        <v>1800</v>
      </c>
      <c r="G25" s="166">
        <f t="shared" si="12"/>
        <v>1725</v>
      </c>
      <c r="H25" s="165">
        <f t="shared" si="12"/>
        <v>1625</v>
      </c>
      <c r="I25" s="166">
        <f t="shared" si="12"/>
        <v>1500</v>
      </c>
      <c r="J25" s="166">
        <f t="shared" si="12"/>
        <v>1350</v>
      </c>
      <c r="K25" s="166">
        <f t="shared" si="12"/>
        <v>1150</v>
      </c>
      <c r="L25" s="165">
        <f t="shared" si="12"/>
        <v>617</v>
      </c>
      <c r="M25" s="165">
        <f t="shared" si="12"/>
        <v>0</v>
      </c>
    </row>
    <row r="27" spans="1:13" x14ac:dyDescent="0.35">
      <c r="L27" s="68"/>
      <c r="M27" s="330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A36CA-89EF-406C-BB51-C2BC3639B9D0}">
  <dimension ref="A1:P47"/>
  <sheetViews>
    <sheetView showGridLines="0" topLeftCell="B1" workbookViewId="0">
      <selection activeCell="B12" sqref="B12"/>
    </sheetView>
  </sheetViews>
  <sheetFormatPr defaultRowHeight="14.5" x14ac:dyDescent="0.35"/>
  <cols>
    <col min="1" max="1" width="6" customWidth="1"/>
    <col min="2" max="2" width="32.90625" customWidth="1"/>
    <col min="3" max="3" width="7" bestFit="1" customWidth="1"/>
    <col min="4" max="5" width="8.08984375" customWidth="1"/>
    <col min="6" max="6" width="11.90625" bestFit="1" customWidth="1"/>
    <col min="7" max="7" width="11.81640625" bestFit="1" customWidth="1"/>
    <col min="8" max="8" width="1.54296875" customWidth="1"/>
    <col min="9" max="10" width="9.08984375" customWidth="1"/>
    <col min="11" max="15" width="7" bestFit="1" customWidth="1"/>
  </cols>
  <sheetData>
    <row r="1" spans="1:16" ht="18.5" x14ac:dyDescent="0.45">
      <c r="A1" s="10"/>
      <c r="B1" s="57" t="s">
        <v>127</v>
      </c>
      <c r="G1" s="85"/>
      <c r="H1" s="85"/>
    </row>
    <row r="2" spans="1:16" ht="10.5" customHeight="1" x14ac:dyDescent="0.35">
      <c r="A2" s="10"/>
      <c r="B2" s="172"/>
      <c r="G2" s="85"/>
      <c r="H2" s="85"/>
    </row>
    <row r="3" spans="1:16" ht="16" thickBot="1" x14ac:dyDescent="0.4">
      <c r="A3" s="10"/>
      <c r="B3" s="134" t="s">
        <v>224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213"/>
      <c r="O3" s="135"/>
    </row>
    <row r="4" spans="1:16" ht="11.5" customHeight="1" x14ac:dyDescent="0.4">
      <c r="A4" s="10"/>
      <c r="B4" s="173"/>
      <c r="F4" s="174" t="s">
        <v>225</v>
      </c>
      <c r="J4" s="175">
        <v>1</v>
      </c>
      <c r="K4" s="175">
        <v>2</v>
      </c>
      <c r="L4" s="175">
        <v>3</v>
      </c>
      <c r="M4" s="175">
        <v>4</v>
      </c>
      <c r="N4" s="176">
        <v>5</v>
      </c>
      <c r="O4" s="175">
        <v>6</v>
      </c>
    </row>
    <row r="5" spans="1:16" ht="26.5" x14ac:dyDescent="0.35">
      <c r="A5" s="10"/>
      <c r="B5" s="70"/>
      <c r="C5" s="373" t="s">
        <v>227</v>
      </c>
      <c r="D5" s="374"/>
      <c r="E5" s="374"/>
      <c r="F5" s="374"/>
      <c r="G5" s="375"/>
      <c r="I5" s="376" t="s">
        <v>228</v>
      </c>
      <c r="J5" s="377"/>
      <c r="K5" s="377"/>
      <c r="L5" s="377"/>
      <c r="M5" s="378"/>
      <c r="N5" s="232" t="s">
        <v>267</v>
      </c>
      <c r="O5" s="70"/>
    </row>
    <row r="6" spans="1:16" ht="30" customHeight="1" thickBot="1" x14ac:dyDescent="0.4">
      <c r="A6" s="10"/>
      <c r="B6" s="130" t="s">
        <v>226</v>
      </c>
      <c r="C6" s="286">
        <f>+'Fig. 9.5'!D5</f>
        <v>2015</v>
      </c>
      <c r="D6" s="286">
        <f>+'Fig. 9.5'!E5</f>
        <v>2016</v>
      </c>
      <c r="E6" s="286">
        <f>+'Fig. 9.5'!F5</f>
        <v>2017</v>
      </c>
      <c r="F6" s="286">
        <f>+'Fig. 9.5'!G5</f>
        <v>2018</v>
      </c>
      <c r="G6" s="287" t="s">
        <v>263</v>
      </c>
      <c r="I6" s="288" t="s">
        <v>268</v>
      </c>
      <c r="J6" s="289">
        <f>+'Fig. 9.8'!F4</f>
        <v>2019</v>
      </c>
      <c r="K6" s="289">
        <f>+J6+1</f>
        <v>2020</v>
      </c>
      <c r="L6" s="289">
        <f>+K6+1</f>
        <v>2021</v>
      </c>
      <c r="M6" s="289">
        <f>+L6+1</f>
        <v>2022</v>
      </c>
      <c r="N6" s="290">
        <f>+M6+1</f>
        <v>2023</v>
      </c>
      <c r="O6" s="289">
        <f>+N6+1</f>
        <v>2024</v>
      </c>
    </row>
    <row r="7" spans="1:16" ht="15" thickTop="1" x14ac:dyDescent="0.35">
      <c r="A7" s="10"/>
      <c r="B7" t="s">
        <v>130</v>
      </c>
      <c r="C7" s="7">
        <f>+'Fig. 9.5'!D7</f>
        <v>6692.9</v>
      </c>
      <c r="D7" s="7">
        <f>+'Fig. 9.5'!E7</f>
        <v>5882.5</v>
      </c>
      <c r="E7" s="7">
        <f>+'Fig. 9.5'!F7</f>
        <v>6080.5</v>
      </c>
      <c r="F7" s="214">
        <f>+'Fig. 9.5'!G7</f>
        <v>6818.2</v>
      </c>
      <c r="G7" s="218"/>
      <c r="I7" s="177"/>
      <c r="J7" s="7">
        <f>+F7*(1+J8)</f>
        <v>7090.9279999999999</v>
      </c>
      <c r="K7" s="7">
        <f t="shared" ref="K7:O7" si="0">+J7*(1+K8)</f>
        <v>7374.5651200000002</v>
      </c>
      <c r="L7" s="7">
        <f t="shared" si="0"/>
        <v>7669.5477248000007</v>
      </c>
      <c r="M7" s="7">
        <f t="shared" si="0"/>
        <v>7976.329633792001</v>
      </c>
      <c r="N7" s="178">
        <f t="shared" si="0"/>
        <v>8295.3828191436805</v>
      </c>
      <c r="O7" s="7">
        <f t="shared" si="0"/>
        <v>8627.1981319094284</v>
      </c>
    </row>
    <row r="8" spans="1:16" x14ac:dyDescent="0.35">
      <c r="A8" s="10"/>
      <c r="B8" t="s">
        <v>230</v>
      </c>
      <c r="C8" s="25"/>
      <c r="D8" s="223">
        <f>+D7/C7-1</f>
        <v>-0.12108353628471957</v>
      </c>
      <c r="E8" s="223">
        <f t="shared" ref="E8:F8" si="1">+E7/D7-1</f>
        <v>3.3659158521037069E-2</v>
      </c>
      <c r="F8" s="224">
        <f t="shared" si="1"/>
        <v>0.1213222596825918</v>
      </c>
      <c r="G8" s="161">
        <f>AVERAGE(C8:F8)</f>
        <v>1.1299293972969767E-2</v>
      </c>
      <c r="I8" s="179"/>
      <c r="J8" s="223">
        <v>0.04</v>
      </c>
      <c r="K8" s="223">
        <v>0.04</v>
      </c>
      <c r="L8" s="223">
        <v>0.04</v>
      </c>
      <c r="M8" s="223">
        <v>0.04</v>
      </c>
      <c r="N8" s="225">
        <v>0.04</v>
      </c>
      <c r="O8" s="223">
        <v>0.04</v>
      </c>
    </row>
    <row r="9" spans="1:16" x14ac:dyDescent="0.35">
      <c r="A9" s="10"/>
      <c r="C9" s="25"/>
      <c r="D9" s="223"/>
      <c r="E9" s="223"/>
      <c r="F9" s="224"/>
      <c r="G9" s="161"/>
      <c r="I9" s="179"/>
      <c r="J9" s="223"/>
      <c r="K9" s="223"/>
      <c r="L9" s="223"/>
      <c r="M9" s="223"/>
      <c r="N9" s="225"/>
      <c r="O9" s="223"/>
    </row>
    <row r="10" spans="1:16" x14ac:dyDescent="0.35">
      <c r="A10" s="10"/>
      <c r="B10" t="s">
        <v>132</v>
      </c>
      <c r="C10" s="7">
        <f>-'Fig. 9.5'!D10</f>
        <v>-6032</v>
      </c>
      <c r="D10" s="7">
        <f>-'Fig. 9.5'!E10</f>
        <v>-5064.7</v>
      </c>
      <c r="E10" s="7">
        <f>-'Fig. 9.5'!F10</f>
        <v>-5359.7</v>
      </c>
      <c r="F10" s="214">
        <f>-'Fig. 9.5'!G10</f>
        <v>-5911</v>
      </c>
      <c r="G10" s="219">
        <f>-SUM(C10:F10)/SUM(C7:F7)</f>
        <v>0.87804475918678182</v>
      </c>
      <c r="I10" s="179">
        <v>0.87</v>
      </c>
      <c r="J10" s="7">
        <f t="shared" ref="J10:O10" si="2">-$I$10*J7</f>
        <v>-6169.10736</v>
      </c>
      <c r="K10" s="7">
        <f t="shared" si="2"/>
        <v>-6415.8716543999999</v>
      </c>
      <c r="L10" s="7">
        <f t="shared" si="2"/>
        <v>-6672.5065205760002</v>
      </c>
      <c r="M10" s="7">
        <f t="shared" si="2"/>
        <v>-6939.4067813990405</v>
      </c>
      <c r="N10" s="178">
        <f t="shared" si="2"/>
        <v>-7216.9830526550022</v>
      </c>
      <c r="O10" s="7">
        <f t="shared" si="2"/>
        <v>-7505.662374761203</v>
      </c>
    </row>
    <row r="11" spans="1:16" x14ac:dyDescent="0.35">
      <c r="A11" s="10"/>
      <c r="B11" t="s">
        <v>231</v>
      </c>
      <c r="C11" s="139">
        <f>-(C7+C10-C12)</f>
        <v>-574.19999999999959</v>
      </c>
      <c r="D11" s="139">
        <f t="shared" ref="D11:F11" si="3">-(D7+D10-D12)</f>
        <v>-587.60000000000014</v>
      </c>
      <c r="E11" s="139">
        <f t="shared" si="3"/>
        <v>-500.80000000000018</v>
      </c>
      <c r="F11" s="139">
        <f t="shared" si="3"/>
        <v>-542.79999999999984</v>
      </c>
      <c r="G11" s="220">
        <f>-SUM(C11:F11)/SUM(C7:F7)</f>
        <v>8.657420674331967E-2</v>
      </c>
      <c r="I11" s="180">
        <v>0.08</v>
      </c>
      <c r="J11" s="139">
        <f t="shared" ref="J11:O11" si="4">-$I$11*J7</f>
        <v>-567.27423999999996</v>
      </c>
      <c r="K11" s="139">
        <f t="shared" si="4"/>
        <v>-589.96520959999998</v>
      </c>
      <c r="L11" s="139">
        <f t="shared" si="4"/>
        <v>-613.56381798400002</v>
      </c>
      <c r="M11" s="139">
        <f t="shared" si="4"/>
        <v>-638.10637070336008</v>
      </c>
      <c r="N11" s="181">
        <f t="shared" si="4"/>
        <v>-663.6306255314945</v>
      </c>
      <c r="O11" s="139">
        <f t="shared" si="4"/>
        <v>-690.17585055275424</v>
      </c>
    </row>
    <row r="12" spans="1:16" x14ac:dyDescent="0.35">
      <c r="A12" s="10"/>
      <c r="B12" t="s">
        <v>232</v>
      </c>
      <c r="C12" s="25">
        <f>+'Fig. 9.5'!D14</f>
        <v>86.7</v>
      </c>
      <c r="D12" s="25">
        <f>+'Fig. 9.5'!E14</f>
        <v>230.2</v>
      </c>
      <c r="E12" s="25">
        <f>+'Fig. 9.5'!F14</f>
        <v>220</v>
      </c>
      <c r="F12" s="215">
        <f>+'Fig. 9.5'!G14</f>
        <v>364.4</v>
      </c>
      <c r="G12" s="149"/>
      <c r="I12" s="182"/>
      <c r="J12" s="7">
        <f t="shared" ref="J12:O12" si="5">+J7+J10+J11</f>
        <v>354.54639999999995</v>
      </c>
      <c r="K12" s="7">
        <f t="shared" si="5"/>
        <v>368.72825600000033</v>
      </c>
      <c r="L12" s="7">
        <f t="shared" si="5"/>
        <v>383.47738624000044</v>
      </c>
      <c r="M12" s="7">
        <f t="shared" si="5"/>
        <v>398.81648168960044</v>
      </c>
      <c r="N12" s="178">
        <f t="shared" si="5"/>
        <v>414.76914095718382</v>
      </c>
      <c r="O12" s="7">
        <f t="shared" si="5"/>
        <v>431.35990659547122</v>
      </c>
      <c r="P12" s="44"/>
    </row>
    <row r="13" spans="1:16" x14ac:dyDescent="0.35">
      <c r="A13" s="10"/>
      <c r="B13" t="s">
        <v>233</v>
      </c>
      <c r="C13" s="25"/>
      <c r="D13" s="25"/>
      <c r="E13" s="25"/>
      <c r="F13" s="215"/>
      <c r="G13" s="149"/>
      <c r="I13" s="183"/>
      <c r="J13" s="139">
        <f>-'Fig. 9.8'!F22</f>
        <v>-135.67250000000001</v>
      </c>
      <c r="K13" s="139">
        <f>-'Fig. 9.8'!G22</f>
        <v>-138.21250000000001</v>
      </c>
      <c r="L13" s="139">
        <f>-'Fig. 9.8'!H22</f>
        <v>-143.85500000000002</v>
      </c>
      <c r="M13" s="139">
        <f>-'Fig. 9.8'!I22</f>
        <v>-135.60500000000002</v>
      </c>
      <c r="N13" s="181">
        <f>-'Fig. 9.8'!J22</f>
        <v>-125.29249999999999</v>
      </c>
      <c r="O13" s="139">
        <f>-'Fig. 9.8'!K22</f>
        <v>-112.9175</v>
      </c>
      <c r="P13" s="44"/>
    </row>
    <row r="14" spans="1:16" x14ac:dyDescent="0.35">
      <c r="A14" s="10"/>
      <c r="B14" t="s">
        <v>234</v>
      </c>
      <c r="C14" s="25"/>
      <c r="D14" s="25"/>
      <c r="E14" s="25"/>
      <c r="F14" s="215"/>
      <c r="G14" s="149"/>
      <c r="I14" s="182"/>
      <c r="J14" s="139">
        <f t="shared" ref="J14:O14" si="6">+J12+J13</f>
        <v>218.87389999999994</v>
      </c>
      <c r="K14" s="139">
        <f t="shared" si="6"/>
        <v>230.51575600000032</v>
      </c>
      <c r="L14" s="139">
        <f t="shared" si="6"/>
        <v>239.62238624000042</v>
      </c>
      <c r="M14" s="139">
        <f t="shared" si="6"/>
        <v>263.21148168960042</v>
      </c>
      <c r="N14" s="181">
        <f t="shared" si="6"/>
        <v>289.4766409571838</v>
      </c>
      <c r="O14" s="139">
        <f t="shared" si="6"/>
        <v>318.4424065954712</v>
      </c>
      <c r="P14" s="44"/>
    </row>
    <row r="15" spans="1:16" x14ac:dyDescent="0.35">
      <c r="A15" s="10"/>
      <c r="B15" t="s">
        <v>235</v>
      </c>
      <c r="C15" s="25"/>
      <c r="D15" s="25"/>
      <c r="E15" s="25"/>
      <c r="F15" s="215"/>
      <c r="G15" s="161"/>
      <c r="I15" s="179">
        <v>0.22</v>
      </c>
      <c r="J15" s="7">
        <f t="shared" ref="J15:O15" si="7">-$I$15*J14</f>
        <v>-48.152257999999989</v>
      </c>
      <c r="K15" s="7">
        <f t="shared" si="7"/>
        <v>-50.713466320000073</v>
      </c>
      <c r="L15" s="7">
        <f t="shared" si="7"/>
        <v>-52.716924972800093</v>
      </c>
      <c r="M15" s="7">
        <f t="shared" si="7"/>
        <v>-57.906525971712092</v>
      </c>
      <c r="N15" s="178">
        <f t="shared" si="7"/>
        <v>-63.684861010580434</v>
      </c>
      <c r="O15" s="7">
        <f t="shared" si="7"/>
        <v>-70.057329451003667</v>
      </c>
    </row>
    <row r="16" spans="1:16" ht="15" thickBot="1" x14ac:dyDescent="0.4">
      <c r="A16" s="10"/>
      <c r="B16" t="s">
        <v>236</v>
      </c>
      <c r="C16" s="25"/>
      <c r="D16" s="25"/>
      <c r="E16" s="25"/>
      <c r="F16" s="215"/>
      <c r="G16" s="161"/>
      <c r="I16" s="179"/>
      <c r="J16" s="187">
        <f t="shared" ref="J16:O16" si="8">+J14+J15</f>
        <v>170.72164199999995</v>
      </c>
      <c r="K16" s="141">
        <f t="shared" si="8"/>
        <v>179.80228968000026</v>
      </c>
      <c r="L16" s="141">
        <f t="shared" si="8"/>
        <v>186.90546126720034</v>
      </c>
      <c r="M16" s="141">
        <f t="shared" si="8"/>
        <v>205.30495571788833</v>
      </c>
      <c r="N16" s="188">
        <f t="shared" si="8"/>
        <v>225.79177994660336</v>
      </c>
      <c r="O16" s="141">
        <f t="shared" si="8"/>
        <v>248.38507714446752</v>
      </c>
    </row>
    <row r="17" spans="1:15" ht="15" thickTop="1" x14ac:dyDescent="0.35">
      <c r="A17" s="10"/>
      <c r="C17" s="25"/>
      <c r="D17" s="25"/>
      <c r="E17" s="25"/>
      <c r="F17" s="215"/>
      <c r="G17" s="161"/>
      <c r="I17" s="179"/>
      <c r="J17" s="214"/>
      <c r="K17" s="214"/>
      <c r="L17" s="214"/>
      <c r="M17" s="214"/>
      <c r="N17" s="178"/>
      <c r="O17" s="214"/>
    </row>
    <row r="18" spans="1:15" x14ac:dyDescent="0.35">
      <c r="A18" s="10"/>
      <c r="B18" t="s">
        <v>237</v>
      </c>
      <c r="C18" s="151">
        <f>+'Fig. 9.5'!D19</f>
        <v>237.2</v>
      </c>
      <c r="D18" s="151">
        <f>+'Fig. 9.5'!E19</f>
        <v>235</v>
      </c>
      <c r="E18" s="151">
        <f>+'Fig. 9.5'!F19</f>
        <v>250.1</v>
      </c>
      <c r="F18" s="151">
        <f>+'Fig. 9.5'!G19</f>
        <v>252.2</v>
      </c>
      <c r="G18" s="161">
        <f>SUM(C18:F18)/SUM(C7:F7)</f>
        <v>3.8254540886626019E-2</v>
      </c>
      <c r="I18" s="179">
        <f>+G18</f>
        <v>3.8254540886626019E-2</v>
      </c>
      <c r="J18" s="7">
        <f t="shared" ref="J18:O18" si="9">+$I$18*J7</f>
        <v>271.26019510012128</v>
      </c>
      <c r="K18" s="7">
        <f t="shared" si="9"/>
        <v>282.1106029041261</v>
      </c>
      <c r="L18" s="7">
        <f t="shared" si="9"/>
        <v>293.3950270202912</v>
      </c>
      <c r="M18" s="7">
        <f t="shared" si="9"/>
        <v>305.13082810110285</v>
      </c>
      <c r="N18" s="178">
        <f t="shared" si="9"/>
        <v>317.33606122514692</v>
      </c>
      <c r="O18" s="7">
        <f t="shared" si="9"/>
        <v>330.02950367415286</v>
      </c>
    </row>
    <row r="19" spans="1:15" x14ac:dyDescent="0.35">
      <c r="A19" s="10"/>
      <c r="B19" t="s">
        <v>238</v>
      </c>
      <c r="C19" s="27"/>
      <c r="D19" s="27"/>
      <c r="E19" s="27"/>
      <c r="F19" s="27"/>
      <c r="G19" s="161"/>
      <c r="I19" s="184" t="s">
        <v>239</v>
      </c>
      <c r="J19" s="7">
        <f>+'[1]Fig. 9.2'!$G$8/7</f>
        <v>18.101698418450002</v>
      </c>
      <c r="K19" s="7">
        <f>+'[1]Fig. 9.2'!$G$8/7</f>
        <v>18.101698418450002</v>
      </c>
      <c r="L19" s="7">
        <f>+'[1]Fig. 9.2'!$G$8/7</f>
        <v>18.101698418450002</v>
      </c>
      <c r="M19" s="7">
        <f>+'[1]Fig. 9.2'!$G$8/7</f>
        <v>18.101698418450002</v>
      </c>
      <c r="N19" s="178">
        <f>+'[1]Fig. 9.2'!$G$8/7</f>
        <v>18.101698418450002</v>
      </c>
      <c r="O19" s="7">
        <f>+'[1]Fig. 9.2'!$G$8/7</f>
        <v>18.101698418450002</v>
      </c>
    </row>
    <row r="20" spans="1:15" x14ac:dyDescent="0.35">
      <c r="A20" s="10"/>
      <c r="B20" t="s">
        <v>262</v>
      </c>
      <c r="C20" s="151">
        <f>+'Fig. 9.5'!D20</f>
        <v>-50.196749999999994</v>
      </c>
      <c r="D20" s="151">
        <f>+'Fig. 9.5'!E20</f>
        <v>-44.118749999999999</v>
      </c>
      <c r="E20" s="151">
        <f>+'Fig. 9.5'!F20</f>
        <v>-45.603749999999998</v>
      </c>
      <c r="F20" s="151">
        <f>+'Fig. 9.5'!G20</f>
        <v>-51.136499999999998</v>
      </c>
      <c r="G20" s="161">
        <f>-SUM(C20:F20)/SUM(C7:F7)</f>
        <v>7.4999999999999989E-3</v>
      </c>
      <c r="I20" s="184">
        <f>+G20</f>
        <v>7.4999999999999989E-3</v>
      </c>
      <c r="J20" s="7">
        <f>-$I$20*J7</f>
        <v>-53.181959999999989</v>
      </c>
      <c r="K20" s="7">
        <f t="shared" ref="K20:O20" si="10">-$I$20*K7</f>
        <v>-55.309238399999991</v>
      </c>
      <c r="L20" s="7">
        <f t="shared" si="10"/>
        <v>-57.521607935999995</v>
      </c>
      <c r="M20" s="7">
        <f t="shared" si="10"/>
        <v>-59.822472253439997</v>
      </c>
      <c r="N20" s="178">
        <f t="shared" si="10"/>
        <v>-62.215371143577592</v>
      </c>
      <c r="O20" s="7">
        <f t="shared" si="10"/>
        <v>-64.703985989320699</v>
      </c>
    </row>
    <row r="21" spans="1:15" x14ac:dyDescent="0.35">
      <c r="A21" s="10"/>
      <c r="B21" t="s">
        <v>240</v>
      </c>
      <c r="C21" s="151">
        <f>+'Fig. 9.5'!D21</f>
        <v>-99</v>
      </c>
      <c r="D21" s="151">
        <f>+'Fig. 9.5'!E21</f>
        <v>-127.6</v>
      </c>
      <c r="E21" s="151">
        <f>+'Fig. 9.5'!F21</f>
        <v>-152.5</v>
      </c>
      <c r="F21" s="151">
        <f>+'Fig. 9.5'!G21</f>
        <v>-152</v>
      </c>
      <c r="G21" s="161">
        <f>-SUM(C21:F21)/SUM(C7:F7)</f>
        <v>2.0848626644317168E-2</v>
      </c>
      <c r="I21" s="179">
        <f>+G21</f>
        <v>2.0848626644317168E-2</v>
      </c>
      <c r="J21" s="185">
        <f t="shared" ref="J21:O21" si="11">-$I$21*J7</f>
        <v>-147.83611043373463</v>
      </c>
      <c r="K21" s="139">
        <f t="shared" si="11"/>
        <v>-153.74955485108404</v>
      </c>
      <c r="L21" s="139">
        <f t="shared" si="11"/>
        <v>-159.8995370451274</v>
      </c>
      <c r="M21" s="139">
        <f t="shared" si="11"/>
        <v>-166.29551852693251</v>
      </c>
      <c r="N21" s="181">
        <f t="shared" si="11"/>
        <v>-172.94733926800978</v>
      </c>
      <c r="O21" s="139">
        <f t="shared" si="11"/>
        <v>-179.86523283873021</v>
      </c>
    </row>
    <row r="22" spans="1:15" ht="15" customHeight="1" x14ac:dyDescent="0.35">
      <c r="A22" s="10"/>
      <c r="B22" t="s">
        <v>241</v>
      </c>
      <c r="C22" s="47"/>
      <c r="D22" s="47"/>
      <c r="E22" s="47"/>
      <c r="F22" s="216"/>
      <c r="G22" s="221"/>
      <c r="I22" s="148"/>
      <c r="J22" s="47">
        <f t="shared" ref="J22:O22" si="12">SUM(J16:J21)</f>
        <v>259.06546508483655</v>
      </c>
      <c r="K22" s="47">
        <f t="shared" si="12"/>
        <v>270.9557977514923</v>
      </c>
      <c r="L22" s="47">
        <f t="shared" si="12"/>
        <v>280.98104172481408</v>
      </c>
      <c r="M22" s="47">
        <f t="shared" si="12"/>
        <v>302.41949145706872</v>
      </c>
      <c r="N22" s="186">
        <f t="shared" si="12"/>
        <v>326.06682917861298</v>
      </c>
      <c r="O22" s="47">
        <f t="shared" si="12"/>
        <v>351.94706040901951</v>
      </c>
    </row>
    <row r="23" spans="1:15" ht="15" customHeight="1" x14ac:dyDescent="0.35">
      <c r="A23" s="10"/>
      <c r="B23" t="s">
        <v>242</v>
      </c>
      <c r="C23" s="7"/>
      <c r="D23" s="7"/>
      <c r="E23" s="7"/>
      <c r="F23" s="214"/>
      <c r="G23" s="221"/>
      <c r="I23" s="148"/>
      <c r="J23" s="185">
        <f>-'Fig. 9.8'!F23</f>
        <v>-50</v>
      </c>
      <c r="K23" s="139">
        <f>-'Fig. 9.8'!G23</f>
        <v>-75</v>
      </c>
      <c r="L23" s="139">
        <f>-'Fig. 9.8'!H23</f>
        <v>-100</v>
      </c>
      <c r="M23" s="139">
        <f>-'Fig. 9.8'!I23</f>
        <v>-125</v>
      </c>
      <c r="N23" s="181">
        <f>-'Fig. 9.8'!J23</f>
        <v>-150</v>
      </c>
      <c r="O23" s="139">
        <f>-'Fig. 9.8'!K23</f>
        <v>-200</v>
      </c>
    </row>
    <row r="24" spans="1:15" ht="15" customHeight="1" thickBot="1" x14ac:dyDescent="0.4">
      <c r="A24" s="10"/>
      <c r="B24" t="s">
        <v>243</v>
      </c>
      <c r="C24" s="7"/>
      <c r="D24" s="7"/>
      <c r="E24" s="7"/>
      <c r="F24" s="214"/>
      <c r="G24" s="221"/>
      <c r="I24" s="148"/>
      <c r="J24" s="187">
        <f t="shared" ref="J24:O24" si="13">+J22+J23</f>
        <v>209.06546508483655</v>
      </c>
      <c r="K24" s="141">
        <f t="shared" si="13"/>
        <v>195.9557977514923</v>
      </c>
      <c r="L24" s="141">
        <f t="shared" si="13"/>
        <v>180.98104172481408</v>
      </c>
      <c r="M24" s="141">
        <f t="shared" si="13"/>
        <v>177.41949145706872</v>
      </c>
      <c r="N24" s="188">
        <f t="shared" si="13"/>
        <v>176.06682917861298</v>
      </c>
      <c r="O24" s="141">
        <f t="shared" si="13"/>
        <v>151.94706040901951</v>
      </c>
    </row>
    <row r="25" spans="1:15" ht="15" customHeight="1" thickTop="1" x14ac:dyDescent="0.35">
      <c r="A25" s="10"/>
      <c r="C25" s="7"/>
      <c r="D25" s="7"/>
      <c r="E25" s="7"/>
      <c r="F25" s="214"/>
      <c r="G25" s="221"/>
      <c r="I25" s="148"/>
      <c r="J25" s="7"/>
      <c r="K25" s="7"/>
      <c r="L25" s="7"/>
      <c r="M25" s="7"/>
      <c r="N25" s="178"/>
      <c r="O25" s="7"/>
    </row>
    <row r="26" spans="1:15" ht="15" customHeight="1" x14ac:dyDescent="0.35">
      <c r="A26" s="10"/>
      <c r="B26" s="74" t="s">
        <v>244</v>
      </c>
      <c r="F26" s="217">
        <f t="shared" ref="F26:O26" si="14">+F12+F18</f>
        <v>616.59999999999991</v>
      </c>
      <c r="G26" s="221"/>
      <c r="I26" s="148"/>
      <c r="J26" s="189">
        <f t="shared" si="14"/>
        <v>625.80659510012129</v>
      </c>
      <c r="K26" s="189">
        <f t="shared" si="14"/>
        <v>650.83885890412648</v>
      </c>
      <c r="L26" s="189">
        <f t="shared" si="14"/>
        <v>676.87241326029164</v>
      </c>
      <c r="M26" s="189">
        <f t="shared" si="14"/>
        <v>703.94730979070323</v>
      </c>
      <c r="N26" s="190">
        <f t="shared" si="14"/>
        <v>732.10520218233069</v>
      </c>
      <c r="O26" s="189">
        <f t="shared" si="14"/>
        <v>761.38941026962402</v>
      </c>
    </row>
    <row r="27" spans="1:15" ht="12" customHeight="1" x14ac:dyDescent="0.35">
      <c r="A27" s="10"/>
      <c r="B27" s="4" t="s">
        <v>245</v>
      </c>
      <c r="C27" s="4"/>
      <c r="D27" s="4"/>
      <c r="E27" s="4"/>
      <c r="F27" s="217"/>
      <c r="G27" s="222"/>
      <c r="I27" s="4"/>
      <c r="J27" s="189">
        <f>+'Fig. 9.8'!F25</f>
        <v>1800</v>
      </c>
      <c r="K27" s="189">
        <f>+'Fig. 9.8'!G25</f>
        <v>1725</v>
      </c>
      <c r="L27" s="189">
        <f>+'Fig. 9.8'!H25</f>
        <v>1625</v>
      </c>
      <c r="M27" s="189">
        <f>+'Fig. 9.8'!I25</f>
        <v>1500</v>
      </c>
      <c r="N27" s="190">
        <f>+'Fig. 9.8'!J25</f>
        <v>1350</v>
      </c>
      <c r="O27" s="189">
        <f>+'Fig. 9.8'!K25</f>
        <v>1150</v>
      </c>
    </row>
    <row r="28" spans="1:15" ht="7.5" customHeight="1" x14ac:dyDescent="0.35">
      <c r="A28" s="10"/>
      <c r="N28" s="191"/>
    </row>
    <row r="29" spans="1:15" ht="15" thickBot="1" x14ac:dyDescent="0.4">
      <c r="A29" s="10"/>
      <c r="B29" s="192" t="s">
        <v>246</v>
      </c>
      <c r="F29" s="193" t="s">
        <v>247</v>
      </c>
      <c r="G29" s="194" t="s">
        <v>248</v>
      </c>
      <c r="N29" s="191"/>
    </row>
    <row r="30" spans="1:15" x14ac:dyDescent="0.35">
      <c r="A30" s="10"/>
      <c r="B30" t="s">
        <v>249</v>
      </c>
      <c r="F30" s="237"/>
      <c r="G30" s="236">
        <f>+'Fig. 9.6'!I9</f>
        <v>6.0753350188439033</v>
      </c>
      <c r="I30" t="s">
        <v>265</v>
      </c>
      <c r="J30" s="195" t="s">
        <v>250</v>
      </c>
      <c r="N30" s="196">
        <f>+$G$30*N26</f>
        <v>4447.7843722961097</v>
      </c>
    </row>
    <row r="31" spans="1:15" ht="15" thickBot="1" x14ac:dyDescent="0.4">
      <c r="A31" s="10"/>
      <c r="B31" t="s">
        <v>251</v>
      </c>
      <c r="F31" s="238">
        <f>+O8</f>
        <v>0.04</v>
      </c>
      <c r="G31" s="239">
        <v>0.1</v>
      </c>
      <c r="I31" s="195" t="s">
        <v>270</v>
      </c>
      <c r="J31" s="233" t="s">
        <v>269</v>
      </c>
      <c r="K31" s="234"/>
      <c r="L31" s="234"/>
      <c r="M31" s="234"/>
      <c r="N31" s="197">
        <f>+(O22-O13)/(G31-F31)</f>
        <v>7747.7426734836581</v>
      </c>
    </row>
    <row r="32" spans="1:15" x14ac:dyDescent="0.35">
      <c r="A32" s="10"/>
      <c r="B32" t="s">
        <v>252</v>
      </c>
      <c r="F32" s="198"/>
      <c r="N32" s="178">
        <f>+(N30+N31)/2</f>
        <v>6097.7635228898835</v>
      </c>
    </row>
    <row r="33" spans="1:15" x14ac:dyDescent="0.35">
      <c r="A33" s="10"/>
      <c r="B33" t="s">
        <v>253</v>
      </c>
      <c r="F33" s="44"/>
      <c r="N33" s="196">
        <f>-N27</f>
        <v>-1350</v>
      </c>
    </row>
    <row r="34" spans="1:15" x14ac:dyDescent="0.35">
      <c r="A34" s="10"/>
      <c r="B34" t="s">
        <v>254</v>
      </c>
      <c r="F34" s="44"/>
      <c r="N34" s="199">
        <v>0</v>
      </c>
    </row>
    <row r="35" spans="1:15" x14ac:dyDescent="0.35">
      <c r="A35" s="10"/>
      <c r="B35" t="s">
        <v>255</v>
      </c>
      <c r="N35" s="196">
        <f>+N33+N32</f>
        <v>4747.7635228898835</v>
      </c>
    </row>
    <row r="36" spans="1:15" ht="15" thickBot="1" x14ac:dyDescent="0.4">
      <c r="A36" s="10"/>
      <c r="N36" s="196"/>
    </row>
    <row r="37" spans="1:15" ht="15" thickBot="1" x14ac:dyDescent="0.4">
      <c r="A37" s="10"/>
      <c r="B37" t="s">
        <v>256</v>
      </c>
      <c r="G37" s="229">
        <v>0.25</v>
      </c>
      <c r="N37" s="191"/>
    </row>
    <row r="38" spans="1:15" ht="15" thickBot="1" x14ac:dyDescent="0.4">
      <c r="A38" s="10"/>
      <c r="B38" s="200" t="s">
        <v>243</v>
      </c>
      <c r="C38" s="201"/>
      <c r="D38" s="201"/>
      <c r="E38" s="201"/>
      <c r="F38" s="202"/>
      <c r="G38" s="203"/>
      <c r="H38" s="203"/>
      <c r="I38" s="202">
        <f>-'Fig. 9.6'!E16</f>
        <v>-1896.0515726191502</v>
      </c>
      <c r="J38" s="202">
        <f>+J24</f>
        <v>209.06546508483655</v>
      </c>
      <c r="K38" s="202">
        <f>+K24</f>
        <v>195.9557977514923</v>
      </c>
      <c r="L38" s="202">
        <f>+L24</f>
        <v>180.98104172481408</v>
      </c>
      <c r="M38" s="202">
        <f>+M24</f>
        <v>177.41949145706872</v>
      </c>
      <c r="N38" s="204">
        <f>+N24+N35</f>
        <v>4923.8303520684967</v>
      </c>
    </row>
    <row r="39" spans="1:15" ht="15" thickTop="1" x14ac:dyDescent="0.35">
      <c r="A39" s="10"/>
      <c r="C39" s="205"/>
      <c r="D39" s="205"/>
      <c r="E39" s="205"/>
      <c r="F39" s="206"/>
      <c r="G39" s="206" t="s">
        <v>271</v>
      </c>
      <c r="H39" s="206"/>
      <c r="I39" s="206"/>
      <c r="J39" s="47">
        <f>+J38/((1+$G$37)^J4)</f>
        <v>167.25237206786923</v>
      </c>
      <c r="K39" s="47">
        <f t="shared" ref="K39:N39" si="15">+K38/((1+$G$37)^K4)</f>
        <v>125.41171056095507</v>
      </c>
      <c r="L39" s="47">
        <f t="shared" si="15"/>
        <v>92.662293363104808</v>
      </c>
      <c r="M39" s="47">
        <f t="shared" si="15"/>
        <v>72.67102370081534</v>
      </c>
      <c r="N39" s="47">
        <f t="shared" si="15"/>
        <v>1613.4407297658049</v>
      </c>
      <c r="O39" s="206"/>
    </row>
    <row r="40" spans="1:15" x14ac:dyDescent="0.35">
      <c r="A40" s="10"/>
      <c r="F40" s="206"/>
      <c r="G40" s="206"/>
      <c r="H40" s="206"/>
      <c r="I40" s="206"/>
      <c r="J40" s="206"/>
      <c r="K40" s="206"/>
      <c r="L40" s="206"/>
      <c r="M40" s="206"/>
      <c r="N40" s="206"/>
      <c r="O40" s="206"/>
    </row>
    <row r="41" spans="1:15" x14ac:dyDescent="0.35">
      <c r="A41" s="10"/>
      <c r="F41" s="207" t="s">
        <v>257</v>
      </c>
      <c r="G41" s="208">
        <f>SUM(J39:N39)</f>
        <v>2071.4381294585492</v>
      </c>
      <c r="H41" s="208"/>
      <c r="I41" s="231">
        <f>+G41/'Fig. 9.6'!F6</f>
        <v>6.5487595379803016</v>
      </c>
      <c r="J41" s="4" t="s">
        <v>266</v>
      </c>
    </row>
    <row r="42" spans="1:15" x14ac:dyDescent="0.35">
      <c r="A42" s="10"/>
      <c r="F42" s="207" t="s">
        <v>258</v>
      </c>
      <c r="G42" s="210">
        <f>+I38</f>
        <v>-1896.0515726191502</v>
      </c>
      <c r="H42" s="210"/>
    </row>
    <row r="43" spans="1:15" x14ac:dyDescent="0.35">
      <c r="A43" s="10"/>
      <c r="F43" s="208" t="s">
        <v>259</v>
      </c>
      <c r="G43" s="211">
        <f>+G41+G42</f>
        <v>175.38655683939896</v>
      </c>
      <c r="H43" s="211"/>
    </row>
    <row r="44" spans="1:15" ht="10" customHeight="1" thickBot="1" x14ac:dyDescent="0.4">
      <c r="A44" s="10"/>
    </row>
    <row r="45" spans="1:15" ht="15" thickBot="1" x14ac:dyDescent="0.4">
      <c r="A45" s="10"/>
      <c r="F45" s="212" t="s">
        <v>260</v>
      </c>
      <c r="G45" s="235">
        <f>IRR(I38:N38)</f>
        <v>0.27566006546432487</v>
      </c>
      <c r="H45" s="226"/>
    </row>
    <row r="47" spans="1:15" x14ac:dyDescent="0.35">
      <c r="O47" s="330" t="s">
        <v>405</v>
      </c>
    </row>
  </sheetData>
  <mergeCells count="2">
    <mergeCell ref="C5:G5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Fig. 9.1</vt:lpstr>
      <vt:lpstr>Fig. 9.2</vt:lpstr>
      <vt:lpstr>Fig. 9.3</vt:lpstr>
      <vt:lpstr>Fig. 9.4</vt:lpstr>
      <vt:lpstr>Fig. 9.5</vt:lpstr>
      <vt:lpstr>Fig. 9.6</vt:lpstr>
      <vt:lpstr>Fig. 9.7</vt:lpstr>
      <vt:lpstr>Fig. 9.8</vt:lpstr>
      <vt:lpstr>Fig. 9.9</vt:lpstr>
      <vt:lpstr>Fig. 9.10</vt:lpstr>
      <vt:lpstr>Fig 9.11</vt:lpstr>
      <vt:lpstr>Fig. 9.12</vt:lpstr>
      <vt:lpstr>Fig. 9.13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2021-04-03T19:30:14Z</dcterms:created>
  <dcterms:modified xsi:type="dcterms:W3CDTF">2022-07-29T13:38:53Z</dcterms:modified>
</cp:coreProperties>
</file>