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CREDIT RISK MANAGMENT - FIRST EDITION ADD ON FILES\Excel Sheets by Chapter\Practice Templates\"/>
    </mc:Choice>
  </mc:AlternateContent>
  <xr:revisionPtr revIDLastSave="0" documentId="13_ncr:1_{1AF62095-E802-4B83-A1FE-AA29904EC33C}" xr6:coauthVersionLast="47" xr6:coauthVersionMax="47" xr10:uidLastSave="{00000000-0000-0000-0000-000000000000}"/>
  <bookViews>
    <workbookView xWindow="-120" yWindow="-120" windowWidth="29040" windowHeight="15720" xr2:uid="{FE67A7CD-5C81-4C2D-BC35-D4BD5541EB3B}"/>
  </bookViews>
  <sheets>
    <sheet name="Syndication Commitments" sheetId="1" r:id="rId1"/>
    <sheet name="Syndication Fe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7" i="2"/>
  <c r="F8" i="2"/>
  <c r="F5" i="2"/>
  <c r="E6" i="2"/>
  <c r="E7" i="2"/>
  <c r="E8" i="2"/>
  <c r="E5" i="2"/>
  <c r="D6" i="2"/>
  <c r="D7" i="2"/>
  <c r="E23" i="2" s="1"/>
  <c r="D8" i="2"/>
  <c r="E24" i="2" s="1"/>
  <c r="D5" i="2"/>
  <c r="C6" i="2"/>
  <c r="C7" i="2"/>
  <c r="C8" i="2"/>
  <c r="C5" i="2"/>
  <c r="X33" i="1"/>
  <c r="X27" i="1"/>
  <c r="W27" i="1"/>
  <c r="R26" i="1"/>
  <c r="W26" i="1" s="1"/>
  <c r="S25" i="1"/>
  <c r="W25" i="1" s="1"/>
  <c r="X25" i="1" s="1"/>
  <c r="Z25" i="1" s="1"/>
  <c r="R25" i="1"/>
  <c r="W24" i="1"/>
  <c r="R22" i="1"/>
  <c r="X21" i="1"/>
  <c r="W21" i="1"/>
  <c r="V21" i="1"/>
  <c r="R20" i="1"/>
  <c r="V20" i="1" s="1"/>
  <c r="V7" i="1" s="1"/>
  <c r="V13" i="1" s="1"/>
  <c r="W19" i="1"/>
  <c r="V19" i="1"/>
  <c r="V6" i="1" s="1"/>
  <c r="V12" i="1" s="1"/>
  <c r="R19" i="1"/>
  <c r="W18" i="1"/>
  <c r="X18" i="1" s="1"/>
  <c r="R18" i="1"/>
  <c r="V18" i="1" s="1"/>
  <c r="R15" i="1"/>
  <c r="R14" i="1"/>
  <c r="U14" i="1" s="1"/>
  <c r="V14" i="1" s="1"/>
  <c r="W14" i="1" s="1"/>
  <c r="R13" i="1"/>
  <c r="U13" i="1" s="1"/>
  <c r="U7" i="1" s="1"/>
  <c r="R12" i="1"/>
  <c r="W12" i="1" s="1"/>
  <c r="X11" i="1"/>
  <c r="Z11" i="1" s="1"/>
  <c r="U11" i="1"/>
  <c r="R9" i="1"/>
  <c r="T8" i="1"/>
  <c r="T7" i="1"/>
  <c r="T6" i="1"/>
  <c r="T9" i="1" s="1"/>
  <c r="T34" i="1" s="1"/>
  <c r="U5" i="1"/>
  <c r="T5" i="1"/>
  <c r="F9" i="2" l="1"/>
  <c r="E21" i="2"/>
  <c r="D21" i="2"/>
  <c r="D24" i="2"/>
  <c r="D23" i="2"/>
  <c r="E22" i="2"/>
  <c r="E25" i="2" s="1"/>
  <c r="D22" i="2"/>
  <c r="D9" i="2"/>
  <c r="C9" i="2"/>
  <c r="C23" i="2"/>
  <c r="C24" i="2"/>
  <c r="C21" i="2"/>
  <c r="F21" i="2" s="1"/>
  <c r="G21" i="2" s="1"/>
  <c r="C22" i="2"/>
  <c r="E9" i="2"/>
  <c r="Z18" i="1"/>
  <c r="X12" i="1"/>
  <c r="W28" i="1"/>
  <c r="V22" i="1"/>
  <c r="V5" i="1"/>
  <c r="X26" i="1"/>
  <c r="Z26" i="1" s="1"/>
  <c r="W7" i="1"/>
  <c r="U8" i="1"/>
  <c r="V8" i="1" s="1"/>
  <c r="W8" i="1" s="1"/>
  <c r="X19" i="1"/>
  <c r="Z19" i="1" s="1"/>
  <c r="X24" i="1"/>
  <c r="R28" i="1"/>
  <c r="U12" i="1"/>
  <c r="U15" i="1" s="1"/>
  <c r="F24" i="2" l="1"/>
  <c r="D25" i="2"/>
  <c r="F22" i="2"/>
  <c r="G22" i="2" s="1"/>
  <c r="F23" i="2"/>
  <c r="C25" i="2"/>
  <c r="W20" i="1"/>
  <c r="W13" i="1"/>
  <c r="X7" i="1"/>
  <c r="Z7" i="1" s="1"/>
  <c r="V9" i="1"/>
  <c r="V11" i="1"/>
  <c r="V15" i="1" s="1"/>
  <c r="W5" i="1"/>
  <c r="V34" i="1"/>
  <c r="Z12" i="1"/>
  <c r="X28" i="1"/>
  <c r="Z24" i="1"/>
  <c r="U6" i="1"/>
  <c r="U9" i="1" s="1"/>
  <c r="U34" i="1" s="1"/>
  <c r="F25" i="2" l="1"/>
  <c r="G25" i="2" s="1"/>
  <c r="W6" i="1"/>
  <c r="X6" i="1" s="1"/>
  <c r="Z6" i="1" s="1"/>
  <c r="X5" i="1"/>
  <c r="X13" i="1"/>
  <c r="W15" i="1"/>
  <c r="X20" i="1"/>
  <c r="W22" i="1"/>
  <c r="Z20" i="1" l="1"/>
  <c r="Z22" i="1" s="1"/>
  <c r="X22" i="1"/>
  <c r="Z13" i="1"/>
  <c r="Z15" i="1" s="1"/>
  <c r="X15" i="1"/>
  <c r="W9" i="1"/>
  <c r="W34" i="1" s="1"/>
  <c r="Z5" i="1"/>
  <c r="Z9" i="1" s="1"/>
  <c r="X9" i="1"/>
  <c r="X34" i="1" l="1"/>
</calcChain>
</file>

<file path=xl/sharedStrings.xml><?xml version="1.0" encoding="utf-8"?>
<sst xmlns="http://schemas.openxmlformats.org/spreadsheetml/2006/main" count="130" uniqueCount="63">
  <si>
    <t>THE LOAN SYNDICATION PROCESS</t>
  </si>
  <si>
    <t>Syndication</t>
  </si>
  <si>
    <t>Facility</t>
  </si>
  <si>
    <t xml:space="preserve">Initial </t>
  </si>
  <si>
    <t>First Tier
Allocation</t>
  </si>
  <si>
    <t>Second Tier
Allocation</t>
  </si>
  <si>
    <t>Retail Level
Allocation</t>
  </si>
  <si>
    <t>After Bond
Issuance</t>
  </si>
  <si>
    <t>Per Bank</t>
  </si>
  <si>
    <t>SYNDICATION TIERS</t>
  </si>
  <si>
    <t>Level</t>
  </si>
  <si>
    <t>Description</t>
  </si>
  <si>
    <t>Commitm.</t>
  </si>
  <si>
    <t>Revolver</t>
  </si>
  <si>
    <t>COMPANY/ ISSUER</t>
  </si>
  <si>
    <r>
      <rPr>
        <b/>
        <sz val="9"/>
        <color rgb="FFFF0000"/>
        <rFont val="Aptos Narrow"/>
        <family val="2"/>
        <scheme val="minor"/>
      </rPr>
      <t>TOPBANC BANK</t>
    </r>
    <r>
      <rPr>
        <b/>
        <sz val="9"/>
        <color theme="1"/>
        <rFont val="Aptos Narrow"/>
        <family val="2"/>
        <scheme val="minor"/>
      </rPr>
      <t xml:space="preserve">
LEAD ARANGER BANK
Administrative Agent</t>
    </r>
  </si>
  <si>
    <t>LEFT LEAD</t>
  </si>
  <si>
    <t>Term Loan A</t>
  </si>
  <si>
    <t>Term Loan B</t>
  </si>
  <si>
    <t>Bridge Loan</t>
  </si>
  <si>
    <t>Total</t>
  </si>
  <si>
    <r>
      <rPr>
        <b/>
        <sz val="9"/>
        <color rgb="FFFF0000"/>
        <rFont val="Aptos Narrow"/>
        <family val="2"/>
        <scheme val="minor"/>
      </rPr>
      <t>DROU BANK</t>
    </r>
    <r>
      <rPr>
        <b/>
        <sz val="9"/>
        <color theme="1"/>
        <rFont val="Aptos Narrow"/>
        <family val="2"/>
        <scheme val="minor"/>
      </rPr>
      <t xml:space="preserve">
CO-LEAD ARRANGER #1
Syndication 
Agent</t>
    </r>
  </si>
  <si>
    <r>
      <rPr>
        <b/>
        <sz val="9"/>
        <color rgb="FFFF0000"/>
        <rFont val="Aptos Narrow"/>
        <family val="2"/>
        <scheme val="minor"/>
      </rPr>
      <t>SPRING BANK</t>
    </r>
    <r>
      <rPr>
        <b/>
        <sz val="9"/>
        <color theme="1"/>
        <rFont val="Aptos Narrow"/>
        <family val="2"/>
        <scheme val="minor"/>
      </rPr>
      <t xml:space="preserve">
CO-LEAD ARRANGER #2
Documentation Agent</t>
    </r>
  </si>
  <si>
    <r>
      <rPr>
        <b/>
        <sz val="9"/>
        <color rgb="FFFF0000"/>
        <rFont val="Aptos Narrow"/>
        <family val="2"/>
        <scheme val="minor"/>
      </rPr>
      <t>SUMMER BANK</t>
    </r>
    <r>
      <rPr>
        <b/>
        <sz val="9"/>
        <color theme="1"/>
        <rFont val="Aptos Narrow"/>
        <family val="2"/>
        <scheme val="minor"/>
      </rPr>
      <t xml:space="preserve">
CO-LEAD ARRANGER #3
Documentation Agent</t>
    </r>
  </si>
  <si>
    <t>FIRST TIER</t>
  </si>
  <si>
    <t>ABC Bank
Co-Mgr
Bank #1</t>
  </si>
  <si>
    <t>BCD Bank
Co-Mgr
Bank #1</t>
  </si>
  <si>
    <t>CDE Bank
Co-Mgr
Bank #1</t>
  </si>
  <si>
    <t>DEF Bank
Co-Mgr
Bank #1</t>
  </si>
  <si>
    <t>EFG Bank
Co-Mgr
Bank #1</t>
  </si>
  <si>
    <t>FGH Bank
Co-Mgr
Bank #1</t>
  </si>
  <si>
    <t>SECOND TIER</t>
  </si>
  <si>
    <t>Bank 1</t>
  </si>
  <si>
    <t>Bank 3</t>
  </si>
  <si>
    <t>Bank 5</t>
  </si>
  <si>
    <t>Bank 7</t>
  </si>
  <si>
    <t>Bank 9</t>
  </si>
  <si>
    <t>RETAIL LEVEL</t>
  </si>
  <si>
    <t>Banks</t>
  </si>
  <si>
    <t>Bank 2</t>
  </si>
  <si>
    <t>Bank 4</t>
  </si>
  <si>
    <t>Bank 6</t>
  </si>
  <si>
    <t>Bank 8</t>
  </si>
  <si>
    <t>Bank 10</t>
  </si>
  <si>
    <t>Average Hold CLO/PF</t>
  </si>
  <si>
    <t>CLO/PF</t>
  </si>
  <si>
    <t>Bond Investors</t>
  </si>
  <si>
    <t xml:space="preserve">Total </t>
  </si>
  <si>
    <t>SYNDICATION STRATEGY AND FEE BREAKDOWN</t>
  </si>
  <si>
    <t>($ 000's)</t>
  </si>
  <si>
    <t>Tier 1</t>
  </si>
  <si>
    <t>Tier 2</t>
  </si>
  <si>
    <t>Retail</t>
  </si>
  <si>
    <t>Fees % 
before 
skimming</t>
  </si>
  <si>
    <t>No Skim for RC</t>
  </si>
  <si>
    <t>No Skim for TL A</t>
  </si>
  <si>
    <t>Bridge Loan*</t>
  </si>
  <si>
    <t>(Includes 1.5% Bridge and 1.5% Bond Economics)</t>
  </si>
  <si>
    <t>First Tier
Fees</t>
  </si>
  <si>
    <t>Second Tier
Fee Skim</t>
  </si>
  <si>
    <t>Retail Level
Skim</t>
  </si>
  <si>
    <t>Final Fee</t>
  </si>
  <si>
    <t xml:space="preserve"> Effective
Fee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</si>
</sst>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\x"/>
    <numFmt numFmtId="166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2" borderId="0" xfId="0" applyFont="1" applyFill="1" applyAlignment="1">
      <alignment horizontal="center"/>
    </xf>
    <xf numFmtId="0" fontId="4" fillId="0" borderId="0" xfId="0" applyFont="1"/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0" xfId="0" applyFont="1"/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2" fillId="0" borderId="11" xfId="0" applyFont="1" applyBorder="1" applyAlignment="1">
      <alignment horizontal="left"/>
    </xf>
    <xf numFmtId="164" fontId="2" fillId="0" borderId="1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164" fontId="0" fillId="0" borderId="0" xfId="1" quotePrefix="1" applyNumberFormat="1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1" xfId="0" applyFont="1" applyBorder="1"/>
    <xf numFmtId="0" fontId="0" fillId="0" borderId="11" xfId="0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12" xfId="0" applyNumberFormat="1" applyFont="1" applyBorder="1"/>
    <xf numFmtId="164" fontId="0" fillId="0" borderId="0" xfId="0" applyNumberFormat="1" applyAlignment="1">
      <alignment horizontal="right"/>
    </xf>
    <xf numFmtId="164" fontId="8" fillId="0" borderId="0" xfId="1" applyNumberFormat="1" applyFont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0" fillId="0" borderId="11" xfId="0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0" fontId="0" fillId="0" borderId="0" xfId="2" applyNumberFormat="1" applyFont="1"/>
    <xf numFmtId="166" fontId="2" fillId="0" borderId="12" xfId="2" applyNumberFormat="1" applyFont="1" applyBorder="1"/>
    <xf numFmtId="10" fontId="8" fillId="0" borderId="0" xfId="0" applyNumberFormat="1" applyFont="1"/>
    <xf numFmtId="10" fontId="8" fillId="0" borderId="1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5</xdr:row>
      <xdr:rowOff>177800</xdr:rowOff>
    </xdr:from>
    <xdr:to>
      <xdr:col>4</xdr:col>
      <xdr:colOff>419100</xdr:colOff>
      <xdr:row>5</xdr:row>
      <xdr:rowOff>180975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49035B5-7429-4696-8911-4ABCBD9C4F47}"/>
            </a:ext>
          </a:extLst>
        </xdr:cNvPr>
        <xdr:cNvCxnSpPr/>
      </xdr:nvCxnSpPr>
      <xdr:spPr>
        <a:xfrm>
          <a:off x="1139825" y="1377950"/>
          <a:ext cx="669925" cy="3175"/>
        </a:xfrm>
        <a:prstGeom prst="straightConnector1">
          <a:avLst/>
        </a:prstGeom>
        <a:ln w="635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C5000-3746-47B5-BB38-630DA1EABDD1}">
  <dimension ref="B2:AC36"/>
  <sheetViews>
    <sheetView tabSelected="1" workbookViewId="0">
      <selection activeCell="Z36" sqref="Z36"/>
    </sheetView>
  </sheetViews>
  <sheetFormatPr defaultRowHeight="15" x14ac:dyDescent="0.25"/>
  <cols>
    <col min="1" max="1" width="5.140625" customWidth="1"/>
    <col min="2" max="2" width="7.5703125" style="9" customWidth="1"/>
    <col min="3" max="3" width="3.42578125" style="9" customWidth="1"/>
    <col min="4" max="4" width="7.5703125" style="9" customWidth="1"/>
    <col min="5" max="5" width="3.42578125" style="9" customWidth="1"/>
    <col min="6" max="6" width="7.5703125" style="9" customWidth="1"/>
    <col min="7" max="7" width="3.42578125" style="9" customWidth="1"/>
    <col min="8" max="8" width="7.5703125" style="9" customWidth="1"/>
    <col min="9" max="9" width="3.42578125" style="9" customWidth="1"/>
    <col min="10" max="10" width="8.5703125" style="9" customWidth="1"/>
    <col min="11" max="11" width="3.42578125" style="9" customWidth="1"/>
    <col min="12" max="12" width="7.5703125" style="9" customWidth="1"/>
    <col min="13" max="13" width="2.5703125" customWidth="1"/>
    <col min="14" max="14" width="7.7109375" customWidth="1"/>
    <col min="15" max="15" width="3.42578125" customWidth="1"/>
    <col min="16" max="16" width="2" customWidth="1"/>
    <col min="17" max="17" width="11" customWidth="1"/>
    <col min="18" max="18" width="11.42578125" customWidth="1"/>
    <col min="19" max="19" width="4.85546875" customWidth="1"/>
    <col min="20" max="20" width="11.28515625" customWidth="1"/>
    <col min="21" max="21" width="11.85546875" customWidth="1"/>
    <col min="22" max="23" width="11" customWidth="1"/>
    <col min="24" max="24" width="11.140625" customWidth="1"/>
    <col min="25" max="25" width="2.140625" customWidth="1"/>
    <col min="26" max="26" width="10.5703125" customWidth="1"/>
    <col min="28" max="28" width="10.140625" bestFit="1" customWidth="1"/>
  </cols>
  <sheetData>
    <row r="2" spans="2:29" ht="18.75" x14ac:dyDescent="0.3">
      <c r="B2" s="1" t="s">
        <v>0</v>
      </c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9" ht="45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 t="s">
        <v>1</v>
      </c>
      <c r="O3" s="4"/>
      <c r="P3" s="4"/>
      <c r="Q3" s="4" t="s">
        <v>2</v>
      </c>
      <c r="R3" s="4" t="s">
        <v>3</v>
      </c>
      <c r="S3" s="4"/>
      <c r="T3" s="5" t="s">
        <v>3</v>
      </c>
      <c r="U3" s="5" t="s">
        <v>4</v>
      </c>
      <c r="V3" s="5" t="s">
        <v>5</v>
      </c>
      <c r="W3" s="5" t="s">
        <v>6</v>
      </c>
      <c r="X3" s="5" t="s">
        <v>7</v>
      </c>
      <c r="Z3" s="5" t="s">
        <v>8</v>
      </c>
    </row>
    <row r="4" spans="2:29" ht="15.75" thickBot="1" x14ac:dyDescent="0.3">
      <c r="B4" s="6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 t="s">
        <v>10</v>
      </c>
      <c r="O4" s="7"/>
      <c r="P4" s="7"/>
      <c r="Q4" s="7" t="s">
        <v>11</v>
      </c>
      <c r="R4" s="7" t="s">
        <v>12</v>
      </c>
      <c r="S4" s="7"/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Z4" s="7" t="s">
        <v>12</v>
      </c>
    </row>
    <row r="5" spans="2:29" s="9" customFormat="1" ht="16.5" thickTop="1" thickBot="1" x14ac:dyDescent="0.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Q5" s="10" t="s">
        <v>13</v>
      </c>
      <c r="R5" s="78">
        <v>400000</v>
      </c>
      <c r="S5" s="12">
        <v>1</v>
      </c>
      <c r="T5" s="11">
        <f>+S5*R5</f>
        <v>400000</v>
      </c>
      <c r="U5" s="11">
        <f>+T5-U11</f>
        <v>100000</v>
      </c>
      <c r="V5" s="11">
        <f>+(R5-V18)/(S5+S11)</f>
        <v>40000</v>
      </c>
      <c r="W5" s="11">
        <f>+V5</f>
        <v>40000</v>
      </c>
      <c r="X5" s="11">
        <f>+W5</f>
        <v>40000</v>
      </c>
      <c r="Y5"/>
      <c r="Z5" s="11">
        <f>+X5</f>
        <v>40000</v>
      </c>
      <c r="AB5"/>
      <c r="AC5"/>
    </row>
    <row r="6" spans="2:29" s="9" customFormat="1" ht="14.45" customHeight="1" x14ac:dyDescent="0.25">
      <c r="B6" s="13" t="s">
        <v>14</v>
      </c>
      <c r="C6" s="14"/>
      <c r="D6" s="8"/>
      <c r="E6" s="8"/>
      <c r="F6" s="15" t="s">
        <v>15</v>
      </c>
      <c r="G6" s="16"/>
      <c r="H6" s="17"/>
      <c r="I6" s="8"/>
      <c r="J6" s="8"/>
      <c r="K6" s="8"/>
      <c r="L6" s="8"/>
      <c r="N6" s="18" t="s">
        <v>16</v>
      </c>
      <c r="Q6" s="10" t="s">
        <v>17</v>
      </c>
      <c r="R6" s="78">
        <v>700000</v>
      </c>
      <c r="S6" s="12">
        <v>1</v>
      </c>
      <c r="T6" s="11">
        <f t="shared" ref="T6:T8" si="0">+S6*R6</f>
        <v>700000</v>
      </c>
      <c r="U6" s="11">
        <f>+T6-U12</f>
        <v>175000</v>
      </c>
      <c r="V6" s="11">
        <f t="shared" ref="V6:V7" si="1">+(R6-V19)/(S6+S12)</f>
        <v>70000</v>
      </c>
      <c r="W6" s="11">
        <f>+R6/R5*W5</f>
        <v>70000</v>
      </c>
      <c r="X6" s="11">
        <f>+W6</f>
        <v>70000</v>
      </c>
      <c r="Y6"/>
      <c r="Z6" s="11">
        <f>+X6</f>
        <v>70000</v>
      </c>
      <c r="AB6"/>
      <c r="AC6"/>
    </row>
    <row r="7" spans="2:29" s="9" customFormat="1" ht="14.45" customHeight="1" x14ac:dyDescent="0.25">
      <c r="B7" s="19"/>
      <c r="C7" s="20"/>
      <c r="D7" s="8"/>
      <c r="E7" s="8"/>
      <c r="F7" s="21"/>
      <c r="G7" s="22"/>
      <c r="H7" s="23"/>
      <c r="I7" s="8"/>
      <c r="J7" s="8"/>
      <c r="K7" s="8"/>
      <c r="L7" s="8"/>
      <c r="N7" s="18"/>
      <c r="Q7" s="10" t="s">
        <v>18</v>
      </c>
      <c r="R7" s="78">
        <v>800000</v>
      </c>
      <c r="S7" s="12">
        <v>1</v>
      </c>
      <c r="T7" s="11">
        <f t="shared" si="0"/>
        <v>800000</v>
      </c>
      <c r="U7" s="11">
        <f>+T7-U13</f>
        <v>200000</v>
      </c>
      <c r="V7" s="11">
        <f t="shared" si="1"/>
        <v>80000</v>
      </c>
      <c r="W7" s="11">
        <f>+(R7-W26)/10</f>
        <v>0</v>
      </c>
      <c r="X7" s="11">
        <f>+W7</f>
        <v>0</v>
      </c>
      <c r="Y7"/>
      <c r="Z7" s="11">
        <f>+X7</f>
        <v>0</v>
      </c>
      <c r="AB7"/>
      <c r="AC7"/>
    </row>
    <row r="8" spans="2:29" s="9" customFormat="1" ht="15.75" thickBot="1" x14ac:dyDescent="0.3">
      <c r="B8" s="24"/>
      <c r="C8" s="25"/>
      <c r="D8" s="8"/>
      <c r="E8" s="8"/>
      <c r="F8" s="26"/>
      <c r="G8" s="27"/>
      <c r="H8" s="28"/>
      <c r="I8" s="8"/>
      <c r="J8" s="8"/>
      <c r="K8" s="8"/>
      <c r="L8" s="8"/>
      <c r="N8"/>
      <c r="Q8" s="10" t="s">
        <v>19</v>
      </c>
      <c r="R8" s="78">
        <v>795000</v>
      </c>
      <c r="S8" s="12">
        <v>1</v>
      </c>
      <c r="T8" s="11">
        <f t="shared" si="0"/>
        <v>795000</v>
      </c>
      <c r="U8" s="11">
        <f>+T8-U14</f>
        <v>198750</v>
      </c>
      <c r="V8" s="11">
        <f>+U8</f>
        <v>198750</v>
      </c>
      <c r="W8" s="11">
        <f>+V8</f>
        <v>198750</v>
      </c>
      <c r="X8" s="11">
        <v>0</v>
      </c>
      <c r="Y8"/>
      <c r="Z8" s="11"/>
      <c r="AB8"/>
      <c r="AC8"/>
    </row>
    <row r="9" spans="2:29" s="9" customFormat="1" ht="15.75" thickBot="1" x14ac:dyDescent="0.3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  <c r="N9" s="31"/>
      <c r="O9" s="30"/>
      <c r="P9" s="30"/>
      <c r="Q9" s="32" t="s">
        <v>20</v>
      </c>
      <c r="R9" s="33">
        <f>SUM(R5:R8)</f>
        <v>2695000</v>
      </c>
      <c r="S9" s="34"/>
      <c r="T9" s="33">
        <f>SUM(T5:T8)</f>
        <v>2695000</v>
      </c>
      <c r="U9" s="33">
        <f>SUM(U5:U8)</f>
        <v>673750</v>
      </c>
      <c r="V9" s="33">
        <f>SUM(V5:V8)</f>
        <v>388750</v>
      </c>
      <c r="W9" s="33">
        <f>SUM(W5:W8)</f>
        <v>308750</v>
      </c>
      <c r="X9" s="33">
        <f>SUM(X5:X8)</f>
        <v>110000</v>
      </c>
      <c r="Y9" s="18"/>
      <c r="Z9" s="33">
        <f>SUM(Z5:Z8)</f>
        <v>110000</v>
      </c>
      <c r="AA9" s="35"/>
      <c r="AB9"/>
      <c r="AC9"/>
    </row>
    <row r="10" spans="2:29" s="9" customFormat="1" ht="16.5" thickTop="1" thickBo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N10"/>
      <c r="S10" s="35"/>
      <c r="Y10"/>
      <c r="AB10"/>
      <c r="AC10"/>
    </row>
    <row r="11" spans="2:29" s="9" customFormat="1" ht="14.45" customHeight="1" x14ac:dyDescent="0.25">
      <c r="B11" s="36" t="s">
        <v>21</v>
      </c>
      <c r="C11" s="37"/>
      <c r="D11" s="38"/>
      <c r="E11" s="8"/>
      <c r="F11" s="39" t="s">
        <v>22</v>
      </c>
      <c r="G11" s="40"/>
      <c r="H11" s="8"/>
      <c r="I11" s="8"/>
      <c r="J11" s="39" t="s">
        <v>23</v>
      </c>
      <c r="K11" s="41"/>
      <c r="L11" s="8"/>
      <c r="N11" s="18" t="s">
        <v>24</v>
      </c>
      <c r="Q11" s="10" t="s">
        <v>13</v>
      </c>
      <c r="R11" s="78">
        <v>100000</v>
      </c>
      <c r="S11" s="12">
        <v>3</v>
      </c>
      <c r="U11" s="11">
        <f>+S11*R11</f>
        <v>300000</v>
      </c>
      <c r="V11" s="42">
        <f>+V5*3</f>
        <v>120000</v>
      </c>
      <c r="W11" s="42">
        <v>75000</v>
      </c>
      <c r="X11" s="42">
        <f>+W11</f>
        <v>75000</v>
      </c>
      <c r="Y11"/>
      <c r="Z11" s="42">
        <f>+X11/S11</f>
        <v>25000</v>
      </c>
      <c r="AB11"/>
      <c r="AC11"/>
    </row>
    <row r="12" spans="2:29" s="9" customFormat="1" ht="14.45" customHeight="1" x14ac:dyDescent="0.25">
      <c r="B12" s="43"/>
      <c r="C12" s="44"/>
      <c r="D12" s="38"/>
      <c r="E12" s="8"/>
      <c r="F12" s="45"/>
      <c r="G12" s="46"/>
      <c r="H12" s="8"/>
      <c r="I12" s="8"/>
      <c r="J12" s="45"/>
      <c r="K12" s="47"/>
      <c r="L12" s="8"/>
      <c r="N12" s="18"/>
      <c r="Q12" s="10" t="s">
        <v>17</v>
      </c>
      <c r="R12" s="78">
        <f>+R6/4</f>
        <v>175000</v>
      </c>
      <c r="S12" s="12">
        <v>3</v>
      </c>
      <c r="U12" s="11">
        <f>+S12*R12</f>
        <v>525000</v>
      </c>
      <c r="V12" s="42">
        <f t="shared" ref="V12:W13" si="2">+V6*3</f>
        <v>210000</v>
      </c>
      <c r="W12" s="42">
        <f>+R12/R11*W11</f>
        <v>131250</v>
      </c>
      <c r="X12" s="42">
        <f>+W12</f>
        <v>131250</v>
      </c>
      <c r="Y12"/>
      <c r="Z12" s="42">
        <f>+X12/S12</f>
        <v>43750</v>
      </c>
      <c r="AB12"/>
      <c r="AC12"/>
    </row>
    <row r="13" spans="2:29" s="9" customFormat="1" ht="14.45" customHeight="1" x14ac:dyDescent="0.25">
      <c r="B13" s="43"/>
      <c r="C13" s="44"/>
      <c r="D13" s="38"/>
      <c r="E13" s="8"/>
      <c r="F13" s="45"/>
      <c r="G13" s="46"/>
      <c r="H13" s="8"/>
      <c r="I13" s="8"/>
      <c r="J13" s="45"/>
      <c r="K13" s="47"/>
      <c r="L13" s="8"/>
      <c r="N13" s="18"/>
      <c r="Q13" s="10" t="s">
        <v>18</v>
      </c>
      <c r="R13" s="78">
        <f>+R7/4</f>
        <v>200000</v>
      </c>
      <c r="S13" s="12">
        <v>3</v>
      </c>
      <c r="U13" s="11">
        <f>+S13*R13</f>
        <v>600000</v>
      </c>
      <c r="V13" s="42">
        <f t="shared" si="2"/>
        <v>240000</v>
      </c>
      <c r="W13" s="42">
        <f t="shared" si="2"/>
        <v>0</v>
      </c>
      <c r="X13" s="42">
        <f>+W13</f>
        <v>0</v>
      </c>
      <c r="Y13"/>
      <c r="Z13" s="42">
        <f>+X13/S13</f>
        <v>0</v>
      </c>
      <c r="AB13"/>
      <c r="AC13"/>
    </row>
    <row r="14" spans="2:29" s="9" customFormat="1" ht="14.45" customHeight="1" x14ac:dyDescent="0.25">
      <c r="B14" s="43"/>
      <c r="C14" s="44"/>
      <c r="D14" s="38"/>
      <c r="E14" s="8"/>
      <c r="F14" s="45"/>
      <c r="G14" s="46"/>
      <c r="H14" s="8"/>
      <c r="I14" s="8"/>
      <c r="J14" s="45"/>
      <c r="K14" s="47"/>
      <c r="L14" s="8"/>
      <c r="N14" s="18"/>
      <c r="Q14" s="10" t="s">
        <v>19</v>
      </c>
      <c r="R14" s="78">
        <f>+R8/4</f>
        <v>198750</v>
      </c>
      <c r="S14" s="12">
        <v>3</v>
      </c>
      <c r="U14" s="11">
        <f>+S14*R14</f>
        <v>596250</v>
      </c>
      <c r="V14" s="42">
        <f t="shared" ref="V14:W14" si="3">+U14</f>
        <v>596250</v>
      </c>
      <c r="W14" s="42">
        <f t="shared" si="3"/>
        <v>596250</v>
      </c>
      <c r="X14" s="42">
        <v>0</v>
      </c>
      <c r="Y14"/>
      <c r="Z14" s="42"/>
      <c r="AB14"/>
      <c r="AC14"/>
    </row>
    <row r="15" spans="2:29" s="9" customFormat="1" ht="15.75" thickBot="1" x14ac:dyDescent="0.3">
      <c r="B15" s="48"/>
      <c r="C15" s="49"/>
      <c r="D15" s="38"/>
      <c r="E15" s="50"/>
      <c r="F15" s="51"/>
      <c r="G15" s="52"/>
      <c r="H15" s="8"/>
      <c r="I15" s="8"/>
      <c r="J15" s="53"/>
      <c r="K15" s="54"/>
      <c r="L15" s="8"/>
      <c r="N15"/>
      <c r="Q15" s="55" t="s">
        <v>20</v>
      </c>
      <c r="R15" s="33">
        <f>SUM(R11:R14)</f>
        <v>673750</v>
      </c>
      <c r="S15" s="56"/>
      <c r="T15" s="57"/>
      <c r="U15" s="33">
        <f>SUM(U11:U14)</f>
        <v>2021250</v>
      </c>
      <c r="V15" s="33">
        <f>SUM(V11:V14)</f>
        <v>1166250</v>
      </c>
      <c r="W15" s="33">
        <f>SUM(W11:W14)</f>
        <v>802500</v>
      </c>
      <c r="X15" s="33">
        <f>SUM(X11:X14)</f>
        <v>206250</v>
      </c>
      <c r="Y15" s="18"/>
      <c r="Z15" s="33">
        <f>SUM(Z11:Z14)</f>
        <v>68750</v>
      </c>
      <c r="AB15"/>
      <c r="AC15"/>
    </row>
    <row r="16" spans="2:29" s="9" customFormat="1" ht="14.45" customHeight="1" x14ac:dyDescent="0.25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31"/>
      <c r="O16" s="30"/>
      <c r="P16" s="30"/>
      <c r="Q16" s="30"/>
      <c r="R16" s="30"/>
      <c r="S16" s="58"/>
      <c r="T16" s="30"/>
      <c r="U16" s="30"/>
      <c r="V16" s="30"/>
      <c r="W16" s="30"/>
      <c r="X16" s="30"/>
      <c r="Y16"/>
      <c r="AB16"/>
      <c r="AC16"/>
    </row>
    <row r="17" spans="2:29" s="9" customFormat="1" ht="15.75" thickBot="1" x14ac:dyDescent="0.3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N17"/>
      <c r="S17" s="35"/>
      <c r="Y17"/>
      <c r="AB17"/>
      <c r="AC17"/>
    </row>
    <row r="18" spans="2:29" s="9" customFormat="1" ht="14.45" customHeight="1" x14ac:dyDescent="0.25">
      <c r="B18" s="59" t="s">
        <v>25</v>
      </c>
      <c r="C18" s="8"/>
      <c r="D18" s="59" t="s">
        <v>26</v>
      </c>
      <c r="E18" s="8"/>
      <c r="F18" s="59" t="s">
        <v>27</v>
      </c>
      <c r="G18" s="8"/>
      <c r="H18" s="59" t="s">
        <v>28</v>
      </c>
      <c r="I18" s="8"/>
      <c r="J18" s="59" t="s">
        <v>29</v>
      </c>
      <c r="K18" s="8"/>
      <c r="L18" s="59" t="s">
        <v>30</v>
      </c>
      <c r="N18"/>
      <c r="Q18" s="10" t="s">
        <v>13</v>
      </c>
      <c r="R18" s="78">
        <f>+R5/10</f>
        <v>40000</v>
      </c>
      <c r="S18" s="12">
        <v>6</v>
      </c>
      <c r="V18" s="11">
        <f>+S18*R18</f>
        <v>240000</v>
      </c>
      <c r="W18" s="11">
        <f>22500*6</f>
        <v>135000</v>
      </c>
      <c r="X18" s="11">
        <f>+W18</f>
        <v>135000</v>
      </c>
      <c r="Y18"/>
      <c r="Z18" s="11">
        <f>+X18/S18</f>
        <v>22500</v>
      </c>
      <c r="AB18"/>
      <c r="AC18"/>
    </row>
    <row r="19" spans="2:29" s="9" customFormat="1" ht="14.45" customHeight="1" x14ac:dyDescent="0.25">
      <c r="B19" s="60"/>
      <c r="C19" s="8"/>
      <c r="D19" s="60"/>
      <c r="E19" s="8"/>
      <c r="F19" s="60"/>
      <c r="G19" s="8"/>
      <c r="H19" s="60"/>
      <c r="I19" s="8"/>
      <c r="J19" s="60"/>
      <c r="K19" s="8"/>
      <c r="L19" s="60"/>
      <c r="N19"/>
      <c r="Q19" s="10" t="s">
        <v>17</v>
      </c>
      <c r="R19" s="78">
        <f t="shared" ref="R19:R20" si="4">+R6/10</f>
        <v>70000</v>
      </c>
      <c r="S19" s="12">
        <v>6</v>
      </c>
      <c r="V19" s="11">
        <f>+S19*R19</f>
        <v>420000</v>
      </c>
      <c r="W19" s="61">
        <f>39375*6</f>
        <v>236250</v>
      </c>
      <c r="X19" s="61">
        <f>+W19</f>
        <v>236250</v>
      </c>
      <c r="Y19"/>
      <c r="Z19" s="11">
        <f>+X19/S19</f>
        <v>39375</v>
      </c>
      <c r="AB19"/>
      <c r="AC19"/>
    </row>
    <row r="20" spans="2:29" s="9" customFormat="1" ht="15.75" thickBot="1" x14ac:dyDescent="0.3">
      <c r="B20" s="62"/>
      <c r="C20" s="8"/>
      <c r="D20" s="62"/>
      <c r="E20" s="8"/>
      <c r="F20" s="62"/>
      <c r="G20" s="8"/>
      <c r="H20" s="62"/>
      <c r="I20" s="8"/>
      <c r="J20" s="62"/>
      <c r="K20" s="8"/>
      <c r="L20" s="62"/>
      <c r="N20" s="18" t="s">
        <v>31</v>
      </c>
      <c r="Q20" s="10" t="s">
        <v>18</v>
      </c>
      <c r="R20" s="78">
        <f t="shared" si="4"/>
        <v>80000</v>
      </c>
      <c r="S20" s="12">
        <v>6</v>
      </c>
      <c r="V20" s="11">
        <f>+S20*R20</f>
        <v>480000</v>
      </c>
      <c r="W20" s="11">
        <f>+W7*S20</f>
        <v>0</v>
      </c>
      <c r="X20" s="11">
        <f>+W20</f>
        <v>0</v>
      </c>
      <c r="Y20"/>
      <c r="Z20" s="11">
        <f>+X20/S20</f>
        <v>0</v>
      </c>
      <c r="AB20"/>
      <c r="AC20"/>
    </row>
    <row r="21" spans="2:29" s="9" customFormat="1" ht="14.45" customHeight="1" x14ac:dyDescent="0.25">
      <c r="B21" s="63"/>
      <c r="C21" s="8"/>
      <c r="D21" s="63"/>
      <c r="E21" s="8"/>
      <c r="F21" s="63"/>
      <c r="G21" s="8"/>
      <c r="H21" s="63"/>
      <c r="I21" s="8"/>
      <c r="J21" s="63"/>
      <c r="K21" s="8"/>
      <c r="L21" s="63"/>
      <c r="N21" s="18"/>
      <c r="Q21" s="10" t="s">
        <v>19</v>
      </c>
      <c r="R21" s="78">
        <v>0</v>
      </c>
      <c r="S21" s="12">
        <v>3</v>
      </c>
      <c r="V21" s="11">
        <f>+S21*R21</f>
        <v>0</v>
      </c>
      <c r="W21" s="11">
        <f>+T21*S21</f>
        <v>0</v>
      </c>
      <c r="X21" s="11">
        <f>+U21*T21</f>
        <v>0</v>
      </c>
      <c r="Y21"/>
      <c r="Z21" s="11"/>
      <c r="AB21"/>
      <c r="AC21"/>
    </row>
    <row r="22" spans="2:29" s="9" customFormat="1" ht="15.75" thickBot="1" x14ac:dyDescent="0.3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0"/>
      <c r="N22" s="31"/>
      <c r="O22" s="30"/>
      <c r="P22" s="30"/>
      <c r="Q22" s="32" t="s">
        <v>20</v>
      </c>
      <c r="R22" s="33">
        <f>SUM(R18:R21)</f>
        <v>190000</v>
      </c>
      <c r="S22" s="56"/>
      <c r="T22" s="57"/>
      <c r="U22" s="57"/>
      <c r="V22" s="33">
        <f>SUM(V18:V21)</f>
        <v>1140000</v>
      </c>
      <c r="W22" s="33">
        <f>SUM(W18:W21)</f>
        <v>371250</v>
      </c>
      <c r="X22" s="33">
        <f>SUM(X18:X21)</f>
        <v>371250</v>
      </c>
      <c r="Y22" s="18"/>
      <c r="Z22" s="33">
        <f>SUM(Z18:Z21)</f>
        <v>61875</v>
      </c>
      <c r="AB22"/>
      <c r="AC22"/>
    </row>
    <row r="23" spans="2:29" s="9" customFormat="1" ht="16.5" thickTop="1" thickBot="1" x14ac:dyDescent="0.3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N23"/>
      <c r="S23" s="35"/>
      <c r="W23" s="64"/>
      <c r="X23" s="64"/>
      <c r="Y23"/>
      <c r="Z23" s="64"/>
      <c r="AB23"/>
      <c r="AC23"/>
    </row>
    <row r="24" spans="2:29" s="66" customFormat="1" ht="15.75" thickBot="1" x14ac:dyDescent="0.3">
      <c r="B24" s="65" t="s">
        <v>32</v>
      </c>
      <c r="C24" s="50"/>
      <c r="D24" s="65" t="s">
        <v>33</v>
      </c>
      <c r="E24" s="50"/>
      <c r="F24" s="65" t="s">
        <v>34</v>
      </c>
      <c r="G24" s="50"/>
      <c r="H24" s="65" t="s">
        <v>35</v>
      </c>
      <c r="I24" s="50"/>
      <c r="J24" s="65" t="s">
        <v>36</v>
      </c>
      <c r="K24" s="50"/>
      <c r="L24" s="50"/>
      <c r="N24" s="67" t="s">
        <v>37</v>
      </c>
      <c r="Q24" s="10" t="s">
        <v>13</v>
      </c>
      <c r="R24" s="78">
        <v>15000</v>
      </c>
      <c r="S24" s="12">
        <v>10</v>
      </c>
      <c r="T24" s="68" t="s">
        <v>38</v>
      </c>
      <c r="W24" s="11">
        <f>+S24*R24</f>
        <v>150000</v>
      </c>
      <c r="X24" s="11">
        <f>+W24</f>
        <v>150000</v>
      </c>
      <c r="Y24"/>
      <c r="Z24" s="11">
        <f>+X24/S24</f>
        <v>15000</v>
      </c>
      <c r="AA24" s="9"/>
      <c r="AB24"/>
      <c r="AC24"/>
    </row>
    <row r="25" spans="2:29" s="66" customFormat="1" ht="15.75" thickBot="1" x14ac:dyDescent="0.3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N25" s="69"/>
      <c r="Q25" s="10" t="s">
        <v>17</v>
      </c>
      <c r="R25" s="78">
        <f>+R24/R5*R6</f>
        <v>26250</v>
      </c>
      <c r="S25" s="12">
        <f>+S24</f>
        <v>10</v>
      </c>
      <c r="T25" s="68" t="s">
        <v>38</v>
      </c>
      <c r="W25" s="11">
        <f t="shared" ref="W25:X27" si="5">+S25*R25</f>
        <v>262500</v>
      </c>
      <c r="X25" s="11">
        <f>+W25</f>
        <v>262500</v>
      </c>
      <c r="Y25"/>
      <c r="Z25" s="11">
        <f>+X25/S25</f>
        <v>26250</v>
      </c>
      <c r="AA25" s="9"/>
      <c r="AB25"/>
      <c r="AC25"/>
    </row>
    <row r="26" spans="2:29" s="66" customFormat="1" ht="15.75" thickBot="1" x14ac:dyDescent="0.3">
      <c r="B26" s="65" t="s">
        <v>39</v>
      </c>
      <c r="C26" s="50"/>
      <c r="D26" s="65" t="s">
        <v>40</v>
      </c>
      <c r="E26" s="50"/>
      <c r="F26" s="65" t="s">
        <v>41</v>
      </c>
      <c r="G26" s="50"/>
      <c r="H26" s="65" t="s">
        <v>42</v>
      </c>
      <c r="I26" s="50"/>
      <c r="J26" s="65" t="s">
        <v>43</v>
      </c>
      <c r="K26" s="50"/>
      <c r="L26" s="50"/>
      <c r="N26" s="69"/>
      <c r="Q26" s="10" t="s">
        <v>18</v>
      </c>
      <c r="R26" s="78">
        <f>800000/20</f>
        <v>40000</v>
      </c>
      <c r="S26" s="12">
        <v>20</v>
      </c>
      <c r="T26" s="68" t="s">
        <v>44</v>
      </c>
      <c r="W26" s="11">
        <f t="shared" si="5"/>
        <v>800000</v>
      </c>
      <c r="X26" s="11">
        <f>+W26</f>
        <v>800000</v>
      </c>
      <c r="Y26"/>
      <c r="Z26" s="11">
        <f>+X26/S26</f>
        <v>40000</v>
      </c>
      <c r="AA26" s="9"/>
      <c r="AB26"/>
      <c r="AC26"/>
    </row>
    <row r="27" spans="2:29" s="66" customFormat="1" ht="15.75" thickBot="1" x14ac:dyDescent="0.3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N27" s="69"/>
      <c r="Q27" s="10" t="s">
        <v>19</v>
      </c>
      <c r="R27" s="78">
        <v>0</v>
      </c>
      <c r="S27" s="12">
        <v>30</v>
      </c>
      <c r="W27" s="11">
        <f t="shared" si="5"/>
        <v>0</v>
      </c>
      <c r="X27" s="11">
        <f t="shared" si="5"/>
        <v>0</v>
      </c>
      <c r="Y27"/>
      <c r="Z27" s="11"/>
      <c r="AA27" s="9"/>
      <c r="AB27"/>
      <c r="AC27"/>
    </row>
    <row r="28" spans="2:29" s="66" customFormat="1" ht="15.75" thickBot="1" x14ac:dyDescent="0.3">
      <c r="B28" s="65" t="s">
        <v>45</v>
      </c>
      <c r="C28" s="50"/>
      <c r="D28" s="65" t="s">
        <v>45</v>
      </c>
      <c r="E28" s="50"/>
      <c r="F28" s="65" t="s">
        <v>45</v>
      </c>
      <c r="G28" s="50"/>
      <c r="H28" s="65" t="s">
        <v>45</v>
      </c>
      <c r="I28" s="50"/>
      <c r="J28" s="65" t="s">
        <v>45</v>
      </c>
      <c r="K28" s="50"/>
      <c r="L28" s="65" t="s">
        <v>45</v>
      </c>
      <c r="N28" s="65" t="s">
        <v>45</v>
      </c>
      <c r="Q28" s="55" t="s">
        <v>20</v>
      </c>
      <c r="R28" s="33">
        <f>SUM(R24:R27)</f>
        <v>81250</v>
      </c>
      <c r="S28" s="56"/>
      <c r="T28" s="70"/>
      <c r="U28" s="70"/>
      <c r="V28" s="70"/>
      <c r="W28" s="33">
        <f>SUM(W24:W27)</f>
        <v>1212500</v>
      </c>
      <c r="X28" s="33">
        <f>SUM(X24:X27)</f>
        <v>1212500</v>
      </c>
      <c r="Y28" s="18"/>
      <c r="Z28" s="11"/>
      <c r="AA28" s="9"/>
      <c r="AB28"/>
      <c r="AC28"/>
    </row>
    <row r="29" spans="2:29" s="66" customFormat="1" ht="15.75" thickBot="1" x14ac:dyDescent="0.3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N29" s="50"/>
      <c r="S29" s="70"/>
      <c r="W29" s="71"/>
      <c r="X29" s="71"/>
      <c r="Y29"/>
      <c r="Z29" s="11"/>
      <c r="AA29" s="9"/>
      <c r="AB29"/>
      <c r="AC29"/>
    </row>
    <row r="30" spans="2:29" s="66" customFormat="1" ht="15.75" thickBot="1" x14ac:dyDescent="0.3">
      <c r="B30" s="65" t="s">
        <v>45</v>
      </c>
      <c r="C30" s="50"/>
      <c r="D30" s="65" t="s">
        <v>45</v>
      </c>
      <c r="E30" s="50"/>
      <c r="F30" s="65" t="s">
        <v>45</v>
      </c>
      <c r="G30" s="50"/>
      <c r="H30" s="65" t="s">
        <v>45</v>
      </c>
      <c r="I30" s="50"/>
      <c r="J30" s="65" t="s">
        <v>45</v>
      </c>
      <c r="K30" s="50"/>
      <c r="L30" s="65" t="s">
        <v>45</v>
      </c>
      <c r="N30" s="65" t="s">
        <v>45</v>
      </c>
      <c r="S30" s="70"/>
      <c r="W30" s="71"/>
      <c r="X30" s="71"/>
      <c r="Y30"/>
      <c r="Z30" s="71"/>
      <c r="AA30" s="9"/>
      <c r="AB30"/>
      <c r="AC30"/>
    </row>
    <row r="31" spans="2:29" s="66" customFormat="1" ht="15.75" thickBot="1" x14ac:dyDescent="0.3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N31" s="50"/>
      <c r="S31" s="70"/>
      <c r="W31" s="71"/>
      <c r="X31" s="71"/>
      <c r="Y31"/>
      <c r="Z31" s="71"/>
      <c r="AA31" s="9"/>
      <c r="AB31"/>
      <c r="AC31"/>
    </row>
    <row r="32" spans="2:29" s="66" customFormat="1" ht="15.75" thickBot="1" x14ac:dyDescent="0.3">
      <c r="B32" s="65" t="s">
        <v>45</v>
      </c>
      <c r="C32" s="50"/>
      <c r="D32" s="65" t="s">
        <v>45</v>
      </c>
      <c r="E32" s="50"/>
      <c r="F32" s="65" t="s">
        <v>45</v>
      </c>
      <c r="G32" s="50"/>
      <c r="H32" s="65" t="s">
        <v>45</v>
      </c>
      <c r="I32" s="50"/>
      <c r="J32" s="65" t="s">
        <v>45</v>
      </c>
      <c r="K32" s="50"/>
      <c r="L32" s="65" t="s">
        <v>45</v>
      </c>
      <c r="N32" s="65" t="s">
        <v>45</v>
      </c>
      <c r="S32" s="70"/>
      <c r="W32" s="71"/>
      <c r="X32" s="71"/>
      <c r="Y32"/>
      <c r="Z32" s="71"/>
      <c r="AB32"/>
      <c r="AC32"/>
    </row>
    <row r="33" spans="2:26" ht="14.45" customHeight="1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1"/>
      <c r="N33" s="31"/>
      <c r="O33" s="31"/>
      <c r="P33" s="31"/>
      <c r="Q33" s="31" t="s">
        <v>46</v>
      </c>
      <c r="R33" s="31"/>
      <c r="S33" s="72"/>
      <c r="T33" s="31"/>
      <c r="U33" s="31"/>
      <c r="V33" s="31"/>
      <c r="W33" s="73"/>
      <c r="X33" s="74">
        <f>+R8</f>
        <v>795000</v>
      </c>
      <c r="Z33" s="64"/>
    </row>
    <row r="34" spans="2:26" ht="15.75" thickBot="1" x14ac:dyDescent="0.3">
      <c r="L34" s="75"/>
      <c r="M34" s="75"/>
      <c r="N34" s="75"/>
      <c r="O34" s="75"/>
      <c r="P34" s="75"/>
      <c r="Q34" s="18" t="s">
        <v>47</v>
      </c>
      <c r="R34" s="18"/>
      <c r="S34" s="18"/>
      <c r="T34" s="76">
        <f>+T22+T15+T9</f>
        <v>2695000</v>
      </c>
      <c r="U34" s="76">
        <f>+U22+U15+U9</f>
        <v>2695000</v>
      </c>
      <c r="V34" s="76">
        <f>+V22+V15+V9</f>
        <v>2695000</v>
      </c>
      <c r="W34" s="76">
        <f>+W22+W15+W9+W28</f>
        <v>2695000</v>
      </c>
      <c r="X34" s="76">
        <f>+X22+X15+X9+X28+X33</f>
        <v>2695000</v>
      </c>
      <c r="Z34" s="77"/>
    </row>
    <row r="35" spans="2:26" ht="15.75" thickTop="1" x14ac:dyDescent="0.25"/>
    <row r="36" spans="2:26" x14ac:dyDescent="0.25">
      <c r="Z36" s="75"/>
    </row>
  </sheetData>
  <mergeCells count="12">
    <mergeCell ref="B18:B20"/>
    <mergeCell ref="D18:D20"/>
    <mergeCell ref="F18:F20"/>
    <mergeCell ref="H18:H20"/>
    <mergeCell ref="J18:J20"/>
    <mergeCell ref="L18:L20"/>
    <mergeCell ref="B2:Z2"/>
    <mergeCell ref="B6:C8"/>
    <mergeCell ref="F6:H8"/>
    <mergeCell ref="B11:C15"/>
    <mergeCell ref="F11:G15"/>
    <mergeCell ref="J11:K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7B6D-BDE2-4716-8339-F8CE1E6DECC1}">
  <dimension ref="B1:G26"/>
  <sheetViews>
    <sheetView workbookViewId="0">
      <selection activeCell="G26" sqref="G26"/>
    </sheetView>
  </sheetViews>
  <sheetFormatPr defaultRowHeight="15" x14ac:dyDescent="0.25"/>
  <cols>
    <col min="2" max="2" width="12.28515625" customWidth="1"/>
    <col min="3" max="3" width="11.5703125" customWidth="1"/>
    <col min="4" max="4" width="11.140625" customWidth="1"/>
    <col min="5" max="5" width="11.42578125" customWidth="1"/>
    <col min="6" max="6" width="12.5703125" customWidth="1"/>
    <col min="7" max="7" width="9.5703125" bestFit="1" customWidth="1"/>
  </cols>
  <sheetData>
    <row r="1" spans="2:6" ht="15.75" thickBot="1" x14ac:dyDescent="0.3"/>
    <row r="2" spans="2:6" ht="16.5" thickBot="1" x14ac:dyDescent="0.3">
      <c r="B2" s="79" t="s">
        <v>48</v>
      </c>
      <c r="C2" s="80"/>
      <c r="D2" s="80"/>
      <c r="E2" s="80"/>
      <c r="F2" s="80"/>
    </row>
    <row r="3" spans="2:6" ht="30" x14ac:dyDescent="0.25">
      <c r="B3" s="81"/>
      <c r="C3" s="82" t="s">
        <v>4</v>
      </c>
      <c r="D3" s="82" t="s">
        <v>5</v>
      </c>
      <c r="E3" s="82" t="s">
        <v>6</v>
      </c>
      <c r="F3" s="82" t="s">
        <v>7</v>
      </c>
    </row>
    <row r="4" spans="2:6" ht="15.75" thickBot="1" x14ac:dyDescent="0.3">
      <c r="B4" s="7" t="s">
        <v>49</v>
      </c>
      <c r="C4" s="7" t="s">
        <v>12</v>
      </c>
      <c r="D4" s="7" t="s">
        <v>12</v>
      </c>
      <c r="E4" s="7" t="s">
        <v>12</v>
      </c>
      <c r="F4" s="7" t="s">
        <v>12</v>
      </c>
    </row>
    <row r="5" spans="2:6" ht="15.75" thickTop="1" x14ac:dyDescent="0.25">
      <c r="B5" s="10" t="s">
        <v>13</v>
      </c>
      <c r="C5" s="11">
        <f>+'Syndication Commitments'!R11</f>
        <v>100000</v>
      </c>
      <c r="D5" s="11">
        <f>+'Syndication Commitments'!V5</f>
        <v>40000</v>
      </c>
      <c r="E5" s="11">
        <f>+'Syndication Commitments'!W5</f>
        <v>40000</v>
      </c>
      <c r="F5" s="11">
        <f>+'Syndication Commitments'!X5</f>
        <v>40000</v>
      </c>
    </row>
    <row r="6" spans="2:6" x14ac:dyDescent="0.25">
      <c r="B6" s="10" t="s">
        <v>17</v>
      </c>
      <c r="C6" s="11">
        <f>+'Syndication Commitments'!R12</f>
        <v>175000</v>
      </c>
      <c r="D6" s="11">
        <f>+'Syndication Commitments'!V6</f>
        <v>70000</v>
      </c>
      <c r="E6" s="11">
        <f>+'Syndication Commitments'!W6</f>
        <v>70000</v>
      </c>
      <c r="F6" s="11">
        <f>+'Syndication Commitments'!X6</f>
        <v>70000</v>
      </c>
    </row>
    <row r="7" spans="2:6" x14ac:dyDescent="0.25">
      <c r="B7" s="10" t="s">
        <v>18</v>
      </c>
      <c r="C7" s="11">
        <f>+'Syndication Commitments'!R13</f>
        <v>200000</v>
      </c>
      <c r="D7" s="11">
        <f>+'Syndication Commitments'!V7</f>
        <v>80000</v>
      </c>
      <c r="E7" s="11">
        <f>+'Syndication Commitments'!W7</f>
        <v>0</v>
      </c>
      <c r="F7" s="11">
        <f>+'Syndication Commitments'!X7</f>
        <v>0</v>
      </c>
    </row>
    <row r="8" spans="2:6" x14ac:dyDescent="0.25">
      <c r="B8" s="10" t="s">
        <v>19</v>
      </c>
      <c r="C8" s="11">
        <f>+'Syndication Commitments'!R14</f>
        <v>198750</v>
      </c>
      <c r="D8" s="11">
        <f>+'Syndication Commitments'!V8</f>
        <v>198750</v>
      </c>
      <c r="E8" s="11">
        <f>+'Syndication Commitments'!W8</f>
        <v>198750</v>
      </c>
      <c r="F8" s="11">
        <f>+'Syndication Commitments'!X8</f>
        <v>0</v>
      </c>
    </row>
    <row r="9" spans="2:6" ht="15.75" thickBot="1" x14ac:dyDescent="0.3">
      <c r="B9" s="55" t="s">
        <v>20</v>
      </c>
      <c r="C9" s="33">
        <f>SUM(C5:C8)</f>
        <v>673750</v>
      </c>
      <c r="D9" s="33">
        <f>SUM(D5:D8)</f>
        <v>388750</v>
      </c>
      <c r="E9" s="33">
        <f>SUM(E5:E8)</f>
        <v>308750</v>
      </c>
      <c r="F9" s="33">
        <f>SUM(F5:F8)</f>
        <v>110000</v>
      </c>
    </row>
    <row r="10" spans="2:6" ht="15.75" thickTop="1" x14ac:dyDescent="0.25"/>
    <row r="12" spans="2:6" x14ac:dyDescent="0.25">
      <c r="B12" s="83"/>
      <c r="C12" s="84" t="s">
        <v>50</v>
      </c>
      <c r="D12" s="84" t="s">
        <v>51</v>
      </c>
      <c r="E12" s="84" t="s">
        <v>52</v>
      </c>
    </row>
    <row r="13" spans="2:6" ht="45.75" thickBot="1" x14ac:dyDescent="0.3">
      <c r="B13" s="85"/>
      <c r="C13" s="85" t="s">
        <v>53</v>
      </c>
      <c r="D13" s="85" t="s">
        <v>53</v>
      </c>
      <c r="E13" s="85" t="s">
        <v>53</v>
      </c>
    </row>
    <row r="14" spans="2:6" ht="15.75" thickTop="1" x14ac:dyDescent="0.25">
      <c r="B14" s="10" t="s">
        <v>13</v>
      </c>
      <c r="C14" s="90">
        <v>2.2499999999999999E-2</v>
      </c>
      <c r="D14" s="90">
        <v>2.2499999999999999E-2</v>
      </c>
      <c r="E14" s="90">
        <v>2.2499999999999999E-2</v>
      </c>
      <c r="F14" t="s">
        <v>54</v>
      </c>
    </row>
    <row r="15" spans="2:6" x14ac:dyDescent="0.25">
      <c r="B15" s="10" t="s">
        <v>17</v>
      </c>
      <c r="C15" s="90">
        <v>2.2499999999999999E-2</v>
      </c>
      <c r="D15" s="90">
        <v>2.2499999999999999E-2</v>
      </c>
      <c r="E15" s="90">
        <v>2.2499999999999999E-2</v>
      </c>
      <c r="F15" t="s">
        <v>55</v>
      </c>
    </row>
    <row r="16" spans="2:6" x14ac:dyDescent="0.25">
      <c r="B16" s="10" t="s">
        <v>18</v>
      </c>
      <c r="C16" s="90">
        <v>2.2499999999999999E-2</v>
      </c>
      <c r="D16" s="90">
        <v>1.4999999999999999E-2</v>
      </c>
      <c r="E16" s="90">
        <v>2.5000000000000001E-3</v>
      </c>
    </row>
    <row r="17" spans="2:7" x14ac:dyDescent="0.25">
      <c r="B17" s="86" t="s">
        <v>56</v>
      </c>
      <c r="C17" s="91">
        <v>0.03</v>
      </c>
      <c r="D17" s="91"/>
      <c r="E17" s="91"/>
      <c r="F17" s="31"/>
    </row>
    <row r="18" spans="2:7" x14ac:dyDescent="0.25">
      <c r="B18" t="s">
        <v>57</v>
      </c>
    </row>
    <row r="20" spans="2:7" ht="45.75" thickBot="1" x14ac:dyDescent="0.3">
      <c r="B20" s="87" t="s">
        <v>49</v>
      </c>
      <c r="C20" s="85" t="s">
        <v>58</v>
      </c>
      <c r="D20" s="85" t="s">
        <v>59</v>
      </c>
      <c r="E20" s="85" t="s">
        <v>60</v>
      </c>
      <c r="F20" s="85" t="s">
        <v>61</v>
      </c>
      <c r="G20" s="85" t="s">
        <v>62</v>
      </c>
    </row>
    <row r="21" spans="2:7" ht="15.75" thickTop="1" x14ac:dyDescent="0.25">
      <c r="B21" s="10" t="s">
        <v>13</v>
      </c>
      <c r="C21" s="11">
        <f>+C14*C5</f>
        <v>2250</v>
      </c>
      <c r="D21" s="11">
        <f t="shared" ref="D21:E24" si="0">-D14*(C5-D5)</f>
        <v>-1350</v>
      </c>
      <c r="E21" s="11">
        <f t="shared" si="0"/>
        <v>0</v>
      </c>
      <c r="F21" s="11">
        <f>SUM(C21:E21)</f>
        <v>900</v>
      </c>
      <c r="G21" s="88">
        <f>+F21/F5</f>
        <v>2.2499999999999999E-2</v>
      </c>
    </row>
    <row r="22" spans="2:7" x14ac:dyDescent="0.25">
      <c r="B22" s="10" t="s">
        <v>17</v>
      </c>
      <c r="C22" s="11">
        <f>+C15*C6</f>
        <v>3937.5</v>
      </c>
      <c r="D22" s="11">
        <f t="shared" si="0"/>
        <v>-2362.5</v>
      </c>
      <c r="E22" s="11">
        <f t="shared" si="0"/>
        <v>0</v>
      </c>
      <c r="F22" s="11">
        <f t="shared" ref="F22:F24" si="1">SUM(C22:E22)</f>
        <v>1575</v>
      </c>
      <c r="G22" s="88">
        <f>+F22/F6</f>
        <v>2.2499999999999999E-2</v>
      </c>
    </row>
    <row r="23" spans="2:7" x14ac:dyDescent="0.25">
      <c r="B23" s="10" t="s">
        <v>18</v>
      </c>
      <c r="C23" s="11">
        <f>+C16*C7</f>
        <v>4500</v>
      </c>
      <c r="D23" s="11">
        <f t="shared" si="0"/>
        <v>-1800</v>
      </c>
      <c r="E23" s="11">
        <f t="shared" si="0"/>
        <v>-200</v>
      </c>
      <c r="F23" s="11">
        <f t="shared" si="1"/>
        <v>2500</v>
      </c>
      <c r="G23" s="88"/>
    </row>
    <row r="24" spans="2:7" x14ac:dyDescent="0.25">
      <c r="B24" s="10" t="s">
        <v>19</v>
      </c>
      <c r="C24" s="11">
        <f>+C17*C8</f>
        <v>5962.5</v>
      </c>
      <c r="D24" s="11">
        <f t="shared" si="0"/>
        <v>0</v>
      </c>
      <c r="E24" s="11">
        <f t="shared" si="0"/>
        <v>0</v>
      </c>
      <c r="F24" s="11">
        <f t="shared" si="1"/>
        <v>5962.5</v>
      </c>
      <c r="G24" s="88"/>
    </row>
    <row r="25" spans="2:7" ht="15.75" thickBot="1" x14ac:dyDescent="0.3">
      <c r="B25" s="55" t="s">
        <v>20</v>
      </c>
      <c r="C25" s="33">
        <f>SUM(C21:C24)</f>
        <v>16650</v>
      </c>
      <c r="D25" s="33">
        <f>SUM(D21:D24)</f>
        <v>-5512.5</v>
      </c>
      <c r="E25" s="33">
        <f>SUM(E21:E24)</f>
        <v>-200</v>
      </c>
      <c r="F25" s="33">
        <f>SUM(F21:F24)</f>
        <v>10937.5</v>
      </c>
      <c r="G25" s="89">
        <f>+F25/F9</f>
        <v>9.9431818181818177E-2</v>
      </c>
    </row>
    <row r="26" spans="2:7" ht="15.75" thickTop="1" x14ac:dyDescent="0.25">
      <c r="G26" s="75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Syndication Commitments</vt:lpstr>
      <vt:lpstr>Syndication 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2024-08-16T08:19:01Z</dcterms:created>
  <dcterms:modified xsi:type="dcterms:W3CDTF">2024-08-16T08:24:12Z</dcterms:modified>
</cp:coreProperties>
</file>