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0"/>
  </bookViews>
  <sheets>
    <sheet name="DCF" sheetId="1" r:id="rId1"/>
    <sheet name="Practice Worksheet" sheetId="2" r:id="rId2"/>
    <sheet name="CASE DESCRIPTION" sheetId="3" r:id="rId3"/>
    <sheet name="Sheet1" sheetId="4" r:id="rId4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<sst xmlns="http://schemas.openxmlformats.org/spreadsheetml/2006/main" count="342" uniqueCount="173">
  <si>
    <t>ALEXANDRIA HOTEL PROPERTY</t>
  </si>
  <si>
    <t>Sources:</t>
  </si>
  <si>
    <t>% Capital</t>
  </si>
  <si>
    <t>Bank Loan</t>
  </si>
  <si>
    <t>Equity</t>
  </si>
  <si>
    <t xml:space="preserve">  Total Sources</t>
  </si>
  <si>
    <t>Uses:</t>
  </si>
  <si>
    <t xml:space="preserve">  Total Uses</t>
  </si>
  <si>
    <t>Cost of Equity</t>
  </si>
  <si>
    <t>Exit Year</t>
  </si>
  <si>
    <t>Amount Outstanding</t>
  </si>
  <si>
    <t>Total Debt Outstanding</t>
  </si>
  <si>
    <t>Year 1</t>
  </si>
  <si>
    <t>Year 2</t>
  </si>
  <si>
    <t>Year 3</t>
  </si>
  <si>
    <t>Year 4</t>
  </si>
  <si>
    <t>Year 5</t>
  </si>
  <si>
    <t>Less Depreciation</t>
  </si>
  <si>
    <t>EBIT</t>
  </si>
  <si>
    <t>Entry Year</t>
  </si>
  <si>
    <t>Revenues</t>
  </si>
  <si>
    <t>Operating Costs</t>
  </si>
  <si>
    <t xml:space="preserve"> EBITDA</t>
  </si>
  <si>
    <t>Equity Cash Flows</t>
  </si>
  <si>
    <t>Debt Outstanding</t>
  </si>
  <si>
    <t>Initial Investment</t>
  </si>
  <si>
    <t>NPV=</t>
  </si>
  <si>
    <t>7 years</t>
  </si>
  <si>
    <t>10 Years</t>
  </si>
  <si>
    <t>Company Projections</t>
  </si>
  <si>
    <t>Cost of Revenues</t>
  </si>
  <si>
    <t>Debt
 Capacity (EBITDA x)</t>
  </si>
  <si>
    <t xml:space="preserve">  Total Debt</t>
  </si>
  <si>
    <t>Operating</t>
  </si>
  <si>
    <t>Terms</t>
  </si>
  <si>
    <t>TRANSACTION SOURCES &amp; USES</t>
  </si>
  <si>
    <t xml:space="preserve">  Less Taxes (adj out Interest Exp)</t>
  </si>
  <si>
    <t xml:space="preserve">  Less Capex</t>
  </si>
  <si>
    <t>Average Terminal Value</t>
  </si>
  <si>
    <t>Growth</t>
  </si>
  <si>
    <t>3M-LIBOR
 Assumptions</t>
  </si>
  <si>
    <t>Debt IRR</t>
  </si>
  <si>
    <t>Loan
 Spread</t>
  </si>
  <si>
    <t xml:space="preserve"> % of 
Total
 Uses</t>
  </si>
  <si>
    <t>PV Table (Expected Equity Rate)</t>
  </si>
  <si>
    <t>DEBT ASSUMPTIONS &amp; RETURN ANALYSIS</t>
  </si>
  <si>
    <t xml:space="preserve">  LIBOR RATE </t>
  </si>
  <si>
    <t>Amount Outstanding (End of Year)</t>
  </si>
  <si>
    <t>Schedule Principal Payments</t>
  </si>
  <si>
    <t>CASH FLOW  &amp; EQUITY RETURN ANALYSIS</t>
  </si>
  <si>
    <t>years</t>
  </si>
  <si>
    <t>Purchase Price (EV - including Debt)</t>
  </si>
  <si>
    <t>Equity Premium [ Pe ]</t>
  </si>
  <si>
    <t>Firm Specific Risk Premium [e]</t>
  </si>
  <si>
    <t>Mezzanine Note</t>
  </si>
  <si>
    <t>6-year Treasury Note [ rf ]</t>
  </si>
  <si>
    <t>Beta for Publicly Traded  Hotel [ β ]</t>
  </si>
  <si>
    <t xml:space="preserve">   LIBOR Rate Increase Assumptions</t>
  </si>
  <si>
    <t>% of Revenue</t>
  </si>
  <si>
    <t>% of EBT</t>
  </si>
  <si>
    <t xml:space="preserve">  Less Interest (Unlevered for DCF Analysis)</t>
  </si>
  <si>
    <t>EBT</t>
  </si>
  <si>
    <t>Less Financing ( P + I )</t>
  </si>
  <si>
    <t>WACC
 (After Tax)</t>
  </si>
  <si>
    <t>Tax Rate=</t>
  </si>
  <si>
    <t>Property Renovation</t>
  </si>
  <si>
    <t xml:space="preserve">   Spread Price</t>
  </si>
  <si>
    <t>Interest Rate (LIBOR + Spread)</t>
  </si>
  <si>
    <r>
      <rPr>
        <b/>
        <sz val="10"/>
        <color indexed="9"/>
        <rFont val="Arial"/>
        <family val="2"/>
      </rPr>
      <t xml:space="preserve">COST OF EQUITY CALCULATION
</t>
    </r>
    <r>
      <rPr>
        <b/>
        <sz val="12"/>
        <color indexed="9"/>
        <rFont val="Arial"/>
        <family val="2"/>
      </rPr>
      <t>E</t>
    </r>
    <r>
      <rPr>
        <b/>
        <sz val="11"/>
        <color indexed="9"/>
        <rFont val="Arial"/>
        <family val="2"/>
      </rPr>
      <t xml:space="preserve"> (re) = rf + β</t>
    </r>
    <r>
      <rPr>
        <b/>
        <sz val="10"/>
        <color indexed="9"/>
        <rFont val="Arial"/>
        <family val="2"/>
      </rPr>
      <t xml:space="preserve"> . Pe + e</t>
    </r>
  </si>
  <si>
    <t>EBITDA x EBITDA Multiple =</t>
  </si>
  <si>
    <t>Initial All-In
Rate</t>
  </si>
  <si>
    <t>Sum of PV (Value of the Equity)</t>
  </si>
  <si>
    <t>Cash Flow Before Financing (CFBF) (unlevered)</t>
  </si>
  <si>
    <t>Equity Cash Flows (Levered)</t>
  </si>
  <si>
    <t xml:space="preserve">  Total Financing Payment for Bank Loan</t>
  </si>
  <si>
    <t xml:space="preserve">  Total Financing Payment for Mezzanine Note</t>
  </si>
  <si>
    <t>Amount
$</t>
  </si>
  <si>
    <t>FINANCING INFORMATION</t>
  </si>
  <si>
    <t>growth rate</t>
  </si>
  <si>
    <t xml:space="preserve">  Less Working Capital Expense</t>
  </si>
  <si>
    <t>Less Amortization of Transaction Fees</t>
  </si>
  <si>
    <t xml:space="preserve">  Plus Depreciation &amp; Amortization of Transaction Fees</t>
  </si>
  <si>
    <t>DCF &amp; LBO Equity Analysis using CAPM</t>
  </si>
  <si>
    <t>* Red shows the expected cash flows for each Debt lender / Equity Investor</t>
  </si>
  <si>
    <t>Total Debt Financing (Principal + Interest Payments)</t>
  </si>
  <si>
    <t>Interest Payment (Calc based on last Year's Outstanding)</t>
  </si>
  <si>
    <t>Next Year's CFBF / (WACC - Growth Rate) =</t>
  </si>
  <si>
    <t>Assumptions</t>
  </si>
  <si>
    <t>Years
(Maturity)</t>
  </si>
  <si>
    <t>Interest / Expected Return</t>
  </si>
  <si>
    <t>Interest /
Exp. Return 
(After Tax)</t>
  </si>
  <si>
    <t>EBITDA Multiple
(x)</t>
  </si>
  <si>
    <t>COST OF BANK DEBT CALCULATION
(Floaring Rate LIBOR + Spread)</t>
  </si>
  <si>
    <t>COST OF MEZZANINE NOTE (Fixed Rate)</t>
  </si>
  <si>
    <t>EQUITY VALUATION &amp; RETURN ANALYSIS</t>
  </si>
  <si>
    <t>Net Present Value (NPV)</t>
  </si>
  <si>
    <t xml:space="preserve">Equity Return </t>
  </si>
  <si>
    <t>IRR =</t>
  </si>
  <si>
    <t>PV =</t>
  </si>
  <si>
    <t xml:space="preserve">  EV using Perpetuity Method  (using WACC + growth)</t>
  </si>
  <si>
    <t>Terminal Value (EV at Exit Year)</t>
  </si>
  <si>
    <t>Using Discount Rate=</t>
  </si>
  <si>
    <t xml:space="preserve">  EV using EBITDA Multiple Method (initial purch. multiple)</t>
  </si>
  <si>
    <t>Year 7</t>
  </si>
  <si>
    <t>Year 8</t>
  </si>
  <si>
    <t>Year 9</t>
  </si>
  <si>
    <t>Year 10</t>
  </si>
  <si>
    <t>Average Terminal Value =</t>
  </si>
  <si>
    <t>Equity Value (Terminal Value  - Debt)</t>
  </si>
  <si>
    <t>Amount
($)</t>
  </si>
  <si>
    <t>ZERO YEAR'S EBITDA=</t>
  </si>
  <si>
    <t>Based 
Zero Year's
EBITDA
Multiple</t>
  </si>
  <si>
    <t>Transaction Fees &amp; Expenses (based on Total Debt)</t>
  </si>
  <si>
    <t>Bank Loan Terms</t>
  </si>
  <si>
    <t>Amount:</t>
  </si>
  <si>
    <t>Interest</t>
  </si>
  <si>
    <t>Term</t>
  </si>
  <si>
    <t>Principal Payments</t>
  </si>
  <si>
    <t>LIBOR + 4.0%</t>
  </si>
  <si>
    <t>Yr 1</t>
  </si>
  <si>
    <t>Yr2</t>
  </si>
  <si>
    <t>Yr3</t>
  </si>
  <si>
    <t>Yr4</t>
  </si>
  <si>
    <t>Yr5</t>
  </si>
  <si>
    <t>Yr6</t>
  </si>
  <si>
    <t>Yr7</t>
  </si>
  <si>
    <t>8.0% Fixed</t>
  </si>
  <si>
    <t>10 years</t>
  </si>
  <si>
    <t>Yr8</t>
  </si>
  <si>
    <t>Yr9</t>
  </si>
  <si>
    <t>Yr10</t>
  </si>
  <si>
    <t>Based on CAPM</t>
  </si>
  <si>
    <t>Exit:</t>
  </si>
  <si>
    <t>6 years</t>
  </si>
  <si>
    <t>OPERATING ASSUMPTIONS</t>
  </si>
  <si>
    <t>Revenues Growth</t>
  </si>
  <si>
    <t>Cost of Revenues as % of Revenue</t>
  </si>
  <si>
    <t>Operating Costs as % of Revenue</t>
  </si>
  <si>
    <t>Depreciation as % of Revenue</t>
  </si>
  <si>
    <t>Transaction Fees - amortization years</t>
  </si>
  <si>
    <t>Tax Rate</t>
  </si>
  <si>
    <t>Working Capital Expense % of Revenues</t>
  </si>
  <si>
    <t xml:space="preserve"> Capex as % of Revenue</t>
  </si>
  <si>
    <t>TRANSACTION</t>
  </si>
  <si>
    <t>Interested in buying a Hotel property in South Beach Florida called Alexandria Hotel</t>
  </si>
  <si>
    <t>The hotel need about $15 million renovation</t>
  </si>
  <si>
    <t>Banks use for setting the amount to lend:</t>
  </si>
  <si>
    <t>DEBT CAPACITY ANALYSIS</t>
  </si>
  <si>
    <t>Based on Income (cash flow or EBITDA) from the business: 3.0x last year's EBITDA</t>
  </si>
  <si>
    <t>Based Loan to Value the bank will advance 60%</t>
  </si>
  <si>
    <t>WHAT EVER IS LOWER THEY WILL GRAND YOU THE LOAN AMOUNT</t>
  </si>
  <si>
    <t>Last Year's EBITDA</t>
  </si>
  <si>
    <t>Loan to Value Rule</t>
  </si>
  <si>
    <t xml:space="preserve">Final Approval </t>
  </si>
  <si>
    <t>FINANCING - MONEY TERMS</t>
  </si>
  <si>
    <t>BALOON PMT</t>
  </si>
  <si>
    <t>Mezzanine Note Parameters</t>
  </si>
  <si>
    <t>Based on Income (cash flow or EBITDA) from the business: 5.0x last year's EBITDA including the Bank Debt</t>
  </si>
  <si>
    <t>Require that you put at 25% equity or more</t>
  </si>
  <si>
    <t>Less Bank Debt</t>
  </si>
  <si>
    <t>Mezzanine Loan</t>
  </si>
  <si>
    <t>Equity Down Payment</t>
  </si>
  <si>
    <t>Value</t>
  </si>
  <si>
    <t>LIBOR ASSUMPTIONS:</t>
  </si>
  <si>
    <t>LIBOR RATE:</t>
  </si>
  <si>
    <t>Increase in LIBOR</t>
  </si>
  <si>
    <t>Yr1</t>
  </si>
  <si>
    <t>Min Expected IRR=</t>
  </si>
  <si>
    <t>Ideal Expected IRR=</t>
  </si>
  <si>
    <t>The asking price is $120 million</t>
  </si>
  <si>
    <t>Transaction Fees and Expenses are 3.0% of Debt Raised</t>
  </si>
  <si>
    <t>INCOME</t>
  </si>
  <si>
    <t>VALUE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</si>
</sst>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* #,##0.0_);_(* \(#,##0.0\);_(* &quot;-&quot;?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3" xfId="42" applyNumberFormat="1" applyFon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1" fillId="33" borderId="17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2" fontId="0" fillId="0" borderId="18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3" xfId="42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0" fontId="1" fillId="0" borderId="13" xfId="59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10" fontId="1" fillId="0" borderId="13" xfId="0" applyNumberFormat="1" applyFont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3" xfId="0" applyFont="1" applyBorder="1" applyAlignment="1">
      <alignment/>
    </xf>
    <xf numFmtId="0" fontId="15" fillId="0" borderId="0" xfId="0" applyFont="1" applyAlignment="1">
      <alignment/>
    </xf>
    <xf numFmtId="10" fontId="15" fillId="0" borderId="13" xfId="59" applyNumberFormat="1" applyFont="1" applyBorder="1" applyAlignment="1">
      <alignment/>
    </xf>
    <xf numFmtId="10" fontId="15" fillId="0" borderId="0" xfId="59" applyNumberFormat="1" applyFont="1" applyBorder="1" applyAlignment="1">
      <alignment/>
    </xf>
    <xf numFmtId="10" fontId="16" fillId="0" borderId="0" xfId="59" applyNumberFormat="1" applyFont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1" fillId="0" borderId="24" xfId="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/>
    </xf>
    <xf numFmtId="172" fontId="1" fillId="33" borderId="13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0" xfId="0" applyNumberFormat="1" applyFont="1" applyBorder="1" applyAlignment="1">
      <alignment horizontal="center"/>
    </xf>
    <xf numFmtId="10" fontId="1" fillId="33" borderId="17" xfId="59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175" fontId="54" fillId="0" borderId="15" xfId="42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7" fillId="34" borderId="0" xfId="0" applyFont="1" applyFill="1" applyAlignment="1">
      <alignment horizontal="right"/>
    </xf>
    <xf numFmtId="10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4" fillId="0" borderId="13" xfId="59" applyNumberFormat="1" applyFont="1" applyBorder="1" applyAlignment="1">
      <alignment/>
    </xf>
    <xf numFmtId="10" fontId="56" fillId="0" borderId="0" xfId="59" applyNumberFormat="1" applyFont="1" applyBorder="1" applyAlignment="1">
      <alignment/>
    </xf>
    <xf numFmtId="10" fontId="56" fillId="0" borderId="13" xfId="59" applyNumberFormat="1" applyFont="1" applyBorder="1" applyAlignment="1">
      <alignment/>
    </xf>
    <xf numFmtId="10" fontId="57" fillId="0" borderId="0" xfId="59" applyNumberFormat="1" applyFont="1" applyBorder="1" applyAlignment="1">
      <alignment/>
    </xf>
    <xf numFmtId="10" fontId="57" fillId="0" borderId="13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27" xfId="42" applyNumberFormat="1" applyFont="1" applyBorder="1" applyAlignment="1">
      <alignment horizontal="center"/>
    </xf>
    <xf numFmtId="0" fontId="0" fillId="0" borderId="0" xfId="0" applyAlignment="1">
      <alignment/>
    </xf>
    <xf numFmtId="172" fontId="1" fillId="0" borderId="16" xfId="0" applyNumberFormat="1" applyFont="1" applyBorder="1" applyAlignment="1">
      <alignment/>
    </xf>
    <xf numFmtId="0" fontId="55" fillId="0" borderId="0" xfId="0" applyFont="1" applyAlignment="1">
      <alignment/>
    </xf>
    <xf numFmtId="172" fontId="55" fillId="0" borderId="12" xfId="42" applyNumberFormat="1" applyFont="1" applyBorder="1" applyAlignment="1">
      <alignment/>
    </xf>
    <xf numFmtId="175" fontId="1" fillId="0" borderId="13" xfId="42" applyNumberFormat="1" applyFont="1" applyBorder="1" applyAlignment="1">
      <alignment horizontal="center" vertical="center"/>
    </xf>
    <xf numFmtId="173" fontId="0" fillId="0" borderId="0" xfId="59" applyNumberFormat="1" applyFont="1" applyBorder="1" applyAlignment="1">
      <alignment horizontal="center"/>
    </xf>
    <xf numFmtId="173" fontId="0" fillId="0" borderId="18" xfId="59" applyNumberFormat="1" applyFont="1" applyBorder="1" applyAlignment="1">
      <alignment horizontal="center"/>
    </xf>
    <xf numFmtId="173" fontId="0" fillId="0" borderId="10" xfId="59" applyNumberFormat="1" applyFont="1" applyBorder="1" applyAlignment="1">
      <alignment horizontal="center"/>
    </xf>
    <xf numFmtId="172" fontId="0" fillId="0" borderId="19" xfId="42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1" fillId="33" borderId="17" xfId="0" applyNumberFormat="1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0" fontId="0" fillId="0" borderId="18" xfId="59" applyNumberFormat="1" applyFont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/>
    </xf>
    <xf numFmtId="0" fontId="11" fillId="36" borderId="12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1" fillId="36" borderId="28" xfId="0" applyFont="1" applyFill="1" applyBorder="1" applyAlignment="1">
      <alignment/>
    </xf>
    <xf numFmtId="0" fontId="12" fillId="36" borderId="28" xfId="0" applyFont="1" applyFill="1" applyBorder="1" applyAlignment="1">
      <alignment/>
    </xf>
    <xf numFmtId="172" fontId="13" fillId="36" borderId="28" xfId="42" applyNumberFormat="1" applyFont="1" applyFill="1" applyBorder="1" applyAlignment="1">
      <alignment/>
    </xf>
    <xf numFmtId="172" fontId="12" fillId="36" borderId="28" xfId="42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8" fillId="0" borderId="0" xfId="0" applyFont="1" applyAlignment="1">
      <alignment/>
    </xf>
    <xf numFmtId="172" fontId="58" fillId="0" borderId="15" xfId="0" applyNumberFormat="1" applyFont="1" applyBorder="1" applyAlignment="1">
      <alignment/>
    </xf>
    <xf numFmtId="172" fontId="58" fillId="0" borderId="10" xfId="42" applyNumberFormat="1" applyFont="1" applyBorder="1" applyAlignment="1">
      <alignment/>
    </xf>
    <xf numFmtId="172" fontId="58" fillId="0" borderId="15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74" fontId="58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172" fontId="1" fillId="0" borderId="17" xfId="42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28" xfId="0" applyFill="1" applyBorder="1" applyAlignment="1">
      <alignment/>
    </xf>
    <xf numFmtId="10" fontId="1" fillId="0" borderId="32" xfId="59" applyNumberFormat="1" applyFont="1" applyFill="1" applyBorder="1" applyAlignment="1">
      <alignment horizontal="center"/>
    </xf>
    <xf numFmtId="10" fontId="59" fillId="0" borderId="33" xfId="0" applyNumberFormat="1" applyFont="1" applyBorder="1" applyAlignment="1">
      <alignment horizontal="center"/>
    </xf>
    <xf numFmtId="189" fontId="59" fillId="0" borderId="34" xfId="0" applyNumberFormat="1" applyFont="1" applyBorder="1" applyAlignment="1">
      <alignment horizontal="center"/>
    </xf>
    <xf numFmtId="10" fontId="59" fillId="0" borderId="34" xfId="0" applyNumberFormat="1" applyFont="1" applyBorder="1" applyAlignment="1">
      <alignment horizontal="center"/>
    </xf>
    <xf numFmtId="173" fontId="59" fillId="0" borderId="34" xfId="59" applyNumberFormat="1" applyFont="1" applyBorder="1" applyAlignment="1">
      <alignment horizontal="center"/>
    </xf>
    <xf numFmtId="172" fontId="60" fillId="0" borderId="0" xfId="42" applyNumberFormat="1" applyFont="1" applyBorder="1" applyAlignment="1">
      <alignment/>
    </xf>
    <xf numFmtId="172" fontId="59" fillId="0" borderId="0" xfId="42" applyNumberFormat="1" applyFont="1" applyAlignment="1">
      <alignment/>
    </xf>
    <xf numFmtId="172" fontId="59" fillId="0" borderId="13" xfId="42" applyNumberFormat="1" applyFont="1" applyBorder="1" applyAlignment="1">
      <alignment/>
    </xf>
    <xf numFmtId="175" fontId="60" fillId="0" borderId="13" xfId="42" applyNumberFormat="1" applyFont="1" applyBorder="1" applyAlignment="1">
      <alignment horizontal="center"/>
    </xf>
    <xf numFmtId="175" fontId="60" fillId="0" borderId="13" xfId="42" applyNumberFormat="1" applyFont="1" applyBorder="1" applyAlignment="1">
      <alignment horizontal="center" vertical="center"/>
    </xf>
    <xf numFmtId="173" fontId="60" fillId="0" borderId="13" xfId="59" applyNumberFormat="1" applyFont="1" applyBorder="1" applyAlignment="1">
      <alignment horizontal="center"/>
    </xf>
    <xf numFmtId="10" fontId="60" fillId="0" borderId="17" xfId="0" applyNumberFormat="1" applyFont="1" applyBorder="1" applyAlignment="1">
      <alignment horizontal="center"/>
    </xf>
    <xf numFmtId="10" fontId="60" fillId="0" borderId="16" xfId="0" applyNumberFormat="1" applyFont="1" applyBorder="1" applyAlignment="1">
      <alignment horizontal="center"/>
    </xf>
    <xf numFmtId="10" fontId="60" fillId="0" borderId="12" xfId="0" applyNumberFormat="1" applyFont="1" applyBorder="1" applyAlignment="1">
      <alignment horizontal="center"/>
    </xf>
    <xf numFmtId="0" fontId="11" fillId="36" borderId="2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58" fillId="0" borderId="10" xfId="0" applyNumberFormat="1" applyFont="1" applyFill="1" applyBorder="1" applyAlignment="1">
      <alignment/>
    </xf>
    <xf numFmtId="172" fontId="58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0" fontId="1" fillId="0" borderId="0" xfId="59" applyNumberFormat="1" applyFont="1" applyBorder="1" applyAlignment="1">
      <alignment horizontal="center"/>
    </xf>
    <xf numFmtId="175" fontId="1" fillId="33" borderId="35" xfId="0" applyNumberFormat="1" applyFont="1" applyFill="1" applyBorder="1" applyAlignment="1">
      <alignment horizontal="center"/>
    </xf>
    <xf numFmtId="10" fontId="1" fillId="33" borderId="36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35" borderId="38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0" fillId="0" borderId="22" xfId="0" applyBorder="1" applyAlignment="1">
      <alignment/>
    </xf>
    <xf numFmtId="172" fontId="0" fillId="0" borderId="22" xfId="0" applyNumberFormat="1" applyBorder="1" applyAlignment="1">
      <alignment/>
    </xf>
    <xf numFmtId="172" fontId="58" fillId="0" borderId="40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172" fontId="58" fillId="0" borderId="0" xfId="42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0" fillId="0" borderId="22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172" fontId="14" fillId="0" borderId="41" xfId="0" applyNumberFormat="1" applyFont="1" applyBorder="1" applyAlignment="1">
      <alignment/>
    </xf>
    <xf numFmtId="0" fontId="0" fillId="0" borderId="37" xfId="0" applyBorder="1" applyAlignment="1" quotePrefix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5" borderId="35" xfId="0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42" xfId="0" applyNumberFormat="1" applyBorder="1" applyAlignment="1">
      <alignment/>
    </xf>
    <xf numFmtId="172" fontId="1" fillId="0" borderId="43" xfId="0" applyNumberFormat="1" applyFont="1" applyBorder="1" applyAlignment="1">
      <alignment/>
    </xf>
    <xf numFmtId="172" fontId="0" fillId="0" borderId="43" xfId="0" applyNumberFormat="1" applyFont="1" applyBorder="1" applyAlignment="1">
      <alignment/>
    </xf>
    <xf numFmtId="0" fontId="0" fillId="0" borderId="36" xfId="0" applyBorder="1" applyAlignment="1">
      <alignment/>
    </xf>
    <xf numFmtId="172" fontId="1" fillId="0" borderId="44" xfId="0" applyNumberFormat="1" applyFont="1" applyFill="1" applyBorder="1" applyAlignment="1">
      <alignment/>
    </xf>
    <xf numFmtId="172" fontId="0" fillId="0" borderId="18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58" fillId="0" borderId="45" xfId="0" applyNumberFormat="1" applyFont="1" applyBorder="1" applyAlignment="1">
      <alignment/>
    </xf>
    <xf numFmtId="174" fontId="58" fillId="0" borderId="46" xfId="0" applyNumberFormat="1" applyFont="1" applyBorder="1" applyAlignment="1">
      <alignment horizontal="center"/>
    </xf>
    <xf numFmtId="0" fontId="12" fillId="36" borderId="47" xfId="0" applyFont="1" applyFill="1" applyBorder="1" applyAlignment="1">
      <alignment/>
    </xf>
    <xf numFmtId="0" fontId="0" fillId="0" borderId="48" xfId="0" applyBorder="1" applyAlignment="1">
      <alignment/>
    </xf>
    <xf numFmtId="0" fontId="1" fillId="35" borderId="22" xfId="0" applyFont="1" applyFill="1" applyBorder="1" applyAlignment="1">
      <alignment horizontal="center"/>
    </xf>
    <xf numFmtId="172" fontId="14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72" fontId="0" fillId="0" borderId="0" xfId="42" applyNumberFormat="1" applyFont="1" applyBorder="1" applyAlignment="1">
      <alignment horizontal="center"/>
    </xf>
    <xf numFmtId="0" fontId="0" fillId="0" borderId="49" xfId="0" applyBorder="1" applyAlignment="1" quotePrefix="1">
      <alignment horizontal="center"/>
    </xf>
    <xf numFmtId="172" fontId="1" fillId="0" borderId="24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72" fontId="59" fillId="0" borderId="0" xfId="42" applyNumberFormat="1" applyFont="1" applyAlignment="1">
      <alignment horizontal="right"/>
    </xf>
    <xf numFmtId="0" fontId="43" fillId="37" borderId="0" xfId="0" applyFont="1" applyFill="1" applyAlignment="1">
      <alignment/>
    </xf>
    <xf numFmtId="0" fontId="20" fillId="0" borderId="0" xfId="0" applyFont="1" applyAlignment="1">
      <alignment/>
    </xf>
    <xf numFmtId="175" fontId="60" fillId="0" borderId="0" xfId="42" applyNumberFormat="1" applyFont="1" applyBorder="1" applyAlignment="1">
      <alignment horizontal="center"/>
    </xf>
    <xf numFmtId="9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0" fontId="16" fillId="0" borderId="0" xfId="59" applyNumberFormat="1" applyFont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173" fontId="10" fillId="38" borderId="0" xfId="0" applyNumberFormat="1" applyFont="1" applyFill="1" applyAlignment="1">
      <alignment horizontal="center"/>
    </xf>
    <xf numFmtId="1" fontId="10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38" borderId="0" xfId="0" applyFont="1" applyFill="1" applyAlignment="1">
      <alignment/>
    </xf>
    <xf numFmtId="172" fontId="1" fillId="38" borderId="10" xfId="0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172" fontId="1" fillId="35" borderId="31" xfId="42" applyNumberFormat="1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54</xdr:row>
      <xdr:rowOff>171450</xdr:rowOff>
    </xdr:from>
    <xdr:to>
      <xdr:col>12</xdr:col>
      <xdr:colOff>952500</xdr:colOff>
      <xdr:row>64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11220450" y="10287000"/>
          <a:ext cx="9334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1095375</xdr:colOff>
      <xdr:row>64</xdr:row>
      <xdr:rowOff>0</xdr:rowOff>
    </xdr:from>
    <xdr:to>
      <xdr:col>14</xdr:col>
      <xdr:colOff>895350</xdr:colOff>
      <xdr:row>65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296775" y="11658600"/>
          <a:ext cx="1714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Next Year's CF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54</xdr:row>
      <xdr:rowOff>171450</xdr:rowOff>
    </xdr:from>
    <xdr:to>
      <xdr:col>12</xdr:col>
      <xdr:colOff>952500</xdr:colOff>
      <xdr:row>64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11220450" y="10248900"/>
          <a:ext cx="9334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1095375</xdr:colOff>
      <xdr:row>63</xdr:row>
      <xdr:rowOff>161925</xdr:rowOff>
    </xdr:from>
    <xdr:to>
      <xdr:col>15</xdr:col>
      <xdr:colOff>0</xdr:colOff>
      <xdr:row>64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296775" y="11620500"/>
          <a:ext cx="1714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Next Year's CF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="80" zoomScaleNormal="80" zoomScalePageLayoutView="0" workbookViewId="0" topLeftCell="A1">
      <selection activeCell="R11" sqref="R11"/>
    </sheetView>
  </sheetViews>
  <sheetFormatPr defaultColWidth="9.140625" defaultRowHeight="12.75"/>
  <cols>
    <col min="1" max="1" width="3.00390625" style="66" customWidth="1"/>
    <col min="2" max="2" width="1.1484375" style="0" customWidth="1"/>
    <col min="3" max="3" width="46.57421875" style="0" customWidth="1"/>
    <col min="4" max="4" width="10.421875" style="0" customWidth="1"/>
    <col min="5" max="5" width="12.421875" style="0" customWidth="1"/>
    <col min="6" max="6" width="14.7109375" style="0" bestFit="1" customWidth="1"/>
    <col min="7" max="7" width="13.57421875" style="0" customWidth="1"/>
    <col min="8" max="8" width="11.8515625" style="0" customWidth="1"/>
    <col min="9" max="10" width="13.57421875" style="0" customWidth="1"/>
    <col min="11" max="11" width="13.7109375" style="0" customWidth="1"/>
    <col min="12" max="12" width="13.421875" style="0" customWidth="1"/>
    <col min="13" max="13" width="16.421875" style="0" customWidth="1"/>
    <col min="14" max="14" width="12.28125" style="0" customWidth="1"/>
    <col min="15" max="15" width="13.421875" style="0" customWidth="1"/>
    <col min="16" max="17" width="12.28125" style="0" customWidth="1"/>
    <col min="18" max="18" width="12.7109375" style="0" customWidth="1"/>
    <col min="19" max="19" width="11.00390625" style="0" customWidth="1"/>
    <col min="20" max="24" width="12.421875" style="0" customWidth="1"/>
  </cols>
  <sheetData>
    <row r="1" spans="3:5" ht="22.5">
      <c r="C1" s="2" t="s">
        <v>0</v>
      </c>
      <c r="D1" s="2"/>
      <c r="E1" s="2"/>
    </row>
    <row r="2" spans="3:13" ht="12.75" customHeight="1" thickBot="1">
      <c r="C2" s="1" t="s">
        <v>82</v>
      </c>
      <c r="D2" s="3"/>
      <c r="E2" s="3"/>
      <c r="F2" s="4"/>
      <c r="G2" s="4"/>
      <c r="H2" s="5"/>
      <c r="I2" s="4"/>
      <c r="J2" s="6"/>
      <c r="M2" s="1"/>
    </row>
    <row r="3" spans="1:15" ht="18" customHeight="1" thickBot="1">
      <c r="A3" s="48">
        <f>ROW()</f>
        <v>3</v>
      </c>
      <c r="B3" s="7"/>
      <c r="C3" s="99" t="s">
        <v>35</v>
      </c>
      <c r="D3" s="99"/>
      <c r="E3" s="99"/>
      <c r="F3" s="100"/>
      <c r="G3" s="100"/>
      <c r="H3" s="100"/>
      <c r="I3" s="100"/>
      <c r="J3" s="100"/>
      <c r="K3" s="100"/>
      <c r="M3" s="216" t="s">
        <v>77</v>
      </c>
      <c r="N3" s="217" t="s">
        <v>77</v>
      </c>
      <c r="O3" s="218" t="s">
        <v>77</v>
      </c>
    </row>
    <row r="4" spans="1:15" ht="43.5" customHeight="1" thickBot="1">
      <c r="A4" s="48">
        <f>ROW()</f>
        <v>4</v>
      </c>
      <c r="B4" s="7"/>
      <c r="C4" s="8" t="s">
        <v>1</v>
      </c>
      <c r="D4" s="128" t="s">
        <v>88</v>
      </c>
      <c r="E4" s="96" t="s">
        <v>31</v>
      </c>
      <c r="F4" s="97" t="s">
        <v>76</v>
      </c>
      <c r="G4" s="98" t="s">
        <v>2</v>
      </c>
      <c r="H4" s="97" t="s">
        <v>89</v>
      </c>
      <c r="I4" s="97" t="s">
        <v>90</v>
      </c>
      <c r="J4" s="97" t="s">
        <v>63</v>
      </c>
      <c r="K4" s="97" t="s">
        <v>91</v>
      </c>
      <c r="M4" s="213" t="s">
        <v>92</v>
      </c>
      <c r="N4" s="214"/>
      <c r="O4" s="215"/>
    </row>
    <row r="5" spans="1:15" ht="32.25" customHeight="1" thickBot="1">
      <c r="A5" s="48">
        <f>ROW()</f>
        <v>5</v>
      </c>
      <c r="B5" s="7"/>
      <c r="C5" s="7" t="s">
        <v>3</v>
      </c>
      <c r="D5" s="127">
        <v>7</v>
      </c>
      <c r="E5" s="140">
        <v>3</v>
      </c>
      <c r="F5" s="60">
        <f>+E5*K14</f>
        <v>60000000</v>
      </c>
      <c r="G5" s="85">
        <f>+F5/$F$9</f>
        <v>0.43478260869565216</v>
      </c>
      <c r="H5" s="89">
        <f>+E24</f>
        <v>0.06125960499223404</v>
      </c>
      <c r="I5" s="89">
        <f>+H5*(1-$K$12)</f>
        <v>0.047782491893942555</v>
      </c>
      <c r="J5" s="94">
        <f>+G5*I5</f>
        <v>0.020774996475627198</v>
      </c>
      <c r="K5" s="62">
        <f>+F5/$F$45</f>
        <v>3</v>
      </c>
      <c r="M5" s="108" t="s">
        <v>40</v>
      </c>
      <c r="N5" s="108" t="s">
        <v>42</v>
      </c>
      <c r="O5" s="108" t="s">
        <v>70</v>
      </c>
    </row>
    <row r="6" spans="1:15" ht="13.5" thickBot="1">
      <c r="A6" s="48">
        <f>ROW()</f>
        <v>6</v>
      </c>
      <c r="B6" s="7"/>
      <c r="C6" s="7" t="s">
        <v>54</v>
      </c>
      <c r="D6" s="127">
        <v>10</v>
      </c>
      <c r="E6" s="141"/>
      <c r="F6" s="31">
        <f>+F7-F5</f>
        <v>40000000</v>
      </c>
      <c r="G6" s="86">
        <f>+F6/$F$9</f>
        <v>0.2898550724637681</v>
      </c>
      <c r="H6" s="90">
        <f>+N9</f>
        <v>0.08</v>
      </c>
      <c r="I6" s="90">
        <f>+H6*(1-$K$12)</f>
        <v>0.062400000000000004</v>
      </c>
      <c r="J6" s="95">
        <f>+G6*I6</f>
        <v>0.018086956521739132</v>
      </c>
      <c r="K6" s="63">
        <f>+F6/$F$45</f>
        <v>2</v>
      </c>
      <c r="M6" s="143">
        <v>0.01</v>
      </c>
      <c r="N6" s="144">
        <v>0.04</v>
      </c>
      <c r="O6" s="70">
        <f>+N6+M6</f>
        <v>0.05</v>
      </c>
    </row>
    <row r="7" spans="1:11" ht="13.5" thickBot="1">
      <c r="A7" s="48">
        <f>ROW()</f>
        <v>7</v>
      </c>
      <c r="B7" s="7"/>
      <c r="C7" s="7" t="s">
        <v>32</v>
      </c>
      <c r="D7" s="4"/>
      <c r="E7" s="141">
        <v>5</v>
      </c>
      <c r="F7" s="60">
        <f>+E7*$F$45</f>
        <v>100000000</v>
      </c>
      <c r="G7" s="85">
        <f>SUM(G5:G6)</f>
        <v>0.7246376811594203</v>
      </c>
      <c r="H7" s="91"/>
      <c r="I7" s="91"/>
      <c r="J7" s="94">
        <f>+J6+J5</f>
        <v>0.038861952997366334</v>
      </c>
      <c r="K7" s="64">
        <f>+F7/$F$45</f>
        <v>5</v>
      </c>
    </row>
    <row r="8" spans="1:15" ht="15" customHeight="1" thickBot="1">
      <c r="A8" s="48">
        <f>ROW()</f>
        <v>8</v>
      </c>
      <c r="B8" s="7"/>
      <c r="C8" s="7" t="s">
        <v>4</v>
      </c>
      <c r="D8" s="4"/>
      <c r="E8" s="43"/>
      <c r="F8" s="31">
        <f>+F15-F7</f>
        <v>38000000</v>
      </c>
      <c r="G8" s="86">
        <f>+F8/$F$9</f>
        <v>0.2753623188405797</v>
      </c>
      <c r="H8" s="92">
        <f>+O16</f>
        <v>0.19997</v>
      </c>
      <c r="I8" s="93">
        <f>+H8</f>
        <v>0.19997</v>
      </c>
      <c r="J8" s="94">
        <f>+G8*I8</f>
        <v>0.055064202898550726</v>
      </c>
      <c r="K8" s="63">
        <f>+F8/$F$45</f>
        <v>1.9</v>
      </c>
      <c r="M8" s="213" t="s">
        <v>93</v>
      </c>
      <c r="N8" s="214"/>
      <c r="O8" s="215"/>
    </row>
    <row r="9" spans="1:15" ht="13.5" thickBot="1">
      <c r="A9" s="48">
        <f>ROW()</f>
        <v>9</v>
      </c>
      <c r="B9" s="7"/>
      <c r="C9" s="7" t="s">
        <v>5</v>
      </c>
      <c r="D9" s="4"/>
      <c r="E9" s="61">
        <f>+F9/G45</f>
        <v>6.571428571428571</v>
      </c>
      <c r="F9" s="10">
        <f>+F8+F7</f>
        <v>138000000</v>
      </c>
      <c r="G9" s="87">
        <f>+F9/$F$9</f>
        <v>1</v>
      </c>
      <c r="H9" s="7"/>
      <c r="J9" s="92">
        <f>+J8+J7</f>
        <v>0.09392615589591706</v>
      </c>
      <c r="K9" s="65">
        <f>+F9/$F$45</f>
        <v>6.9</v>
      </c>
      <c r="M9" s="41"/>
      <c r="N9" s="145">
        <v>0.08</v>
      </c>
      <c r="O9" s="42"/>
    </row>
    <row r="10" spans="1:11" ht="14.25" customHeight="1" thickBot="1" thickTop="1">
      <c r="A10" s="48">
        <f>ROW()</f>
        <v>10</v>
      </c>
      <c r="B10" s="7"/>
      <c r="C10" s="7"/>
      <c r="D10" s="4"/>
      <c r="E10" s="7"/>
      <c r="F10" s="40"/>
      <c r="G10" s="88"/>
      <c r="H10" s="9"/>
      <c r="J10" s="9"/>
      <c r="K10" s="9"/>
    </row>
    <row r="11" spans="1:15" ht="51.75" customHeight="1" thickBot="1">
      <c r="A11" s="48">
        <f>ROW()</f>
        <v>11</v>
      </c>
      <c r="B11" s="7"/>
      <c r="C11" s="208" t="s">
        <v>6</v>
      </c>
      <c r="D11" s="4"/>
      <c r="E11" s="96" t="s">
        <v>111</v>
      </c>
      <c r="F11" s="97" t="s">
        <v>109</v>
      </c>
      <c r="G11" s="97" t="s">
        <v>43</v>
      </c>
      <c r="M11" s="213" t="s">
        <v>68</v>
      </c>
      <c r="N11" s="214"/>
      <c r="O11" s="215"/>
    </row>
    <row r="12" spans="1:15" ht="13.5" thickBot="1">
      <c r="A12" s="48">
        <f>ROW()</f>
        <v>12</v>
      </c>
      <c r="B12" s="7"/>
      <c r="C12" s="9" t="s">
        <v>51</v>
      </c>
      <c r="D12" s="4"/>
      <c r="E12" s="84">
        <f>+F12/K14</f>
        <v>6</v>
      </c>
      <c r="F12" s="137">
        <v>120000000</v>
      </c>
      <c r="G12" s="85">
        <f>+F12/$F$15</f>
        <v>0.8695652173913043</v>
      </c>
      <c r="J12" s="23" t="s">
        <v>64</v>
      </c>
      <c r="K12" s="93">
        <f>+D51</f>
        <v>0.22</v>
      </c>
      <c r="M12" s="11" t="s">
        <v>55</v>
      </c>
      <c r="N12" s="7"/>
      <c r="O12" s="133">
        <v>0.01</v>
      </c>
    </row>
    <row r="13" spans="1:15" ht="13.5" thickBot="1">
      <c r="A13" s="48">
        <f>ROW()</f>
        <v>13</v>
      </c>
      <c r="B13" s="7"/>
      <c r="C13" s="60" t="s">
        <v>65</v>
      </c>
      <c r="D13" s="4"/>
      <c r="E13" s="16"/>
      <c r="F13" s="137">
        <v>15000000</v>
      </c>
      <c r="G13" s="85">
        <f>+F13/$F$15</f>
        <v>0.10869565217391304</v>
      </c>
      <c r="M13" s="11" t="s">
        <v>56</v>
      </c>
      <c r="N13" s="7"/>
      <c r="O13" s="134">
        <v>1.727</v>
      </c>
    </row>
    <row r="14" spans="1:15" ht="13.5" thickBot="1">
      <c r="A14" s="48">
        <f>ROW()</f>
        <v>14</v>
      </c>
      <c r="B14" s="7"/>
      <c r="C14" s="60" t="s">
        <v>112</v>
      </c>
      <c r="D14" s="4"/>
      <c r="E14" s="142">
        <v>0.03</v>
      </c>
      <c r="F14" s="9">
        <f>+E14*F7</f>
        <v>3000000</v>
      </c>
      <c r="G14" s="85">
        <f>+F14/$F$15</f>
        <v>0.021739130434782608</v>
      </c>
      <c r="J14" s="67" t="s">
        <v>110</v>
      </c>
      <c r="K14" s="129">
        <f>+F45</f>
        <v>20000000</v>
      </c>
      <c r="M14" s="11" t="s">
        <v>52</v>
      </c>
      <c r="N14" s="7"/>
      <c r="O14" s="135">
        <v>0.11</v>
      </c>
    </row>
    <row r="15" spans="1:15" ht="12.75" customHeight="1" thickBot="1">
      <c r="A15" s="48">
        <f>ROW()</f>
        <v>15</v>
      </c>
      <c r="B15" s="7"/>
      <c r="C15" s="9" t="s">
        <v>7</v>
      </c>
      <c r="D15" s="4"/>
      <c r="E15" s="61">
        <f>+F15/F45</f>
        <v>6.9</v>
      </c>
      <c r="F15" s="10">
        <f>SUM(F12:F14)</f>
        <v>138000000</v>
      </c>
      <c r="G15" s="87">
        <f>+F15/$F$15</f>
        <v>1</v>
      </c>
      <c r="M15" s="11" t="s">
        <v>53</v>
      </c>
      <c r="N15" s="7"/>
      <c r="O15" s="136">
        <v>0</v>
      </c>
    </row>
    <row r="16" spans="1:15" ht="12.75" customHeight="1" thickBot="1" thickTop="1">
      <c r="A16" s="48">
        <f>ROW()</f>
        <v>16</v>
      </c>
      <c r="B16" s="7"/>
      <c r="C16" s="9"/>
      <c r="D16" s="9"/>
      <c r="E16" s="9"/>
      <c r="F16" s="9"/>
      <c r="G16" s="7"/>
      <c r="M16" s="130" t="s">
        <v>8</v>
      </c>
      <c r="N16" s="131"/>
      <c r="O16" s="132">
        <f>+O12+(O13*O14)+O15</f>
        <v>0.19997</v>
      </c>
    </row>
    <row r="17" spans="1:16" ht="12" customHeight="1">
      <c r="A17" s="48">
        <f>ROW()</f>
        <v>17</v>
      </c>
      <c r="B17" s="7"/>
      <c r="C17" s="162" t="s">
        <v>83</v>
      </c>
      <c r="D17" s="9"/>
      <c r="E17" s="9"/>
      <c r="F17" s="9"/>
      <c r="G17" s="7"/>
      <c r="H17" s="9"/>
      <c r="I17" s="9"/>
      <c r="J17" s="9"/>
      <c r="K17" s="7"/>
      <c r="L17" s="7"/>
      <c r="M17" s="7"/>
      <c r="N17" s="7"/>
      <c r="P17" s="9"/>
    </row>
    <row r="18" spans="1:16" ht="7.5" customHeight="1" thickBot="1">
      <c r="A18" s="48">
        <f>ROW()</f>
        <v>18</v>
      </c>
      <c r="B18" s="7"/>
      <c r="C18" s="83"/>
      <c r="D18" s="27"/>
      <c r="E18" s="27"/>
      <c r="F18" s="27"/>
      <c r="G18" s="12"/>
      <c r="H18" s="27"/>
      <c r="I18" s="27"/>
      <c r="J18" s="27"/>
      <c r="K18" s="12"/>
      <c r="L18" s="12"/>
      <c r="M18" s="12"/>
      <c r="N18" s="12"/>
      <c r="P18" s="9"/>
    </row>
    <row r="19" spans="1:16" ht="17.25" customHeight="1" thickBot="1">
      <c r="A19" s="48">
        <f>ROW()</f>
        <v>19</v>
      </c>
      <c r="C19" s="146" t="s">
        <v>45</v>
      </c>
      <c r="D19" s="101"/>
      <c r="E19" s="101"/>
      <c r="F19" s="102"/>
      <c r="G19" s="102"/>
      <c r="H19" s="102"/>
      <c r="I19" s="102"/>
      <c r="J19" s="102"/>
      <c r="K19" s="102"/>
      <c r="L19" s="103"/>
      <c r="M19" s="104"/>
      <c r="N19" s="102"/>
      <c r="O19" s="102"/>
      <c r="P19" s="102"/>
    </row>
    <row r="20" spans="1:16" ht="15.75" customHeight="1" thickBot="1">
      <c r="A20" s="48">
        <f>ROW()</f>
        <v>20</v>
      </c>
      <c r="C20" s="13" t="str">
        <f>+C5</f>
        <v>Bank Loan</v>
      </c>
      <c r="E20" s="105" t="s">
        <v>41</v>
      </c>
      <c r="F20" s="106" t="s">
        <v>34</v>
      </c>
      <c r="G20" s="107">
        <f aca="true" t="shared" si="0" ref="G20:P20">+G41</f>
        <v>1</v>
      </c>
      <c r="H20" s="107">
        <f t="shared" si="0"/>
        <v>2</v>
      </c>
      <c r="I20" s="107">
        <f t="shared" si="0"/>
        <v>3</v>
      </c>
      <c r="J20" s="107">
        <f t="shared" si="0"/>
        <v>4</v>
      </c>
      <c r="K20" s="107">
        <f t="shared" si="0"/>
        <v>5</v>
      </c>
      <c r="L20" s="106">
        <f t="shared" si="0"/>
        <v>6</v>
      </c>
      <c r="M20" s="107">
        <f t="shared" si="0"/>
        <v>7</v>
      </c>
      <c r="N20" s="107">
        <f t="shared" si="0"/>
        <v>8</v>
      </c>
      <c r="O20" s="107">
        <f t="shared" si="0"/>
        <v>9</v>
      </c>
      <c r="P20" s="107">
        <f t="shared" si="0"/>
        <v>10</v>
      </c>
    </row>
    <row r="21" spans="1:16" ht="12.75" customHeight="1">
      <c r="A21" s="48">
        <f>ROW()</f>
        <v>21</v>
      </c>
      <c r="C21" t="s">
        <v>47</v>
      </c>
      <c r="E21" s="4"/>
      <c r="F21" s="34">
        <f>+F5</f>
        <v>60000000</v>
      </c>
      <c r="G21" s="15">
        <f aca="true" t="shared" si="1" ref="G21:P21">+F21-G22</f>
        <v>57000000</v>
      </c>
      <c r="H21" s="15">
        <f t="shared" si="1"/>
        <v>53000000</v>
      </c>
      <c r="I21" s="15">
        <f t="shared" si="1"/>
        <v>48000000</v>
      </c>
      <c r="J21" s="15">
        <f t="shared" si="1"/>
        <v>43000000</v>
      </c>
      <c r="K21" s="15">
        <f t="shared" si="1"/>
        <v>37000000</v>
      </c>
      <c r="L21" s="16">
        <f>+K21-L22</f>
        <v>30000000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</row>
    <row r="22" spans="1:16" ht="12.75">
      <c r="A22" s="48">
        <f>ROW()</f>
        <v>22</v>
      </c>
      <c r="C22" t="s">
        <v>48</v>
      </c>
      <c r="E22" s="4"/>
      <c r="F22" s="36" t="s">
        <v>27</v>
      </c>
      <c r="G22" s="138">
        <v>3000000</v>
      </c>
      <c r="H22" s="138">
        <v>4000000</v>
      </c>
      <c r="I22" s="138">
        <v>5000000</v>
      </c>
      <c r="J22" s="138">
        <v>5000000</v>
      </c>
      <c r="K22" s="138">
        <f>+J22+1000000</f>
        <v>6000000</v>
      </c>
      <c r="L22" s="139">
        <v>7000000</v>
      </c>
      <c r="M22" s="138">
        <v>30000000</v>
      </c>
      <c r="N22" s="138">
        <f>+M21</f>
        <v>0</v>
      </c>
      <c r="O22" s="138">
        <f>+N21</f>
        <v>0</v>
      </c>
      <c r="P22" s="138">
        <f>+O21</f>
        <v>0</v>
      </c>
    </row>
    <row r="23" spans="1:16" ht="12.75">
      <c r="A23" s="48">
        <f>ROW()</f>
        <v>23</v>
      </c>
      <c r="C23" s="76" t="s">
        <v>85</v>
      </c>
      <c r="E23" s="4"/>
      <c r="F23" s="35">
        <f>+H5</f>
        <v>0.06125960499223404</v>
      </c>
      <c r="G23" s="15">
        <f aca="true" t="shared" si="2" ref="G23:P23">+F21*G28</f>
        <v>3000000</v>
      </c>
      <c r="H23" s="15">
        <f t="shared" si="2"/>
        <v>3135000</v>
      </c>
      <c r="I23" s="15">
        <f t="shared" si="2"/>
        <v>3180000</v>
      </c>
      <c r="J23" s="15">
        <f t="shared" si="2"/>
        <v>3360000.0000000005</v>
      </c>
      <c r="K23" s="15">
        <f t="shared" si="2"/>
        <v>3010000.0000000005</v>
      </c>
      <c r="L23" s="16">
        <f t="shared" si="2"/>
        <v>2590000.0000000005</v>
      </c>
      <c r="M23" s="15">
        <f t="shared" si="2"/>
        <v>2100000</v>
      </c>
      <c r="N23" s="15">
        <f t="shared" si="2"/>
        <v>0</v>
      </c>
      <c r="O23" s="15">
        <f t="shared" si="2"/>
        <v>0</v>
      </c>
      <c r="P23" s="15">
        <f t="shared" si="2"/>
        <v>0</v>
      </c>
    </row>
    <row r="24" spans="1:16" ht="13.5" thickBot="1">
      <c r="A24" s="48">
        <f>ROW()</f>
        <v>24</v>
      </c>
      <c r="C24" s="114" t="s">
        <v>74</v>
      </c>
      <c r="E24" s="123">
        <f>IRR(F24:O24)</f>
        <v>0.06125960499223404</v>
      </c>
      <c r="F24" s="115">
        <f>-F21</f>
        <v>-60000000</v>
      </c>
      <c r="G24" s="116">
        <f aca="true" t="shared" si="3" ref="G24:P24">+G22+G23</f>
        <v>6000000</v>
      </c>
      <c r="H24" s="116">
        <f t="shared" si="3"/>
        <v>7135000</v>
      </c>
      <c r="I24" s="116">
        <f t="shared" si="3"/>
        <v>8180000</v>
      </c>
      <c r="J24" s="116">
        <f t="shared" si="3"/>
        <v>8360000</v>
      </c>
      <c r="K24" s="116">
        <f t="shared" si="3"/>
        <v>9010000</v>
      </c>
      <c r="L24" s="117">
        <f t="shared" si="3"/>
        <v>9590000</v>
      </c>
      <c r="M24" s="116">
        <f t="shared" si="3"/>
        <v>32100000</v>
      </c>
      <c r="N24" s="116">
        <f t="shared" si="3"/>
        <v>0</v>
      </c>
      <c r="O24" s="116">
        <f t="shared" si="3"/>
        <v>0</v>
      </c>
      <c r="P24" s="116">
        <f t="shared" si="3"/>
        <v>0</v>
      </c>
    </row>
    <row r="25" spans="1:16" ht="13.5" thickTop="1">
      <c r="A25" s="48">
        <f>ROW()</f>
        <v>25</v>
      </c>
      <c r="C25" s="44" t="s">
        <v>57</v>
      </c>
      <c r="E25" s="124"/>
      <c r="F25" s="45"/>
      <c r="G25" s="47">
        <v>0</v>
      </c>
      <c r="H25" s="47">
        <v>0.005</v>
      </c>
      <c r="I25" s="47">
        <v>0.005</v>
      </c>
      <c r="J25" s="47">
        <v>0.01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8">
        <f>ROW()</f>
        <v>26</v>
      </c>
      <c r="C26" s="13" t="s">
        <v>46</v>
      </c>
      <c r="E26" s="124"/>
      <c r="F26" s="45">
        <f>+M6</f>
        <v>0.01</v>
      </c>
      <c r="G26" s="46">
        <f aca="true" t="shared" si="4" ref="G26:P26">+F26+G25</f>
        <v>0.01</v>
      </c>
      <c r="H26" s="46">
        <f t="shared" si="4"/>
        <v>0.015</v>
      </c>
      <c r="I26" s="46">
        <f t="shared" si="4"/>
        <v>0.02</v>
      </c>
      <c r="J26" s="46">
        <f t="shared" si="4"/>
        <v>0.03</v>
      </c>
      <c r="K26" s="46">
        <f t="shared" si="4"/>
        <v>0.03</v>
      </c>
      <c r="L26" s="45">
        <f t="shared" si="4"/>
        <v>0.03</v>
      </c>
      <c r="M26" s="46">
        <f t="shared" si="4"/>
        <v>0.03</v>
      </c>
      <c r="N26" s="46">
        <f t="shared" si="4"/>
        <v>0.03</v>
      </c>
      <c r="O26" s="46">
        <f t="shared" si="4"/>
        <v>0.03</v>
      </c>
      <c r="P26" s="46">
        <f t="shared" si="4"/>
        <v>0.03</v>
      </c>
    </row>
    <row r="27" spans="1:16" ht="12.75">
      <c r="A27" s="48">
        <f>ROW()</f>
        <v>27</v>
      </c>
      <c r="C27" s="44" t="s">
        <v>66</v>
      </c>
      <c r="E27" s="124"/>
      <c r="F27" s="45"/>
      <c r="G27" s="47">
        <f>+$N$6</f>
        <v>0.04</v>
      </c>
      <c r="H27" s="74">
        <f>+G27</f>
        <v>0.04</v>
      </c>
      <c r="I27" s="74">
        <f aca="true" t="shared" si="5" ref="I27:P27">+H27</f>
        <v>0.04</v>
      </c>
      <c r="J27" s="74">
        <f t="shared" si="5"/>
        <v>0.04</v>
      </c>
      <c r="K27" s="74">
        <f t="shared" si="5"/>
        <v>0.04</v>
      </c>
      <c r="L27" s="75">
        <f t="shared" si="5"/>
        <v>0.04</v>
      </c>
      <c r="M27" s="74">
        <f t="shared" si="5"/>
        <v>0.04</v>
      </c>
      <c r="N27" s="74">
        <f t="shared" si="5"/>
        <v>0.04</v>
      </c>
      <c r="O27" s="74">
        <f t="shared" si="5"/>
        <v>0.04</v>
      </c>
      <c r="P27" s="74">
        <f t="shared" si="5"/>
        <v>0.04</v>
      </c>
    </row>
    <row r="28" spans="1:16" ht="12.75">
      <c r="A28" s="48">
        <f>ROW()</f>
        <v>28</v>
      </c>
      <c r="C28" s="13" t="s">
        <v>67</v>
      </c>
      <c r="E28" s="125"/>
      <c r="F28" s="71"/>
      <c r="G28" s="72">
        <f>+G27+G26</f>
        <v>0.05</v>
      </c>
      <c r="H28" s="72">
        <f aca="true" t="shared" si="6" ref="H28:P28">+H26+$N$6</f>
        <v>0.055</v>
      </c>
      <c r="I28" s="72">
        <f t="shared" si="6"/>
        <v>0.06</v>
      </c>
      <c r="J28" s="72">
        <f t="shared" si="6"/>
        <v>0.07</v>
      </c>
      <c r="K28" s="72">
        <f t="shared" si="6"/>
        <v>0.07</v>
      </c>
      <c r="L28" s="73">
        <f t="shared" si="6"/>
        <v>0.07</v>
      </c>
      <c r="M28" s="72">
        <f t="shared" si="6"/>
        <v>0.07</v>
      </c>
      <c r="N28" s="72">
        <f t="shared" si="6"/>
        <v>0.07</v>
      </c>
      <c r="O28" s="72">
        <f t="shared" si="6"/>
        <v>0.07</v>
      </c>
      <c r="P28" s="72">
        <f t="shared" si="6"/>
        <v>0.07</v>
      </c>
    </row>
    <row r="29" spans="1:12" ht="8.25" customHeight="1">
      <c r="A29" s="48">
        <f>ROW()</f>
        <v>29</v>
      </c>
      <c r="E29" s="126"/>
      <c r="F29" s="17"/>
      <c r="L29" s="17"/>
    </row>
    <row r="30" spans="1:12" ht="12.75">
      <c r="A30" s="48">
        <f>ROW()</f>
        <v>30</v>
      </c>
      <c r="C30" s="13" t="str">
        <f>+C6</f>
        <v>Mezzanine Note</v>
      </c>
      <c r="E30" s="125"/>
      <c r="F30" s="17"/>
      <c r="L30" s="17"/>
    </row>
    <row r="31" spans="1:16" ht="12.75">
      <c r="A31" s="48">
        <f>ROW()</f>
        <v>31</v>
      </c>
      <c r="C31" t="s">
        <v>10</v>
      </c>
      <c r="E31" s="126"/>
      <c r="F31" s="34">
        <f>+F6</f>
        <v>40000000</v>
      </c>
      <c r="G31" s="15">
        <f aca="true" t="shared" si="7" ref="G31:P31">+F31-G32</f>
        <v>40000000</v>
      </c>
      <c r="H31" s="15">
        <f t="shared" si="7"/>
        <v>40000000</v>
      </c>
      <c r="I31" s="15">
        <f t="shared" si="7"/>
        <v>40000000</v>
      </c>
      <c r="J31" s="15">
        <f t="shared" si="7"/>
        <v>40000000</v>
      </c>
      <c r="K31" s="15">
        <f t="shared" si="7"/>
        <v>40000000</v>
      </c>
      <c r="L31" s="16">
        <f>+K31-L32</f>
        <v>40000000</v>
      </c>
      <c r="M31" s="15">
        <f t="shared" si="7"/>
        <v>40000000</v>
      </c>
      <c r="N31" s="15">
        <f t="shared" si="7"/>
        <v>40000000</v>
      </c>
      <c r="O31" s="15">
        <f t="shared" si="7"/>
        <v>40000000</v>
      </c>
      <c r="P31" s="15">
        <f t="shared" si="7"/>
        <v>0</v>
      </c>
    </row>
    <row r="32" spans="1:16" ht="12.75">
      <c r="A32" s="48">
        <f>ROW()</f>
        <v>32</v>
      </c>
      <c r="C32" t="s">
        <v>48</v>
      </c>
      <c r="E32" s="126"/>
      <c r="F32" s="36" t="s">
        <v>28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v>0</v>
      </c>
      <c r="M32" s="32">
        <v>0</v>
      </c>
      <c r="N32" s="32">
        <v>0</v>
      </c>
      <c r="O32" s="32">
        <v>0</v>
      </c>
      <c r="P32" s="32">
        <f>+F6</f>
        <v>40000000</v>
      </c>
    </row>
    <row r="33" spans="1:16" ht="12.75">
      <c r="A33" s="48">
        <f>ROW()</f>
        <v>33</v>
      </c>
      <c r="C33" s="76" t="s">
        <v>85</v>
      </c>
      <c r="E33" s="126"/>
      <c r="F33" s="37">
        <f>+N9</f>
        <v>0.08</v>
      </c>
      <c r="G33" s="15">
        <f aca="true" t="shared" si="8" ref="G33:P33">+F31*$F$33</f>
        <v>3200000</v>
      </c>
      <c r="H33" s="15">
        <f t="shared" si="8"/>
        <v>3200000</v>
      </c>
      <c r="I33" s="15">
        <f t="shared" si="8"/>
        <v>3200000</v>
      </c>
      <c r="J33" s="15">
        <f t="shared" si="8"/>
        <v>3200000</v>
      </c>
      <c r="K33" s="15">
        <f t="shared" si="8"/>
        <v>3200000</v>
      </c>
      <c r="L33" s="16">
        <f t="shared" si="8"/>
        <v>3200000</v>
      </c>
      <c r="M33" s="15">
        <f t="shared" si="8"/>
        <v>3200000</v>
      </c>
      <c r="N33" s="15">
        <f t="shared" si="8"/>
        <v>3200000</v>
      </c>
      <c r="O33" s="15">
        <f t="shared" si="8"/>
        <v>3200000</v>
      </c>
      <c r="P33" s="15">
        <f t="shared" si="8"/>
        <v>3200000</v>
      </c>
    </row>
    <row r="34" spans="1:16" ht="13.5" thickBot="1">
      <c r="A34" s="48">
        <f>ROW()</f>
        <v>34</v>
      </c>
      <c r="C34" s="114" t="s">
        <v>75</v>
      </c>
      <c r="E34" s="123">
        <f>IRR(F34:R34)</f>
        <v>0.08000000000000007</v>
      </c>
      <c r="F34" s="115">
        <f>-F31</f>
        <v>-40000000</v>
      </c>
      <c r="G34" s="116">
        <f aca="true" t="shared" si="9" ref="G34:P34">+G32+G33</f>
        <v>3200000</v>
      </c>
      <c r="H34" s="116">
        <f t="shared" si="9"/>
        <v>3200000</v>
      </c>
      <c r="I34" s="116">
        <f t="shared" si="9"/>
        <v>3200000</v>
      </c>
      <c r="J34" s="116">
        <f t="shared" si="9"/>
        <v>3200000</v>
      </c>
      <c r="K34" s="116">
        <f t="shared" si="9"/>
        <v>3200000</v>
      </c>
      <c r="L34" s="117">
        <f t="shared" si="9"/>
        <v>3200000</v>
      </c>
      <c r="M34" s="116">
        <f t="shared" si="9"/>
        <v>3200000</v>
      </c>
      <c r="N34" s="116">
        <f t="shared" si="9"/>
        <v>3200000</v>
      </c>
      <c r="O34" s="116">
        <f t="shared" si="9"/>
        <v>3200000</v>
      </c>
      <c r="P34" s="116">
        <f t="shared" si="9"/>
        <v>43200000</v>
      </c>
    </row>
    <row r="35" spans="1:15" ht="9.75" customHeight="1" thickTop="1">
      <c r="A35" s="48">
        <f>ROW()</f>
        <v>35</v>
      </c>
      <c r="E35" s="4"/>
      <c r="F35" s="17"/>
      <c r="G35" s="9"/>
      <c r="H35" s="9"/>
      <c r="I35" s="9"/>
      <c r="J35" s="9"/>
      <c r="K35" s="9"/>
      <c r="L35" s="16"/>
      <c r="M35" s="9"/>
      <c r="N35" s="9"/>
      <c r="O35" s="9"/>
    </row>
    <row r="36" spans="1:16" ht="12.75" thickTop="1">
      <c r="A36" s="48">
        <f>ROW()</f>
        <v>36</v>
      </c>
      <c r="C36" s="76" t="s">
        <v>84</v>
      </c>
      <c r="E36" s="4"/>
      <c r="F36" s="17"/>
      <c r="G36" s="9">
        <f aca="true" t="shared" si="10" ref="G36:P36">+G32+G33+G22+G23</f>
        <v>9200000</v>
      </c>
      <c r="H36" s="9">
        <f t="shared" si="10"/>
        <v>10335000</v>
      </c>
      <c r="I36" s="9">
        <f t="shared" si="10"/>
        <v>11380000</v>
      </c>
      <c r="J36" s="9">
        <f t="shared" si="10"/>
        <v>11560000</v>
      </c>
      <c r="K36" s="9">
        <f t="shared" si="10"/>
        <v>12210000</v>
      </c>
      <c r="L36" s="16">
        <f t="shared" si="10"/>
        <v>12790000</v>
      </c>
      <c r="M36" s="9">
        <f t="shared" si="10"/>
        <v>35300000</v>
      </c>
      <c r="N36" s="9">
        <f t="shared" si="10"/>
        <v>3200000</v>
      </c>
      <c r="O36" s="9">
        <f t="shared" si="10"/>
        <v>3200000</v>
      </c>
      <c r="P36" s="9">
        <f t="shared" si="10"/>
        <v>43200000</v>
      </c>
    </row>
    <row r="37" spans="1:16" ht="13.5" thickBot="1">
      <c r="A37" s="48">
        <f>ROW()</f>
        <v>37</v>
      </c>
      <c r="C37" t="s">
        <v>11</v>
      </c>
      <c r="F37" s="81">
        <f aca="true" t="shared" si="11" ref="F37:P37">+F31+F21</f>
        <v>100000000</v>
      </c>
      <c r="G37" s="9">
        <f t="shared" si="11"/>
        <v>97000000</v>
      </c>
      <c r="H37" s="9">
        <f t="shared" si="11"/>
        <v>93000000</v>
      </c>
      <c r="I37" s="9">
        <f t="shared" si="11"/>
        <v>88000000</v>
      </c>
      <c r="J37" s="9">
        <f t="shared" si="11"/>
        <v>83000000</v>
      </c>
      <c r="K37" s="9">
        <f t="shared" si="11"/>
        <v>77000000</v>
      </c>
      <c r="L37" s="55">
        <f t="shared" si="11"/>
        <v>70000000</v>
      </c>
      <c r="M37" s="9">
        <f t="shared" si="11"/>
        <v>40000000</v>
      </c>
      <c r="N37" s="9">
        <f t="shared" si="11"/>
        <v>40000000</v>
      </c>
      <c r="O37" s="9">
        <f t="shared" si="11"/>
        <v>40000000</v>
      </c>
      <c r="P37" s="9">
        <f t="shared" si="11"/>
        <v>0</v>
      </c>
    </row>
    <row r="38" spans="1:15" ht="12" customHeight="1" thickBot="1">
      <c r="A38" s="48">
        <f>ROW()</f>
        <v>38</v>
      </c>
      <c r="C38" s="12"/>
      <c r="D38" s="12"/>
      <c r="E38" s="12"/>
      <c r="F38" s="12"/>
      <c r="G38" s="27"/>
      <c r="H38" s="27"/>
      <c r="I38" s="27"/>
      <c r="J38" s="27"/>
      <c r="K38" s="27"/>
      <c r="L38" s="28"/>
      <c r="M38" s="27"/>
      <c r="N38" s="12"/>
      <c r="O38" s="12"/>
    </row>
    <row r="39" spans="1:16" ht="15" customHeight="1" thickBot="1">
      <c r="A39" s="48">
        <f>ROW()</f>
        <v>39</v>
      </c>
      <c r="C39" s="146" t="s">
        <v>49</v>
      </c>
      <c r="D39" s="101"/>
      <c r="E39" s="101"/>
      <c r="F39" s="102"/>
      <c r="G39" s="102"/>
      <c r="H39" s="102"/>
      <c r="I39" s="102"/>
      <c r="J39" s="102"/>
      <c r="K39" s="102"/>
      <c r="L39" s="103"/>
      <c r="M39" s="104"/>
      <c r="N39" s="102"/>
      <c r="O39" s="102"/>
      <c r="P39" s="102"/>
    </row>
    <row r="40" spans="1:16" ht="16.5" customHeight="1">
      <c r="A40" s="48">
        <f>ROW()</f>
        <v>40</v>
      </c>
      <c r="C40" s="1" t="s">
        <v>29</v>
      </c>
      <c r="D40" s="219" t="s">
        <v>33</v>
      </c>
      <c r="E40" s="220"/>
      <c r="F40" s="167" t="s">
        <v>19</v>
      </c>
      <c r="G40" s="174" t="s">
        <v>12</v>
      </c>
      <c r="H40" s="110" t="s">
        <v>13</v>
      </c>
      <c r="I40" s="110" t="s">
        <v>14</v>
      </c>
      <c r="J40" s="110" t="s">
        <v>15</v>
      </c>
      <c r="K40" s="110" t="s">
        <v>16</v>
      </c>
      <c r="L40" s="109" t="s">
        <v>9</v>
      </c>
      <c r="M40" s="161" t="s">
        <v>103</v>
      </c>
      <c r="N40" s="161" t="s">
        <v>104</v>
      </c>
      <c r="O40" s="161" t="s">
        <v>105</v>
      </c>
      <c r="P40" s="161" t="s">
        <v>106</v>
      </c>
    </row>
    <row r="41" spans="1:16" ht="13.5" thickBot="1">
      <c r="A41" s="48">
        <f>ROW()</f>
        <v>41</v>
      </c>
      <c r="D41" s="221" t="s">
        <v>87</v>
      </c>
      <c r="E41" s="222"/>
      <c r="F41" s="168">
        <v>0</v>
      </c>
      <c r="G41" s="175">
        <f>+F41+1</f>
        <v>1</v>
      </c>
      <c r="H41" s="111">
        <f aca="true" t="shared" si="12" ref="H41:N41">+G41+1</f>
        <v>2</v>
      </c>
      <c r="I41" s="111">
        <f t="shared" si="12"/>
        <v>3</v>
      </c>
      <c r="J41" s="111">
        <f t="shared" si="12"/>
        <v>4</v>
      </c>
      <c r="K41" s="111">
        <f>+J41+1</f>
        <v>5</v>
      </c>
      <c r="L41" s="112">
        <f>+K41+1</f>
        <v>6</v>
      </c>
      <c r="M41" s="111">
        <f t="shared" si="12"/>
        <v>7</v>
      </c>
      <c r="N41" s="111">
        <f t="shared" si="12"/>
        <v>8</v>
      </c>
      <c r="O41" s="111">
        <f>+N41+1</f>
        <v>9</v>
      </c>
      <c r="P41" s="111">
        <f>+O41+1</f>
        <v>10</v>
      </c>
    </row>
    <row r="42" spans="1:16" ht="12.75">
      <c r="A42" s="48">
        <f>ROW()</f>
        <v>42</v>
      </c>
      <c r="C42" t="s">
        <v>20</v>
      </c>
      <c r="D42" s="68">
        <v>0.05</v>
      </c>
      <c r="E42" s="119" t="s">
        <v>78</v>
      </c>
      <c r="F42" s="169">
        <v>40000000</v>
      </c>
      <c r="G42" s="176">
        <f aca="true" t="shared" si="13" ref="G42:N42">+F42*(1+$D$42)</f>
        <v>42000000</v>
      </c>
      <c r="H42" s="14">
        <f t="shared" si="13"/>
        <v>44100000</v>
      </c>
      <c r="I42" s="14">
        <f t="shared" si="13"/>
        <v>46305000</v>
      </c>
      <c r="J42" s="14">
        <f t="shared" si="13"/>
        <v>48620250</v>
      </c>
      <c r="K42" s="14">
        <f>+J42*(1+$D$42)</f>
        <v>51051262.5</v>
      </c>
      <c r="L42" s="18">
        <f>+K42*(1+$D$42)</f>
        <v>53603825.625</v>
      </c>
      <c r="M42" s="14">
        <f t="shared" si="13"/>
        <v>56284016.90625</v>
      </c>
      <c r="N42" s="14">
        <f t="shared" si="13"/>
        <v>59098217.751562506</v>
      </c>
      <c r="O42" s="14">
        <f>+N42*(1+$D$42)</f>
        <v>62053128.639140636</v>
      </c>
      <c r="P42" s="14">
        <f>+O42*(1+$D$42)</f>
        <v>65155785.07109767</v>
      </c>
    </row>
    <row r="43" spans="1:16" ht="12">
      <c r="A43" s="48">
        <f>ROW()</f>
        <v>43</v>
      </c>
      <c r="C43" t="s">
        <v>30</v>
      </c>
      <c r="D43" s="69">
        <v>0.35</v>
      </c>
      <c r="E43" s="120" t="s">
        <v>58</v>
      </c>
      <c r="F43" s="170"/>
      <c r="G43" s="177">
        <f aca="true" t="shared" si="14" ref="G43:P43">-G42*$D$43</f>
        <v>-14699999.999999998</v>
      </c>
      <c r="H43" s="14">
        <f t="shared" si="14"/>
        <v>-15434999.999999998</v>
      </c>
      <c r="I43" s="14">
        <f t="shared" si="14"/>
        <v>-16206749.999999998</v>
      </c>
      <c r="J43" s="14">
        <f t="shared" si="14"/>
        <v>-17017087.5</v>
      </c>
      <c r="K43" s="14">
        <f t="shared" si="14"/>
        <v>-17867941.875</v>
      </c>
      <c r="L43" s="18">
        <f t="shared" si="14"/>
        <v>-18761338.96875</v>
      </c>
      <c r="M43" s="14">
        <f t="shared" si="14"/>
        <v>-19699405.917187497</v>
      </c>
      <c r="N43" s="14">
        <f t="shared" si="14"/>
        <v>-20684376.213046875</v>
      </c>
      <c r="O43" s="14">
        <f t="shared" si="14"/>
        <v>-21718595.02369922</v>
      </c>
      <c r="P43" s="14">
        <f t="shared" si="14"/>
        <v>-22804524.774884183</v>
      </c>
    </row>
    <row r="44" spans="1:16" ht="12.75" thickBot="1">
      <c r="A44" s="48">
        <f>ROW()</f>
        <v>44</v>
      </c>
      <c r="C44" t="s">
        <v>21</v>
      </c>
      <c r="D44" s="69">
        <v>0.15</v>
      </c>
      <c r="E44" s="120" t="s">
        <v>58</v>
      </c>
      <c r="F44" s="170"/>
      <c r="G44" s="177">
        <f>-D44*G42</f>
        <v>-6300000</v>
      </c>
      <c r="H44" s="14">
        <f aca="true" t="shared" si="15" ref="H44:N44">-$D$44*H42</f>
        <v>-6615000</v>
      </c>
      <c r="I44" s="14">
        <f t="shared" si="15"/>
        <v>-6945750</v>
      </c>
      <c r="J44" s="14">
        <f t="shared" si="15"/>
        <v>-7293037.5</v>
      </c>
      <c r="K44" s="14">
        <f t="shared" si="15"/>
        <v>-7657689.375</v>
      </c>
      <c r="L44" s="18">
        <f t="shared" si="15"/>
        <v>-8040573.84375</v>
      </c>
      <c r="M44" s="14">
        <f t="shared" si="15"/>
        <v>-8442602.5359375</v>
      </c>
      <c r="N44" s="14">
        <f t="shared" si="15"/>
        <v>-8864732.662734376</v>
      </c>
      <c r="O44" s="14">
        <f>-$D$44*O42</f>
        <v>-9307969.295871096</v>
      </c>
      <c r="P44" s="14">
        <f>-$D$44*P42</f>
        <v>-9773367.760664651</v>
      </c>
    </row>
    <row r="45" spans="1:16" ht="12.75">
      <c r="A45" s="48">
        <f>ROW()</f>
        <v>45</v>
      </c>
      <c r="C45" t="s">
        <v>22</v>
      </c>
      <c r="D45" s="85"/>
      <c r="E45" s="121"/>
      <c r="F45" s="169">
        <v>20000000</v>
      </c>
      <c r="G45" s="182">
        <f aca="true" t="shared" si="16" ref="G45:L45">SUM(G42:G44)</f>
        <v>21000000</v>
      </c>
      <c r="H45" s="51">
        <f t="shared" si="16"/>
        <v>22050000</v>
      </c>
      <c r="I45" s="51">
        <f t="shared" si="16"/>
        <v>23152500</v>
      </c>
      <c r="J45" s="51">
        <f t="shared" si="16"/>
        <v>24310125</v>
      </c>
      <c r="K45" s="51">
        <f t="shared" si="16"/>
        <v>25525631.25</v>
      </c>
      <c r="L45" s="54">
        <f t="shared" si="16"/>
        <v>26801912.8125</v>
      </c>
      <c r="M45" s="51">
        <f>SUM(M42:M44)</f>
        <v>28142008.453125004</v>
      </c>
      <c r="N45" s="51">
        <f>SUM(N42:N44)</f>
        <v>29549108.875781253</v>
      </c>
      <c r="O45" s="51">
        <f>SUM(O42:O44)</f>
        <v>31026564.319570318</v>
      </c>
      <c r="P45" s="51">
        <f>SUM(P42:P44)</f>
        <v>32577892.535548843</v>
      </c>
    </row>
    <row r="46" spans="1:16" ht="12">
      <c r="A46" s="48">
        <f>ROW()</f>
        <v>46</v>
      </c>
      <c r="C46" t="s">
        <v>17</v>
      </c>
      <c r="D46" s="68">
        <v>0.03</v>
      </c>
      <c r="E46" s="120" t="s">
        <v>58</v>
      </c>
      <c r="F46" s="170"/>
      <c r="G46" s="176">
        <f>-$D$46*G42</f>
        <v>-1260000</v>
      </c>
      <c r="H46" s="19">
        <f aca="true" t="shared" si="17" ref="H46:N46">-$D$46*H42</f>
        <v>-1323000</v>
      </c>
      <c r="I46" s="19">
        <f t="shared" si="17"/>
        <v>-1389150</v>
      </c>
      <c r="J46" s="19">
        <f t="shared" si="17"/>
        <v>-1458607.5</v>
      </c>
      <c r="K46" s="19">
        <f t="shared" si="17"/>
        <v>-1531537.875</v>
      </c>
      <c r="L46" s="18">
        <f t="shared" si="17"/>
        <v>-1608114.76875</v>
      </c>
      <c r="M46" s="19">
        <f t="shared" si="17"/>
        <v>-1688520.5071875</v>
      </c>
      <c r="N46" s="19">
        <f t="shared" si="17"/>
        <v>-1772946.532546875</v>
      </c>
      <c r="O46" s="19">
        <f>-$D$46*O42</f>
        <v>-1861593.859174219</v>
      </c>
      <c r="P46" s="19">
        <f>-$D$46*P42</f>
        <v>-1954673.5521329301</v>
      </c>
    </row>
    <row r="47" spans="1:16" ht="12">
      <c r="A47" s="48">
        <f>ROW()</f>
        <v>47</v>
      </c>
      <c r="C47" s="76" t="s">
        <v>80</v>
      </c>
      <c r="D47" s="52">
        <v>7</v>
      </c>
      <c r="E47" s="122" t="s">
        <v>50</v>
      </c>
      <c r="F47" s="172"/>
      <c r="G47" s="178">
        <f>-$F$14/$D$47</f>
        <v>-428571.4285714286</v>
      </c>
      <c r="H47" s="49">
        <f>-$F$14/$D$47</f>
        <v>-428571.4285714286</v>
      </c>
      <c r="I47" s="49">
        <f>-$F$14/$D$47</f>
        <v>-428571.4285714286</v>
      </c>
      <c r="J47" s="49">
        <f>-$F$14/$D$47</f>
        <v>-428571.4285714286</v>
      </c>
      <c r="K47" s="49">
        <f>-$F$14/$D$47</f>
        <v>-428571.4285714286</v>
      </c>
      <c r="L47" s="50">
        <f>+K47*2</f>
        <v>-857142.8571428572</v>
      </c>
      <c r="M47" s="49"/>
      <c r="N47" s="49"/>
      <c r="O47" s="49"/>
      <c r="P47" s="49"/>
    </row>
    <row r="48" spans="1:16" ht="12">
      <c r="A48" s="48">
        <f>ROW()</f>
        <v>48</v>
      </c>
      <c r="C48" t="s">
        <v>18</v>
      </c>
      <c r="D48" s="4"/>
      <c r="E48" s="121"/>
      <c r="F48" s="171"/>
      <c r="G48" s="176">
        <f>SUM(G45:G47)</f>
        <v>19311428.57142857</v>
      </c>
      <c r="H48" s="19">
        <f aca="true" t="shared" si="18" ref="H48:P48">SUM(H45:H47)</f>
        <v>20298428.57142857</v>
      </c>
      <c r="I48" s="19">
        <f t="shared" si="18"/>
        <v>21334778.57142857</v>
      </c>
      <c r="J48" s="19">
        <f t="shared" si="18"/>
        <v>22422946.07142857</v>
      </c>
      <c r="K48" s="19">
        <f t="shared" si="18"/>
        <v>23565521.94642857</v>
      </c>
      <c r="L48" s="18">
        <f t="shared" si="18"/>
        <v>24336655.18660714</v>
      </c>
      <c r="M48" s="19">
        <f t="shared" si="18"/>
        <v>26453487.945937503</v>
      </c>
      <c r="N48" s="19">
        <f t="shared" si="18"/>
        <v>27776162.34323438</v>
      </c>
      <c r="O48" s="19">
        <f t="shared" si="18"/>
        <v>29164970.4603961</v>
      </c>
      <c r="P48" s="19">
        <f t="shared" si="18"/>
        <v>30623218.983415913</v>
      </c>
    </row>
    <row r="49" spans="1:19" ht="12">
      <c r="A49" s="48">
        <f>ROW()</f>
        <v>49</v>
      </c>
      <c r="C49" s="76" t="s">
        <v>60</v>
      </c>
      <c r="D49" s="4"/>
      <c r="E49" s="121"/>
      <c r="F49" s="171"/>
      <c r="G49" s="178">
        <v>0</v>
      </c>
      <c r="H49" s="49">
        <v>0</v>
      </c>
      <c r="I49" s="49">
        <v>0</v>
      </c>
      <c r="J49" s="49">
        <v>0</v>
      </c>
      <c r="K49" s="49">
        <v>0</v>
      </c>
      <c r="L49" s="50">
        <v>0</v>
      </c>
      <c r="M49" s="49">
        <v>0</v>
      </c>
      <c r="N49" s="49">
        <v>0</v>
      </c>
      <c r="O49" s="49">
        <v>0</v>
      </c>
      <c r="P49" s="49">
        <v>0</v>
      </c>
      <c r="S49" s="56"/>
    </row>
    <row r="50" spans="1:19" ht="12">
      <c r="A50" s="48">
        <f>ROW()</f>
        <v>50</v>
      </c>
      <c r="C50" t="s">
        <v>61</v>
      </c>
      <c r="D50" s="4"/>
      <c r="E50" s="121"/>
      <c r="F50" s="171"/>
      <c r="G50" s="176">
        <f>+G48-G49</f>
        <v>19311428.57142857</v>
      </c>
      <c r="H50" s="19">
        <f aca="true" t="shared" si="19" ref="H50:P50">+H48-H49</f>
        <v>20298428.57142857</v>
      </c>
      <c r="I50" s="19">
        <f t="shared" si="19"/>
        <v>21334778.57142857</v>
      </c>
      <c r="J50" s="19">
        <f t="shared" si="19"/>
        <v>22422946.07142857</v>
      </c>
      <c r="K50" s="19">
        <f t="shared" si="19"/>
        <v>23565521.94642857</v>
      </c>
      <c r="L50" s="18">
        <f t="shared" si="19"/>
        <v>24336655.18660714</v>
      </c>
      <c r="M50" s="19">
        <f t="shared" si="19"/>
        <v>26453487.945937503</v>
      </c>
      <c r="N50" s="19">
        <f t="shared" si="19"/>
        <v>27776162.34323438</v>
      </c>
      <c r="O50" s="19">
        <f t="shared" si="19"/>
        <v>29164970.4603961</v>
      </c>
      <c r="P50" s="19">
        <f t="shared" si="19"/>
        <v>30623218.983415913</v>
      </c>
      <c r="S50" s="56"/>
    </row>
    <row r="51" spans="1:16" ht="12">
      <c r="A51" s="48">
        <f>ROW()</f>
        <v>51</v>
      </c>
      <c r="C51" t="s">
        <v>36</v>
      </c>
      <c r="D51" s="69">
        <v>0.22</v>
      </c>
      <c r="E51" s="120" t="s">
        <v>59</v>
      </c>
      <c r="F51" s="170"/>
      <c r="G51" s="176">
        <f aca="true" t="shared" si="20" ref="G51:P51">-$D$51*G48</f>
        <v>-4248514.285714285</v>
      </c>
      <c r="H51" s="14">
        <f t="shared" si="20"/>
        <v>-4465654.285714285</v>
      </c>
      <c r="I51" s="14">
        <f t="shared" si="20"/>
        <v>-4693651.285714285</v>
      </c>
      <c r="J51" s="14">
        <f t="shared" si="20"/>
        <v>-4933048.135714286</v>
      </c>
      <c r="K51" s="14">
        <f t="shared" si="20"/>
        <v>-5184414.828214286</v>
      </c>
      <c r="L51" s="18">
        <f t="shared" si="20"/>
        <v>-5354064.141053571</v>
      </c>
      <c r="M51" s="14">
        <f t="shared" si="20"/>
        <v>-5819767.348106251</v>
      </c>
      <c r="N51" s="14">
        <f t="shared" si="20"/>
        <v>-6110755.715511563</v>
      </c>
      <c r="O51" s="14">
        <f t="shared" si="20"/>
        <v>-6416293.501287142</v>
      </c>
      <c r="P51" s="14">
        <f t="shared" si="20"/>
        <v>-6737108.176351501</v>
      </c>
    </row>
    <row r="52" spans="1:16" ht="12">
      <c r="A52" s="48">
        <f>ROW()</f>
        <v>52</v>
      </c>
      <c r="C52" s="76" t="s">
        <v>81</v>
      </c>
      <c r="D52" s="69"/>
      <c r="E52" s="121"/>
      <c r="F52" s="171"/>
      <c r="G52" s="176">
        <f>-G46-G47</f>
        <v>1688571.4285714286</v>
      </c>
      <c r="H52" s="14">
        <f aca="true" t="shared" si="21" ref="H52:P52">-H46-H47</f>
        <v>1751571.4285714286</v>
      </c>
      <c r="I52" s="14">
        <f t="shared" si="21"/>
        <v>1817721.4285714286</v>
      </c>
      <c r="J52" s="14">
        <f t="shared" si="21"/>
        <v>1887178.9285714286</v>
      </c>
      <c r="K52" s="14">
        <f t="shared" si="21"/>
        <v>1960109.3035714286</v>
      </c>
      <c r="L52" s="18">
        <f t="shared" si="21"/>
        <v>2465257.625892857</v>
      </c>
      <c r="M52" s="14">
        <f t="shared" si="21"/>
        <v>1688520.5071875</v>
      </c>
      <c r="N52" s="14">
        <f t="shared" si="21"/>
        <v>1772946.532546875</v>
      </c>
      <c r="O52" s="14">
        <f t="shared" si="21"/>
        <v>1861593.859174219</v>
      </c>
      <c r="P52" s="14">
        <f t="shared" si="21"/>
        <v>1954673.5521329301</v>
      </c>
    </row>
    <row r="53" spans="1:16" ht="12">
      <c r="A53" s="48">
        <f>ROW()</f>
        <v>53</v>
      </c>
      <c r="C53" s="76" t="s">
        <v>79</v>
      </c>
      <c r="D53" s="68">
        <v>0.01</v>
      </c>
      <c r="E53" s="120" t="s">
        <v>58</v>
      </c>
      <c r="F53" s="170"/>
      <c r="G53" s="176">
        <f>-$D$53*G42</f>
        <v>-420000</v>
      </c>
      <c r="H53" s="14">
        <f aca="true" t="shared" si="22" ref="H53:N53">-$D$53*H42</f>
        <v>-441000</v>
      </c>
      <c r="I53" s="14">
        <f t="shared" si="22"/>
        <v>-463050</v>
      </c>
      <c r="J53" s="14">
        <f t="shared" si="22"/>
        <v>-486202.5</v>
      </c>
      <c r="K53" s="14">
        <f t="shared" si="22"/>
        <v>-510512.625</v>
      </c>
      <c r="L53" s="18">
        <f t="shared" si="22"/>
        <v>-536038.25625</v>
      </c>
      <c r="M53" s="14">
        <f t="shared" si="22"/>
        <v>-562840.1690625</v>
      </c>
      <c r="N53" s="14">
        <f t="shared" si="22"/>
        <v>-590982.177515625</v>
      </c>
      <c r="O53" s="14">
        <f>-$D$53*O42</f>
        <v>-620531.2863914063</v>
      </c>
      <c r="P53" s="14">
        <f>-$D$53*P42</f>
        <v>-651557.8507109768</v>
      </c>
    </row>
    <row r="54" spans="1:16" ht="12">
      <c r="A54" s="48">
        <f>ROW()</f>
        <v>54</v>
      </c>
      <c r="C54" t="s">
        <v>37</v>
      </c>
      <c r="D54" s="68">
        <v>0.03</v>
      </c>
      <c r="E54" s="120" t="s">
        <v>58</v>
      </c>
      <c r="F54" s="170"/>
      <c r="G54" s="176">
        <f>-$D$54*G42</f>
        <v>-1260000</v>
      </c>
      <c r="H54" s="14">
        <f aca="true" t="shared" si="23" ref="H54:N54">-$D$54*H42</f>
        <v>-1323000</v>
      </c>
      <c r="I54" s="14">
        <f t="shared" si="23"/>
        <v>-1389150</v>
      </c>
      <c r="J54" s="14">
        <f t="shared" si="23"/>
        <v>-1458607.5</v>
      </c>
      <c r="K54" s="14">
        <f t="shared" si="23"/>
        <v>-1531537.875</v>
      </c>
      <c r="L54" s="18">
        <f t="shared" si="23"/>
        <v>-1608114.76875</v>
      </c>
      <c r="M54" s="14">
        <f t="shared" si="23"/>
        <v>-1688520.5071875</v>
      </c>
      <c r="N54" s="14">
        <f t="shared" si="23"/>
        <v>-1772946.532546875</v>
      </c>
      <c r="O54" s="14">
        <f>-$D$54*O42</f>
        <v>-1861593.859174219</v>
      </c>
      <c r="P54" s="14">
        <f>-$D$54*P42</f>
        <v>-1954673.5521329301</v>
      </c>
    </row>
    <row r="55" spans="1:16" ht="13.5" thickBot="1">
      <c r="A55" s="48">
        <f>ROW()</f>
        <v>55</v>
      </c>
      <c r="C55" s="76" t="s">
        <v>72</v>
      </c>
      <c r="E55" s="7"/>
      <c r="F55" s="155"/>
      <c r="G55" s="179">
        <f>SUM(G50:G54)</f>
        <v>15071485.714285715</v>
      </c>
      <c r="H55" s="22">
        <f aca="true" t="shared" si="24" ref="H55:P55">SUM(H50:H54)</f>
        <v>15820345.714285713</v>
      </c>
      <c r="I55" s="22">
        <f t="shared" si="24"/>
        <v>16606648.714285713</v>
      </c>
      <c r="J55" s="22">
        <f t="shared" si="24"/>
        <v>17432266.864285715</v>
      </c>
      <c r="K55" s="22">
        <f t="shared" si="24"/>
        <v>18299165.921785716</v>
      </c>
      <c r="L55" s="21">
        <f t="shared" si="24"/>
        <v>19303695.646446425</v>
      </c>
      <c r="M55" s="22">
        <f t="shared" si="24"/>
        <v>20070880.428768754</v>
      </c>
      <c r="N55" s="22">
        <f t="shared" si="24"/>
        <v>21074424.45020719</v>
      </c>
      <c r="O55" s="22">
        <f t="shared" si="24"/>
        <v>22128145.67271755</v>
      </c>
      <c r="P55" s="22">
        <f t="shared" si="24"/>
        <v>23234552.956353437</v>
      </c>
    </row>
    <row r="56" spans="1:16" ht="7.5" customHeight="1" thickTop="1">
      <c r="A56" s="48">
        <f>ROW()</f>
        <v>56</v>
      </c>
      <c r="E56" s="7"/>
      <c r="F56" s="155"/>
      <c r="G56" s="176"/>
      <c r="H56" s="19"/>
      <c r="I56" s="19"/>
      <c r="J56" s="19"/>
      <c r="K56" s="19"/>
      <c r="L56" s="18"/>
      <c r="M56" s="19"/>
      <c r="N56" s="19"/>
      <c r="O56" s="19"/>
      <c r="P56" s="19"/>
    </row>
    <row r="57" spans="1:16" ht="12">
      <c r="A57" s="48">
        <f>ROW()</f>
        <v>57</v>
      </c>
      <c r="C57" t="s">
        <v>62</v>
      </c>
      <c r="E57" s="7"/>
      <c r="F57" s="155"/>
      <c r="G57" s="176">
        <f>-G36</f>
        <v>-9200000</v>
      </c>
      <c r="H57" s="19">
        <f aca="true" t="shared" si="25" ref="H57:N57">-H36</f>
        <v>-10335000</v>
      </c>
      <c r="I57" s="19">
        <f t="shared" si="25"/>
        <v>-11380000</v>
      </c>
      <c r="J57" s="19">
        <f t="shared" si="25"/>
        <v>-11560000</v>
      </c>
      <c r="K57" s="19">
        <f t="shared" si="25"/>
        <v>-12210000</v>
      </c>
      <c r="L57" s="18">
        <f t="shared" si="25"/>
        <v>-12790000</v>
      </c>
      <c r="M57" s="19">
        <f t="shared" si="25"/>
        <v>-35300000</v>
      </c>
      <c r="N57" s="19">
        <f t="shared" si="25"/>
        <v>-3200000</v>
      </c>
      <c r="O57" s="19">
        <f>-O36</f>
        <v>-3200000</v>
      </c>
      <c r="P57" s="19">
        <f>-P36</f>
        <v>-43200000</v>
      </c>
    </row>
    <row r="58" spans="1:16" ht="12.75" thickBot="1">
      <c r="A58" s="48">
        <f>ROW()</f>
        <v>58</v>
      </c>
      <c r="C58" s="76" t="s">
        <v>73</v>
      </c>
      <c r="D58" s="76"/>
      <c r="E58" s="147"/>
      <c r="F58" s="173"/>
      <c r="G58" s="180">
        <f>+G55+G57</f>
        <v>5871485.714285715</v>
      </c>
      <c r="H58" s="118">
        <f aca="true" t="shared" si="26" ref="H58:P58">+H55+H57</f>
        <v>5485345.714285713</v>
      </c>
      <c r="I58" s="118">
        <f t="shared" si="26"/>
        <v>5226648.714285713</v>
      </c>
      <c r="J58" s="118">
        <f t="shared" si="26"/>
        <v>5872266.864285715</v>
      </c>
      <c r="K58" s="118">
        <f t="shared" si="26"/>
        <v>6089165.921785716</v>
      </c>
      <c r="L58" s="148">
        <f t="shared" si="26"/>
        <v>6513695.6464464255</v>
      </c>
      <c r="M58" s="118">
        <f t="shared" si="26"/>
        <v>-15229119.571231246</v>
      </c>
      <c r="N58" s="118">
        <f t="shared" si="26"/>
        <v>17874424.45020719</v>
      </c>
      <c r="O58" s="118">
        <f t="shared" si="26"/>
        <v>18928145.67271755</v>
      </c>
      <c r="P58" s="118">
        <f t="shared" si="26"/>
        <v>-19965447.043646563</v>
      </c>
    </row>
    <row r="59" spans="1:12" ht="9" customHeight="1" thickTop="1">
      <c r="A59" s="48">
        <f>ROW()</f>
        <v>59</v>
      </c>
      <c r="E59" s="7"/>
      <c r="F59" s="155"/>
      <c r="G59" s="155"/>
      <c r="L59" s="17"/>
    </row>
    <row r="60" spans="1:12" ht="9" customHeight="1" thickBot="1">
      <c r="A60" s="48">
        <f>ROW()</f>
        <v>60</v>
      </c>
      <c r="E60" s="7"/>
      <c r="F60" s="155"/>
      <c r="G60" s="181"/>
      <c r="L60" s="17"/>
    </row>
    <row r="61" spans="1:16" ht="15" customHeight="1" thickBot="1">
      <c r="A61" s="48">
        <f>ROW()</f>
        <v>61</v>
      </c>
      <c r="C61" s="146" t="s">
        <v>94</v>
      </c>
      <c r="D61" s="101"/>
      <c r="E61" s="101"/>
      <c r="F61" s="102"/>
      <c r="G61" s="102"/>
      <c r="H61" s="102"/>
      <c r="I61" s="102"/>
      <c r="J61" s="102"/>
      <c r="K61" s="102"/>
      <c r="L61" s="103"/>
      <c r="M61" s="104"/>
      <c r="N61" s="102"/>
      <c r="O61" s="102"/>
      <c r="P61" s="102"/>
    </row>
    <row r="62" spans="1:13" ht="16.5" customHeight="1">
      <c r="A62" s="48">
        <f>ROW()</f>
        <v>62</v>
      </c>
      <c r="C62" s="1"/>
      <c r="D62" s="1"/>
      <c r="E62" s="1"/>
      <c r="F62" s="156" t="s">
        <v>19</v>
      </c>
      <c r="G62" s="110" t="s">
        <v>12</v>
      </c>
      <c r="H62" s="110" t="s">
        <v>13</v>
      </c>
      <c r="I62" s="110" t="s">
        <v>14</v>
      </c>
      <c r="J62" s="110" t="s">
        <v>15</v>
      </c>
      <c r="K62" s="110" t="s">
        <v>16</v>
      </c>
      <c r="L62" s="109" t="s">
        <v>9</v>
      </c>
      <c r="M62" s="161" t="s">
        <v>103</v>
      </c>
    </row>
    <row r="63" spans="1:13" ht="13.5" thickBot="1">
      <c r="A63" s="48">
        <f>ROW()</f>
        <v>63</v>
      </c>
      <c r="C63" s="57" t="s">
        <v>100</v>
      </c>
      <c r="F63" s="157">
        <v>0</v>
      </c>
      <c r="G63" s="111">
        <f aca="true" t="shared" si="27" ref="G63:M63">+F63+1</f>
        <v>1</v>
      </c>
      <c r="H63" s="111">
        <f t="shared" si="27"/>
        <v>2</v>
      </c>
      <c r="I63" s="111">
        <f t="shared" si="27"/>
        <v>3</v>
      </c>
      <c r="J63" s="111">
        <f t="shared" si="27"/>
        <v>4</v>
      </c>
      <c r="K63" s="111">
        <f t="shared" si="27"/>
        <v>5</v>
      </c>
      <c r="L63" s="112">
        <f t="shared" si="27"/>
        <v>6</v>
      </c>
      <c r="M63" s="111">
        <f t="shared" si="27"/>
        <v>7</v>
      </c>
    </row>
    <row r="64" spans="1:19" ht="12.75">
      <c r="A64" s="48">
        <f>ROW()</f>
        <v>64</v>
      </c>
      <c r="C64" s="76" t="s">
        <v>102</v>
      </c>
      <c r="D64" s="53" t="s">
        <v>39</v>
      </c>
      <c r="E64" s="153">
        <f>+E15</f>
        <v>6.9</v>
      </c>
      <c r="F64" s="158"/>
      <c r="K64" s="77" t="s">
        <v>69</v>
      </c>
      <c r="L64" s="18">
        <f>+E64*L45</f>
        <v>184933198.40625</v>
      </c>
      <c r="N64" s="80"/>
      <c r="O64" s="80"/>
      <c r="P64" s="80"/>
      <c r="Q64" s="80"/>
      <c r="R64" s="80"/>
      <c r="S64" s="80"/>
    </row>
    <row r="65" spans="1:19" ht="17.25" customHeight="1" thickBot="1">
      <c r="A65" s="48">
        <f>ROW()</f>
        <v>65</v>
      </c>
      <c r="C65" s="76" t="s">
        <v>99</v>
      </c>
      <c r="D65" s="58">
        <v>0</v>
      </c>
      <c r="E65" s="154">
        <f>+J9</f>
        <v>0.09392615589591706</v>
      </c>
      <c r="F65" s="158"/>
      <c r="K65" s="77" t="s">
        <v>86</v>
      </c>
      <c r="L65" s="16">
        <f>+M55/($E$65-$D$65)</f>
        <v>213687872.53478163</v>
      </c>
      <c r="N65" s="80"/>
      <c r="O65" s="80"/>
      <c r="P65" s="80"/>
      <c r="Q65" s="80"/>
      <c r="R65" s="80"/>
      <c r="S65" s="80"/>
    </row>
    <row r="66" spans="1:19" ht="16.5" customHeight="1" thickBot="1">
      <c r="A66" s="48">
        <f>ROW()</f>
        <v>66</v>
      </c>
      <c r="C66" s="13" t="s">
        <v>38</v>
      </c>
      <c r="F66" s="158"/>
      <c r="K66" s="77" t="s">
        <v>107</v>
      </c>
      <c r="L66" s="38">
        <f>+(L64+L65)/2</f>
        <v>199310535.47051582</v>
      </c>
      <c r="N66" s="80"/>
      <c r="O66" s="80"/>
      <c r="P66" s="80"/>
      <c r="Q66" s="80"/>
      <c r="R66" s="80"/>
      <c r="S66" s="80"/>
    </row>
    <row r="67" spans="1:19" ht="13.5" thickBot="1" thickTop="1">
      <c r="A67" s="48">
        <f>ROW()</f>
        <v>67</v>
      </c>
      <c r="C67" t="s">
        <v>24</v>
      </c>
      <c r="F67" s="158"/>
      <c r="K67" s="78"/>
      <c r="L67" s="20">
        <f>+L21+L31</f>
        <v>70000000</v>
      </c>
      <c r="N67" s="80"/>
      <c r="O67" s="80"/>
      <c r="P67" s="80"/>
      <c r="Q67" s="80"/>
      <c r="R67" s="80"/>
      <c r="S67" s="80"/>
    </row>
    <row r="68" spans="1:19" ht="12">
      <c r="A68" s="48">
        <f>ROW()</f>
        <v>68</v>
      </c>
      <c r="C68" s="76" t="s">
        <v>108</v>
      </c>
      <c r="F68" s="159"/>
      <c r="L68" s="18">
        <f>+L66-L67</f>
        <v>129310535.47051582</v>
      </c>
      <c r="N68" s="80"/>
      <c r="O68" s="80"/>
      <c r="P68" s="80"/>
      <c r="Q68" s="80"/>
      <c r="R68" s="80"/>
      <c r="S68" s="80"/>
    </row>
    <row r="69" spans="1:19" ht="13.5" thickBot="1">
      <c r="A69" s="48">
        <f>ROW()</f>
        <v>69</v>
      </c>
      <c r="C69" s="114" t="s">
        <v>23</v>
      </c>
      <c r="D69" s="82"/>
      <c r="E69" s="82"/>
      <c r="F69" s="160">
        <f>-F8</f>
        <v>-38000000</v>
      </c>
      <c r="G69" s="149">
        <f>+G58</f>
        <v>5871485.714285715</v>
      </c>
      <c r="H69" s="149">
        <f>+H58</f>
        <v>5485345.714285713</v>
      </c>
      <c r="I69" s="149">
        <f>+I58</f>
        <v>5226648.714285713</v>
      </c>
      <c r="J69" s="149">
        <f>+J58</f>
        <v>5872266.864285715</v>
      </c>
      <c r="K69" s="149">
        <f>+K58</f>
        <v>6089165.921785716</v>
      </c>
      <c r="L69" s="150">
        <f>+L58+L68</f>
        <v>135824231.11696225</v>
      </c>
      <c r="N69" s="80"/>
      <c r="O69" s="80"/>
      <c r="P69" s="80"/>
      <c r="Q69" s="80"/>
      <c r="R69" s="80"/>
      <c r="S69" s="80"/>
    </row>
    <row r="70" spans="1:19" ht="13.5" thickBot="1" thickTop="1">
      <c r="A70" s="48">
        <f>ROW()</f>
        <v>70</v>
      </c>
      <c r="C70" s="151" t="s">
        <v>44</v>
      </c>
      <c r="D70" s="23"/>
      <c r="E70" s="23" t="s">
        <v>101</v>
      </c>
      <c r="F70" s="152">
        <f>+H8</f>
        <v>0.19997</v>
      </c>
      <c r="G70" s="79">
        <f aca="true" t="shared" si="28" ref="G70:L70">+G69/((1+$F$70)^G63)</f>
        <v>4893027.087581952</v>
      </c>
      <c r="H70" s="79">
        <f t="shared" si="28"/>
        <v>3809458.327678329</v>
      </c>
      <c r="I70" s="79">
        <f t="shared" si="28"/>
        <v>3024907.831331038</v>
      </c>
      <c r="J70" s="79">
        <f t="shared" si="28"/>
        <v>2832202.029164567</v>
      </c>
      <c r="K70" s="79">
        <f t="shared" si="28"/>
        <v>2447405.1265975437</v>
      </c>
      <c r="L70" s="79">
        <f t="shared" si="28"/>
        <v>45494083.87132741</v>
      </c>
      <c r="N70" s="80"/>
      <c r="O70" s="80"/>
      <c r="P70" s="80"/>
      <c r="Q70" s="80"/>
      <c r="R70" s="80"/>
      <c r="S70" s="80"/>
    </row>
    <row r="71" spans="1:19" ht="13.5" thickBot="1">
      <c r="A71" s="48">
        <f>ROW()</f>
        <v>71</v>
      </c>
      <c r="C71" s="151" t="s">
        <v>71</v>
      </c>
      <c r="D71" s="23"/>
      <c r="E71" s="23" t="s">
        <v>98</v>
      </c>
      <c r="F71" s="29">
        <f>SUM(G70:L70)</f>
        <v>62501084.273680836</v>
      </c>
      <c r="G71" s="30"/>
      <c r="H71" s="30"/>
      <c r="I71" s="30"/>
      <c r="J71" s="30"/>
      <c r="K71" s="30"/>
      <c r="L71" s="30"/>
      <c r="N71" s="80"/>
      <c r="O71" s="80"/>
      <c r="P71" s="80"/>
      <c r="Q71" s="80"/>
      <c r="R71" s="80"/>
      <c r="S71" s="80"/>
    </row>
    <row r="72" spans="1:19" ht="12.75">
      <c r="A72" s="48">
        <f>ROW()</f>
        <v>72</v>
      </c>
      <c r="C72" s="151" t="s">
        <v>25</v>
      </c>
      <c r="D72" s="23"/>
      <c r="E72" s="23"/>
      <c r="F72" s="25">
        <f>+F69</f>
        <v>-38000000</v>
      </c>
      <c r="G72" s="24"/>
      <c r="N72" s="80"/>
      <c r="O72" s="80"/>
      <c r="P72" s="80"/>
      <c r="Q72" s="80"/>
      <c r="R72" s="80"/>
      <c r="S72" s="80"/>
    </row>
    <row r="73" spans="1:19" ht="13.5" thickBot="1">
      <c r="A73" s="48">
        <f>ROW()</f>
        <v>73</v>
      </c>
      <c r="C73" s="151" t="s">
        <v>95</v>
      </c>
      <c r="D73" s="23"/>
      <c r="E73" s="23" t="s">
        <v>26</v>
      </c>
      <c r="F73" s="22">
        <f>+F71+F72</f>
        <v>24501084.273680836</v>
      </c>
      <c r="N73" s="80"/>
      <c r="O73" s="80"/>
      <c r="P73" s="80"/>
      <c r="Q73" s="80"/>
      <c r="R73" s="80"/>
      <c r="S73" s="80"/>
    </row>
    <row r="74" spans="1:19" ht="14.25" customHeight="1" thickBot="1" thickTop="1">
      <c r="A74" s="48">
        <f>ROW()</f>
        <v>74</v>
      </c>
      <c r="C74" s="23"/>
      <c r="D74" s="23"/>
      <c r="E74" s="23"/>
      <c r="F74" s="26"/>
      <c r="G74" s="24"/>
      <c r="N74" s="80"/>
      <c r="O74" s="80"/>
      <c r="P74" s="80"/>
      <c r="Q74" s="80"/>
      <c r="R74" s="80"/>
      <c r="S74" s="80"/>
    </row>
    <row r="75" spans="1:19" ht="12.75" customHeight="1" thickBot="1">
      <c r="A75" s="48">
        <f>ROW()</f>
        <v>75</v>
      </c>
      <c r="C75" s="151" t="s">
        <v>96</v>
      </c>
      <c r="D75" s="23"/>
      <c r="E75" s="23" t="s">
        <v>97</v>
      </c>
      <c r="F75" s="59">
        <f>IRR(F69:L69)</f>
        <v>0.3271774543333925</v>
      </c>
      <c r="N75" s="80"/>
      <c r="O75" s="80"/>
      <c r="P75" s="80"/>
      <c r="Q75" s="80"/>
      <c r="R75" s="80"/>
      <c r="S75" s="80"/>
    </row>
    <row r="76" spans="14:19" ht="12">
      <c r="N76" s="80"/>
      <c r="O76" s="80"/>
      <c r="P76" s="80"/>
      <c r="Q76" s="80"/>
      <c r="R76" s="80"/>
      <c r="S76" s="80"/>
    </row>
    <row r="77" spans="14:19" ht="12">
      <c r="N77" s="80"/>
      <c r="O77" s="80"/>
      <c r="P77" s="80"/>
      <c r="Q77" s="80"/>
      <c r="R77" s="80"/>
      <c r="S77" s="80"/>
    </row>
    <row r="78" spans="14:19" ht="12">
      <c r="N78" s="80"/>
      <c r="O78" s="80"/>
      <c r="P78" s="80"/>
      <c r="Q78" s="80"/>
      <c r="R78" s="80"/>
      <c r="S78" s="80"/>
    </row>
    <row r="88" spans="7:13" ht="12">
      <c r="G88" s="15"/>
      <c r="I88" s="15"/>
      <c r="J88" s="15"/>
      <c r="K88" s="15"/>
      <c r="L88" s="15"/>
      <c r="M88" s="15"/>
    </row>
    <row r="89" spans="7:13" ht="12">
      <c r="G89" s="15"/>
      <c r="I89" s="15"/>
      <c r="J89" s="15"/>
      <c r="K89" s="15"/>
      <c r="L89" s="15"/>
      <c r="M89" s="15"/>
    </row>
    <row r="90" spans="7:13" ht="12">
      <c r="G90" s="15"/>
      <c r="I90" s="15"/>
      <c r="J90" s="15"/>
      <c r="K90" s="15"/>
      <c r="L90" s="15"/>
      <c r="M90" s="15"/>
    </row>
    <row r="91" spans="7:13" ht="12">
      <c r="G91" s="15"/>
      <c r="I91" s="15"/>
      <c r="J91" s="15"/>
      <c r="K91" s="15"/>
      <c r="L91" s="15"/>
      <c r="M91" s="15"/>
    </row>
    <row r="92" spans="7:13" ht="12">
      <c r="G92" s="15"/>
      <c r="I92" s="15"/>
      <c r="J92" s="15"/>
      <c r="K92" s="15"/>
      <c r="L92" s="15"/>
      <c r="M92" s="15"/>
    </row>
    <row r="93" spans="7:9" ht="12">
      <c r="G93" s="15"/>
      <c r="I93" s="15"/>
    </row>
    <row r="94" ht="12">
      <c r="G94" s="15"/>
    </row>
    <row r="95" ht="12">
      <c r="G95" s="15"/>
    </row>
    <row r="96" ht="12">
      <c r="G96" s="15"/>
    </row>
    <row r="97" ht="12">
      <c r="G97" s="15"/>
    </row>
    <row r="98" ht="12">
      <c r="G98" s="15"/>
    </row>
    <row r="99" ht="12">
      <c r="G99" s="15"/>
    </row>
    <row r="100" ht="12">
      <c r="G100" s="15"/>
    </row>
    <row r="101" ht="12">
      <c r="G101" s="15"/>
    </row>
    <row r="102" ht="12">
      <c r="G102" s="15"/>
    </row>
    <row r="103" ht="12">
      <c r="G103" s="15"/>
    </row>
    <row r="104" ht="12">
      <c r="G104" s="15"/>
    </row>
    <row r="105" ht="12">
      <c r="G105" s="15"/>
    </row>
    <row r="106" ht="12">
      <c r="G106" s="15"/>
    </row>
    <row r="107" ht="12">
      <c r="G107" s="15"/>
    </row>
    <row r="108" ht="12">
      <c r="G108" s="15"/>
    </row>
    <row r="109" ht="12">
      <c r="G109" s="15"/>
    </row>
    <row r="110" ht="12">
      <c r="G110" s="15"/>
    </row>
    <row r="111" ht="12">
      <c r="G111" s="15"/>
    </row>
    <row r="112" ht="12">
      <c r="G112" s="15"/>
    </row>
    <row r="113" ht="12">
      <c r="G113" s="15"/>
    </row>
    <row r="114" ht="12">
      <c r="G114" s="15"/>
    </row>
    <row r="115" ht="12">
      <c r="G115" s="15"/>
    </row>
    <row r="116" ht="12">
      <c r="G116" s="15"/>
    </row>
    <row r="117" ht="12">
      <c r="G117" s="15"/>
    </row>
    <row r="118" ht="12">
      <c r="G118" s="15"/>
    </row>
    <row r="119" ht="12">
      <c r="G119" s="15"/>
    </row>
    <row r="120" ht="12">
      <c r="G120" s="15"/>
    </row>
    <row r="121" ht="12">
      <c r="G121" s="15"/>
    </row>
    <row r="122" ht="12">
      <c r="G122" s="15"/>
    </row>
    <row r="123" ht="12">
      <c r="G123" s="15"/>
    </row>
  </sheetData>
  <sheetProtection/>
  <mergeCells count="6">
    <mergeCell ref="M4:O4"/>
    <mergeCell ref="M8:O8"/>
    <mergeCell ref="M11:O11"/>
    <mergeCell ref="M3:O3"/>
    <mergeCell ref="D40:E40"/>
    <mergeCell ref="D41:E41"/>
  </mergeCells>
  <printOptions/>
  <pageMargins left="0.2" right="0.2" top="0.34" bottom="0.17" header="0.53" footer="0.17"/>
  <pageSetup fitToHeight="1" fitToWidth="1" horizontalDpi="1200" verticalDpi="12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00390625" style="66" customWidth="1"/>
    <col min="2" max="2" width="1.1484375" style="0" customWidth="1"/>
    <col min="3" max="3" width="46.57421875" style="0" customWidth="1"/>
    <col min="4" max="4" width="10.421875" style="0" customWidth="1"/>
    <col min="5" max="5" width="12.421875" style="0" customWidth="1"/>
    <col min="6" max="6" width="14.7109375" style="0" bestFit="1" customWidth="1"/>
    <col min="7" max="7" width="13.57421875" style="0" customWidth="1"/>
    <col min="8" max="8" width="11.8515625" style="0" customWidth="1"/>
    <col min="9" max="10" width="13.57421875" style="0" customWidth="1"/>
    <col min="11" max="11" width="13.7109375" style="0" customWidth="1"/>
    <col min="12" max="12" width="13.421875" style="0" customWidth="1"/>
    <col min="13" max="13" width="16.421875" style="0" customWidth="1"/>
    <col min="14" max="14" width="12.28125" style="0" customWidth="1"/>
    <col min="15" max="15" width="13.421875" style="0" customWidth="1"/>
    <col min="16" max="17" width="12.28125" style="0" customWidth="1"/>
    <col min="18" max="18" width="12.7109375" style="0" customWidth="1"/>
    <col min="19" max="19" width="11.00390625" style="0" customWidth="1"/>
    <col min="20" max="24" width="12.421875" style="0" customWidth="1"/>
  </cols>
  <sheetData>
    <row r="1" spans="3:5" ht="22.5">
      <c r="C1" s="2" t="s">
        <v>0</v>
      </c>
      <c r="D1" s="2"/>
      <c r="E1" s="2"/>
    </row>
    <row r="2" spans="3:13" ht="12.75" customHeight="1" thickBot="1">
      <c r="C2" s="1" t="s">
        <v>82</v>
      </c>
      <c r="D2" s="3"/>
      <c r="E2" s="3"/>
      <c r="F2" s="4"/>
      <c r="G2" s="4"/>
      <c r="H2" s="5"/>
      <c r="I2" s="4"/>
      <c r="J2" s="6"/>
      <c r="M2" s="1"/>
    </row>
    <row r="3" spans="1:15" ht="18" customHeight="1" thickBot="1">
      <c r="A3" s="48">
        <f>ROW()</f>
        <v>3</v>
      </c>
      <c r="B3" s="7"/>
      <c r="C3" s="99" t="s">
        <v>35</v>
      </c>
      <c r="D3" s="99"/>
      <c r="E3" s="99"/>
      <c r="F3" s="100"/>
      <c r="G3" s="100"/>
      <c r="H3" s="100"/>
      <c r="I3" s="100"/>
      <c r="J3" s="100"/>
      <c r="K3" s="100"/>
      <c r="M3" s="216" t="s">
        <v>77</v>
      </c>
      <c r="N3" s="217" t="s">
        <v>77</v>
      </c>
      <c r="O3" s="218" t="s">
        <v>77</v>
      </c>
    </row>
    <row r="4" spans="1:15" ht="43.5" customHeight="1" thickBot="1">
      <c r="A4" s="48">
        <f>ROW()</f>
        <v>4</v>
      </c>
      <c r="B4" s="7"/>
      <c r="C4" s="8" t="s">
        <v>1</v>
      </c>
      <c r="D4" s="128" t="s">
        <v>88</v>
      </c>
      <c r="E4" s="96" t="s">
        <v>31</v>
      </c>
      <c r="F4" s="97" t="s">
        <v>76</v>
      </c>
      <c r="G4" s="98" t="s">
        <v>2</v>
      </c>
      <c r="H4" s="97" t="s">
        <v>89</v>
      </c>
      <c r="I4" s="97" t="s">
        <v>90</v>
      </c>
      <c r="J4" s="97" t="s">
        <v>63</v>
      </c>
      <c r="K4" s="97" t="s">
        <v>91</v>
      </c>
      <c r="M4" s="213" t="s">
        <v>92</v>
      </c>
      <c r="N4" s="214"/>
      <c r="O4" s="215"/>
    </row>
    <row r="5" spans="1:15" ht="32.25" customHeight="1" thickBot="1">
      <c r="A5" s="48">
        <f>ROW()</f>
        <v>5</v>
      </c>
      <c r="B5" s="7"/>
      <c r="C5" s="7" t="s">
        <v>3</v>
      </c>
      <c r="D5" s="127"/>
      <c r="E5" s="140">
        <v>3</v>
      </c>
      <c r="F5" s="60"/>
      <c r="G5" s="85"/>
      <c r="H5" s="89"/>
      <c r="I5" s="89"/>
      <c r="J5" s="94"/>
      <c r="K5" s="62"/>
      <c r="M5" s="108" t="s">
        <v>40</v>
      </c>
      <c r="N5" s="108" t="s">
        <v>42</v>
      </c>
      <c r="O5" s="108" t="s">
        <v>70</v>
      </c>
    </row>
    <row r="6" spans="1:15" ht="13.5" thickBot="1">
      <c r="A6" s="48">
        <f>ROW()</f>
        <v>6</v>
      </c>
      <c r="B6" s="7"/>
      <c r="C6" s="7" t="s">
        <v>54</v>
      </c>
      <c r="D6" s="127"/>
      <c r="E6" s="141"/>
      <c r="F6" s="183"/>
      <c r="G6" s="86"/>
      <c r="H6" s="90"/>
      <c r="I6" s="90"/>
      <c r="J6" s="95"/>
      <c r="K6" s="63"/>
      <c r="M6" s="143">
        <v>0.01</v>
      </c>
      <c r="N6" s="144">
        <v>0.04</v>
      </c>
      <c r="O6" s="70"/>
    </row>
    <row r="7" spans="1:11" ht="13.5" thickBot="1">
      <c r="A7" s="48">
        <f>ROW()</f>
        <v>7</v>
      </c>
      <c r="B7" s="7"/>
      <c r="C7" s="7" t="s">
        <v>32</v>
      </c>
      <c r="D7" s="4"/>
      <c r="E7" s="141">
        <v>5</v>
      </c>
      <c r="F7" s="60"/>
      <c r="G7" s="85"/>
      <c r="H7" s="91"/>
      <c r="I7" s="91"/>
      <c r="J7" s="94"/>
      <c r="K7" s="64"/>
    </row>
    <row r="8" spans="1:15" ht="15" customHeight="1" thickBot="1">
      <c r="A8" s="48">
        <f>ROW()</f>
        <v>8</v>
      </c>
      <c r="B8" s="7"/>
      <c r="C8" s="7" t="s">
        <v>4</v>
      </c>
      <c r="D8" s="4"/>
      <c r="E8" s="43"/>
      <c r="F8" s="183"/>
      <c r="G8" s="86"/>
      <c r="H8" s="92"/>
      <c r="I8" s="93"/>
      <c r="J8" s="94"/>
      <c r="K8" s="63"/>
      <c r="M8" s="213" t="s">
        <v>93</v>
      </c>
      <c r="N8" s="214"/>
      <c r="O8" s="215"/>
    </row>
    <row r="9" spans="1:15" ht="13.5" thickBot="1">
      <c r="A9" s="48">
        <f>ROW()</f>
        <v>9</v>
      </c>
      <c r="B9" s="7"/>
      <c r="C9" s="7" t="s">
        <v>5</v>
      </c>
      <c r="D9" s="4"/>
      <c r="E9" s="61"/>
      <c r="F9" s="184"/>
      <c r="G9" s="87"/>
      <c r="H9" s="7"/>
      <c r="J9" s="92"/>
      <c r="K9" s="65"/>
      <c r="M9" s="41"/>
      <c r="N9" s="145">
        <v>0.08</v>
      </c>
      <c r="O9" s="42"/>
    </row>
    <row r="10" spans="1:11" ht="14.25" customHeight="1" thickBot="1" thickTop="1">
      <c r="A10" s="48">
        <f>ROW()</f>
        <v>10</v>
      </c>
      <c r="B10" s="7"/>
      <c r="C10" s="7"/>
      <c r="D10" s="4"/>
      <c r="E10" s="7"/>
      <c r="F10" s="40"/>
      <c r="G10" s="192"/>
      <c r="H10" s="9"/>
      <c r="J10" s="9"/>
      <c r="K10" s="9"/>
    </row>
    <row r="11" spans="1:15" ht="51.75" customHeight="1" thickBot="1">
      <c r="A11" s="48">
        <f>ROW()</f>
        <v>11</v>
      </c>
      <c r="B11" s="7"/>
      <c r="C11" s="39" t="s">
        <v>6</v>
      </c>
      <c r="D11" s="4"/>
      <c r="E11" s="96" t="s">
        <v>111</v>
      </c>
      <c r="F11" s="97" t="s">
        <v>109</v>
      </c>
      <c r="G11" s="192"/>
      <c r="M11" s="213" t="s">
        <v>68</v>
      </c>
      <c r="N11" s="214"/>
      <c r="O11" s="215"/>
    </row>
    <row r="12" spans="1:15" ht="12.75">
      <c r="A12" s="48">
        <f>ROW()</f>
        <v>12</v>
      </c>
      <c r="B12" s="7"/>
      <c r="C12" s="9" t="s">
        <v>51</v>
      </c>
      <c r="D12" s="4"/>
      <c r="E12" s="84"/>
      <c r="F12" s="137">
        <v>120000000</v>
      </c>
      <c r="G12" s="192"/>
      <c r="M12" s="11" t="s">
        <v>55</v>
      </c>
      <c r="N12" s="7"/>
      <c r="O12" s="133">
        <v>0.01</v>
      </c>
    </row>
    <row r="13" spans="1:15" ht="12.75">
      <c r="A13" s="48">
        <f>ROW()</f>
        <v>13</v>
      </c>
      <c r="B13" s="7"/>
      <c r="C13" s="60" t="s">
        <v>65</v>
      </c>
      <c r="D13" s="4"/>
      <c r="E13" s="16"/>
      <c r="F13" s="137">
        <v>15000000</v>
      </c>
      <c r="G13" s="192"/>
      <c r="M13" s="11" t="s">
        <v>56</v>
      </c>
      <c r="N13" s="7"/>
      <c r="O13" s="134">
        <v>1.727</v>
      </c>
    </row>
    <row r="14" spans="1:15" ht="12.75">
      <c r="A14" s="48">
        <f>ROW()</f>
        <v>14</v>
      </c>
      <c r="B14" s="7"/>
      <c r="C14" s="60" t="s">
        <v>112</v>
      </c>
      <c r="D14" s="4"/>
      <c r="E14" s="142">
        <v>0.03</v>
      </c>
      <c r="F14" s="9">
        <f>E14*F7</f>
        <v>0</v>
      </c>
      <c r="G14" s="192"/>
      <c r="M14" s="11" t="s">
        <v>52</v>
      </c>
      <c r="N14" s="7"/>
      <c r="O14" s="135">
        <v>0.11</v>
      </c>
    </row>
    <row r="15" spans="1:15" ht="12.75" customHeight="1" thickBot="1">
      <c r="A15" s="48">
        <f>ROW()</f>
        <v>15</v>
      </c>
      <c r="B15" s="7"/>
      <c r="C15" s="9" t="s">
        <v>7</v>
      </c>
      <c r="D15" s="4"/>
      <c r="E15" s="61"/>
      <c r="F15" s="10">
        <f>SUM(F12:F14)</f>
        <v>135000000</v>
      </c>
      <c r="G15" s="192"/>
      <c r="M15" s="11" t="s">
        <v>53</v>
      </c>
      <c r="N15" s="7"/>
      <c r="O15" s="136">
        <v>0</v>
      </c>
    </row>
    <row r="16" spans="1:15" ht="12.75" customHeight="1" thickBot="1" thickTop="1">
      <c r="A16" s="48">
        <f>ROW()</f>
        <v>16</v>
      </c>
      <c r="B16" s="7"/>
      <c r="C16" s="9"/>
      <c r="D16" s="9"/>
      <c r="E16" s="9"/>
      <c r="F16" s="9"/>
      <c r="G16" s="192"/>
      <c r="M16" s="130" t="s">
        <v>8</v>
      </c>
      <c r="N16" s="131"/>
      <c r="O16" s="132">
        <f>O12+(O13*O14)</f>
        <v>0.19997</v>
      </c>
    </row>
    <row r="17" spans="1:16" ht="12" customHeight="1">
      <c r="A17" s="48">
        <f>ROW()</f>
        <v>17</v>
      </c>
      <c r="B17" s="7"/>
      <c r="C17" s="162" t="s">
        <v>83</v>
      </c>
      <c r="D17" s="9"/>
      <c r="E17" s="9"/>
      <c r="F17" s="9"/>
      <c r="G17" s="7"/>
      <c r="H17" s="9"/>
      <c r="I17" s="9"/>
      <c r="J17" s="9"/>
      <c r="K17" s="7"/>
      <c r="L17" s="7"/>
      <c r="M17" s="7"/>
      <c r="N17" s="7"/>
      <c r="P17" s="9"/>
    </row>
    <row r="18" spans="1:16" ht="7.5" customHeight="1" thickBot="1">
      <c r="A18" s="48">
        <f>ROW()</f>
        <v>18</v>
      </c>
      <c r="B18" s="7"/>
      <c r="C18" s="83"/>
      <c r="D18" s="27"/>
      <c r="E18" s="27"/>
      <c r="F18" s="27"/>
      <c r="G18" s="12"/>
      <c r="H18" s="27"/>
      <c r="I18" s="27"/>
      <c r="J18" s="27"/>
      <c r="K18" s="12"/>
      <c r="L18" s="12"/>
      <c r="M18" s="12"/>
      <c r="N18" s="12"/>
      <c r="P18" s="9"/>
    </row>
    <row r="19" spans="1:16" ht="17.25" customHeight="1" thickBot="1">
      <c r="A19" s="48">
        <f>ROW()</f>
        <v>19</v>
      </c>
      <c r="C19" s="146" t="s">
        <v>45</v>
      </c>
      <c r="D19" s="101"/>
      <c r="E19" s="101"/>
      <c r="F19" s="102"/>
      <c r="G19" s="102"/>
      <c r="H19" s="102"/>
      <c r="I19" s="102"/>
      <c r="J19" s="102"/>
      <c r="K19" s="102"/>
      <c r="L19" s="103"/>
      <c r="M19" s="104"/>
      <c r="N19" s="102"/>
      <c r="O19" s="102"/>
      <c r="P19" s="102"/>
    </row>
    <row r="20" spans="1:16" ht="15.75" customHeight="1" thickBot="1">
      <c r="A20" s="48">
        <f>ROW()</f>
        <v>20</v>
      </c>
      <c r="C20" s="13" t="str">
        <f>+C5</f>
        <v>Bank Loan</v>
      </c>
      <c r="E20" s="105" t="s">
        <v>41</v>
      </c>
      <c r="F20" s="106" t="s">
        <v>34</v>
      </c>
      <c r="G20" s="107">
        <f aca="true" t="shared" si="0" ref="G20:P20">+G41</f>
        <v>1</v>
      </c>
      <c r="H20" s="107">
        <f t="shared" si="0"/>
        <v>2</v>
      </c>
      <c r="I20" s="107">
        <f t="shared" si="0"/>
        <v>3</v>
      </c>
      <c r="J20" s="107">
        <f t="shared" si="0"/>
        <v>4</v>
      </c>
      <c r="K20" s="107">
        <f t="shared" si="0"/>
        <v>5</v>
      </c>
      <c r="L20" s="106">
        <f t="shared" si="0"/>
        <v>6</v>
      </c>
      <c r="M20" s="107">
        <f t="shared" si="0"/>
        <v>7</v>
      </c>
      <c r="N20" s="107">
        <f t="shared" si="0"/>
        <v>8</v>
      </c>
      <c r="O20" s="107">
        <f t="shared" si="0"/>
        <v>9</v>
      </c>
      <c r="P20" s="107">
        <f t="shared" si="0"/>
        <v>10</v>
      </c>
    </row>
    <row r="21" spans="1:16" ht="12.75" customHeight="1">
      <c r="A21" s="48">
        <f>ROW()</f>
        <v>21</v>
      </c>
      <c r="C21" t="s">
        <v>47</v>
      </c>
      <c r="E21" s="4"/>
      <c r="F21" s="34"/>
      <c r="G21" s="15"/>
      <c r="H21" s="15"/>
      <c r="I21" s="15"/>
      <c r="J21" s="15"/>
      <c r="K21" s="15"/>
      <c r="L21" s="16"/>
      <c r="M21" s="15"/>
      <c r="N21" s="15"/>
      <c r="O21" s="15"/>
      <c r="P21" s="15"/>
    </row>
    <row r="22" spans="1:16" ht="12.75">
      <c r="A22" s="48">
        <f>ROW()</f>
        <v>22</v>
      </c>
      <c r="C22" t="s">
        <v>48</v>
      </c>
      <c r="E22" s="4"/>
      <c r="F22" s="36" t="s">
        <v>27</v>
      </c>
      <c r="G22" s="138">
        <v>3000000</v>
      </c>
      <c r="H22" s="138">
        <v>4000000</v>
      </c>
      <c r="I22" s="138">
        <v>5000000</v>
      </c>
      <c r="J22" s="138">
        <v>5000000</v>
      </c>
      <c r="K22" s="138">
        <f>+J22+1000000</f>
        <v>6000000</v>
      </c>
      <c r="L22" s="139">
        <v>7000000</v>
      </c>
      <c r="M22" s="138">
        <v>30000000</v>
      </c>
      <c r="N22" s="138"/>
      <c r="O22" s="138"/>
      <c r="P22" s="138"/>
    </row>
    <row r="23" spans="1:16" ht="12.75">
      <c r="A23" s="48">
        <f>ROW()</f>
        <v>23</v>
      </c>
      <c r="C23" s="76" t="s">
        <v>85</v>
      </c>
      <c r="E23" s="4"/>
      <c r="F23" s="35">
        <f>+H5</f>
        <v>0</v>
      </c>
      <c r="G23" s="15"/>
      <c r="H23" s="15"/>
      <c r="I23" s="15"/>
      <c r="J23" s="15"/>
      <c r="K23" s="15"/>
      <c r="L23" s="16"/>
      <c r="M23" s="15"/>
      <c r="N23" s="15"/>
      <c r="O23" s="15"/>
      <c r="P23" s="15"/>
    </row>
    <row r="24" spans="1:16" ht="13.5" thickBot="1">
      <c r="A24" s="48">
        <f>ROW()</f>
        <v>24</v>
      </c>
      <c r="C24" s="114" t="s">
        <v>74</v>
      </c>
      <c r="E24" s="186"/>
      <c r="F24" s="185"/>
      <c r="G24" s="116"/>
      <c r="H24" s="116"/>
      <c r="I24" s="116"/>
      <c r="J24" s="116"/>
      <c r="K24" s="116"/>
      <c r="L24" s="117"/>
      <c r="M24" s="116"/>
      <c r="N24" s="116"/>
      <c r="O24" s="116"/>
      <c r="P24" s="116"/>
    </row>
    <row r="25" spans="1:16" ht="13.5" thickTop="1">
      <c r="A25" s="48">
        <f>ROW()</f>
        <v>25</v>
      </c>
      <c r="C25" s="44" t="s">
        <v>57</v>
      </c>
      <c r="E25" s="124"/>
      <c r="F25" s="45"/>
      <c r="G25" s="47">
        <v>0</v>
      </c>
      <c r="H25" s="47">
        <v>0.005</v>
      </c>
      <c r="I25" s="47">
        <v>0.005</v>
      </c>
      <c r="J25" s="47">
        <v>0.01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8">
        <f>ROW()</f>
        <v>26</v>
      </c>
      <c r="C26" s="13" t="s">
        <v>46</v>
      </c>
      <c r="E26" s="124"/>
      <c r="F26" s="45">
        <f>+M6</f>
        <v>0.01</v>
      </c>
      <c r="G26" s="46"/>
      <c r="H26" s="46"/>
      <c r="I26" s="46"/>
      <c r="J26" s="46"/>
      <c r="K26" s="46"/>
      <c r="L26" s="45"/>
      <c r="M26" s="46"/>
      <c r="N26" s="46"/>
      <c r="O26" s="46"/>
      <c r="P26" s="46"/>
    </row>
    <row r="27" spans="1:16" ht="12.75">
      <c r="A27" s="48">
        <f>ROW()</f>
        <v>27</v>
      </c>
      <c r="C27" s="44" t="s">
        <v>66</v>
      </c>
      <c r="E27" s="124"/>
      <c r="F27" s="45"/>
      <c r="G27" s="47">
        <f>+$N$6</f>
        <v>0.04</v>
      </c>
      <c r="H27" s="74">
        <f>+G27</f>
        <v>0.04</v>
      </c>
      <c r="I27" s="74">
        <f aca="true" t="shared" si="1" ref="I27:P27">+H27</f>
        <v>0.04</v>
      </c>
      <c r="J27" s="74">
        <f t="shared" si="1"/>
        <v>0.04</v>
      </c>
      <c r="K27" s="74">
        <f t="shared" si="1"/>
        <v>0.04</v>
      </c>
      <c r="L27" s="75">
        <f t="shared" si="1"/>
        <v>0.04</v>
      </c>
      <c r="M27" s="74">
        <f t="shared" si="1"/>
        <v>0.04</v>
      </c>
      <c r="N27" s="74">
        <f t="shared" si="1"/>
        <v>0.04</v>
      </c>
      <c r="O27" s="74">
        <f t="shared" si="1"/>
        <v>0.04</v>
      </c>
      <c r="P27" s="74">
        <f t="shared" si="1"/>
        <v>0.04</v>
      </c>
    </row>
    <row r="28" spans="1:16" ht="12.75">
      <c r="A28" s="48">
        <f>ROW()</f>
        <v>28</v>
      </c>
      <c r="C28" s="13" t="s">
        <v>67</v>
      </c>
      <c r="E28" s="125"/>
      <c r="F28" s="71"/>
      <c r="G28" s="72">
        <f>+G27+G26</f>
        <v>0.04</v>
      </c>
      <c r="H28" s="72">
        <f>+H27+H26</f>
        <v>0.04</v>
      </c>
      <c r="I28" s="72">
        <f>+I27+I26</f>
        <v>0.04</v>
      </c>
      <c r="J28" s="72">
        <f>+J27+J26</f>
        <v>0.04</v>
      </c>
      <c r="K28" s="72">
        <f aca="true" t="shared" si="2" ref="K28:P28">+K27+K26</f>
        <v>0.04</v>
      </c>
      <c r="L28" s="73">
        <f t="shared" si="2"/>
        <v>0.04</v>
      </c>
      <c r="M28" s="72">
        <f t="shared" si="2"/>
        <v>0.04</v>
      </c>
      <c r="N28" s="72">
        <f t="shared" si="2"/>
        <v>0.04</v>
      </c>
      <c r="O28" s="72">
        <f t="shared" si="2"/>
        <v>0.04</v>
      </c>
      <c r="P28" s="72">
        <f t="shared" si="2"/>
        <v>0.04</v>
      </c>
    </row>
    <row r="29" spans="1:12" ht="8.25" customHeight="1">
      <c r="A29" s="48">
        <f>ROW()</f>
        <v>29</v>
      </c>
      <c r="E29" s="126"/>
      <c r="F29" s="17"/>
      <c r="L29" s="17"/>
    </row>
    <row r="30" spans="1:12" ht="12.75">
      <c r="A30" s="48">
        <f>ROW()</f>
        <v>30</v>
      </c>
      <c r="C30" s="13" t="str">
        <f>+C6</f>
        <v>Mezzanine Note</v>
      </c>
      <c r="E30" s="125"/>
      <c r="F30" s="17"/>
      <c r="L30" s="17"/>
    </row>
    <row r="31" spans="1:16" ht="12.75">
      <c r="A31" s="48">
        <f>ROW()</f>
        <v>31</v>
      </c>
      <c r="C31" t="s">
        <v>10</v>
      </c>
      <c r="E31" s="126"/>
      <c r="F31" s="34"/>
      <c r="G31" s="15"/>
      <c r="H31" s="15"/>
      <c r="I31" s="15"/>
      <c r="J31" s="15"/>
      <c r="K31" s="15"/>
      <c r="L31" s="16"/>
      <c r="M31" s="15"/>
      <c r="N31" s="15"/>
      <c r="O31" s="15"/>
      <c r="P31" s="15"/>
    </row>
    <row r="32" spans="1:16" ht="12.75">
      <c r="A32" s="48">
        <f>ROW()</f>
        <v>32</v>
      </c>
      <c r="C32" t="s">
        <v>48</v>
      </c>
      <c r="E32" s="126"/>
      <c r="F32" s="36" t="s">
        <v>28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v>0</v>
      </c>
      <c r="M32" s="32">
        <v>0</v>
      </c>
      <c r="N32" s="32">
        <v>0</v>
      </c>
      <c r="O32" s="32">
        <v>0</v>
      </c>
      <c r="P32" s="32">
        <v>40000000</v>
      </c>
    </row>
    <row r="33" spans="1:16" ht="12.75">
      <c r="A33" s="48">
        <f>ROW()</f>
        <v>33</v>
      </c>
      <c r="C33" s="76" t="s">
        <v>85</v>
      </c>
      <c r="E33" s="126"/>
      <c r="F33" s="37">
        <f>+N9</f>
        <v>0.08</v>
      </c>
      <c r="G33" s="15"/>
      <c r="H33" s="15"/>
      <c r="I33" s="15"/>
      <c r="J33" s="15"/>
      <c r="K33" s="15"/>
      <c r="L33" s="16"/>
      <c r="M33" s="15"/>
      <c r="N33" s="15"/>
      <c r="O33" s="15"/>
      <c r="P33" s="15"/>
    </row>
    <row r="34" spans="1:16" ht="13.5" thickBot="1">
      <c r="A34" s="48">
        <f>ROW()</f>
        <v>34</v>
      </c>
      <c r="C34" s="114" t="s">
        <v>75</v>
      </c>
      <c r="E34" s="186"/>
      <c r="F34" s="185"/>
      <c r="G34" s="116"/>
      <c r="H34" s="116"/>
      <c r="I34" s="116"/>
      <c r="J34" s="116"/>
      <c r="K34" s="116"/>
      <c r="L34" s="117"/>
      <c r="M34" s="116"/>
      <c r="N34" s="116"/>
      <c r="O34" s="116"/>
      <c r="P34" s="116"/>
    </row>
    <row r="35" spans="1:15" ht="9.75" customHeight="1" thickTop="1">
      <c r="A35" s="48">
        <f>ROW()</f>
        <v>35</v>
      </c>
      <c r="E35" s="4"/>
      <c r="F35" s="17"/>
      <c r="G35" s="9"/>
      <c r="H35" s="9"/>
      <c r="I35" s="9"/>
      <c r="J35" s="9"/>
      <c r="K35" s="9"/>
      <c r="L35" s="16"/>
      <c r="M35" s="9"/>
      <c r="N35" s="9"/>
      <c r="O35" s="9"/>
    </row>
    <row r="36" spans="1:16" ht="12">
      <c r="A36" s="48">
        <f>ROW()</f>
        <v>36</v>
      </c>
      <c r="C36" s="76" t="s">
        <v>84</v>
      </c>
      <c r="E36" s="4"/>
      <c r="F36" s="17"/>
      <c r="G36" s="9"/>
      <c r="H36" s="9"/>
      <c r="I36" s="9"/>
      <c r="J36" s="9"/>
      <c r="K36" s="9"/>
      <c r="L36" s="16"/>
      <c r="M36" s="9"/>
      <c r="N36" s="9"/>
      <c r="O36" s="9"/>
      <c r="P36" s="9"/>
    </row>
    <row r="37" spans="1:16" ht="13.5" thickBot="1">
      <c r="A37" s="48">
        <f>ROW()</f>
        <v>37</v>
      </c>
      <c r="C37" t="s">
        <v>11</v>
      </c>
      <c r="F37" s="81"/>
      <c r="G37" s="9"/>
      <c r="H37" s="9"/>
      <c r="I37" s="9"/>
      <c r="J37" s="9"/>
      <c r="K37" s="9"/>
      <c r="L37" s="55"/>
      <c r="M37" s="9"/>
      <c r="N37" s="9"/>
      <c r="O37" s="9"/>
      <c r="P37" s="9"/>
    </row>
    <row r="38" spans="1:15" ht="12" customHeight="1" thickBot="1">
      <c r="A38" s="48">
        <f>ROW()</f>
        <v>38</v>
      </c>
      <c r="C38" s="12"/>
      <c r="D38" s="12"/>
      <c r="E38" s="12"/>
      <c r="F38" s="12"/>
      <c r="G38" s="27"/>
      <c r="H38" s="27"/>
      <c r="I38" s="27"/>
      <c r="J38" s="27"/>
      <c r="K38" s="27"/>
      <c r="L38" s="28"/>
      <c r="M38" s="27"/>
      <c r="N38" s="12"/>
      <c r="O38" s="12"/>
    </row>
    <row r="39" spans="1:16" ht="15" customHeight="1" thickBot="1">
      <c r="A39" s="48">
        <f>ROW()</f>
        <v>39</v>
      </c>
      <c r="C39" s="146" t="s">
        <v>49</v>
      </c>
      <c r="D39" s="101"/>
      <c r="E39" s="101"/>
      <c r="F39" s="187"/>
      <c r="G39" s="102"/>
      <c r="H39" s="102"/>
      <c r="I39" s="102"/>
      <c r="J39" s="102"/>
      <c r="K39" s="102"/>
      <c r="L39" s="103"/>
      <c r="M39" s="104"/>
      <c r="N39" s="102"/>
      <c r="O39" s="102"/>
      <c r="P39" s="102"/>
    </row>
    <row r="40" spans="1:16" ht="16.5" customHeight="1">
      <c r="A40" s="48">
        <f>ROW()</f>
        <v>40</v>
      </c>
      <c r="C40" s="1" t="s">
        <v>29</v>
      </c>
      <c r="D40" s="219" t="s">
        <v>33</v>
      </c>
      <c r="E40" s="220"/>
      <c r="F40" s="189" t="s">
        <v>19</v>
      </c>
      <c r="G40" s="110" t="s">
        <v>12</v>
      </c>
      <c r="H40" s="110" t="s">
        <v>13</v>
      </c>
      <c r="I40" s="110" t="s">
        <v>14</v>
      </c>
      <c r="J40" s="110" t="s">
        <v>15</v>
      </c>
      <c r="K40" s="110" t="s">
        <v>16</v>
      </c>
      <c r="L40" s="109" t="s">
        <v>9</v>
      </c>
      <c r="M40" s="161" t="s">
        <v>103</v>
      </c>
      <c r="N40" s="161" t="s">
        <v>104</v>
      </c>
      <c r="O40" s="161" t="s">
        <v>105</v>
      </c>
      <c r="P40" s="161" t="s">
        <v>106</v>
      </c>
    </row>
    <row r="41" spans="1:16" ht="13.5" thickBot="1">
      <c r="A41" s="48">
        <f>ROW()</f>
        <v>41</v>
      </c>
      <c r="D41" s="221" t="s">
        <v>87</v>
      </c>
      <c r="E41" s="222"/>
      <c r="F41" s="111">
        <v>0</v>
      </c>
      <c r="G41" s="111">
        <f>+F41+1</f>
        <v>1</v>
      </c>
      <c r="H41" s="111">
        <f aca="true" t="shared" si="3" ref="H41:N41">+G41+1</f>
        <v>2</v>
      </c>
      <c r="I41" s="111">
        <f t="shared" si="3"/>
        <v>3</v>
      </c>
      <c r="J41" s="111">
        <f t="shared" si="3"/>
        <v>4</v>
      </c>
      <c r="K41" s="111">
        <f>+J41+1</f>
        <v>5</v>
      </c>
      <c r="L41" s="112">
        <f>+K41+1</f>
        <v>6</v>
      </c>
      <c r="M41" s="111">
        <f t="shared" si="3"/>
        <v>7</v>
      </c>
      <c r="N41" s="111">
        <f t="shared" si="3"/>
        <v>8</v>
      </c>
      <c r="O41" s="111">
        <f>+N41+1</f>
        <v>9</v>
      </c>
      <c r="P41" s="111">
        <f>+O41+1</f>
        <v>10</v>
      </c>
    </row>
    <row r="42" spans="1:16" ht="12.75">
      <c r="A42" s="48">
        <f>ROW()</f>
        <v>42</v>
      </c>
      <c r="C42" t="s">
        <v>20</v>
      </c>
      <c r="D42" s="68">
        <v>0.05</v>
      </c>
      <c r="E42" s="119" t="s">
        <v>78</v>
      </c>
      <c r="F42" s="190">
        <v>40000000</v>
      </c>
      <c r="G42" s="163"/>
      <c r="H42" s="14"/>
      <c r="I42" s="14"/>
      <c r="J42" s="14"/>
      <c r="K42" s="14"/>
      <c r="L42" s="18"/>
      <c r="M42" s="14"/>
      <c r="N42" s="14"/>
      <c r="O42" s="14"/>
      <c r="P42" s="14"/>
    </row>
    <row r="43" spans="1:16" ht="12">
      <c r="A43" s="48">
        <f>ROW()</f>
        <v>43</v>
      </c>
      <c r="C43" t="s">
        <v>30</v>
      </c>
      <c r="D43" s="69">
        <v>0.35</v>
      </c>
      <c r="E43" s="120" t="s">
        <v>58</v>
      </c>
      <c r="F43" s="164"/>
      <c r="G43" s="113"/>
      <c r="H43" s="14"/>
      <c r="I43" s="14"/>
      <c r="J43" s="14"/>
      <c r="K43" s="14"/>
      <c r="L43" s="18"/>
      <c r="M43" s="14"/>
      <c r="N43" s="14"/>
      <c r="O43" s="14"/>
      <c r="P43" s="14"/>
    </row>
    <row r="44" spans="1:16" ht="12.75" thickBot="1">
      <c r="A44" s="48">
        <f>ROW()</f>
        <v>44</v>
      </c>
      <c r="C44" t="s">
        <v>21</v>
      </c>
      <c r="D44" s="69">
        <v>0.15</v>
      </c>
      <c r="E44" s="120" t="s">
        <v>58</v>
      </c>
      <c r="F44" s="193"/>
      <c r="G44" s="113"/>
      <c r="H44" s="14"/>
      <c r="I44" s="14"/>
      <c r="J44" s="14"/>
      <c r="K44" s="14"/>
      <c r="L44" s="18"/>
      <c r="M44" s="14"/>
      <c r="N44" s="14"/>
      <c r="O44" s="14"/>
      <c r="P44" s="14"/>
    </row>
    <row r="45" spans="1:16" ht="12.75">
      <c r="A45" s="48">
        <f>ROW()</f>
        <v>45</v>
      </c>
      <c r="C45" t="s">
        <v>22</v>
      </c>
      <c r="D45" s="85"/>
      <c r="E45" s="121"/>
      <c r="F45" s="169">
        <v>20000000</v>
      </c>
      <c r="G45" s="194"/>
      <c r="H45" s="51"/>
      <c r="I45" s="51"/>
      <c r="J45" s="51"/>
      <c r="K45" s="51"/>
      <c r="L45" s="54"/>
      <c r="M45" s="51"/>
      <c r="N45" s="51"/>
      <c r="O45" s="51"/>
      <c r="P45" s="51"/>
    </row>
    <row r="46" spans="1:16" ht="12">
      <c r="A46" s="48">
        <f>ROW()</f>
        <v>46</v>
      </c>
      <c r="C46" t="s">
        <v>17</v>
      </c>
      <c r="D46" s="68">
        <v>0.03</v>
      </c>
      <c r="E46" s="120" t="s">
        <v>58</v>
      </c>
      <c r="F46" s="164"/>
      <c r="G46" s="19"/>
      <c r="H46" s="19"/>
      <c r="I46" s="19"/>
      <c r="J46" s="19"/>
      <c r="K46" s="19"/>
      <c r="L46" s="18"/>
      <c r="M46" s="19"/>
      <c r="N46" s="19"/>
      <c r="O46" s="19"/>
      <c r="P46" s="19"/>
    </row>
    <row r="47" spans="1:16" ht="12">
      <c r="A47" s="48">
        <f>ROW()</f>
        <v>47</v>
      </c>
      <c r="C47" s="76" t="s">
        <v>80</v>
      </c>
      <c r="D47" s="52">
        <v>7</v>
      </c>
      <c r="E47" s="122" t="s">
        <v>50</v>
      </c>
      <c r="F47" s="166"/>
      <c r="G47" s="49"/>
      <c r="H47" s="49"/>
      <c r="I47" s="49"/>
      <c r="J47" s="49"/>
      <c r="K47" s="49"/>
      <c r="L47" s="50"/>
      <c r="M47" s="49"/>
      <c r="N47" s="49"/>
      <c r="O47" s="49"/>
      <c r="P47" s="49"/>
    </row>
    <row r="48" spans="1:16" ht="12">
      <c r="A48" s="48">
        <f>ROW()</f>
        <v>48</v>
      </c>
      <c r="C48" t="s">
        <v>18</v>
      </c>
      <c r="D48" s="4"/>
      <c r="E48" s="121"/>
      <c r="F48" s="165"/>
      <c r="G48" s="19"/>
      <c r="H48" s="19"/>
      <c r="I48" s="19"/>
      <c r="J48" s="19"/>
      <c r="K48" s="19"/>
      <c r="L48" s="18"/>
      <c r="M48" s="19"/>
      <c r="N48" s="19"/>
      <c r="O48" s="19"/>
      <c r="P48" s="19"/>
    </row>
    <row r="49" spans="1:19" ht="12">
      <c r="A49" s="48">
        <f>ROW()</f>
        <v>49</v>
      </c>
      <c r="C49" s="76" t="s">
        <v>60</v>
      </c>
      <c r="D49" s="4"/>
      <c r="E49" s="121"/>
      <c r="F49" s="165"/>
      <c r="G49" s="49"/>
      <c r="H49" s="49"/>
      <c r="I49" s="49"/>
      <c r="J49" s="49"/>
      <c r="K49" s="49"/>
      <c r="L49" s="50"/>
      <c r="M49" s="49"/>
      <c r="N49" s="49"/>
      <c r="O49" s="49"/>
      <c r="P49" s="49"/>
      <c r="S49" s="56"/>
    </row>
    <row r="50" spans="1:19" ht="12">
      <c r="A50" s="48">
        <f>ROW()</f>
        <v>50</v>
      </c>
      <c r="C50" t="s">
        <v>61</v>
      </c>
      <c r="D50" s="4"/>
      <c r="E50" s="121"/>
      <c r="F50" s="165"/>
      <c r="G50" s="19"/>
      <c r="H50" s="19"/>
      <c r="I50" s="19"/>
      <c r="J50" s="19"/>
      <c r="K50" s="19"/>
      <c r="L50" s="18"/>
      <c r="M50" s="19"/>
      <c r="N50" s="19"/>
      <c r="O50" s="19"/>
      <c r="P50" s="19"/>
      <c r="S50" s="56"/>
    </row>
    <row r="51" spans="1:16" ht="12">
      <c r="A51" s="48">
        <f>ROW()</f>
        <v>51</v>
      </c>
      <c r="C51" t="s">
        <v>36</v>
      </c>
      <c r="D51" s="69">
        <v>0.22</v>
      </c>
      <c r="E51" s="120" t="s">
        <v>59</v>
      </c>
      <c r="F51" s="164"/>
      <c r="G51" s="14"/>
      <c r="H51" s="14"/>
      <c r="I51" s="14"/>
      <c r="J51" s="14"/>
      <c r="K51" s="14"/>
      <c r="L51" s="18"/>
      <c r="M51" s="14"/>
      <c r="N51" s="14"/>
      <c r="O51" s="14"/>
      <c r="P51" s="14"/>
    </row>
    <row r="52" spans="1:16" ht="12">
      <c r="A52" s="48">
        <f>ROW()</f>
        <v>52</v>
      </c>
      <c r="C52" s="76" t="s">
        <v>81</v>
      </c>
      <c r="D52" s="69"/>
      <c r="E52" s="121"/>
      <c r="F52" s="165"/>
      <c r="G52" s="14"/>
      <c r="H52" s="14"/>
      <c r="I52" s="14"/>
      <c r="J52" s="14"/>
      <c r="K52" s="14"/>
      <c r="L52" s="18"/>
      <c r="M52" s="14"/>
      <c r="N52" s="14"/>
      <c r="O52" s="14"/>
      <c r="P52" s="14"/>
    </row>
    <row r="53" spans="1:16" ht="12">
      <c r="A53" s="48">
        <f>ROW()</f>
        <v>53</v>
      </c>
      <c r="C53" s="76" t="s">
        <v>79</v>
      </c>
      <c r="D53" s="68">
        <v>0.01</v>
      </c>
      <c r="E53" s="120" t="s">
        <v>58</v>
      </c>
      <c r="F53" s="164"/>
      <c r="G53" s="14"/>
      <c r="H53" s="14"/>
      <c r="I53" s="14"/>
      <c r="J53" s="14"/>
      <c r="K53" s="14"/>
      <c r="L53" s="18"/>
      <c r="M53" s="14"/>
      <c r="N53" s="14"/>
      <c r="O53" s="14"/>
      <c r="P53" s="14"/>
    </row>
    <row r="54" spans="1:16" ht="12">
      <c r="A54" s="48">
        <f>ROW()</f>
        <v>54</v>
      </c>
      <c r="C54" t="s">
        <v>37</v>
      </c>
      <c r="D54" s="68">
        <v>0.03</v>
      </c>
      <c r="E54" s="120" t="s">
        <v>58</v>
      </c>
      <c r="F54" s="164"/>
      <c r="G54" s="14"/>
      <c r="H54" s="14"/>
      <c r="I54" s="14"/>
      <c r="J54" s="14"/>
      <c r="K54" s="14"/>
      <c r="L54" s="18"/>
      <c r="M54" s="14"/>
      <c r="N54" s="14"/>
      <c r="O54" s="14"/>
      <c r="P54" s="14"/>
    </row>
    <row r="55" spans="1:16" ht="13.5" thickBot="1">
      <c r="A55" s="48">
        <f>ROW()</f>
        <v>55</v>
      </c>
      <c r="C55" s="76" t="s">
        <v>72</v>
      </c>
      <c r="E55" s="7"/>
      <c r="F55" s="158"/>
      <c r="G55" s="22"/>
      <c r="H55" s="22"/>
      <c r="I55" s="22"/>
      <c r="J55" s="22"/>
      <c r="K55" s="22"/>
      <c r="L55" s="21"/>
      <c r="M55" s="22"/>
      <c r="N55" s="22"/>
      <c r="O55" s="22"/>
      <c r="P55" s="22"/>
    </row>
    <row r="56" spans="1:16" ht="7.5" customHeight="1" thickTop="1">
      <c r="A56" s="48">
        <f>ROW()</f>
        <v>56</v>
      </c>
      <c r="E56" s="7"/>
      <c r="F56" s="158"/>
      <c r="G56" s="19"/>
      <c r="H56" s="19"/>
      <c r="I56" s="19"/>
      <c r="J56" s="19"/>
      <c r="K56" s="19"/>
      <c r="L56" s="18"/>
      <c r="M56" s="19"/>
      <c r="N56" s="19"/>
      <c r="O56" s="19"/>
      <c r="P56" s="19"/>
    </row>
    <row r="57" spans="1:16" ht="12">
      <c r="A57" s="48">
        <f>ROW()</f>
        <v>57</v>
      </c>
      <c r="C57" t="s">
        <v>62</v>
      </c>
      <c r="E57" s="7"/>
      <c r="F57" s="158"/>
      <c r="G57" s="19"/>
      <c r="H57" s="19"/>
      <c r="I57" s="19"/>
      <c r="J57" s="19"/>
      <c r="K57" s="19"/>
      <c r="L57" s="18"/>
      <c r="M57" s="19"/>
      <c r="N57" s="19"/>
      <c r="O57" s="19"/>
      <c r="P57" s="19"/>
    </row>
    <row r="58" spans="1:16" ht="12.75" thickBot="1">
      <c r="A58" s="48">
        <f>ROW()</f>
        <v>58</v>
      </c>
      <c r="C58" s="76" t="s">
        <v>73</v>
      </c>
      <c r="D58" s="76"/>
      <c r="E58" s="147"/>
      <c r="F58" s="191"/>
      <c r="G58" s="118"/>
      <c r="H58" s="118"/>
      <c r="I58" s="118"/>
      <c r="J58" s="118"/>
      <c r="K58" s="118"/>
      <c r="L58" s="148"/>
      <c r="M58" s="118"/>
      <c r="N58" s="118"/>
      <c r="O58" s="118"/>
      <c r="P58" s="118"/>
    </row>
    <row r="59" spans="1:12" ht="9" customHeight="1" thickTop="1">
      <c r="A59" s="48">
        <f>ROW()</f>
        <v>59</v>
      </c>
      <c r="E59" s="7"/>
      <c r="F59" s="158"/>
      <c r="L59" s="17"/>
    </row>
    <row r="60" spans="1:12" ht="9" customHeight="1" thickBot="1">
      <c r="A60" s="48">
        <f>ROW()</f>
        <v>60</v>
      </c>
      <c r="E60" s="7"/>
      <c r="F60" s="188"/>
      <c r="L60" s="17"/>
    </row>
    <row r="61" spans="1:16" ht="15" customHeight="1" thickBot="1">
      <c r="A61" s="48">
        <f>ROW()</f>
        <v>61</v>
      </c>
      <c r="C61" s="146" t="s">
        <v>94</v>
      </c>
      <c r="D61" s="101"/>
      <c r="E61" s="101"/>
      <c r="F61" s="100"/>
      <c r="G61" s="102"/>
      <c r="H61" s="102"/>
      <c r="I61" s="102"/>
      <c r="J61" s="102"/>
      <c r="K61" s="102"/>
      <c r="L61" s="103"/>
      <c r="M61" s="104"/>
      <c r="N61" s="102"/>
      <c r="O61" s="102"/>
      <c r="P61" s="102"/>
    </row>
    <row r="62" spans="1:13" ht="16.5" customHeight="1">
      <c r="A62" s="48">
        <f>ROW()</f>
        <v>62</v>
      </c>
      <c r="C62" s="1"/>
      <c r="D62" s="1"/>
      <c r="E62" s="1"/>
      <c r="F62" s="156" t="s">
        <v>19</v>
      </c>
      <c r="G62" s="110" t="s">
        <v>12</v>
      </c>
      <c r="H62" s="110" t="s">
        <v>13</v>
      </c>
      <c r="I62" s="110" t="s">
        <v>14</v>
      </c>
      <c r="J62" s="110" t="s">
        <v>15</v>
      </c>
      <c r="K62" s="110" t="s">
        <v>16</v>
      </c>
      <c r="L62" s="109" t="s">
        <v>9</v>
      </c>
      <c r="M62" s="161" t="s">
        <v>103</v>
      </c>
    </row>
    <row r="63" spans="1:13" ht="13.5" thickBot="1">
      <c r="A63" s="48">
        <f>ROW()</f>
        <v>63</v>
      </c>
      <c r="C63" s="57" t="s">
        <v>100</v>
      </c>
      <c r="F63" s="157">
        <v>0</v>
      </c>
      <c r="G63" s="111">
        <f aca="true" t="shared" si="4" ref="G63:M63">+F63+1</f>
        <v>1</v>
      </c>
      <c r="H63" s="111">
        <f t="shared" si="4"/>
        <v>2</v>
      </c>
      <c r="I63" s="111">
        <f t="shared" si="4"/>
        <v>3</v>
      </c>
      <c r="J63" s="111">
        <f t="shared" si="4"/>
        <v>4</v>
      </c>
      <c r="K63" s="111">
        <f t="shared" si="4"/>
        <v>5</v>
      </c>
      <c r="L63" s="112">
        <f t="shared" si="4"/>
        <v>6</v>
      </c>
      <c r="M63" s="111">
        <f t="shared" si="4"/>
        <v>7</v>
      </c>
    </row>
    <row r="64" spans="1:19" ht="12.75">
      <c r="A64" s="48">
        <f>ROW()</f>
        <v>64</v>
      </c>
      <c r="C64" s="76" t="s">
        <v>102</v>
      </c>
      <c r="D64" s="53" t="s">
        <v>39</v>
      </c>
      <c r="E64" s="153"/>
      <c r="F64" s="158"/>
      <c r="K64" s="77" t="s">
        <v>69</v>
      </c>
      <c r="L64" s="18"/>
      <c r="N64" s="80"/>
      <c r="O64" s="80"/>
      <c r="P64" s="80"/>
      <c r="Q64" s="80"/>
      <c r="R64" s="80"/>
      <c r="S64" s="80"/>
    </row>
    <row r="65" spans="1:19" ht="17.25" customHeight="1" thickBot="1">
      <c r="A65" s="48">
        <f>ROW()</f>
        <v>65</v>
      </c>
      <c r="C65" s="76" t="s">
        <v>99</v>
      </c>
      <c r="D65" s="58">
        <v>0</v>
      </c>
      <c r="E65" s="154"/>
      <c r="F65" s="158"/>
      <c r="K65" s="77" t="s">
        <v>86</v>
      </c>
      <c r="L65" s="16"/>
      <c r="N65" s="80"/>
      <c r="O65" s="80"/>
      <c r="P65" s="80"/>
      <c r="Q65" s="80"/>
      <c r="R65" s="80"/>
      <c r="S65" s="80"/>
    </row>
    <row r="66" spans="1:19" ht="16.5" customHeight="1" thickBot="1">
      <c r="A66" s="48">
        <f>ROW()</f>
        <v>66</v>
      </c>
      <c r="C66" s="13" t="s">
        <v>38</v>
      </c>
      <c r="F66" s="158"/>
      <c r="K66" s="77" t="s">
        <v>107</v>
      </c>
      <c r="L66" s="38"/>
      <c r="N66" s="80"/>
      <c r="O66" s="80"/>
      <c r="P66" s="80"/>
      <c r="Q66" s="80"/>
      <c r="R66" s="80"/>
      <c r="S66" s="80"/>
    </row>
    <row r="67" spans="1:19" ht="13.5" thickBot="1" thickTop="1">
      <c r="A67" s="48">
        <f>ROW()</f>
        <v>67</v>
      </c>
      <c r="C67" t="s">
        <v>24</v>
      </c>
      <c r="F67" s="158"/>
      <c r="K67" s="78"/>
      <c r="L67" s="20"/>
      <c r="N67" s="80"/>
      <c r="O67" s="80"/>
      <c r="P67" s="80"/>
      <c r="Q67" s="80"/>
      <c r="R67" s="80"/>
      <c r="S67" s="80"/>
    </row>
    <row r="68" spans="1:19" ht="12">
      <c r="A68" s="48">
        <f>ROW()</f>
        <v>68</v>
      </c>
      <c r="C68" s="76" t="s">
        <v>108</v>
      </c>
      <c r="F68" s="159"/>
      <c r="L68" s="18"/>
      <c r="N68" s="80"/>
      <c r="O68" s="80"/>
      <c r="P68" s="80"/>
      <c r="Q68" s="80"/>
      <c r="R68" s="80"/>
      <c r="S68" s="80"/>
    </row>
    <row r="69" spans="1:19" ht="13.5" thickBot="1">
      <c r="A69" s="48">
        <f>ROW()</f>
        <v>69</v>
      </c>
      <c r="C69" s="114" t="s">
        <v>23</v>
      </c>
      <c r="D69" s="82"/>
      <c r="E69" s="82"/>
      <c r="F69" s="160"/>
      <c r="G69" s="149"/>
      <c r="H69" s="149"/>
      <c r="I69" s="149"/>
      <c r="J69" s="149"/>
      <c r="K69" s="149"/>
      <c r="L69" s="150"/>
      <c r="N69" s="80"/>
      <c r="O69" s="80"/>
      <c r="P69" s="80"/>
      <c r="Q69" s="80"/>
      <c r="R69" s="80"/>
      <c r="S69" s="80"/>
    </row>
    <row r="70" spans="1:19" ht="13.5" thickBot="1" thickTop="1">
      <c r="A70" s="48">
        <f>ROW()</f>
        <v>70</v>
      </c>
      <c r="C70" s="151" t="s">
        <v>44</v>
      </c>
      <c r="D70" s="23"/>
      <c r="E70" s="23" t="s">
        <v>101</v>
      </c>
      <c r="F70" s="152"/>
      <c r="G70" s="79"/>
      <c r="H70" s="79"/>
      <c r="I70" s="79"/>
      <c r="J70" s="79"/>
      <c r="K70" s="79"/>
      <c r="L70" s="79"/>
      <c r="N70" s="80"/>
      <c r="O70" s="80"/>
      <c r="P70" s="80"/>
      <c r="Q70" s="80"/>
      <c r="R70" s="80"/>
      <c r="S70" s="80"/>
    </row>
    <row r="71" spans="1:19" ht="13.5" thickBot="1">
      <c r="A71" s="48">
        <f>ROW()</f>
        <v>71</v>
      </c>
      <c r="C71" s="151" t="s">
        <v>71</v>
      </c>
      <c r="D71" s="23"/>
      <c r="E71" s="23" t="s">
        <v>98</v>
      </c>
      <c r="F71" s="29"/>
      <c r="G71" s="30"/>
      <c r="H71" s="30"/>
      <c r="I71" s="30"/>
      <c r="J71" s="30"/>
      <c r="K71" s="30"/>
      <c r="L71" s="30"/>
      <c r="N71" s="80"/>
      <c r="O71" s="80"/>
      <c r="P71" s="80"/>
      <c r="Q71" s="80"/>
      <c r="R71" s="80"/>
      <c r="S71" s="80"/>
    </row>
    <row r="72" spans="1:19" ht="12.75">
      <c r="A72" s="48">
        <f>ROW()</f>
        <v>72</v>
      </c>
      <c r="C72" s="151" t="s">
        <v>25</v>
      </c>
      <c r="D72" s="23"/>
      <c r="E72" s="23"/>
      <c r="F72" s="25"/>
      <c r="G72" s="24"/>
      <c r="N72" s="80"/>
      <c r="O72" s="80"/>
      <c r="P72" s="80"/>
      <c r="Q72" s="80"/>
      <c r="R72" s="80"/>
      <c r="S72" s="80"/>
    </row>
    <row r="73" spans="1:19" ht="13.5" thickBot="1">
      <c r="A73" s="48">
        <f>ROW()</f>
        <v>73</v>
      </c>
      <c r="C73" s="151" t="s">
        <v>95</v>
      </c>
      <c r="D73" s="23"/>
      <c r="E73" s="23" t="s">
        <v>26</v>
      </c>
      <c r="F73" s="22"/>
      <c r="N73" s="80"/>
      <c r="O73" s="80"/>
      <c r="P73" s="80"/>
      <c r="Q73" s="80"/>
      <c r="R73" s="80"/>
      <c r="S73" s="80"/>
    </row>
    <row r="74" spans="1:19" ht="14.25" customHeight="1" thickBot="1" thickTop="1">
      <c r="A74" s="48">
        <f>ROW()</f>
        <v>74</v>
      </c>
      <c r="C74" s="23"/>
      <c r="D74" s="23"/>
      <c r="E74" s="23"/>
      <c r="F74" s="26"/>
      <c r="G74" s="24"/>
      <c r="N74" s="80"/>
      <c r="O74" s="80"/>
      <c r="P74" s="80"/>
      <c r="Q74" s="80"/>
      <c r="R74" s="80"/>
      <c r="S74" s="80"/>
    </row>
    <row r="75" spans="1:19" ht="12.75" customHeight="1" thickBot="1">
      <c r="A75" s="48">
        <f>ROW()</f>
        <v>75</v>
      </c>
      <c r="C75" s="151" t="s">
        <v>96</v>
      </c>
      <c r="D75" s="23"/>
      <c r="E75" s="23" t="s">
        <v>97</v>
      </c>
      <c r="F75" s="59"/>
      <c r="N75" s="80"/>
      <c r="O75" s="80"/>
      <c r="P75" s="80"/>
      <c r="Q75" s="80"/>
      <c r="R75" s="80"/>
      <c r="S75" s="80"/>
    </row>
    <row r="76" spans="14:19" ht="12">
      <c r="N76" s="80"/>
      <c r="O76" s="80"/>
      <c r="P76" s="80"/>
      <c r="Q76" s="80"/>
      <c r="R76" s="80"/>
      <c r="S76" s="80"/>
    </row>
    <row r="77" spans="14:19" ht="12">
      <c r="N77" s="80"/>
      <c r="O77" s="80"/>
      <c r="P77" s="80"/>
      <c r="Q77" s="80"/>
      <c r="R77" s="80"/>
      <c r="S77" s="80"/>
    </row>
    <row r="78" spans="14:19" ht="12">
      <c r="N78" s="80"/>
      <c r="O78" s="80"/>
      <c r="P78" s="80"/>
      <c r="Q78" s="80"/>
      <c r="R78" s="80"/>
      <c r="S78" s="80"/>
    </row>
    <row r="88" spans="7:13" ht="12">
      <c r="G88" s="15"/>
      <c r="I88" s="15"/>
      <c r="J88" s="15"/>
      <c r="K88" s="15"/>
      <c r="L88" s="15"/>
      <c r="M88" s="15"/>
    </row>
    <row r="89" spans="7:13" ht="12">
      <c r="G89" s="15"/>
      <c r="I89" s="15"/>
      <c r="J89" s="15"/>
      <c r="K89" s="15"/>
      <c r="L89" s="15"/>
      <c r="M89" s="15"/>
    </row>
    <row r="90" spans="7:13" ht="12">
      <c r="G90" s="15"/>
      <c r="I90" s="15"/>
      <c r="J90" s="15"/>
      <c r="K90" s="15"/>
      <c r="L90" s="15"/>
      <c r="M90" s="15"/>
    </row>
    <row r="91" spans="7:13" ht="12">
      <c r="G91" s="15"/>
      <c r="I91" s="15"/>
      <c r="J91" s="15"/>
      <c r="K91" s="15"/>
      <c r="L91" s="15"/>
      <c r="M91" s="15"/>
    </row>
    <row r="92" spans="7:13" ht="12">
      <c r="G92" s="15"/>
      <c r="I92" s="15"/>
      <c r="J92" s="15"/>
      <c r="K92" s="15"/>
      <c r="L92" s="15"/>
      <c r="M92" s="15"/>
    </row>
    <row r="93" spans="7:9" ht="12">
      <c r="G93" s="15"/>
      <c r="I93" s="15"/>
    </row>
    <row r="94" ht="12">
      <c r="G94" s="15"/>
    </row>
    <row r="95" ht="12">
      <c r="G95" s="15"/>
    </row>
    <row r="96" ht="12">
      <c r="G96" s="15"/>
    </row>
    <row r="97" ht="12">
      <c r="G97" s="15"/>
    </row>
    <row r="98" ht="12">
      <c r="G98" s="15"/>
    </row>
    <row r="99" ht="12">
      <c r="G99" s="15"/>
    </row>
    <row r="100" ht="12">
      <c r="G100" s="15"/>
    </row>
    <row r="101" ht="12">
      <c r="G101" s="15"/>
    </row>
    <row r="102" ht="12">
      <c r="G102" s="15"/>
    </row>
    <row r="103" ht="12">
      <c r="G103" s="15"/>
    </row>
    <row r="104" ht="12">
      <c r="G104" s="15"/>
    </row>
    <row r="105" ht="12">
      <c r="G105" s="15"/>
    </row>
    <row r="106" ht="12">
      <c r="G106" s="15"/>
    </row>
    <row r="107" ht="12">
      <c r="G107" s="15"/>
    </row>
    <row r="108" ht="12">
      <c r="G108" s="15"/>
    </row>
    <row r="109" ht="12">
      <c r="G109" s="15"/>
    </row>
    <row r="110" ht="12">
      <c r="G110" s="15"/>
    </row>
    <row r="111" ht="12">
      <c r="G111" s="15"/>
    </row>
    <row r="112" ht="12">
      <c r="G112" s="15"/>
    </row>
    <row r="113" ht="12">
      <c r="G113" s="15"/>
    </row>
    <row r="114" ht="12">
      <c r="G114" s="15"/>
    </row>
    <row r="115" ht="12">
      <c r="G115" s="15"/>
    </row>
    <row r="116" ht="12">
      <c r="G116" s="15"/>
    </row>
    <row r="117" ht="12">
      <c r="G117" s="15"/>
    </row>
    <row r="118" ht="12">
      <c r="G118" s="15"/>
    </row>
    <row r="119" ht="12">
      <c r="G119" s="15"/>
    </row>
    <row r="120" ht="12">
      <c r="G120" s="15"/>
    </row>
    <row r="121" ht="12">
      <c r="G121" s="15"/>
    </row>
    <row r="122" ht="12">
      <c r="G122" s="15"/>
    </row>
    <row r="123" ht="12">
      <c r="G123" s="15"/>
    </row>
  </sheetData>
  <sheetProtection/>
  <mergeCells count="6">
    <mergeCell ref="M3:O3"/>
    <mergeCell ref="M4:O4"/>
    <mergeCell ref="M8:O8"/>
    <mergeCell ref="M11:O11"/>
    <mergeCell ref="D40:E40"/>
    <mergeCell ref="D41:E4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9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5" max="5" width="13.140625" style="0" customWidth="1"/>
    <col min="6" max="6" width="10.57421875" style="0" customWidth="1"/>
    <col min="7" max="7" width="6.421875" style="0" customWidth="1"/>
    <col min="8" max="8" width="10.57421875" style="0" customWidth="1"/>
    <col min="9" max="9" width="6.421875" style="0" customWidth="1"/>
    <col min="10" max="10" width="10.57421875" style="0" customWidth="1"/>
    <col min="11" max="11" width="10.7109375" style="0" customWidth="1"/>
    <col min="13" max="13" width="2.57421875" style="0" customWidth="1"/>
    <col min="14" max="14" width="16.140625" style="0" customWidth="1"/>
    <col min="15" max="15" width="13.421875" style="0" bestFit="1" customWidth="1"/>
    <col min="16" max="16" width="11.140625" style="0" customWidth="1"/>
    <col min="19" max="19" width="13.421875" style="0" bestFit="1" customWidth="1"/>
    <col min="20" max="20" width="14.421875" style="0" bestFit="1" customWidth="1"/>
    <col min="21" max="21" width="11.8515625" style="0" bestFit="1" customWidth="1"/>
  </cols>
  <sheetData>
    <row r="2" spans="2:6" ht="12.75">
      <c r="B2" s="197" t="s">
        <v>143</v>
      </c>
      <c r="C2" s="197"/>
      <c r="D2" s="197"/>
      <c r="E2" s="197"/>
      <c r="F2" s="197"/>
    </row>
    <row r="4" ht="12">
      <c r="B4" s="76" t="s">
        <v>144</v>
      </c>
    </row>
    <row r="5" ht="12">
      <c r="B5" s="76" t="s">
        <v>169</v>
      </c>
    </row>
    <row r="6" ht="12">
      <c r="B6" s="76" t="s">
        <v>145</v>
      </c>
    </row>
    <row r="7" ht="12">
      <c r="B7" s="76" t="s">
        <v>170</v>
      </c>
    </row>
    <row r="10" spans="2:14" ht="12.75">
      <c r="B10" s="1" t="s">
        <v>154</v>
      </c>
      <c r="N10" s="76"/>
    </row>
    <row r="12" spans="2:19" s="1" customFormat="1" ht="12.75">
      <c r="B12" s="197" t="s">
        <v>113</v>
      </c>
      <c r="C12" s="197"/>
      <c r="D12" s="197"/>
      <c r="E12" s="197"/>
      <c r="F12" s="197"/>
      <c r="H12" s="197" t="s">
        <v>54</v>
      </c>
      <c r="I12" s="197"/>
      <c r="J12" s="197"/>
      <c r="K12" s="197"/>
      <c r="L12" s="197"/>
      <c r="N12" s="197" t="s">
        <v>4</v>
      </c>
      <c r="O12" s="197"/>
      <c r="P12" s="197"/>
      <c r="S12" s="1" t="s">
        <v>146</v>
      </c>
    </row>
    <row r="13" spans="2:15" ht="12.75">
      <c r="B13" t="s">
        <v>114</v>
      </c>
      <c r="E13" s="163">
        <f>+U27</f>
        <v>60000000</v>
      </c>
      <c r="H13" t="s">
        <v>114</v>
      </c>
      <c r="K13" s="14">
        <f>+U43</f>
        <v>40000000</v>
      </c>
      <c r="N13" s="76" t="s">
        <v>114</v>
      </c>
      <c r="O13" s="211">
        <v>0</v>
      </c>
    </row>
    <row r="14" spans="2:19" ht="12.75">
      <c r="B14" t="s">
        <v>115</v>
      </c>
      <c r="E14" t="s">
        <v>118</v>
      </c>
      <c r="H14" t="s">
        <v>115</v>
      </c>
      <c r="K14" s="195" t="s">
        <v>126</v>
      </c>
      <c r="N14" s="76" t="s">
        <v>167</v>
      </c>
      <c r="O14" s="76" t="s">
        <v>131</v>
      </c>
      <c r="S14" s="198" t="s">
        <v>147</v>
      </c>
    </row>
    <row r="15" spans="2:15" ht="12">
      <c r="B15" t="s">
        <v>116</v>
      </c>
      <c r="E15" s="24" t="s">
        <v>27</v>
      </c>
      <c r="H15" t="s">
        <v>116</v>
      </c>
      <c r="K15" s="195" t="s">
        <v>127</v>
      </c>
      <c r="N15" s="76" t="s">
        <v>168</v>
      </c>
      <c r="O15" s="200">
        <v>0.25</v>
      </c>
    </row>
    <row r="16" spans="2:19" ht="12">
      <c r="B16" t="s">
        <v>117</v>
      </c>
      <c r="D16" s="4" t="s">
        <v>119</v>
      </c>
      <c r="E16" s="138">
        <v>3000000</v>
      </c>
      <c r="H16" t="s">
        <v>117</v>
      </c>
      <c r="J16" s="4" t="s">
        <v>119</v>
      </c>
      <c r="K16" s="138">
        <v>0</v>
      </c>
      <c r="N16" s="76" t="s">
        <v>132</v>
      </c>
      <c r="O16" s="77" t="s">
        <v>133</v>
      </c>
      <c r="R16" s="76" t="s">
        <v>171</v>
      </c>
      <c r="S16" s="76" t="s">
        <v>148</v>
      </c>
    </row>
    <row r="17" spans="4:19" ht="12">
      <c r="D17" s="4" t="s">
        <v>120</v>
      </c>
      <c r="E17" s="138">
        <v>4000000</v>
      </c>
      <c r="J17" s="4" t="s">
        <v>120</v>
      </c>
      <c r="K17" s="138">
        <v>0</v>
      </c>
      <c r="R17" s="76" t="s">
        <v>172</v>
      </c>
      <c r="S17" s="76" t="s">
        <v>149</v>
      </c>
    </row>
    <row r="18" spans="4:23" ht="12.75">
      <c r="D18" s="4" t="s">
        <v>121</v>
      </c>
      <c r="E18" s="138">
        <v>5000000</v>
      </c>
      <c r="J18" s="4" t="s">
        <v>121</v>
      </c>
      <c r="K18" s="138">
        <v>0</v>
      </c>
      <c r="S18" s="209" t="s">
        <v>150</v>
      </c>
      <c r="T18" s="209"/>
      <c r="U18" s="209"/>
      <c r="V18" s="209"/>
      <c r="W18" s="209"/>
    </row>
    <row r="19" spans="4:11" ht="12">
      <c r="D19" s="4" t="s">
        <v>122</v>
      </c>
      <c r="E19" s="138">
        <v>5000000</v>
      </c>
      <c r="J19" s="4" t="s">
        <v>122</v>
      </c>
      <c r="K19" s="138">
        <v>0</v>
      </c>
    </row>
    <row r="20" spans="4:11" ht="12">
      <c r="D20" s="4" t="s">
        <v>123</v>
      </c>
      <c r="E20" s="138">
        <v>6000000</v>
      </c>
      <c r="J20" s="4" t="s">
        <v>123</v>
      </c>
      <c r="K20" s="138">
        <v>0</v>
      </c>
    </row>
    <row r="21" spans="4:19" ht="12.75">
      <c r="D21" s="4" t="s">
        <v>124</v>
      </c>
      <c r="E21" s="138">
        <v>7000000</v>
      </c>
      <c r="J21" s="4" t="s">
        <v>124</v>
      </c>
      <c r="K21" s="138">
        <v>0</v>
      </c>
      <c r="S21" s="1" t="s">
        <v>151</v>
      </c>
    </row>
    <row r="22" spans="4:21" ht="12.75">
      <c r="D22" s="4" t="s">
        <v>125</v>
      </c>
      <c r="E22" s="196">
        <f>E13-SUM(E16:E21)</f>
        <v>30000000</v>
      </c>
      <c r="F22" s="76" t="s">
        <v>155</v>
      </c>
      <c r="J22" s="4" t="s">
        <v>125</v>
      </c>
      <c r="K22" s="138">
        <v>0</v>
      </c>
      <c r="S22" s="15">
        <v>20000000</v>
      </c>
      <c r="T22" s="199">
        <v>3</v>
      </c>
      <c r="U22" s="14">
        <f>+T22*S22</f>
        <v>60000000</v>
      </c>
    </row>
    <row r="23" spans="10:11" ht="12">
      <c r="J23" s="4" t="s">
        <v>128</v>
      </c>
      <c r="K23" s="138">
        <v>0</v>
      </c>
    </row>
    <row r="24" spans="10:19" ht="12.75">
      <c r="J24" s="4" t="s">
        <v>129</v>
      </c>
      <c r="K24" s="138">
        <v>0</v>
      </c>
      <c r="S24" s="1" t="s">
        <v>152</v>
      </c>
    </row>
    <row r="25" spans="10:21" ht="12">
      <c r="J25" s="4" t="s">
        <v>130</v>
      </c>
      <c r="K25" s="196">
        <f>+K13</f>
        <v>40000000</v>
      </c>
      <c r="S25" s="15">
        <v>135000000</v>
      </c>
      <c r="T25" s="200">
        <v>0.6</v>
      </c>
      <c r="U25" s="14">
        <f>+T25*S25</f>
        <v>81000000</v>
      </c>
    </row>
    <row r="26" ht="12.75">
      <c r="B26" s="1" t="s">
        <v>163</v>
      </c>
    </row>
    <row r="27" spans="2:21" ht="13.5" thickBot="1">
      <c r="B27" s="76" t="s">
        <v>164</v>
      </c>
      <c r="D27" s="202">
        <v>0.01</v>
      </c>
      <c r="F27" s="212" t="s">
        <v>166</v>
      </c>
      <c r="G27" s="212" t="s">
        <v>120</v>
      </c>
      <c r="H27" s="212" t="s">
        <v>121</v>
      </c>
      <c r="I27" s="212" t="s">
        <v>122</v>
      </c>
      <c r="J27" s="212" t="s">
        <v>123</v>
      </c>
      <c r="K27" s="212" t="s">
        <v>124</v>
      </c>
      <c r="L27" s="212" t="s">
        <v>125</v>
      </c>
      <c r="S27" s="209" t="s">
        <v>153</v>
      </c>
      <c r="T27" s="209"/>
      <c r="U27" s="210">
        <f>MIN(U25,U22)</f>
        <v>60000000</v>
      </c>
    </row>
    <row r="28" spans="2:21" ht="13.5" thickTop="1">
      <c r="B28" s="76" t="s">
        <v>165</v>
      </c>
      <c r="F28" s="203">
        <v>0</v>
      </c>
      <c r="G28" s="203">
        <v>0.005</v>
      </c>
      <c r="H28" s="203">
        <v>0.005</v>
      </c>
      <c r="I28" s="203">
        <v>0.01</v>
      </c>
      <c r="J28" s="203">
        <v>0</v>
      </c>
      <c r="K28" s="203">
        <v>0</v>
      </c>
      <c r="L28" s="203">
        <v>0</v>
      </c>
      <c r="S28" s="76"/>
      <c r="U28" s="19"/>
    </row>
    <row r="29" spans="2:21" ht="12">
      <c r="B29" s="76"/>
      <c r="S29" s="76"/>
      <c r="U29" s="19"/>
    </row>
    <row r="30" spans="2:9" ht="12.75">
      <c r="B30" s="197" t="s">
        <v>134</v>
      </c>
      <c r="C30" s="197"/>
      <c r="D30" s="197"/>
      <c r="E30" s="197"/>
      <c r="F30" s="197"/>
      <c r="G30" s="197"/>
      <c r="H30" s="197"/>
      <c r="I30" s="197"/>
    </row>
    <row r="32" spans="2:6" ht="12">
      <c r="B32" s="76" t="s">
        <v>135</v>
      </c>
      <c r="F32" s="68">
        <v>0.05</v>
      </c>
    </row>
    <row r="33" spans="2:19" ht="12.75">
      <c r="B33" s="76" t="s">
        <v>136</v>
      </c>
      <c r="F33" s="69">
        <v>0.35</v>
      </c>
      <c r="S33" s="198" t="s">
        <v>156</v>
      </c>
    </row>
    <row r="34" spans="2:6" ht="12">
      <c r="B34" s="76" t="s">
        <v>137</v>
      </c>
      <c r="F34" s="69">
        <v>0.15</v>
      </c>
    </row>
    <row r="35" spans="2:19" ht="12">
      <c r="B35" s="76" t="s">
        <v>138</v>
      </c>
      <c r="F35" s="68">
        <v>0.03</v>
      </c>
      <c r="R35" s="76" t="s">
        <v>171</v>
      </c>
      <c r="S35" s="76" t="s">
        <v>157</v>
      </c>
    </row>
    <row r="36" spans="2:19" ht="12">
      <c r="B36" s="76" t="s">
        <v>139</v>
      </c>
      <c r="F36" s="207">
        <v>7</v>
      </c>
      <c r="R36" s="76" t="s">
        <v>172</v>
      </c>
      <c r="S36" s="76" t="s">
        <v>158</v>
      </c>
    </row>
    <row r="37" spans="2:19" ht="12">
      <c r="B37" s="204" t="s">
        <v>140</v>
      </c>
      <c r="C37" s="205"/>
      <c r="D37" s="205"/>
      <c r="E37" s="205"/>
      <c r="F37" s="206">
        <v>0.22</v>
      </c>
      <c r="S37" t="s">
        <v>150</v>
      </c>
    </row>
    <row r="38" spans="2:6" ht="12">
      <c r="B38" s="76" t="s">
        <v>141</v>
      </c>
      <c r="F38" s="68">
        <v>0.01</v>
      </c>
    </row>
    <row r="39" spans="2:6" ht="12">
      <c r="B39" s="76" t="s">
        <v>142</v>
      </c>
      <c r="F39" s="68">
        <v>0.03</v>
      </c>
    </row>
    <row r="40" ht="12.75">
      <c r="S40" s="1" t="s">
        <v>151</v>
      </c>
    </row>
    <row r="41" spans="19:21" ht="12.75">
      <c r="S41" s="15" t="s">
        <v>19</v>
      </c>
      <c r="T41" s="199">
        <v>5</v>
      </c>
      <c r="U41" s="14">
        <v>100000000</v>
      </c>
    </row>
    <row r="42" spans="19:21" ht="12">
      <c r="S42" s="76" t="s">
        <v>159</v>
      </c>
      <c r="U42" s="14">
        <f>-U22</f>
        <v>-60000000</v>
      </c>
    </row>
    <row r="43" spans="19:21" ht="12.75" thickBot="1">
      <c r="S43" s="76" t="s">
        <v>160</v>
      </c>
      <c r="U43" s="201">
        <f>+U41+U42</f>
        <v>40000000</v>
      </c>
    </row>
    <row r="44" spans="19:21" ht="12.75" thickTop="1">
      <c r="S44" s="76"/>
      <c r="U44" s="14"/>
    </row>
    <row r="45" ht="12.75">
      <c r="S45" s="1" t="s">
        <v>161</v>
      </c>
    </row>
    <row r="46" ht="12.75">
      <c r="S46" s="1" t="s">
        <v>162</v>
      </c>
    </row>
    <row r="47" spans="19:21" ht="12">
      <c r="S47" s="15">
        <f>+S25</f>
        <v>135000000</v>
      </c>
      <c r="T47" s="200">
        <v>0.25</v>
      </c>
      <c r="U47" s="14">
        <f>+T47*S47</f>
        <v>33750000</v>
      </c>
    </row>
    <row r="49" spans="19:21" ht="12.75" thickBot="1">
      <c r="S49" s="76" t="s">
        <v>153</v>
      </c>
      <c r="U49" s="201">
        <f>MIN(U47,U41)</f>
        <v>33750000</v>
      </c>
    </row>
    <row r="50" ht="12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2019-02-07T22:58:06Z</cp:lastPrinted>
  <dcterms:created xsi:type="dcterms:W3CDTF">2007-12-04T14:52:44Z</dcterms:created>
  <dcterms:modified xsi:type="dcterms:W3CDTF">2022-01-22T13:19:52Z</dcterms:modified>
  <cp:category/>
  <cp:version/>
  <cp:contentType/>
  <cp:contentStatus/>
</cp:coreProperties>
</file>