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6921b89f68d3868/Documents/School Work/SHU/FIN 4261 Private Equity/"/>
    </mc:Choice>
  </mc:AlternateContent>
  <xr:revisionPtr revIDLastSave="183" documentId="8_{D60BBCDA-3F40-4A0A-AA7C-431C187290FE}" xr6:coauthVersionLast="47" xr6:coauthVersionMax="47" xr10:uidLastSave="{76AFBEFB-CD87-4D09-9F00-D3ED08D022B9}"/>
  <bookViews>
    <workbookView xWindow="-110" yWindow="-110" windowWidth="19420" windowHeight="11500" xr2:uid="{C293F538-FA28-447F-9070-FF4A9BA8467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L7" i="1"/>
  <c r="E16" i="1"/>
  <c r="G19" i="1"/>
  <c r="F17" i="1"/>
  <c r="E17" i="1"/>
  <c r="L11" i="1"/>
  <c r="L10" i="1"/>
  <c r="L12" i="1" s="1"/>
  <c r="K7" i="1"/>
  <c r="K6" i="1" s="1"/>
  <c r="F11" i="1"/>
  <c r="G18" i="1" l="1"/>
  <c r="F21" i="1"/>
  <c r="G21" i="1" s="1"/>
  <c r="G22" i="1"/>
  <c r="F16" i="1"/>
  <c r="K5" i="1"/>
  <c r="E20" i="1" l="1"/>
  <c r="G20" i="1"/>
  <c r="G23" i="1"/>
  <c r="F20" i="1"/>
  <c r="F22" i="1" s="1"/>
  <c r="E22" i="1"/>
  <c r="E23" i="1" l="1"/>
  <c r="M5" i="1"/>
  <c r="F23" i="1"/>
  <c r="M6" i="1"/>
  <c r="P6" i="1" l="1"/>
  <c r="N6" i="1"/>
  <c r="N5" i="1"/>
  <c r="O5" i="1" s="1"/>
  <c r="M7" i="1"/>
  <c r="P7" i="1" s="1"/>
  <c r="P5" i="1"/>
  <c r="N7" i="1" l="1"/>
  <c r="O7" i="1" s="1"/>
  <c r="O6" i="1"/>
</calcChain>
</file>

<file path=xl/sharedStrings.xml><?xml version="1.0" encoding="utf-8"?>
<sst xmlns="http://schemas.openxmlformats.org/spreadsheetml/2006/main" count="51" uniqueCount="44">
  <si>
    <t>How much carried interest would private equity fund managers earn on a $500 million dollar fund that triples in value? In this post we will walk through a basic distribution waterfall to explain how this calculation works.</t>
  </si>
  <si>
    <t>Fund Size:</t>
  </si>
  <si>
    <t>GP Investment</t>
  </si>
  <si>
    <t>Preferred Return</t>
  </si>
  <si>
    <t>Hold Period</t>
  </si>
  <si>
    <t>years</t>
  </si>
  <si>
    <t>MOIC</t>
  </si>
  <si>
    <t>Distribution Waterfall</t>
  </si>
  <si>
    <t>First, 100% of all cash inflows to the LP until the cumulative distributions equal the original capital invested plus the preferred return.</t>
  </si>
  <si>
    <t>Comment</t>
  </si>
  <si>
    <t>Second, a “20% catch-up” to the GP equivalent to 20% of the value of the preferred return plus the distributions realized in this step.</t>
  </si>
  <si>
    <t>Third, thereafter, cash flows in excess of distributions made in step 1 and 2 (if any) are distributed 80% to the LP and 20% to the GP.</t>
  </si>
  <si>
    <t>LP Investor</t>
  </si>
  <si>
    <t>GP Investor</t>
  </si>
  <si>
    <t>Amount</t>
  </si>
  <si>
    <t>Percentage</t>
  </si>
  <si>
    <t>LP</t>
  </si>
  <si>
    <t>GP</t>
  </si>
  <si>
    <t>GP Carry</t>
  </si>
  <si>
    <t>Peecentage</t>
  </si>
  <si>
    <t>Step 1</t>
  </si>
  <si>
    <t>Step 2</t>
  </si>
  <si>
    <t>Step 3</t>
  </si>
  <si>
    <t>Total</t>
  </si>
  <si>
    <t>STEPS</t>
  </si>
  <si>
    <t>CARRY INTEREST CALCULATION</t>
  </si>
  <si>
    <t>Transaction Sources ($ 000'S)</t>
  </si>
  <si>
    <t>Assumptions ($ 000's)</t>
  </si>
  <si>
    <t>Hold Period (HP)</t>
  </si>
  <si>
    <t xml:space="preserve">   Total Invested (Inv)</t>
  </si>
  <si>
    <t>Preferred Return (PR%)</t>
  </si>
  <si>
    <t>=MIN(Inv+Vpr,IP)*PR%</t>
  </si>
  <si>
    <t>Value of the Preferred  (Vpr)</t>
  </si>
  <si>
    <t>=MIN(IP-Total Amount of Step 1 Distribution,Vpr/(1-CI%)-Vpr)</t>
  </si>
  <si>
    <t>Investment Proceeds (IP%)</t>
  </si>
  <si>
    <t>Carried Interest (CI%):</t>
  </si>
  <si>
    <t>Hurtle Rate (HR%)</t>
  </si>
  <si>
    <t xml:space="preserve"> '=FV(HR%,HP,0,-Inv)-Inv</t>
  </si>
  <si>
    <t xml:space="preserve"> =LP%*(1-CI%)</t>
  </si>
  <si>
    <t>=(IP%-SUM(Step 1 &amp; Step 2 Distribution)*Step 3%</t>
  </si>
  <si>
    <t xml:space="preserve"> Excel Formula</t>
  </si>
  <si>
    <t>Final 
Distribution</t>
  </si>
  <si>
    <t>Profit</t>
  </si>
  <si>
    <t>IRR%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</si>
</sst>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9" formatCode="_(* #,##0_);_(* \(#,##0\);_(* &quot;-&quot;??_);_(@_)"/>
    <numFmt numFmtId="170" formatCode="0.0%"/>
    <numFmt numFmtId="171" formatCode="0.0\x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rgb="FF333333"/>
      <name val="Georgia"/>
      <family val="1"/>
    </font>
    <font>
      <b/>
      <sz val="10"/>
      <color rgb="FF333333"/>
      <name val="Georgia"/>
      <family val="1"/>
    </font>
    <font>
      <b/>
      <sz val="10"/>
      <color theme="0"/>
      <name val="Georgia"/>
      <family val="1"/>
    </font>
    <font>
      <b/>
      <sz val="16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4" fillId="0" borderId="0" xfId="0" applyFont="1" applyAlignment="1">
      <alignment horizontal="left" vertical="center"/>
    </xf>
    <xf numFmtId="0" fontId="0" fillId="0" borderId="0" xfId="0" applyAlignment="1"/>
    <xf numFmtId="169" fontId="0" fillId="0" borderId="0" xfId="1" applyNumberFormat="1" applyFont="1"/>
    <xf numFmtId="169" fontId="4" fillId="0" borderId="0" xfId="1" applyNumberFormat="1" applyFont="1" applyAlignment="1">
      <alignment horizontal="left" vertical="center" wrapText="1" indent="1"/>
    </xf>
    <xf numFmtId="9" fontId="0" fillId="0" borderId="0" xfId="0" applyNumberFormat="1"/>
    <xf numFmtId="169" fontId="0" fillId="0" borderId="0" xfId="0" applyNumberFormat="1"/>
    <xf numFmtId="169" fontId="0" fillId="0" borderId="2" xfId="0" applyNumberFormat="1" applyBorder="1"/>
    <xf numFmtId="0" fontId="3" fillId="2" borderId="2" xfId="0" applyFont="1" applyFill="1" applyBorder="1"/>
    <xf numFmtId="0" fontId="0" fillId="2" borderId="2" xfId="0" applyFill="1" applyBorder="1"/>
    <xf numFmtId="0" fontId="3" fillId="0" borderId="2" xfId="0" applyFont="1" applyBorder="1"/>
    <xf numFmtId="0" fontId="5" fillId="2" borderId="2" xfId="0" applyFont="1" applyFill="1" applyBorder="1" applyAlignment="1">
      <alignment horizontal="left" vertical="center"/>
    </xf>
    <xf numFmtId="0" fontId="0" fillId="0" borderId="0" xfId="0" applyAlignment="1">
      <alignment vertical="top" wrapText="1"/>
    </xf>
    <xf numFmtId="9" fontId="4" fillId="0" borderId="0" xfId="0" applyNumberFormat="1" applyFont="1" applyAlignment="1">
      <alignment horizontal="right" vertical="center" wrapText="1" indent="1"/>
    </xf>
    <xf numFmtId="0" fontId="4" fillId="0" borderId="0" xfId="0" applyFont="1" applyAlignment="1">
      <alignment horizontal="right" vertical="center" wrapText="1" indent="1"/>
    </xf>
    <xf numFmtId="0" fontId="3" fillId="2" borderId="3" xfId="0" applyFont="1" applyFill="1" applyBorder="1"/>
    <xf numFmtId="0" fontId="6" fillId="3" borderId="3" xfId="0" applyFont="1" applyFill="1" applyBorder="1" applyAlignment="1">
      <alignment horizontal="left" vertical="center"/>
    </xf>
    <xf numFmtId="0" fontId="2" fillId="3" borderId="3" xfId="0" applyFont="1" applyFill="1" applyBorder="1"/>
    <xf numFmtId="0" fontId="4" fillId="0" borderId="5" xfId="0" applyFont="1" applyBorder="1" applyAlignment="1">
      <alignment horizontal="left" vertical="center"/>
    </xf>
    <xf numFmtId="0" fontId="0" fillId="0" borderId="3" xfId="0" applyBorder="1"/>
    <xf numFmtId="0" fontId="4" fillId="0" borderId="7" xfId="0" applyFont="1" applyBorder="1" applyAlignment="1">
      <alignment horizontal="left" vertical="center"/>
    </xf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3" fillId="2" borderId="5" xfId="0" applyFont="1" applyFill="1" applyBorder="1"/>
    <xf numFmtId="0" fontId="0" fillId="0" borderId="7" xfId="0" applyBorder="1"/>
    <xf numFmtId="169" fontId="0" fillId="0" borderId="4" xfId="0" applyNumberFormat="1" applyBorder="1"/>
    <xf numFmtId="169" fontId="3" fillId="4" borderId="4" xfId="0" applyNumberFormat="1" applyFont="1" applyFill="1" applyBorder="1"/>
    <xf numFmtId="9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43" fontId="0" fillId="0" borderId="0" xfId="0" applyNumberFormat="1"/>
    <xf numFmtId="0" fontId="7" fillId="0" borderId="0" xfId="0" applyFont="1"/>
    <xf numFmtId="0" fontId="4" fillId="0" borderId="9" xfId="0" applyFont="1" applyBorder="1" applyAlignment="1">
      <alignment horizontal="left" vertical="center"/>
    </xf>
    <xf numFmtId="0" fontId="0" fillId="0" borderId="0" xfId="0" applyBorder="1"/>
    <xf numFmtId="0" fontId="4" fillId="0" borderId="16" xfId="0" applyFont="1" applyBorder="1" applyAlignment="1">
      <alignment horizontal="left" vertical="center"/>
    </xf>
    <xf numFmtId="0" fontId="0" fillId="0" borderId="17" xfId="0" applyBorder="1"/>
    <xf numFmtId="169" fontId="3" fillId="0" borderId="2" xfId="0" applyNumberFormat="1" applyFont="1" applyBorder="1"/>
    <xf numFmtId="9" fontId="3" fillId="0" borderId="2" xfId="0" applyNumberFormat="1" applyFont="1" applyBorder="1"/>
    <xf numFmtId="170" fontId="0" fillId="0" borderId="0" xfId="0" applyNumberFormat="1"/>
    <xf numFmtId="169" fontId="0" fillId="0" borderId="4" xfId="0" quotePrefix="1" applyNumberFormat="1" applyBorder="1"/>
    <xf numFmtId="169" fontId="0" fillId="0" borderId="12" xfId="1" quotePrefix="1" applyNumberFormat="1" applyFont="1" applyBorder="1" applyAlignment="1">
      <alignment horizontal="center"/>
    </xf>
    <xf numFmtId="169" fontId="0" fillId="0" borderId="12" xfId="1" applyNumberFormat="1" applyFont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3" fillId="2" borderId="13" xfId="0" applyFont="1" applyFill="1" applyBorder="1"/>
    <xf numFmtId="0" fontId="3" fillId="2" borderId="13" xfId="0" applyFont="1" applyFill="1" applyBorder="1" applyAlignment="1">
      <alignment horizontal="center"/>
    </xf>
    <xf numFmtId="9" fontId="0" fillId="0" borderId="0" xfId="2" applyFont="1"/>
    <xf numFmtId="0" fontId="3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171" fontId="0" fillId="0" borderId="0" xfId="2" applyNumberFormat="1" applyFont="1"/>
    <xf numFmtId="9" fontId="0" fillId="0" borderId="2" xfId="2" applyFont="1" applyBorder="1"/>
    <xf numFmtId="171" fontId="0" fillId="0" borderId="2" xfId="2" applyNumberFormat="1" applyFont="1" applyBorder="1"/>
    <xf numFmtId="9" fontId="0" fillId="0" borderId="10" xfId="0" applyNumberFormat="1" applyBorder="1" applyAlignment="1">
      <alignment horizontal="center"/>
    </xf>
    <xf numFmtId="169" fontId="0" fillId="0" borderId="10" xfId="1" quotePrefix="1" applyNumberFormat="1" applyFont="1" applyBorder="1" applyAlignment="1">
      <alignment horizontal="center"/>
    </xf>
    <xf numFmtId="169" fontId="0" fillId="0" borderId="10" xfId="0" applyNumberFormat="1" applyBorder="1"/>
    <xf numFmtId="0" fontId="3" fillId="2" borderId="6" xfId="0" applyFont="1" applyFill="1" applyBorder="1"/>
    <xf numFmtId="0" fontId="4" fillId="0" borderId="4" xfId="0" applyFont="1" applyBorder="1" applyAlignment="1">
      <alignment horizontal="left" vertical="top" wrapText="1"/>
    </xf>
    <xf numFmtId="0" fontId="0" fillId="0" borderId="4" xfId="0" applyBorder="1" applyAlignment="1">
      <alignment vertical="top" wrapText="1"/>
    </xf>
    <xf numFmtId="0" fontId="0" fillId="0" borderId="5" xfId="0" quotePrefix="1" applyBorder="1"/>
    <xf numFmtId="9" fontId="0" fillId="0" borderId="7" xfId="0" quotePrefix="1" applyNumberFormat="1" applyBorder="1" applyAlignment="1">
      <alignment horizontal="left"/>
    </xf>
    <xf numFmtId="0" fontId="3" fillId="0" borderId="14" xfId="0" applyFont="1" applyBorder="1"/>
    <xf numFmtId="0" fontId="3" fillId="0" borderId="12" xfId="0" applyFont="1" applyBorder="1"/>
    <xf numFmtId="0" fontId="3" fillId="0" borderId="11" xfId="0" applyFont="1" applyBorder="1"/>
    <xf numFmtId="0" fontId="3" fillId="0" borderId="15" xfId="0" applyFont="1" applyBorder="1"/>
    <xf numFmtId="9" fontId="0" fillId="0" borderId="11" xfId="0" quotePrefix="1" applyNumberFormat="1" applyBorder="1" applyAlignment="1">
      <alignment horizontal="center"/>
    </xf>
    <xf numFmtId="9" fontId="0" fillId="0" borderId="5" xfId="0" quotePrefix="1" applyNumberFormat="1" applyBorder="1" applyAlignment="1">
      <alignment horizontal="center"/>
    </xf>
    <xf numFmtId="10" fontId="0" fillId="0" borderId="15" xfId="0" quotePrefix="1" applyNumberFormat="1" applyBorder="1"/>
    <xf numFmtId="169" fontId="0" fillId="0" borderId="13" xfId="0" applyNumberForma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54AC3-A98B-4E62-96FD-C0A876FECABF}">
  <dimension ref="B2:Q28"/>
  <sheetViews>
    <sheetView showGridLines="0" tabSelected="1" workbookViewId="0">
      <selection activeCell="B2" sqref="B2"/>
    </sheetView>
  </sheetViews>
  <sheetFormatPr defaultRowHeight="14.5" x14ac:dyDescent="0.35"/>
  <cols>
    <col min="1" max="1" width="2.6328125" customWidth="1"/>
    <col min="5" max="5" width="12.7265625" bestFit="1" customWidth="1"/>
    <col min="6" max="6" width="12.6328125" customWidth="1"/>
    <col min="7" max="7" width="11.08984375" customWidth="1"/>
    <col min="11" max="11" width="16.90625" customWidth="1"/>
    <col min="13" max="13" width="11.36328125" customWidth="1"/>
    <col min="14" max="14" width="10.1796875" bestFit="1" customWidth="1"/>
    <col min="17" max="17" width="11.81640625" customWidth="1"/>
  </cols>
  <sheetData>
    <row r="2" spans="2:17" ht="21" x14ac:dyDescent="0.5">
      <c r="B2" s="33" t="s">
        <v>25</v>
      </c>
    </row>
    <row r="3" spans="2:17" ht="33.5" customHeight="1" x14ac:dyDescent="0.35">
      <c r="B3" s="1" t="s">
        <v>0</v>
      </c>
      <c r="C3" s="2"/>
      <c r="D3" s="2"/>
      <c r="E3" s="2"/>
      <c r="F3" s="2"/>
      <c r="G3" s="2"/>
      <c r="H3" s="2"/>
      <c r="I3" s="2"/>
      <c r="J3" s="2"/>
      <c r="K3" s="2"/>
      <c r="L3" s="2"/>
      <c r="M3" s="14"/>
    </row>
    <row r="4" spans="2:17" ht="29.5" thickBot="1" x14ac:dyDescent="0.4">
      <c r="B4" s="10" t="s">
        <v>27</v>
      </c>
      <c r="C4" s="11"/>
      <c r="D4" s="11"/>
      <c r="E4" s="11"/>
      <c r="F4" s="11"/>
      <c r="G4" s="11"/>
      <c r="I4" s="10" t="s">
        <v>26</v>
      </c>
      <c r="J4" s="11"/>
      <c r="K4" s="11"/>
      <c r="L4" s="11"/>
      <c r="M4" s="48" t="s">
        <v>41</v>
      </c>
      <c r="N4" s="49" t="s">
        <v>42</v>
      </c>
      <c r="O4" s="49" t="s">
        <v>6</v>
      </c>
      <c r="P4" s="49" t="s">
        <v>43</v>
      </c>
    </row>
    <row r="5" spans="2:17" ht="15" thickTop="1" x14ac:dyDescent="0.35">
      <c r="B5" s="3" t="s">
        <v>1</v>
      </c>
      <c r="C5" s="4"/>
      <c r="D5" s="4"/>
      <c r="F5" s="6">
        <v>500000</v>
      </c>
      <c r="I5" t="s">
        <v>12</v>
      </c>
      <c r="K5" s="8">
        <f>L5*K7</f>
        <v>475000</v>
      </c>
      <c r="L5" s="7">
        <v>0.95</v>
      </c>
      <c r="M5" s="8">
        <f>E22</f>
        <v>1235000</v>
      </c>
      <c r="N5" s="8">
        <f>+M5-K5</f>
        <v>760000</v>
      </c>
      <c r="O5" s="50">
        <f>N5/K5</f>
        <v>1.6</v>
      </c>
      <c r="P5" s="47">
        <f>RATE($F$9,0,-K5,M5)</f>
        <v>0.21058327510759325</v>
      </c>
    </row>
    <row r="6" spans="2:17" x14ac:dyDescent="0.35">
      <c r="B6" s="3" t="s">
        <v>2</v>
      </c>
      <c r="C6" s="4"/>
      <c r="D6" s="4"/>
      <c r="F6" s="15">
        <v>0.05</v>
      </c>
      <c r="I6" t="s">
        <v>13</v>
      </c>
      <c r="K6" s="8">
        <f>+L6*K7</f>
        <v>25000</v>
      </c>
      <c r="L6" s="7">
        <v>0.05</v>
      </c>
      <c r="M6" s="8">
        <f>G22+F22</f>
        <v>265000</v>
      </c>
      <c r="N6" s="8">
        <f>M6-K6</f>
        <v>240000</v>
      </c>
      <c r="O6" s="50">
        <f>N6/K6</f>
        <v>9.6</v>
      </c>
      <c r="P6" s="47">
        <f>RATE($F$9,0,-K6,M6)</f>
        <v>0.60347123358434218</v>
      </c>
    </row>
    <row r="7" spans="2:17" ht="15" thickBot="1" x14ac:dyDescent="0.4">
      <c r="B7" s="3" t="s">
        <v>30</v>
      </c>
      <c r="C7" s="4"/>
      <c r="D7" s="4"/>
      <c r="F7" s="15">
        <v>0.08</v>
      </c>
      <c r="I7" s="12" t="s">
        <v>29</v>
      </c>
      <c r="J7" s="12"/>
      <c r="K7" s="38">
        <f>F5</f>
        <v>500000</v>
      </c>
      <c r="L7" s="39">
        <f>L5+L6</f>
        <v>1</v>
      </c>
      <c r="M7" s="9">
        <f>SUM(M5:M6)</f>
        <v>1500000</v>
      </c>
      <c r="N7" s="9">
        <f>+N6+N5</f>
        <v>1000000</v>
      </c>
      <c r="O7" s="52">
        <f>N7/K7</f>
        <v>2</v>
      </c>
      <c r="P7" s="51">
        <f>RATE($F$9,0,-K7,M7)</f>
        <v>0.24573093961551737</v>
      </c>
    </row>
    <row r="8" spans="2:17" ht="15" thickTop="1" x14ac:dyDescent="0.35">
      <c r="B8" s="3" t="s">
        <v>35</v>
      </c>
      <c r="C8" s="4"/>
      <c r="D8" s="4"/>
      <c r="F8" s="15">
        <v>0.2</v>
      </c>
    </row>
    <row r="9" spans="2:17" ht="15" thickBot="1" x14ac:dyDescent="0.4">
      <c r="B9" s="3" t="s">
        <v>4</v>
      </c>
      <c r="C9" s="4"/>
      <c r="D9" s="4"/>
      <c r="F9" s="16">
        <v>5</v>
      </c>
      <c r="G9" t="s">
        <v>5</v>
      </c>
      <c r="I9" s="10" t="s">
        <v>3</v>
      </c>
      <c r="J9" s="11"/>
      <c r="K9" s="11"/>
      <c r="L9" s="11"/>
    </row>
    <row r="10" spans="2:17" ht="15" thickTop="1" x14ac:dyDescent="0.35">
      <c r="B10" s="3" t="s">
        <v>6</v>
      </c>
      <c r="C10" s="4"/>
      <c r="D10" s="4"/>
      <c r="F10" s="16">
        <v>3</v>
      </c>
      <c r="I10" t="s">
        <v>36</v>
      </c>
      <c r="L10" s="40">
        <f>F7</f>
        <v>0.08</v>
      </c>
    </row>
    <row r="11" spans="2:17" x14ac:dyDescent="0.35">
      <c r="B11" s="3" t="s">
        <v>34</v>
      </c>
      <c r="C11" s="4"/>
      <c r="D11" s="4"/>
      <c r="F11" s="5">
        <f>+F10*F5</f>
        <v>1500000</v>
      </c>
      <c r="I11" t="s">
        <v>28</v>
      </c>
      <c r="L11">
        <f>F9</f>
        <v>5</v>
      </c>
      <c r="M11" t="s">
        <v>5</v>
      </c>
    </row>
    <row r="12" spans="2:17" x14ac:dyDescent="0.35">
      <c r="I12" t="s">
        <v>32</v>
      </c>
      <c r="L12" s="29">
        <f>FV(L10,L11,0,-K7)-K7</f>
        <v>234664.03840000019</v>
      </c>
      <c r="M12" t="s">
        <v>37</v>
      </c>
    </row>
    <row r="13" spans="2:17" x14ac:dyDescent="0.35">
      <c r="L13" s="8"/>
    </row>
    <row r="14" spans="2:17" x14ac:dyDescent="0.35">
      <c r="B14" s="18" t="s">
        <v>7</v>
      </c>
      <c r="C14" s="18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</row>
    <row r="15" spans="2:17" ht="15" thickBot="1" x14ac:dyDescent="0.4">
      <c r="B15" s="45" t="s">
        <v>24</v>
      </c>
      <c r="C15" s="13"/>
      <c r="D15" s="10"/>
      <c r="E15" s="44" t="s">
        <v>16</v>
      </c>
      <c r="F15" s="44" t="s">
        <v>17</v>
      </c>
      <c r="G15" s="46" t="s">
        <v>18</v>
      </c>
      <c r="H15" s="26" t="s">
        <v>9</v>
      </c>
      <c r="I15" s="17"/>
      <c r="J15" s="17"/>
      <c r="K15" s="17"/>
      <c r="L15" s="56"/>
      <c r="M15" s="17" t="s">
        <v>40</v>
      </c>
      <c r="N15" s="17"/>
      <c r="O15" s="17"/>
      <c r="P15" s="17"/>
      <c r="Q15" s="17"/>
    </row>
    <row r="16" spans="2:17" ht="26.5" customHeight="1" thickTop="1" x14ac:dyDescent="0.35">
      <c r="B16" s="61" t="s">
        <v>20</v>
      </c>
      <c r="C16" s="34" t="s">
        <v>14</v>
      </c>
      <c r="D16" s="35"/>
      <c r="E16" s="42">
        <f>MIN($K$7+$L$12,$F$11)*E17</f>
        <v>697930.83648000017</v>
      </c>
      <c r="F16" s="43">
        <f>MIN($K$7+$L$12,$F$11)*F17</f>
        <v>36733.201920000014</v>
      </c>
      <c r="G16" s="27"/>
      <c r="H16" s="57" t="s">
        <v>8</v>
      </c>
      <c r="I16" s="58"/>
      <c r="J16" s="58"/>
      <c r="K16" s="58"/>
      <c r="L16" s="58"/>
      <c r="M16" s="59" t="s">
        <v>31</v>
      </c>
      <c r="N16" s="21"/>
      <c r="O16" s="21"/>
      <c r="P16" s="21"/>
      <c r="Q16" s="24"/>
    </row>
    <row r="17" spans="2:17" ht="26.5" customHeight="1" x14ac:dyDescent="0.35">
      <c r="B17" s="62"/>
      <c r="C17" s="22" t="s">
        <v>15</v>
      </c>
      <c r="D17" s="23"/>
      <c r="E17" s="30">
        <f>L5</f>
        <v>0.95</v>
      </c>
      <c r="F17" s="30">
        <f>L6</f>
        <v>0.05</v>
      </c>
      <c r="G17" s="53">
        <v>0</v>
      </c>
      <c r="H17" s="58"/>
      <c r="I17" s="58"/>
      <c r="J17" s="58"/>
      <c r="K17" s="58"/>
      <c r="L17" s="58"/>
      <c r="M17" s="27"/>
      <c r="N17" s="23"/>
      <c r="O17" s="23"/>
      <c r="P17" s="23"/>
      <c r="Q17" s="25"/>
    </row>
    <row r="18" spans="2:17" ht="26.5" customHeight="1" x14ac:dyDescent="0.35">
      <c r="B18" s="63" t="s">
        <v>21</v>
      </c>
      <c r="C18" s="20" t="s">
        <v>14</v>
      </c>
      <c r="D18" s="21"/>
      <c r="E18" s="31"/>
      <c r="F18" s="31"/>
      <c r="G18" s="54">
        <f>MIN(F11-SUM(E16:G16),L12/(1-G19)-L12)</f>
        <v>58666.009600000049</v>
      </c>
      <c r="H18" s="57" t="s">
        <v>10</v>
      </c>
      <c r="I18" s="58"/>
      <c r="J18" s="58"/>
      <c r="K18" s="58"/>
      <c r="L18" s="58"/>
      <c r="M18" s="59" t="s">
        <v>33</v>
      </c>
      <c r="N18" s="21"/>
      <c r="O18" s="21"/>
      <c r="P18" s="21"/>
      <c r="Q18" s="24"/>
    </row>
    <row r="19" spans="2:17" ht="26.5" customHeight="1" x14ac:dyDescent="0.35">
      <c r="B19" s="62"/>
      <c r="C19" s="22" t="s">
        <v>19</v>
      </c>
      <c r="D19" s="23"/>
      <c r="E19" s="30">
        <v>0</v>
      </c>
      <c r="F19" s="30">
        <v>0</v>
      </c>
      <c r="G19" s="53">
        <f>F8</f>
        <v>0.2</v>
      </c>
      <c r="H19" s="58"/>
      <c r="I19" s="58"/>
      <c r="J19" s="58"/>
      <c r="K19" s="58"/>
      <c r="L19" s="58"/>
      <c r="M19" s="27"/>
      <c r="N19" s="23"/>
      <c r="O19" s="23"/>
      <c r="P19" s="23"/>
      <c r="Q19" s="25"/>
    </row>
    <row r="20" spans="2:17" ht="26.5" customHeight="1" x14ac:dyDescent="0.35">
      <c r="B20" s="63" t="s">
        <v>22</v>
      </c>
      <c r="C20" s="20" t="s">
        <v>14</v>
      </c>
      <c r="D20" s="21"/>
      <c r="E20" s="41">
        <f>($F$11-SUM($E$16:$G$16,$E$18:$G$18))*E21</f>
        <v>537069.16351999983</v>
      </c>
      <c r="F20" s="28">
        <f>($F$11-SUM($E$16:$G$16,$E$18:$G$18))*F21</f>
        <v>28266.798080000019</v>
      </c>
      <c r="G20" s="55">
        <f>+G22-G18</f>
        <v>141333.99039999995</v>
      </c>
      <c r="H20" s="57" t="s">
        <v>11</v>
      </c>
      <c r="I20" s="58"/>
      <c r="J20" s="58"/>
      <c r="K20" s="58"/>
      <c r="L20" s="58"/>
      <c r="M20" s="59" t="s">
        <v>39</v>
      </c>
      <c r="N20" s="21"/>
      <c r="O20" s="21"/>
      <c r="P20" s="21"/>
      <c r="Q20" s="24"/>
    </row>
    <row r="21" spans="2:17" ht="26.5" customHeight="1" thickBot="1" x14ac:dyDescent="0.4">
      <c r="B21" s="64"/>
      <c r="C21" s="36" t="s">
        <v>15</v>
      </c>
      <c r="D21" s="37"/>
      <c r="E21" s="65">
        <f>E17*(1-F8)</f>
        <v>0.76</v>
      </c>
      <c r="F21" s="65">
        <f>(1-F8)-E21</f>
        <v>4.0000000000000036E-2</v>
      </c>
      <c r="G21" s="66">
        <f>1-(E21+F21)</f>
        <v>0.19999999999999996</v>
      </c>
      <c r="H21" s="58"/>
      <c r="I21" s="58"/>
      <c r="J21" s="58"/>
      <c r="K21" s="58"/>
      <c r="L21" s="58"/>
      <c r="M21" s="60" t="s">
        <v>38</v>
      </c>
      <c r="N21" s="23"/>
      <c r="O21" s="23"/>
      <c r="P21" s="23"/>
      <c r="Q21" s="25"/>
    </row>
    <row r="22" spans="2:17" ht="23.5" customHeight="1" thickTop="1" thickBot="1" x14ac:dyDescent="0.4">
      <c r="B22" s="61" t="s">
        <v>23</v>
      </c>
      <c r="C22" s="34" t="s">
        <v>14</v>
      </c>
      <c r="D22" s="35"/>
      <c r="E22" s="68">
        <f>+E20+E16</f>
        <v>1235000</v>
      </c>
      <c r="F22" s="68">
        <f>+F20+F16</f>
        <v>65000.000000000029</v>
      </c>
      <c r="G22" s="68">
        <f>(F11-K7)*F8</f>
        <v>200000</v>
      </c>
      <c r="H22" s="35"/>
      <c r="I22" s="35"/>
      <c r="J22" s="35"/>
      <c r="K22" s="35"/>
      <c r="L22" s="35"/>
      <c r="M22" s="35"/>
    </row>
    <row r="23" spans="2:17" ht="23.5" customHeight="1" thickTop="1" thickBot="1" x14ac:dyDescent="0.4">
      <c r="B23" s="62"/>
      <c r="C23" s="22" t="s">
        <v>15</v>
      </c>
      <c r="D23" s="23"/>
      <c r="E23" s="67">
        <f>E22/$F$11</f>
        <v>0.82333333333333336</v>
      </c>
      <c r="F23" s="67">
        <f t="shared" ref="F23:G23" si="0">F22/$F$11</f>
        <v>4.3333333333333356E-2</v>
      </c>
      <c r="G23" s="67">
        <f t="shared" si="0"/>
        <v>0.13333333333333333</v>
      </c>
      <c r="H23" s="35"/>
      <c r="I23" s="35"/>
      <c r="J23" s="35"/>
      <c r="K23" s="35"/>
      <c r="L23" s="35"/>
      <c r="M23" s="35"/>
    </row>
    <row r="24" spans="2:17" ht="15" thickTop="1" x14ac:dyDescent="0.35"/>
    <row r="27" spans="2:17" x14ac:dyDescent="0.35">
      <c r="E27" s="32"/>
    </row>
    <row r="28" spans="2:17" x14ac:dyDescent="0.35">
      <c r="G28" s="8"/>
    </row>
  </sheetData>
  <mergeCells count="4">
    <mergeCell ref="H16:L17"/>
    <mergeCell ref="H18:L19"/>
    <mergeCell ref="H20:L21"/>
    <mergeCell ref="B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dcterms:created xsi:type="dcterms:W3CDTF">2025-01-15T11:14:34Z</dcterms:created>
  <dcterms:modified xsi:type="dcterms:W3CDTF">2025-01-15T15:06:05Z</dcterms:modified>
</cp:coreProperties>
</file>