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FIN4710\FIN 4710 Baruch\"/>
    </mc:Choice>
  </mc:AlternateContent>
  <xr:revisionPtr revIDLastSave="0" documentId="13_ncr:1_{14CC9409-3E80-43BE-9790-84FFF5B5FBD7}" xr6:coauthVersionLast="40" xr6:coauthVersionMax="40" xr10:uidLastSave="{00000000-0000-0000-0000-000000000000}"/>
  <bookViews>
    <workbookView xWindow="0" yWindow="3647" windowWidth="21333" windowHeight="657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6" i="1" l="1"/>
  <c r="B139" i="1"/>
  <c r="B140" i="1" s="1"/>
  <c r="B149" i="1"/>
  <c r="J114" i="1" l="1"/>
  <c r="K114" i="1"/>
  <c r="K113" i="1"/>
  <c r="J113" i="1"/>
  <c r="I111" i="1"/>
  <c r="H112" i="1"/>
  <c r="I112" i="1" s="1"/>
  <c r="I122" i="1"/>
  <c r="I120" i="1"/>
  <c r="I118" i="1"/>
  <c r="E120" i="1"/>
  <c r="E118" i="1"/>
  <c r="I114" i="1"/>
  <c r="H114" i="1"/>
  <c r="H113" i="1"/>
  <c r="B147" i="1"/>
  <c r="K135" i="1"/>
  <c r="H135" i="1"/>
  <c r="H131" i="1"/>
  <c r="F133" i="1"/>
  <c r="B171" i="1"/>
  <c r="E193" i="1"/>
  <c r="D193" i="1"/>
  <c r="C193" i="1"/>
  <c r="H110" i="1"/>
  <c r="I110" i="1" s="1"/>
  <c r="H109" i="1"/>
  <c r="E114" i="1"/>
  <c r="E113" i="1"/>
  <c r="I113" i="1" s="1"/>
  <c r="E112" i="1"/>
  <c r="J112" i="1" s="1"/>
  <c r="E111" i="1"/>
  <c r="J111" i="1" s="1"/>
  <c r="E110" i="1"/>
  <c r="J110" i="1" s="1"/>
  <c r="E109" i="1"/>
  <c r="I109" i="1" s="1"/>
  <c r="E29" i="1"/>
  <c r="C75" i="1"/>
  <c r="B84" i="1" s="1"/>
  <c r="E39" i="1"/>
  <c r="F39" i="1" s="1"/>
  <c r="G39" i="1" s="1"/>
  <c r="H39" i="1" s="1"/>
  <c r="I39" i="1" s="1"/>
  <c r="J39" i="1" s="1"/>
  <c r="D39" i="1"/>
  <c r="C43" i="1"/>
  <c r="C35" i="1"/>
  <c r="C38" i="1" s="1"/>
  <c r="D35" i="1"/>
  <c r="D63" i="1"/>
  <c r="E62" i="1"/>
  <c r="D62" i="1"/>
  <c r="D61" i="1"/>
  <c r="E58" i="1"/>
  <c r="E61" i="1" s="1"/>
  <c r="D58" i="1"/>
  <c r="E56" i="1"/>
  <c r="D56" i="1"/>
  <c r="D55" i="1"/>
  <c r="D57" i="1" s="1"/>
  <c r="D59" i="1" s="1"/>
  <c r="C30" i="1"/>
  <c r="D54" i="1"/>
  <c r="E54" i="1" s="1"/>
  <c r="F54" i="1" s="1"/>
  <c r="D60" i="1" l="1"/>
  <c r="D64" i="1" s="1"/>
  <c r="F77" i="1"/>
  <c r="H133" i="1"/>
  <c r="K131" i="1"/>
  <c r="E30" i="1"/>
  <c r="G54" i="1"/>
  <c r="F63" i="1"/>
  <c r="F62" i="1"/>
  <c r="F58" i="1"/>
  <c r="F61" i="1" s="1"/>
  <c r="F57" i="1"/>
  <c r="F56" i="1"/>
  <c r="F55" i="1"/>
  <c r="E35" i="1"/>
  <c r="E37" i="1"/>
  <c r="E38" i="1" s="1"/>
  <c r="E55" i="1"/>
  <c r="E57" i="1"/>
  <c r="E59" i="1" s="1"/>
  <c r="E63" i="1"/>
  <c r="D173" i="1"/>
  <c r="D169" i="1"/>
  <c r="D45" i="1"/>
  <c r="D46" i="1" s="1"/>
  <c r="D43" i="1"/>
  <c r="C50" i="1"/>
  <c r="D37" i="1"/>
  <c r="D38" i="1" s="1"/>
  <c r="D49" i="1" s="1"/>
  <c r="D65" i="1" s="1"/>
  <c r="J109" i="1"/>
  <c r="B193" i="1"/>
  <c r="B194" i="1" s="1"/>
  <c r="B196" i="1" s="1"/>
  <c r="B195" i="1"/>
  <c r="D74" i="1"/>
  <c r="E74" i="1" s="1"/>
  <c r="F74" i="1" s="1"/>
  <c r="D53" i="1"/>
  <c r="E53" i="1" s="1"/>
  <c r="F53" i="1" s="1"/>
  <c r="G53" i="1" s="1"/>
  <c r="D33" i="1"/>
  <c r="E33" i="1" s="1"/>
  <c r="F33" i="1" s="1"/>
  <c r="G33" i="1" s="1"/>
  <c r="H33" i="1" s="1"/>
  <c r="I33" i="1" s="1"/>
  <c r="J33" i="1" s="1"/>
  <c r="B31" i="1"/>
  <c r="B198" i="1" l="1"/>
  <c r="B199" i="1" s="1"/>
  <c r="D66" i="1"/>
  <c r="D75" i="1" s="1"/>
  <c r="F167" i="1"/>
  <c r="J167" i="1" s="1"/>
  <c r="F171" i="1"/>
  <c r="E60" i="1"/>
  <c r="E64" i="1" s="1"/>
  <c r="F59" i="1"/>
  <c r="G63" i="1"/>
  <c r="G62" i="1"/>
  <c r="G58" i="1"/>
  <c r="G61" i="1" s="1"/>
  <c r="G56" i="1"/>
  <c r="G55" i="1"/>
  <c r="G57" i="1" s="1"/>
  <c r="G59" i="1" s="1"/>
  <c r="F175" i="1"/>
  <c r="F172" i="1"/>
  <c r="F35" i="1"/>
  <c r="F37" i="1"/>
  <c r="F38" i="1" s="1"/>
  <c r="E77" i="1"/>
  <c r="G31" i="1"/>
  <c r="F69" i="1" s="1"/>
  <c r="D29" i="1"/>
  <c r="F29" i="1" s="1"/>
  <c r="D30" i="1"/>
  <c r="F30" i="1" s="1"/>
  <c r="D28" i="1"/>
  <c r="E43" i="1"/>
  <c r="D50" i="1"/>
  <c r="E45" i="1"/>
  <c r="E46" i="1" s="1"/>
  <c r="E49" i="1" s="1"/>
  <c r="E65" i="1" s="1"/>
  <c r="K133" i="1"/>
  <c r="B138" i="1" s="1"/>
  <c r="D77" i="1"/>
  <c r="B80" i="1" s="1"/>
  <c r="G60" i="1" l="1"/>
  <c r="G64" i="1" s="1"/>
  <c r="E66" i="1"/>
  <c r="E75" i="1" s="1"/>
  <c r="J175" i="1"/>
  <c r="J171" i="1"/>
  <c r="F60" i="1"/>
  <c r="F64" i="1" s="1"/>
  <c r="F66" i="1" s="1"/>
  <c r="F49" i="1"/>
  <c r="F65" i="1" s="1"/>
  <c r="F43" i="1"/>
  <c r="E50" i="1"/>
  <c r="F45" i="1"/>
  <c r="F46" i="1" s="1"/>
  <c r="G35" i="1"/>
  <c r="G37" i="1"/>
  <c r="G38" i="1" s="1"/>
  <c r="D31" i="1"/>
  <c r="B81" i="1"/>
  <c r="H35" i="1" l="1"/>
  <c r="I35" i="1" s="1"/>
  <c r="J35" i="1" s="1"/>
  <c r="H37" i="1"/>
  <c r="H38" i="1" s="1"/>
  <c r="G43" i="1"/>
  <c r="G45" i="1"/>
  <c r="G46" i="1" s="1"/>
  <c r="G49" i="1" s="1"/>
  <c r="G65" i="1" s="1"/>
  <c r="G66" i="1" s="1"/>
  <c r="F50" i="1"/>
  <c r="F72" i="1" s="1"/>
  <c r="C28" i="1" l="1"/>
  <c r="E28" i="1" s="1"/>
  <c r="F28" i="1" s="1"/>
  <c r="F31" i="1" s="1"/>
  <c r="F70" i="1" s="1"/>
  <c r="F71" i="1" s="1"/>
  <c r="F73" i="1" s="1"/>
  <c r="F75" i="1" s="1"/>
  <c r="H43" i="1"/>
  <c r="G50" i="1"/>
  <c r="H45" i="1"/>
  <c r="H46" i="1" s="1"/>
  <c r="H49" i="1" s="1"/>
  <c r="I43" i="1" l="1"/>
  <c r="H50" i="1"/>
  <c r="I45" i="1"/>
  <c r="I46" i="1" s="1"/>
  <c r="B82" i="1"/>
  <c r="B83" i="1" s="1"/>
  <c r="B86" i="1" s="1"/>
  <c r="B88" i="1"/>
  <c r="J43" i="1" l="1"/>
  <c r="J45" i="1"/>
  <c r="J46" i="1" s="1"/>
</calcChain>
</file>

<file path=xl/sharedStrings.xml><?xml version="1.0" encoding="utf-8"?>
<sst xmlns="http://schemas.openxmlformats.org/spreadsheetml/2006/main" count="221" uniqueCount="177">
  <si>
    <t>FIN 4710 - FINAL EXAM</t>
  </si>
  <si>
    <t>Please write your name below (Last, First name)</t>
  </si>
  <si>
    <t>Name:</t>
  </si>
  <si>
    <t>Save the spreadsheet on the desktop by typing your name the same way (i.e. Droussiotis Chris.xls)</t>
  </si>
  <si>
    <t xml:space="preserve">DO NOT INSERT LINES OR COLUMNS. </t>
  </si>
  <si>
    <t>SECTION I - EQUITY ANALYSIS (40 POINTS)</t>
  </si>
  <si>
    <t>NOTES</t>
  </si>
  <si>
    <t>Question 1 (30 points)</t>
  </si>
  <si>
    <t>Prepare a DCF Analysis given the following assumptions:</t>
  </si>
  <si>
    <t>Operating Assumptions (for years 1-5)</t>
  </si>
  <si>
    <t>Revenue Growth</t>
  </si>
  <si>
    <t>Cost of Revenue as % of Revenue</t>
  </si>
  <si>
    <t>Oper. Expense as % of Revenue</t>
  </si>
  <si>
    <t>Depreciation Expense as % of Revenue</t>
  </si>
  <si>
    <t>Tax Rate</t>
  </si>
  <si>
    <t>NO TRANSACTION FEES</t>
  </si>
  <si>
    <t>Working Capital Expense as % of Revenue</t>
  </si>
  <si>
    <t>Capex as % of Revenue</t>
  </si>
  <si>
    <t>Risk Free=</t>
  </si>
  <si>
    <t>Historical Total Market Return =</t>
  </si>
  <si>
    <t>Beta =</t>
  </si>
  <si>
    <t>Interest and Principal Payments assumed that are paid at thet last day of the year</t>
  </si>
  <si>
    <t>Sources:</t>
  </si>
  <si>
    <t>Amount</t>
  </si>
  <si>
    <t>Interest/
Exp Return</t>
  </si>
  <si>
    <t>% Capital</t>
  </si>
  <si>
    <t>Interest/Exp Return
After Tax</t>
  </si>
  <si>
    <t xml:space="preserve">WACC
</t>
  </si>
  <si>
    <t>Zero Year's year's EBITDA
Multiple</t>
  </si>
  <si>
    <t>Bank Loan (LIBOR + 4.00%)</t>
  </si>
  <si>
    <t>Corporate Bonds</t>
  </si>
  <si>
    <t>Equity</t>
  </si>
  <si>
    <t xml:space="preserve">  Total Sources</t>
  </si>
  <si>
    <t>Bank Loan Information</t>
  </si>
  <si>
    <t>Amount Outstanding</t>
  </si>
  <si>
    <t>Schedule Payments</t>
  </si>
  <si>
    <t>Interest Payment</t>
  </si>
  <si>
    <t xml:space="preserve">  Total Financing Payment</t>
  </si>
  <si>
    <t>LIBOR</t>
  </si>
  <si>
    <t>LIBOR Increase</t>
  </si>
  <si>
    <t>Corporate Bond Information</t>
  </si>
  <si>
    <t>Total</t>
  </si>
  <si>
    <t>Total Financing</t>
  </si>
  <si>
    <t>Total Debt Outstanding</t>
  </si>
  <si>
    <t>Revenues</t>
  </si>
  <si>
    <t xml:space="preserve">  Cost of Revenues</t>
  </si>
  <si>
    <t xml:space="preserve">  Operating Expenses</t>
  </si>
  <si>
    <t>EBITDA</t>
  </si>
  <si>
    <t>Less Depreciation</t>
  </si>
  <si>
    <t>EBIT</t>
  </si>
  <si>
    <t>Less Taxes</t>
  </si>
  <si>
    <t>Plus Depreciation</t>
  </si>
  <si>
    <t>Less Working Capital Expense</t>
  </si>
  <si>
    <t>Less Capital Expenditures</t>
  </si>
  <si>
    <t xml:space="preserve">  Free Cash Flow before financing</t>
  </si>
  <si>
    <t>Less Financing Expenses</t>
  </si>
  <si>
    <t>Net Cash Flow</t>
  </si>
  <si>
    <t>Terminal Value</t>
  </si>
  <si>
    <t>EXIT YEAR</t>
  </si>
  <si>
    <t xml:space="preserve">  EBITDA Multiple Method using the intitial EBITDA multiple</t>
  </si>
  <si>
    <t xml:space="preserve">  Perpetuity Method  (using WACC) with no growth</t>
  </si>
  <si>
    <t>Average of two valuation methods</t>
  </si>
  <si>
    <t>Debt Outstanding</t>
  </si>
  <si>
    <t xml:space="preserve">Equity Value </t>
  </si>
  <si>
    <t>Equity Cash Flows</t>
  </si>
  <si>
    <t>PV Values (for $1)</t>
  </si>
  <si>
    <t>PV 1</t>
  </si>
  <si>
    <t>PV 2</t>
  </si>
  <si>
    <t>PV 3</t>
  </si>
  <si>
    <t>Less Initial Equity Inv.</t>
  </si>
  <si>
    <t>Equity NPV=</t>
  </si>
  <si>
    <t>Equity IRR =</t>
  </si>
  <si>
    <t>SECTION II  OPTION ANALYSIS (60 POINTS)</t>
  </si>
  <si>
    <t>Question 3 (20 points)</t>
  </si>
  <si>
    <t>INPUT</t>
  </si>
  <si>
    <t>CALLS - PREMIUMS</t>
  </si>
  <si>
    <t>PUTS - PREMIUMS</t>
  </si>
  <si>
    <t>EXERCISE PRICE (X)</t>
  </si>
  <si>
    <t>January</t>
  </si>
  <si>
    <t>February</t>
  </si>
  <si>
    <t>March</t>
  </si>
  <si>
    <t>Use the table above to calculate the Profit, Payoff and BE price</t>
  </si>
  <si>
    <t>BASIC STRATEGIES - INPUT</t>
  </si>
  <si>
    <t>ENTER PREMIUM</t>
  </si>
  <si>
    <t>OUTPUT</t>
  </si>
  <si>
    <t>ACTION</t>
  </si>
  <si>
    <t>EXERCISE 
DATE</t>
  </si>
  <si>
    <t>OPTION
TYPE</t>
  </si>
  <si>
    <t>EXERCISE
PRICE
(X)</t>
  </si>
  <si>
    <t>STOCK
PRICE
(S)</t>
  </si>
  <si>
    <t>PAYOFF</t>
  </si>
  <si>
    <t>PROFIT</t>
  </si>
  <si>
    <t>BREAK EVEN
STOCK
PRICE
(1)</t>
  </si>
  <si>
    <t>BREAK EVEN
STOCK
PRICE
(2)</t>
  </si>
  <si>
    <t>BUY</t>
  </si>
  <si>
    <t>Jan</t>
  </si>
  <si>
    <t>CALL</t>
  </si>
  <si>
    <t>SELL</t>
  </si>
  <si>
    <t>Mar</t>
  </si>
  <si>
    <t>Feb</t>
  </si>
  <si>
    <t>PUT</t>
  </si>
  <si>
    <t>STRADDLE</t>
  </si>
  <si>
    <t>Low BE/High BE</t>
  </si>
  <si>
    <t>ADVANCE STRATEGIES - INPUT</t>
  </si>
  <si>
    <t>BULL SPREAD (Call)</t>
  </si>
  <si>
    <t>BEAR SPREAD (Put)</t>
  </si>
  <si>
    <t>BUTTERFLY</t>
  </si>
  <si>
    <t>Question 4 (10 points)</t>
  </si>
  <si>
    <t>Calculate the Value of the Call Option using the Binomial Option Pricing Model using Method 1</t>
  </si>
  <si>
    <t>Stock Price (S ) =</t>
  </si>
  <si>
    <t>Exercise Price (X) =</t>
  </si>
  <si>
    <t>interest</t>
  </si>
  <si>
    <t>Time</t>
  </si>
  <si>
    <t>Upper limit (u)</t>
  </si>
  <si>
    <t>Lower limit (d)</t>
  </si>
  <si>
    <t>Hedge ratio (h) =</t>
  </si>
  <si>
    <t>Step 3</t>
  </si>
  <si>
    <t xml:space="preserve"> PV using (e) compounted=</t>
  </si>
  <si>
    <t>Value of Call option =</t>
  </si>
  <si>
    <t>Step 6</t>
  </si>
  <si>
    <t>Question 5 (10 points)</t>
  </si>
  <si>
    <t>Given the following information please calculate the Call Option using the Bionomial Pricing Model Method 2- Show steps:</t>
  </si>
  <si>
    <t>S =</t>
  </si>
  <si>
    <t>u =</t>
  </si>
  <si>
    <t>d =</t>
  </si>
  <si>
    <t>X =</t>
  </si>
  <si>
    <t>i =</t>
  </si>
  <si>
    <t>Dividend=</t>
  </si>
  <si>
    <t>Freq=</t>
  </si>
  <si>
    <t>Stages=</t>
  </si>
  <si>
    <t>Type</t>
  </si>
  <si>
    <t>Call</t>
  </si>
  <si>
    <t>PERIOD 0</t>
  </si>
  <si>
    <t>PERIOD 1</t>
  </si>
  <si>
    <t>PERIOD 2</t>
  </si>
  <si>
    <t>Su^2=</t>
  </si>
  <si>
    <t>Su=</t>
  </si>
  <si>
    <t xml:space="preserve"> S =</t>
  </si>
  <si>
    <t>Sd =</t>
  </si>
  <si>
    <t>Sd^2=</t>
  </si>
  <si>
    <t>Question 6 (10 points)</t>
  </si>
  <si>
    <t>After period 1</t>
  </si>
  <si>
    <t>Question 7 (10 points)</t>
  </si>
  <si>
    <t>Calculate the Value of the Call and Put Option premiums using the Black Scholes Model and/or the Put Call Parity</t>
  </si>
  <si>
    <t>Standard Deviation  (σ) =</t>
  </si>
  <si>
    <t>Expiration (in years)  (T) =</t>
  </si>
  <si>
    <t>Risk-Free Rate (Annual) (i) =</t>
  </si>
  <si>
    <t>Dividend Yield (annual) (δ) =</t>
  </si>
  <si>
    <t>d1 =</t>
  </si>
  <si>
    <t>d2 =</t>
  </si>
  <si>
    <t>N(d1) =</t>
  </si>
  <si>
    <t>N(d2) =</t>
  </si>
  <si>
    <t>Call Premium =</t>
  </si>
  <si>
    <t>Put Premium =</t>
  </si>
  <si>
    <t>A2</t>
  </si>
  <si>
    <t>Interest Payment (LIBOR + 4.0%)</t>
  </si>
  <si>
    <t>Cu =</t>
  </si>
  <si>
    <t>Cd =</t>
  </si>
  <si>
    <t>STEP 1</t>
  </si>
  <si>
    <t>STEP 2</t>
  </si>
  <si>
    <t>Given the above information from Question 4, calculate the Call option using 1-period method 2 (probability method)</t>
  </si>
  <si>
    <t>Cu^2=</t>
  </si>
  <si>
    <t>Cud=</t>
  </si>
  <si>
    <t>Cd^2=</t>
  </si>
  <si>
    <t>Cu=</t>
  </si>
  <si>
    <t>Cd=</t>
  </si>
  <si>
    <t>C=</t>
  </si>
  <si>
    <t>Adjust it for Dividends</t>
  </si>
  <si>
    <t>p =</t>
  </si>
  <si>
    <t>Use this for the Terminal Value</t>
  </si>
  <si>
    <t>PREMIUM (S)</t>
  </si>
  <si>
    <t>ENTER NET PREMIUM</t>
  </si>
  <si>
    <t>Exercise</t>
  </si>
  <si>
    <t>Step 4 (remember to use (e) compounded)</t>
  </si>
  <si>
    <t>Odie, Anthony</t>
  </si>
  <si>
    <t>Loan Spread</t>
  </si>
  <si>
    <t>1-p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</si>
</sst>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"/>
    <numFmt numFmtId="167" formatCode="0.00\x"/>
    <numFmt numFmtId="168" formatCode="_(* #,##0_);_(* \(#,##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&quot;$&quot;0.0"/>
    <numFmt numFmtId="172" formatCode="0.0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/>
      <sz val="1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/>
    </xf>
    <xf numFmtId="44" fontId="16" fillId="0" borderId="0" xfId="2" applyNumberFormat="1" applyFont="1" applyBorder="1"/>
    <xf numFmtId="0" fontId="16" fillId="0" borderId="0" xfId="0" quotePrefix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4" fontId="6" fillId="0" borderId="0" xfId="3" applyNumberFormat="1" applyFont="1" applyFill="1" applyBorder="1"/>
    <xf numFmtId="0" fontId="17" fillId="0" borderId="0" xfId="0" applyFont="1"/>
    <xf numFmtId="165" fontId="0" fillId="4" borderId="5" xfId="0" applyNumberFormat="1" applyFill="1" applyBorder="1" applyAlignment="1">
      <alignment horizont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5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0" fontId="0" fillId="4" borderId="5" xfId="0" applyNumberFormat="1" applyFill="1" applyBorder="1" applyAlignment="1">
      <alignment horizontal="center"/>
    </xf>
    <xf numFmtId="166" fontId="0" fillId="0" borderId="0" xfId="0" applyNumberFormat="1"/>
    <xf numFmtId="9" fontId="0" fillId="4" borderId="5" xfId="0" applyNumberFormat="1" applyFill="1" applyBorder="1" applyAlignment="1">
      <alignment horizontal="center"/>
    </xf>
    <xf numFmtId="167" fontId="0" fillId="4" borderId="5" xfId="0" applyNumberFormat="1" applyFill="1" applyBorder="1" applyAlignment="1">
      <alignment horizontal="center"/>
    </xf>
    <xf numFmtId="0" fontId="18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quotePrefix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43" fontId="6" fillId="4" borderId="5" xfId="1" applyFont="1" applyFill="1" applyBorder="1"/>
    <xf numFmtId="10" fontId="6" fillId="4" borderId="6" xfId="3" applyNumberFormat="1" applyFont="1" applyFill="1" applyBorder="1"/>
    <xf numFmtId="165" fontId="13" fillId="0" borderId="5" xfId="3" applyNumberFormat="1" applyFont="1" applyBorder="1"/>
    <xf numFmtId="164" fontId="13" fillId="0" borderId="7" xfId="3" applyNumberFormat="1" applyFont="1" applyBorder="1"/>
    <xf numFmtId="10" fontId="13" fillId="0" borderId="5" xfId="3" applyNumberFormat="1" applyFont="1" applyBorder="1"/>
    <xf numFmtId="168" fontId="13" fillId="6" borderId="0" xfId="1" applyNumberFormat="1" applyFont="1" applyFill="1" applyBorder="1"/>
    <xf numFmtId="43" fontId="0" fillId="0" borderId="0" xfId="1" applyFont="1"/>
    <xf numFmtId="10" fontId="6" fillId="4" borderId="8" xfId="3" applyNumberFormat="1" applyFont="1" applyFill="1" applyBorder="1"/>
    <xf numFmtId="43" fontId="6" fillId="4" borderId="6" xfId="1" applyFont="1" applyFill="1" applyBorder="1"/>
    <xf numFmtId="164" fontId="13" fillId="7" borderId="1" xfId="3" applyNumberFormat="1" applyFont="1" applyFill="1" applyBorder="1"/>
    <xf numFmtId="43" fontId="6" fillId="4" borderId="9" xfId="1" applyFont="1" applyFill="1" applyBorder="1"/>
    <xf numFmtId="0" fontId="6" fillId="0" borderId="0" xfId="0" applyFont="1" applyBorder="1"/>
    <xf numFmtId="10" fontId="13" fillId="7" borderId="4" xfId="3" applyNumberFormat="1" applyFont="1" applyFill="1" applyBorder="1"/>
    <xf numFmtId="167" fontId="13" fillId="7" borderId="3" xfId="1" applyNumberFormat="1" applyFont="1" applyFill="1" applyBorder="1"/>
    <xf numFmtId="168" fontId="6" fillId="0" borderId="0" xfId="1" applyNumberFormat="1" applyFont="1" applyBorder="1"/>
    <xf numFmtId="168" fontId="13" fillId="0" borderId="5" xfId="1" applyNumberFormat="1" applyFont="1" applyBorder="1"/>
    <xf numFmtId="168" fontId="13" fillId="4" borderId="7" xfId="1" applyNumberFormat="1" applyFont="1" applyFill="1" applyBorder="1"/>
    <xf numFmtId="168" fontId="13" fillId="4" borderId="5" xfId="1" applyNumberFormat="1" applyFont="1" applyFill="1" applyBorder="1"/>
    <xf numFmtId="168" fontId="13" fillId="8" borderId="5" xfId="1" applyNumberFormat="1" applyFont="1" applyFill="1" applyBorder="1"/>
    <xf numFmtId="168" fontId="13" fillId="0" borderId="9" xfId="1" applyNumberFormat="1" applyFont="1" applyBorder="1"/>
    <xf numFmtId="43" fontId="6" fillId="4" borderId="0" xfId="1" applyFont="1" applyFill="1" applyBorder="1" applyAlignment="1"/>
    <xf numFmtId="0" fontId="0" fillId="4" borderId="0" xfId="0" applyFill="1" applyBorder="1" applyAlignment="1"/>
    <xf numFmtId="10" fontId="13" fillId="4" borderId="0" xfId="3" applyNumberFormat="1" applyFont="1" applyFill="1" applyBorder="1"/>
    <xf numFmtId="168" fontId="13" fillId="4" borderId="0" xfId="1" applyNumberFormat="1" applyFont="1" applyFill="1" applyBorder="1"/>
    <xf numFmtId="43" fontId="6" fillId="0" borderId="0" xfId="1" applyFont="1" applyFill="1" applyBorder="1"/>
    <xf numFmtId="43" fontId="13" fillId="0" borderId="0" xfId="1" applyFont="1" applyFill="1" applyBorder="1"/>
    <xf numFmtId="43" fontId="13" fillId="0" borderId="0" xfId="1" applyFont="1" applyBorder="1"/>
    <xf numFmtId="43" fontId="19" fillId="0" borderId="0" xfId="1" applyFont="1" applyFill="1"/>
    <xf numFmtId="43" fontId="6" fillId="0" borderId="0" xfId="1" applyFont="1" applyFill="1"/>
    <xf numFmtId="43" fontId="13" fillId="0" borderId="0" xfId="1" applyFont="1" applyFill="1"/>
    <xf numFmtId="168" fontId="13" fillId="0" borderId="14" xfId="1" applyNumberFormat="1" applyFont="1" applyBorder="1"/>
    <xf numFmtId="0" fontId="13" fillId="4" borderId="10" xfId="1" applyNumberFormat="1" applyFont="1" applyFill="1" applyBorder="1"/>
    <xf numFmtId="168" fontId="13" fillId="4" borderId="15" xfId="1" applyNumberFormat="1" applyFont="1" applyFill="1" applyBorder="1"/>
    <xf numFmtId="43" fontId="13" fillId="4" borderId="7" xfId="1" applyFont="1" applyFill="1" applyBorder="1"/>
    <xf numFmtId="168" fontId="13" fillId="0" borderId="7" xfId="1" applyNumberFormat="1" applyFont="1" applyBorder="1"/>
    <xf numFmtId="168" fontId="13" fillId="0" borderId="16" xfId="1" applyNumberFormat="1" applyFont="1" applyBorder="1"/>
    <xf numFmtId="0" fontId="20" fillId="0" borderId="0" xfId="0" applyFont="1"/>
    <xf numFmtId="165" fontId="6" fillId="0" borderId="0" xfId="3" applyNumberFormat="1" applyFont="1" applyBorder="1"/>
    <xf numFmtId="168" fontId="21" fillId="4" borderId="5" xfId="1" applyNumberFormat="1" applyFont="1" applyFill="1" applyBorder="1"/>
    <xf numFmtId="168" fontId="21" fillId="6" borderId="5" xfId="1" applyNumberFormat="1" applyFont="1" applyFill="1" applyBorder="1"/>
    <xf numFmtId="168" fontId="6" fillId="0" borderId="0" xfId="0" applyNumberFormat="1" applyFont="1" applyBorder="1"/>
    <xf numFmtId="168" fontId="21" fillId="6" borderId="17" xfId="1" applyNumberFormat="1" applyFont="1" applyFill="1" applyBorder="1"/>
    <xf numFmtId="168" fontId="13" fillId="0" borderId="17" xfId="1" applyNumberFormat="1" applyFont="1" applyBorder="1"/>
    <xf numFmtId="168" fontId="13" fillId="0" borderId="18" xfId="1" applyNumberFormat="1" applyFont="1" applyBorder="1"/>
    <xf numFmtId="168" fontId="6" fillId="0" borderId="6" xfId="1" applyNumberFormat="1" applyFont="1" applyBorder="1" applyAlignment="1"/>
    <xf numFmtId="168" fontId="6" fillId="0" borderId="10" xfId="1" applyNumberFormat="1" applyFont="1" applyBorder="1" applyAlignment="1"/>
    <xf numFmtId="168" fontId="0" fillId="0" borderId="7" xfId="1" applyNumberFormat="1" applyFont="1" applyBorder="1" applyAlignment="1"/>
    <xf numFmtId="168" fontId="6" fillId="0" borderId="7" xfId="1" applyNumberFormat="1" applyFont="1" applyBorder="1"/>
    <xf numFmtId="0" fontId="13" fillId="9" borderId="19" xfId="0" applyFont="1" applyFill="1" applyBorder="1" applyAlignment="1">
      <alignment horizontal="center"/>
    </xf>
    <xf numFmtId="43" fontId="13" fillId="0" borderId="0" xfId="1" applyFont="1"/>
    <xf numFmtId="168" fontId="13" fillId="0" borderId="20" xfId="1" applyNumberFormat="1" applyFont="1" applyBorder="1"/>
    <xf numFmtId="168" fontId="13" fillId="0" borderId="21" xfId="1" applyNumberFormat="1" applyFont="1" applyBorder="1"/>
    <xf numFmtId="168" fontId="13" fillId="0" borderId="6" xfId="1" applyNumberFormat="1" applyFont="1" applyBorder="1"/>
    <xf numFmtId="43" fontId="13" fillId="0" borderId="0" xfId="1" applyFont="1" applyAlignment="1">
      <alignment horizontal="left" vertical="center"/>
    </xf>
    <xf numFmtId="43" fontId="6" fillId="0" borderId="0" xfId="1" applyFont="1"/>
    <xf numFmtId="169" fontId="13" fillId="0" borderId="5" xfId="1" applyNumberFormat="1" applyFont="1" applyBorder="1" applyAlignment="1">
      <alignment horizontal="center"/>
    </xf>
    <xf numFmtId="43" fontId="13" fillId="0" borderId="0" xfId="1" applyFont="1" applyAlignment="1">
      <alignment horizontal="right"/>
    </xf>
    <xf numFmtId="168" fontId="13" fillId="0" borderId="9" xfId="1" applyNumberFormat="1" applyFont="1" applyBorder="1" applyAlignment="1">
      <alignment horizontal="right"/>
    </xf>
    <xf numFmtId="43" fontId="6" fillId="0" borderId="0" xfId="1" quotePrefix="1" applyFont="1"/>
    <xf numFmtId="43" fontId="15" fillId="0" borderId="0" xfId="1" applyFont="1" applyAlignment="1">
      <alignment horizontal="right"/>
    </xf>
    <xf numFmtId="168" fontId="15" fillId="7" borderId="4" xfId="1" applyNumberFormat="1" applyFont="1" applyFill="1" applyBorder="1"/>
    <xf numFmtId="0" fontId="16" fillId="0" borderId="0" xfId="0" applyFont="1"/>
    <xf numFmtId="0" fontId="16" fillId="0" borderId="0" xfId="0" applyFont="1" applyFill="1"/>
    <xf numFmtId="10" fontId="15" fillId="7" borderId="4" xfId="1" applyNumberFormat="1" applyFont="1" applyFill="1" applyBorder="1"/>
    <xf numFmtId="0" fontId="22" fillId="0" borderId="0" xfId="0" applyFont="1"/>
    <xf numFmtId="0" fontId="23" fillId="6" borderId="22" xfId="0" applyFont="1" applyFill="1" applyBorder="1" applyAlignment="1">
      <alignment horizontal="centerContinuous"/>
    </xf>
    <xf numFmtId="0" fontId="23" fillId="6" borderId="23" xfId="0" applyFont="1" applyFill="1" applyBorder="1" applyAlignment="1">
      <alignment horizontal="centerContinuous"/>
    </xf>
    <xf numFmtId="0" fontId="23" fillId="6" borderId="24" xfId="0" applyFont="1" applyFill="1" applyBorder="1" applyAlignment="1">
      <alignment horizontal="centerContinuous"/>
    </xf>
    <xf numFmtId="0" fontId="24" fillId="0" borderId="0" xfId="0" applyFont="1"/>
    <xf numFmtId="0" fontId="22" fillId="0" borderId="19" xfId="0" applyFont="1" applyBorder="1" applyAlignment="1">
      <alignment horizontal="center"/>
    </xf>
    <xf numFmtId="0" fontId="24" fillId="9" borderId="25" xfId="0" applyFont="1" applyFill="1" applyBorder="1" applyAlignment="1">
      <alignment horizontal="center"/>
    </xf>
    <xf numFmtId="0" fontId="24" fillId="9" borderId="17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center"/>
    </xf>
    <xf numFmtId="0" fontId="13" fillId="7" borderId="4" xfId="1" applyNumberFormat="1" applyFont="1" applyFill="1" applyBorder="1" applyAlignment="1">
      <alignment horizontal="center"/>
    </xf>
    <xf numFmtId="2" fontId="13" fillId="7" borderId="4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9" borderId="5" xfId="0" applyFont="1" applyFill="1" applyBorder="1" applyAlignment="1">
      <alignment horizontal="center"/>
    </xf>
    <xf numFmtId="0" fontId="28" fillId="9" borderId="5" xfId="0" applyFont="1" applyFill="1" applyBorder="1" applyAlignment="1">
      <alignment horizontal="center" wrapText="1"/>
    </xf>
    <xf numFmtId="0" fontId="29" fillId="2" borderId="5" xfId="0" applyFont="1" applyFill="1" applyBorder="1" applyAlignment="1">
      <alignment horizontal="center"/>
    </xf>
    <xf numFmtId="8" fontId="29" fillId="2" borderId="5" xfId="0" applyNumberFormat="1" applyFont="1" applyFill="1" applyBorder="1" applyAlignment="1">
      <alignment horizontal="center"/>
    </xf>
    <xf numFmtId="8" fontId="29" fillId="8" borderId="5" xfId="0" applyNumberFormat="1" applyFont="1" applyFill="1" applyBorder="1" applyAlignment="1">
      <alignment horizontal="center"/>
    </xf>
    <xf numFmtId="8" fontId="13" fillId="7" borderId="4" xfId="1" applyNumberFormat="1" applyFont="1" applyFill="1" applyBorder="1"/>
    <xf numFmtId="43" fontId="13" fillId="7" borderId="4" xfId="1" applyNumberFormat="1" applyFont="1" applyFill="1" applyBorder="1"/>
    <xf numFmtId="0" fontId="30" fillId="0" borderId="0" xfId="0" applyFont="1"/>
    <xf numFmtId="0" fontId="0" fillId="0" borderId="0" xfId="0" applyFont="1"/>
    <xf numFmtId="0" fontId="29" fillId="9" borderId="5" xfId="0" applyFont="1" applyFill="1" applyBorder="1" applyAlignment="1">
      <alignment horizontal="center" wrapText="1"/>
    </xf>
    <xf numFmtId="0" fontId="13" fillId="5" borderId="12" xfId="0" applyFont="1" applyFill="1" applyBorder="1"/>
    <xf numFmtId="0" fontId="13" fillId="5" borderId="17" xfId="0" applyFont="1" applyFill="1" applyBorder="1"/>
    <xf numFmtId="0" fontId="21" fillId="4" borderId="5" xfId="0" applyFont="1" applyFill="1" applyBorder="1" applyAlignment="1">
      <alignment horizontal="center"/>
    </xf>
    <xf numFmtId="10" fontId="21" fillId="4" borderId="5" xfId="0" applyNumberFormat="1" applyFont="1" applyFill="1" applyBorder="1" applyAlignment="1">
      <alignment horizontal="center"/>
    </xf>
    <xf numFmtId="0" fontId="13" fillId="5" borderId="0" xfId="0" applyFont="1" applyFill="1" applyBorder="1"/>
    <xf numFmtId="0" fontId="13" fillId="0" borderId="5" xfId="0" applyFont="1" applyBorder="1" applyAlignment="1">
      <alignment horizontal="right"/>
    </xf>
    <xf numFmtId="170" fontId="15" fillId="7" borderId="5" xfId="1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71" fontId="32" fillId="0" borderId="0" xfId="2" applyNumberFormat="1" applyFont="1" applyAlignment="1">
      <alignment horizontal="center"/>
    </xf>
    <xf numFmtId="44" fontId="3" fillId="0" borderId="0" xfId="2" applyFont="1"/>
    <xf numFmtId="167" fontId="32" fillId="0" borderId="0" xfId="0" applyNumberFormat="1" applyFont="1" applyAlignment="1">
      <alignment horizontal="center"/>
    </xf>
    <xf numFmtId="167" fontId="3" fillId="0" borderId="0" xfId="0" applyNumberFormat="1" applyFont="1"/>
    <xf numFmtId="10" fontId="32" fillId="0" borderId="0" xfId="0" applyNumberFormat="1" applyFont="1" applyAlignment="1">
      <alignment horizontal="center"/>
    </xf>
    <xf numFmtId="10" fontId="3" fillId="0" borderId="0" xfId="0" applyNumberFormat="1" applyFont="1"/>
    <xf numFmtId="0" fontId="32" fillId="0" borderId="0" xfId="0" applyFont="1" applyAlignment="1">
      <alignment horizontal="center"/>
    </xf>
    <xf numFmtId="0" fontId="3" fillId="0" borderId="0" xfId="0" applyFont="1"/>
    <xf numFmtId="0" fontId="33" fillId="0" borderId="0" xfId="0" applyFont="1" applyAlignment="1">
      <alignment horizontal="right"/>
    </xf>
    <xf numFmtId="0" fontId="33" fillId="0" borderId="0" xfId="0" applyFont="1"/>
    <xf numFmtId="43" fontId="3" fillId="0" borderId="0" xfId="1" applyFont="1"/>
    <xf numFmtId="0" fontId="4" fillId="6" borderId="12" xfId="0" applyFont="1" applyFill="1" applyBorder="1"/>
    <xf numFmtId="43" fontId="2" fillId="6" borderId="12" xfId="1" applyFont="1" applyFill="1" applyBorder="1"/>
    <xf numFmtId="0" fontId="0" fillId="2" borderId="0" xfId="0" applyFill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27" xfId="1" applyFont="1" applyFill="1" applyBorder="1"/>
    <xf numFmtId="43" fontId="3" fillId="10" borderId="0" xfId="1" applyFont="1" applyFill="1"/>
    <xf numFmtId="43" fontId="3" fillId="2" borderId="4" xfId="1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3" fillId="9" borderId="4" xfId="1" applyFont="1" applyFill="1" applyBorder="1"/>
    <xf numFmtId="0" fontId="0" fillId="0" borderId="0" xfId="0" applyBorder="1"/>
    <xf numFmtId="0" fontId="21" fillId="0" borderId="0" xfId="0" applyFont="1" applyFill="1" applyBorder="1"/>
    <xf numFmtId="172" fontId="15" fillId="7" borderId="5" xfId="0" quotePrefix="1" applyNumberFormat="1" applyFont="1" applyFill="1" applyBorder="1" applyAlignment="1">
      <alignment horizontal="center"/>
    </xf>
    <xf numFmtId="0" fontId="13" fillId="0" borderId="0" xfId="0" applyFont="1" applyBorder="1"/>
    <xf numFmtId="172" fontId="15" fillId="0" borderId="0" xfId="0" applyNumberFormat="1" applyFont="1" applyBorder="1" applyAlignment="1">
      <alignment horizontal="center"/>
    </xf>
    <xf numFmtId="2" fontId="15" fillId="7" borderId="5" xfId="0" quotePrefix="1" applyNumberFormat="1" applyFont="1" applyFill="1" applyBorder="1" applyAlignment="1">
      <alignment horizontal="center"/>
    </xf>
    <xf numFmtId="0" fontId="0" fillId="0" borderId="0" xfId="0" applyAlignment="1"/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6" borderId="29" xfId="0" applyFont="1" applyFill="1" applyBorder="1"/>
    <xf numFmtId="43" fontId="3" fillId="2" borderId="0" xfId="1" applyFont="1" applyFill="1" applyBorder="1" applyAlignment="1">
      <alignment horizontal="right"/>
    </xf>
    <xf numFmtId="43" fontId="3" fillId="9" borderId="4" xfId="1" applyFont="1" applyFill="1" applyBorder="1" applyAlignment="1">
      <alignment horizontal="right"/>
    </xf>
    <xf numFmtId="0" fontId="24" fillId="6" borderId="0" xfId="0" applyFont="1" applyFill="1"/>
    <xf numFmtId="2" fontId="21" fillId="4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right" vertical="center"/>
    </xf>
    <xf numFmtId="12" fontId="15" fillId="7" borderId="5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0" fontId="15" fillId="7" borderId="5" xfId="1" quotePrefix="1" applyNumberFormat="1" applyFont="1" applyFill="1" applyBorder="1" applyAlignment="1">
      <alignment horizontal="center" vertical="center"/>
    </xf>
    <xf numFmtId="43" fontId="3" fillId="2" borderId="0" xfId="1" applyFont="1" applyFill="1" applyAlignment="1">
      <alignment vertical="center"/>
    </xf>
    <xf numFmtId="43" fontId="3" fillId="2" borderId="0" xfId="1" applyFont="1" applyFill="1" applyAlignment="1">
      <alignment horizontal="right" vertical="center"/>
    </xf>
    <xf numFmtId="43" fontId="3" fillId="2" borderId="4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3" fillId="10" borderId="0" xfId="1" applyFont="1" applyFill="1" applyAlignment="1">
      <alignment vertical="center"/>
    </xf>
    <xf numFmtId="171" fontId="3" fillId="2" borderId="4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70" fontId="15" fillId="0" borderId="5" xfId="1" quotePrefix="1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8" fontId="29" fillId="2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167" fontId="13" fillId="0" borderId="0" xfId="1" applyNumberFormat="1" applyFont="1"/>
    <xf numFmtId="10" fontId="13" fillId="0" borderId="0" xfId="3" applyNumberFormat="1" applyFont="1"/>
    <xf numFmtId="164" fontId="0" fillId="0" borderId="0" xfId="0" applyNumberFormat="1"/>
    <xf numFmtId="171" fontId="3" fillId="2" borderId="4" xfId="1" applyNumberFormat="1" applyFont="1" applyFill="1" applyBorder="1"/>
    <xf numFmtId="43" fontId="13" fillId="7" borderId="19" xfId="1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6" xfId="0" applyFill="1" applyBorder="1" applyAlignment="1"/>
    <xf numFmtId="0" fontId="0" fillId="4" borderId="7" xfId="0" applyFill="1" applyBorder="1" applyAlignment="1"/>
    <xf numFmtId="0" fontId="29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8" fontId="29" fillId="8" borderId="14" xfId="0" applyNumberFormat="1" applyFont="1" applyFill="1" applyBorder="1" applyAlignment="1">
      <alignment horizontal="center" vertical="center"/>
    </xf>
    <xf numFmtId="8" fontId="29" fillId="2" borderId="14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3" fontId="6" fillId="0" borderId="5" xfId="1" applyFont="1" applyFill="1" applyBorder="1" applyAlignment="1"/>
    <xf numFmtId="0" fontId="0" fillId="0" borderId="5" xfId="0" applyBorder="1" applyAlignment="1"/>
    <xf numFmtId="43" fontId="13" fillId="0" borderId="6" xfId="1" applyFont="1" applyBorder="1" applyAlignment="1"/>
    <xf numFmtId="0" fontId="0" fillId="0" borderId="7" xfId="0" applyBorder="1" applyAlignment="1"/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168" fontId="6" fillId="0" borderId="6" xfId="1" applyNumberFormat="1" applyFont="1" applyBorder="1" applyAlignment="1"/>
    <xf numFmtId="168" fontId="0" fillId="0" borderId="10" xfId="1" applyNumberFormat="1" applyFont="1" applyBorder="1" applyAlignment="1"/>
    <xf numFmtId="168" fontId="0" fillId="0" borderId="7" xfId="1" applyNumberFormat="1" applyFont="1" applyBorder="1" applyAlignment="1"/>
    <xf numFmtId="168" fontId="6" fillId="0" borderId="10" xfId="1" applyNumberFormat="1" applyFont="1" applyBorder="1" applyAlignment="1"/>
    <xf numFmtId="168" fontId="13" fillId="0" borderId="11" xfId="1" applyNumberFormat="1" applyFont="1" applyBorder="1" applyAlignment="1"/>
    <xf numFmtId="168" fontId="13" fillId="0" borderId="12" xfId="1" applyNumberFormat="1" applyFont="1" applyBorder="1" applyAlignment="1"/>
    <xf numFmtId="168" fontId="0" fillId="0" borderId="15" xfId="1" applyNumberFormat="1" applyFont="1" applyBorder="1" applyAlignment="1"/>
    <xf numFmtId="168" fontId="6" fillId="0" borderId="6" xfId="1" applyNumberFormat="1" applyFont="1" applyFill="1" applyBorder="1" applyAlignment="1">
      <alignment vertical="center"/>
    </xf>
    <xf numFmtId="168" fontId="6" fillId="0" borderId="10" xfId="1" applyNumberFormat="1" applyFont="1" applyFill="1" applyBorder="1" applyAlignment="1">
      <alignment vertical="center"/>
    </xf>
    <xf numFmtId="168" fontId="13" fillId="0" borderId="6" xfId="1" applyNumberFormat="1" applyFont="1" applyBorder="1" applyAlignment="1"/>
    <xf numFmtId="168" fontId="13" fillId="0" borderId="10" xfId="1" applyNumberFormat="1" applyFont="1" applyBorder="1" applyAlignment="1"/>
    <xf numFmtId="0" fontId="6" fillId="0" borderId="0" xfId="0" applyFont="1" applyBorder="1" applyAlignment="1"/>
    <xf numFmtId="0" fontId="19" fillId="5" borderId="8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8" fontId="6" fillId="0" borderId="12" xfId="1" applyNumberFormat="1" applyFont="1" applyBorder="1" applyAlignment="1"/>
    <xf numFmtId="43" fontId="6" fillId="4" borderId="11" xfId="1" applyFont="1" applyFill="1" applyBorder="1" applyAlignment="1"/>
    <xf numFmtId="0" fontId="0" fillId="4" borderId="12" xfId="0" applyFill="1" applyBorder="1" applyAlignment="1"/>
    <xf numFmtId="43" fontId="6" fillId="4" borderId="6" xfId="1" applyFont="1" applyFill="1" applyBorder="1" applyAlignment="1"/>
    <xf numFmtId="0" fontId="0" fillId="4" borderId="10" xfId="0" applyFill="1" applyBorder="1" applyAlignment="1"/>
    <xf numFmtId="43" fontId="19" fillId="0" borderId="12" xfId="1" applyFont="1" applyFill="1" applyBorder="1" applyAlignment="1"/>
    <xf numFmtId="0" fontId="0" fillId="0" borderId="12" xfId="0" applyFill="1" applyBorder="1" applyAlignment="1"/>
    <xf numFmtId="43" fontId="6" fillId="4" borderId="10" xfId="1" applyFont="1" applyFill="1" applyBorder="1" applyAlignment="1"/>
    <xf numFmtId="0" fontId="19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168" fontId="6" fillId="4" borderId="6" xfId="1" applyNumberFormat="1" applyFont="1" applyFill="1" applyBorder="1" applyAlignment="1"/>
    <xf numFmtId="168" fontId="6" fillId="4" borderId="7" xfId="1" applyNumberFormat="1" applyFont="1" applyFill="1" applyBorder="1" applyAlignment="1"/>
    <xf numFmtId="168" fontId="13" fillId="4" borderId="6" xfId="1" applyNumberFormat="1" applyFont="1" applyFill="1" applyBorder="1" applyAlignment="1"/>
    <xf numFmtId="0" fontId="0" fillId="4" borderId="5" xfId="0" applyFill="1" applyBorder="1" applyAlignment="1"/>
    <xf numFmtId="0" fontId="19" fillId="5" borderId="5" xfId="0" applyFont="1" applyFill="1" applyBorder="1" applyAlignment="1"/>
    <xf numFmtId="43" fontId="19" fillId="0" borderId="0" xfId="1" applyFont="1" applyBorder="1" applyAlignment="1"/>
    <xf numFmtId="0" fontId="0" fillId="0" borderId="0" xfId="0" applyBorder="1" applyAlignment="1"/>
    <xf numFmtId="43" fontId="6" fillId="4" borderId="5" xfId="1" applyFont="1" applyFill="1" applyBorder="1" applyAlignment="1"/>
    <xf numFmtId="43" fontId="6" fillId="4" borderId="12" xfId="1" applyFont="1" applyFill="1" applyBorder="1" applyAlignment="1"/>
    <xf numFmtId="43" fontId="6" fillId="4" borderId="8" xfId="1" applyFont="1" applyFill="1" applyBorder="1" applyAlignment="1"/>
    <xf numFmtId="0" fontId="0" fillId="4" borderId="13" xfId="0" applyFill="1" applyBorder="1" applyAlignment="1"/>
    <xf numFmtId="0" fontId="7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430530</xdr:colOff>
      <xdr:row>77</xdr:row>
      <xdr:rowOff>11430</xdr:rowOff>
    </xdr:from>
    <xdr:to>
      <xdr:col>3</xdr:col>
      <xdr:colOff>441960</xdr:colOff>
      <xdr:row>79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1C12BFD-1838-49AB-86EC-61AA82963A56}"/>
            </a:ext>
          </a:extLst>
        </xdr:cNvPr>
        <xdr:cNvSpPr>
          <a:spLocks noChangeShapeType="1"/>
        </xdr:cNvSpPr>
      </xdr:nvSpPr>
      <xdr:spPr bwMode="auto">
        <a:xfrm flipH="1">
          <a:off x="4879763" y="19734530"/>
          <a:ext cx="11430" cy="788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77</xdr:row>
      <xdr:rowOff>19050</xdr:rowOff>
    </xdr:from>
    <xdr:to>
      <xdr:col>4</xdr:col>
      <xdr:colOff>361950</xdr:colOff>
      <xdr:row>80</xdr:row>
      <xdr:rowOff>171450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EFDC499-2BA5-450E-98E7-638ADABEA0B9}"/>
            </a:ext>
          </a:extLst>
        </xdr:cNvPr>
        <xdr:cNvSpPr>
          <a:spLocks noChangeShapeType="1"/>
        </xdr:cNvSpPr>
      </xdr:nvSpPr>
      <xdr:spPr bwMode="auto">
        <a:xfrm>
          <a:off x="5594350" y="19742150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411480</xdr:colOff>
      <xdr:row>77</xdr:row>
      <xdr:rowOff>19050</xdr:rowOff>
    </xdr:from>
    <xdr:to>
      <xdr:col>5</xdr:col>
      <xdr:colOff>411480</xdr:colOff>
      <xdr:row>81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3928271-031B-48AE-824B-84F7C670D914}"/>
            </a:ext>
          </a:extLst>
        </xdr:cNvPr>
        <xdr:cNvSpPr>
          <a:spLocks noChangeShapeType="1"/>
        </xdr:cNvSpPr>
      </xdr:nvSpPr>
      <xdr:spPr bwMode="auto">
        <a:xfrm>
          <a:off x="6499013" y="19742150"/>
          <a:ext cx="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</xdr:colOff>
      <xdr:row>79</xdr:row>
      <xdr:rowOff>190500</xdr:rowOff>
    </xdr:from>
    <xdr:to>
      <xdr:col>3</xdr:col>
      <xdr:colOff>422910</xdr:colOff>
      <xdr:row>79</xdr:row>
      <xdr:rowOff>190500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C6DA0F2C-1F6A-4983-A58A-3559FFCC512A}"/>
            </a:ext>
          </a:extLst>
        </xdr:cNvPr>
        <xdr:cNvSpPr>
          <a:spLocks noChangeShapeType="1"/>
        </xdr:cNvSpPr>
      </xdr:nvSpPr>
      <xdr:spPr bwMode="auto">
        <a:xfrm flipH="1">
          <a:off x="3084830" y="20523200"/>
          <a:ext cx="17873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163830</xdr:rowOff>
    </xdr:from>
    <xdr:to>
      <xdr:col>4</xdr:col>
      <xdr:colOff>361950</xdr:colOff>
      <xdr:row>80</xdr:row>
      <xdr:rowOff>163830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BC26E14D-A5B3-4D63-A323-D231D1A5EA86}"/>
            </a:ext>
          </a:extLst>
        </xdr:cNvPr>
        <xdr:cNvSpPr>
          <a:spLocks noChangeShapeType="1"/>
        </xdr:cNvSpPr>
      </xdr:nvSpPr>
      <xdr:spPr bwMode="auto">
        <a:xfrm flipH="1">
          <a:off x="3073400" y="20801330"/>
          <a:ext cx="2520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</xdr:colOff>
      <xdr:row>81</xdr:row>
      <xdr:rowOff>133350</xdr:rowOff>
    </xdr:from>
    <xdr:to>
      <xdr:col>5</xdr:col>
      <xdr:colOff>411480</xdr:colOff>
      <xdr:row>81</xdr:row>
      <xdr:rowOff>133350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EFA72FE9-D361-463A-AEC4-B77377FE6F56}"/>
            </a:ext>
          </a:extLst>
        </xdr:cNvPr>
        <xdr:cNvSpPr>
          <a:spLocks noChangeShapeType="1"/>
        </xdr:cNvSpPr>
      </xdr:nvSpPr>
      <xdr:spPr bwMode="auto">
        <a:xfrm flipH="1" flipV="1">
          <a:off x="3084830" y="21075650"/>
          <a:ext cx="341418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430530</xdr:colOff>
      <xdr:row>77</xdr:row>
      <xdr:rowOff>11430</xdr:rowOff>
    </xdr:from>
    <xdr:to>
      <xdr:col>3</xdr:col>
      <xdr:colOff>441960</xdr:colOff>
      <xdr:row>79</xdr:row>
      <xdr:rowOff>190500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94B0B14F-8F9B-40A5-AE5D-25389251681D}"/>
            </a:ext>
          </a:extLst>
        </xdr:cNvPr>
        <xdr:cNvSpPr>
          <a:spLocks noChangeShapeType="1"/>
        </xdr:cNvSpPr>
      </xdr:nvSpPr>
      <xdr:spPr bwMode="auto">
        <a:xfrm flipH="1">
          <a:off x="4879763" y="19734530"/>
          <a:ext cx="11430" cy="788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77</xdr:row>
      <xdr:rowOff>19050</xdr:rowOff>
    </xdr:from>
    <xdr:to>
      <xdr:col>4</xdr:col>
      <xdr:colOff>361950</xdr:colOff>
      <xdr:row>80</xdr:row>
      <xdr:rowOff>171450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12DF1B9-1BE1-4B97-9C25-9A043177156D}"/>
            </a:ext>
          </a:extLst>
        </xdr:cNvPr>
        <xdr:cNvSpPr>
          <a:spLocks noChangeShapeType="1"/>
        </xdr:cNvSpPr>
      </xdr:nvSpPr>
      <xdr:spPr bwMode="auto">
        <a:xfrm>
          <a:off x="5594350" y="19742150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411480</xdr:colOff>
      <xdr:row>77</xdr:row>
      <xdr:rowOff>19050</xdr:rowOff>
    </xdr:from>
    <xdr:to>
      <xdr:col>5</xdr:col>
      <xdr:colOff>411480</xdr:colOff>
      <xdr:row>81</xdr:row>
      <xdr:rowOff>152400</xdr:rowOff>
    </xdr:to>
    <xdr:sp macro="" textlink="">
      <xdr:nvSpPr>
        <xdr:cNvPr id="35" name="Line 3">
          <a:extLst>
            <a:ext uri="{FF2B5EF4-FFF2-40B4-BE49-F238E27FC236}">
              <a16:creationId xmlns:a16="http://schemas.microsoft.com/office/drawing/2014/main" id="{98A082E3-F2CB-4CB2-A84D-5A27AE3EE38D}"/>
            </a:ext>
          </a:extLst>
        </xdr:cNvPr>
        <xdr:cNvSpPr>
          <a:spLocks noChangeShapeType="1"/>
        </xdr:cNvSpPr>
      </xdr:nvSpPr>
      <xdr:spPr bwMode="auto">
        <a:xfrm>
          <a:off x="6499013" y="19742150"/>
          <a:ext cx="0" cy="1352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</xdr:colOff>
      <xdr:row>79</xdr:row>
      <xdr:rowOff>190500</xdr:rowOff>
    </xdr:from>
    <xdr:to>
      <xdr:col>3</xdr:col>
      <xdr:colOff>422910</xdr:colOff>
      <xdr:row>79</xdr:row>
      <xdr:rowOff>190500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B7ADE957-24C2-42A8-A3D4-21742D6C8293}"/>
            </a:ext>
          </a:extLst>
        </xdr:cNvPr>
        <xdr:cNvSpPr>
          <a:spLocks noChangeShapeType="1"/>
        </xdr:cNvSpPr>
      </xdr:nvSpPr>
      <xdr:spPr bwMode="auto">
        <a:xfrm flipH="1">
          <a:off x="3084830" y="20523200"/>
          <a:ext cx="17873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163830</xdr:rowOff>
    </xdr:from>
    <xdr:to>
      <xdr:col>4</xdr:col>
      <xdr:colOff>361950</xdr:colOff>
      <xdr:row>80</xdr:row>
      <xdr:rowOff>163830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51AE3CCA-0DB9-4FFE-B73C-C07A58EBCD06}"/>
            </a:ext>
          </a:extLst>
        </xdr:cNvPr>
        <xdr:cNvSpPr>
          <a:spLocks noChangeShapeType="1"/>
        </xdr:cNvSpPr>
      </xdr:nvSpPr>
      <xdr:spPr bwMode="auto">
        <a:xfrm flipH="1">
          <a:off x="3073400" y="20801330"/>
          <a:ext cx="2520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</xdr:colOff>
      <xdr:row>81</xdr:row>
      <xdr:rowOff>133350</xdr:rowOff>
    </xdr:from>
    <xdr:to>
      <xdr:col>5</xdr:col>
      <xdr:colOff>411480</xdr:colOff>
      <xdr:row>81</xdr:row>
      <xdr:rowOff>133350</xdr:rowOff>
    </xdr:to>
    <xdr:sp macro="" textlink="">
      <xdr:nvSpPr>
        <xdr:cNvPr id="38" name="Line 7">
          <a:extLst>
            <a:ext uri="{FF2B5EF4-FFF2-40B4-BE49-F238E27FC236}">
              <a16:creationId xmlns:a16="http://schemas.microsoft.com/office/drawing/2014/main" id="{28321179-31F1-4568-9AC7-1DD7558425A9}"/>
            </a:ext>
          </a:extLst>
        </xdr:cNvPr>
        <xdr:cNvSpPr>
          <a:spLocks noChangeShapeType="1"/>
        </xdr:cNvSpPr>
      </xdr:nvSpPr>
      <xdr:spPr bwMode="auto">
        <a:xfrm flipH="1" flipV="1">
          <a:off x="3084830" y="21075650"/>
          <a:ext cx="341418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C0235E87-5C80-4862-93CE-65ABCAD692A5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EC4049DB-80CE-41F0-A638-6CD65089195A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F0861471-C05A-42DF-A8FE-68C1B79F5065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171</xdr:row>
      <xdr:rowOff>104775</xdr:rowOff>
    </xdr:from>
    <xdr:to>
      <xdr:col>5</xdr:col>
      <xdr:colOff>19050</xdr:colOff>
      <xdr:row>172</xdr:row>
      <xdr:rowOff>19050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F35C01EB-15F0-4713-B63B-C4325E22A33F}"/>
            </a:ext>
          </a:extLst>
        </xdr:cNvPr>
        <xdr:cNvCxnSpPr/>
      </xdr:nvCxnSpPr>
      <xdr:spPr>
        <a:xfrm flipV="1">
          <a:off x="5232400" y="44233042"/>
          <a:ext cx="874183" cy="1005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EB6C2424-7280-46A3-AC10-C6F2CE438FE6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FA8951DA-E98A-44D0-AE0D-92C4CBF6A54D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E78164ED-A42B-4409-B9C9-B72710B2A389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8BDE5EB4-A512-4FD4-82A8-FEFDADDA7B29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171</xdr:row>
      <xdr:rowOff>104775</xdr:rowOff>
    </xdr:from>
    <xdr:to>
      <xdr:col>5</xdr:col>
      <xdr:colOff>19050</xdr:colOff>
      <xdr:row>172</xdr:row>
      <xdr:rowOff>19050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7332651B-ED67-42E3-8157-A0E017B61F7E}"/>
            </a:ext>
          </a:extLst>
        </xdr:cNvPr>
        <xdr:cNvCxnSpPr/>
      </xdr:nvCxnSpPr>
      <xdr:spPr>
        <a:xfrm flipV="1">
          <a:off x="5232400" y="44233042"/>
          <a:ext cx="874183" cy="1005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51D544D6-6F8C-44E6-81B9-0E81F2D71AFA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528194</xdr:colOff>
      <xdr:row>166</xdr:row>
      <xdr:rowOff>107132</xdr:rowOff>
    </xdr:from>
    <xdr:to>
      <xdr:col>7</xdr:col>
      <xdr:colOff>432095</xdr:colOff>
      <xdr:row>166</xdr:row>
      <xdr:rowOff>116657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933C6B6A-A2A3-4247-A3CC-643463BE63C1}"/>
            </a:ext>
          </a:extLst>
        </xdr:cNvPr>
        <xdr:cNvCxnSpPr/>
      </xdr:nvCxnSpPr>
      <xdr:spPr>
        <a:xfrm flipV="1">
          <a:off x="7470861" y="43304065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550752</xdr:colOff>
      <xdr:row>174</xdr:row>
      <xdr:rowOff>101003</xdr:rowOff>
    </xdr:from>
    <xdr:to>
      <xdr:col>7</xdr:col>
      <xdr:colOff>454653</xdr:colOff>
      <xdr:row>174</xdr:row>
      <xdr:rowOff>110528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81D8948F-7746-42D3-8FDF-5F53AF4C06E7}"/>
            </a:ext>
          </a:extLst>
        </xdr:cNvPr>
        <xdr:cNvCxnSpPr/>
      </xdr:nvCxnSpPr>
      <xdr:spPr>
        <a:xfrm flipV="1">
          <a:off x="7493419" y="44788070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573461</xdr:colOff>
      <xdr:row>170</xdr:row>
      <xdr:rowOff>152400</xdr:rowOff>
    </xdr:from>
    <xdr:to>
      <xdr:col>7</xdr:col>
      <xdr:colOff>477362</xdr:colOff>
      <xdr:row>170</xdr:row>
      <xdr:rowOff>161925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id="{5FFB4FBC-BBE2-4334-91C6-58249233CD2B}"/>
            </a:ext>
          </a:extLst>
        </xdr:cNvPr>
        <xdr:cNvCxnSpPr/>
      </xdr:nvCxnSpPr>
      <xdr:spPr>
        <a:xfrm flipV="1">
          <a:off x="7516128" y="44094400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A01CEA8D-AD32-498B-87BB-C51625AD569C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6F301419-3D06-4CC3-9888-28BF929079E5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id="{3A374546-C633-4E1D-B775-4399ECF3C445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171</xdr:row>
      <xdr:rowOff>104775</xdr:rowOff>
    </xdr:from>
    <xdr:to>
      <xdr:col>5</xdr:col>
      <xdr:colOff>19050</xdr:colOff>
      <xdr:row>172</xdr:row>
      <xdr:rowOff>19050</xdr:rowOff>
    </xdr:to>
    <xdr:cxnSp macro="">
      <xdr:nvCxnSpPr>
        <xdr:cNvPr id="96" name="Straight Arrow Connector 95">
          <a:extLst>
            <a:ext uri="{FF2B5EF4-FFF2-40B4-BE49-F238E27FC236}">
              <a16:creationId xmlns:a16="http://schemas.microsoft.com/office/drawing/2014/main" id="{975FB7DE-E65D-40C6-BF52-D24D3E4ED3AD}"/>
            </a:ext>
          </a:extLst>
        </xdr:cNvPr>
        <xdr:cNvCxnSpPr/>
      </xdr:nvCxnSpPr>
      <xdr:spPr>
        <a:xfrm flipV="1">
          <a:off x="5232400" y="44233042"/>
          <a:ext cx="874183" cy="1005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97" name="Straight Arrow Connector 96">
          <a:extLst>
            <a:ext uri="{FF2B5EF4-FFF2-40B4-BE49-F238E27FC236}">
              <a16:creationId xmlns:a16="http://schemas.microsoft.com/office/drawing/2014/main" id="{7D27477A-1FCC-4B34-9FD8-DE84A2EE48BA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</xdr:colOff>
      <xdr:row>166</xdr:row>
      <xdr:rowOff>151341</xdr:rowOff>
    </xdr:from>
    <xdr:to>
      <xdr:col>6</xdr:col>
      <xdr:colOff>336550</xdr:colOff>
      <xdr:row>170</xdr:row>
      <xdr:rowOff>141816</xdr:rowOff>
    </xdr:to>
    <xdr:sp macro="" textlink="">
      <xdr:nvSpPr>
        <xdr:cNvPr id="99" name="Right Brace 98">
          <a:extLst>
            <a:ext uri="{FF2B5EF4-FFF2-40B4-BE49-F238E27FC236}">
              <a16:creationId xmlns:a16="http://schemas.microsoft.com/office/drawing/2014/main" id="{BE1F4FDB-367A-4EE3-B4B7-ECAC7339CE10}"/>
            </a:ext>
          </a:extLst>
        </xdr:cNvPr>
        <xdr:cNvSpPr/>
      </xdr:nvSpPr>
      <xdr:spPr>
        <a:xfrm>
          <a:off x="6945842" y="40698208"/>
          <a:ext cx="333375" cy="735541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100" name="Straight Arrow Connector 99">
          <a:extLst>
            <a:ext uri="{FF2B5EF4-FFF2-40B4-BE49-F238E27FC236}">
              <a16:creationId xmlns:a16="http://schemas.microsoft.com/office/drawing/2014/main" id="{6E1604E7-75CB-4183-BBC7-A9C816037703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172</xdr:row>
      <xdr:rowOff>180975</xdr:rowOff>
    </xdr:from>
    <xdr:to>
      <xdr:col>4</xdr:col>
      <xdr:colOff>770467</xdr:colOff>
      <xdr:row>174</xdr:row>
      <xdr:rowOff>33867</xdr:rowOff>
    </xdr:to>
    <xdr:cxnSp macro="">
      <xdr:nvCxnSpPr>
        <xdr:cNvPr id="101" name="Straight Arrow Connector 100">
          <a:extLst>
            <a:ext uri="{FF2B5EF4-FFF2-40B4-BE49-F238E27FC236}">
              <a16:creationId xmlns:a16="http://schemas.microsoft.com/office/drawing/2014/main" id="{C163A261-01F1-4232-9798-D283F5255F72}"/>
            </a:ext>
          </a:extLst>
        </xdr:cNvPr>
        <xdr:cNvCxnSpPr/>
      </xdr:nvCxnSpPr>
      <xdr:spPr>
        <a:xfrm>
          <a:off x="5241925" y="42573575"/>
          <a:ext cx="760942" cy="43709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102" name="Straight Arrow Connector 101">
          <a:extLst>
            <a:ext uri="{FF2B5EF4-FFF2-40B4-BE49-F238E27FC236}">
              <a16:creationId xmlns:a16="http://schemas.microsoft.com/office/drawing/2014/main" id="{51181D1E-0B31-4A1A-8EC7-445C605E1C92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69484</xdr:colOff>
      <xdr:row>168</xdr:row>
      <xdr:rowOff>253551</xdr:rowOff>
    </xdr:from>
    <xdr:to>
      <xdr:col>2</xdr:col>
      <xdr:colOff>1022035</xdr:colOff>
      <xdr:row>169</xdr:row>
      <xdr:rowOff>263075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A54A9E5A-2237-4C6D-876B-0C16B5F11343}"/>
            </a:ext>
          </a:extLst>
        </xdr:cNvPr>
        <xdr:cNvCxnSpPr/>
      </xdr:nvCxnSpPr>
      <xdr:spPr>
        <a:xfrm flipV="1">
          <a:off x="3142884" y="41477751"/>
          <a:ext cx="952551" cy="3016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71841</xdr:colOff>
      <xdr:row>171</xdr:row>
      <xdr:rowOff>41495</xdr:rowOff>
    </xdr:from>
    <xdr:to>
      <xdr:col>2</xdr:col>
      <xdr:colOff>952500</xdr:colOff>
      <xdr:row>172</xdr:row>
      <xdr:rowOff>76200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D4D70D24-7124-4A59-BE8F-AE2F4334B585}"/>
            </a:ext>
          </a:extLst>
        </xdr:cNvPr>
        <xdr:cNvCxnSpPr/>
      </xdr:nvCxnSpPr>
      <xdr:spPr>
        <a:xfrm>
          <a:off x="3145241" y="42141995"/>
          <a:ext cx="880659" cy="32680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167</xdr:row>
      <xdr:rowOff>0</xdr:rowOff>
    </xdr:from>
    <xdr:to>
      <xdr:col>5</xdr:col>
      <xdr:colOff>9525</xdr:colOff>
      <xdr:row>168</xdr:row>
      <xdr:rowOff>9524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80E7640C-5192-4D5F-AFA1-E082C557499B}"/>
            </a:ext>
          </a:extLst>
        </xdr:cNvPr>
        <xdr:cNvCxnSpPr/>
      </xdr:nvCxnSpPr>
      <xdr:spPr>
        <a:xfrm flipV="1">
          <a:off x="5232400" y="43383200"/>
          <a:ext cx="864658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171</xdr:row>
      <xdr:rowOff>104775</xdr:rowOff>
    </xdr:from>
    <xdr:to>
      <xdr:col>5</xdr:col>
      <xdr:colOff>19050</xdr:colOff>
      <xdr:row>172</xdr:row>
      <xdr:rowOff>19050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D73F693A-D27E-4AAE-9C65-DD3F47E4CEC3}"/>
            </a:ext>
          </a:extLst>
        </xdr:cNvPr>
        <xdr:cNvCxnSpPr/>
      </xdr:nvCxnSpPr>
      <xdr:spPr>
        <a:xfrm flipV="1">
          <a:off x="5232400" y="44233042"/>
          <a:ext cx="874183" cy="10054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169</xdr:row>
      <xdr:rowOff>0</xdr:rowOff>
    </xdr:from>
    <xdr:to>
      <xdr:col>5</xdr:col>
      <xdr:colOff>57150</xdr:colOff>
      <xdr:row>170</xdr:row>
      <xdr:rowOff>0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F389E7-BA59-446F-8F56-12726B5B35BF}"/>
            </a:ext>
          </a:extLst>
        </xdr:cNvPr>
        <xdr:cNvCxnSpPr/>
      </xdr:nvCxnSpPr>
      <xdr:spPr>
        <a:xfrm>
          <a:off x="5232400" y="43755733"/>
          <a:ext cx="912283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</xdr:colOff>
      <xdr:row>170</xdr:row>
      <xdr:rowOff>149225</xdr:rowOff>
    </xdr:from>
    <xdr:to>
      <xdr:col>6</xdr:col>
      <xdr:colOff>358775</xdr:colOff>
      <xdr:row>174</xdr:row>
      <xdr:rowOff>139700</xdr:rowOff>
    </xdr:to>
    <xdr:sp macro="" textlink="">
      <xdr:nvSpPr>
        <xdr:cNvPr id="110" name="Right Brace 109">
          <a:extLst>
            <a:ext uri="{FF2B5EF4-FFF2-40B4-BE49-F238E27FC236}">
              <a16:creationId xmlns:a16="http://schemas.microsoft.com/office/drawing/2014/main" id="{116EE369-A7D4-4FDC-8A7E-B74E5BE809CB}"/>
            </a:ext>
          </a:extLst>
        </xdr:cNvPr>
        <xdr:cNvSpPr/>
      </xdr:nvSpPr>
      <xdr:spPr>
        <a:xfrm>
          <a:off x="6968067" y="41441158"/>
          <a:ext cx="333375" cy="73554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528194</xdr:colOff>
      <xdr:row>166</xdr:row>
      <xdr:rowOff>107132</xdr:rowOff>
    </xdr:from>
    <xdr:to>
      <xdr:col>7</xdr:col>
      <xdr:colOff>432095</xdr:colOff>
      <xdr:row>166</xdr:row>
      <xdr:rowOff>116657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27EF813C-76BF-43FE-AAAB-55EE4E6F8BA1}"/>
            </a:ext>
          </a:extLst>
        </xdr:cNvPr>
        <xdr:cNvCxnSpPr/>
      </xdr:nvCxnSpPr>
      <xdr:spPr>
        <a:xfrm flipV="1">
          <a:off x="7470861" y="43304065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550752</xdr:colOff>
      <xdr:row>174</xdr:row>
      <xdr:rowOff>101003</xdr:rowOff>
    </xdr:from>
    <xdr:to>
      <xdr:col>7</xdr:col>
      <xdr:colOff>454653</xdr:colOff>
      <xdr:row>174</xdr:row>
      <xdr:rowOff>110528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D37311DA-B007-40AB-A445-7A2363B074CB}"/>
            </a:ext>
          </a:extLst>
        </xdr:cNvPr>
        <xdr:cNvCxnSpPr/>
      </xdr:nvCxnSpPr>
      <xdr:spPr>
        <a:xfrm flipV="1">
          <a:off x="7493419" y="44788070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573461</xdr:colOff>
      <xdr:row>170</xdr:row>
      <xdr:rowOff>152400</xdr:rowOff>
    </xdr:from>
    <xdr:to>
      <xdr:col>7</xdr:col>
      <xdr:colOff>477362</xdr:colOff>
      <xdr:row>170</xdr:row>
      <xdr:rowOff>161925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A35BCEDA-FC12-434A-9CCA-08401B134E96}"/>
            </a:ext>
          </a:extLst>
        </xdr:cNvPr>
        <xdr:cNvCxnSpPr/>
      </xdr:nvCxnSpPr>
      <xdr:spPr>
        <a:xfrm flipV="1">
          <a:off x="7516128" y="44094400"/>
          <a:ext cx="83100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480117</xdr:colOff>
      <xdr:row>130</xdr:row>
      <xdr:rowOff>160418</xdr:rowOff>
    </xdr:from>
    <xdr:to>
      <xdr:col>6</xdr:col>
      <xdr:colOff>539435</xdr:colOff>
      <xdr:row>131</xdr:row>
      <xdr:rowOff>169942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61D4117C-FFD5-4051-BDE9-8B20E90A5AE0}"/>
            </a:ext>
          </a:extLst>
        </xdr:cNvPr>
        <xdr:cNvCxnSpPr/>
      </xdr:nvCxnSpPr>
      <xdr:spPr>
        <a:xfrm flipV="1">
          <a:off x="6567650" y="32397251"/>
          <a:ext cx="914452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520574</xdr:colOff>
      <xdr:row>133</xdr:row>
      <xdr:rowOff>41495</xdr:rowOff>
    </xdr:from>
    <xdr:to>
      <xdr:col>6</xdr:col>
      <xdr:colOff>607713</xdr:colOff>
      <xdr:row>133</xdr:row>
      <xdr:rowOff>169753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EFC4AE64-F610-4D05-859D-09485B39EF8D}"/>
            </a:ext>
          </a:extLst>
        </xdr:cNvPr>
        <xdr:cNvCxnSpPr/>
      </xdr:nvCxnSpPr>
      <xdr:spPr>
        <a:xfrm>
          <a:off x="6608107" y="32837128"/>
          <a:ext cx="942273" cy="12825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480117</xdr:colOff>
      <xdr:row>130</xdr:row>
      <xdr:rowOff>160418</xdr:rowOff>
    </xdr:from>
    <xdr:to>
      <xdr:col>6</xdr:col>
      <xdr:colOff>539435</xdr:colOff>
      <xdr:row>131</xdr:row>
      <xdr:rowOff>169942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70CA74DA-C4AE-4050-89A3-FB7DA52D8D1A}"/>
            </a:ext>
          </a:extLst>
        </xdr:cNvPr>
        <xdr:cNvCxnSpPr/>
      </xdr:nvCxnSpPr>
      <xdr:spPr>
        <a:xfrm flipV="1">
          <a:off x="6567650" y="32397251"/>
          <a:ext cx="914452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520574</xdr:colOff>
      <xdr:row>133</xdr:row>
      <xdr:rowOff>41495</xdr:rowOff>
    </xdr:from>
    <xdr:to>
      <xdr:col>6</xdr:col>
      <xdr:colOff>607713</xdr:colOff>
      <xdr:row>133</xdr:row>
      <xdr:rowOff>169753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C6C5E309-1ACB-4219-A4BE-6ECF56CDDA6A}"/>
            </a:ext>
          </a:extLst>
        </xdr:cNvPr>
        <xdr:cNvCxnSpPr/>
      </xdr:nvCxnSpPr>
      <xdr:spPr>
        <a:xfrm>
          <a:off x="6608107" y="32837128"/>
          <a:ext cx="942273" cy="128258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11728</xdr:colOff>
      <xdr:row>130</xdr:row>
      <xdr:rowOff>90198</xdr:rowOff>
    </xdr:from>
    <xdr:to>
      <xdr:col>9</xdr:col>
      <xdr:colOff>38396</xdr:colOff>
      <xdr:row>130</xdr:row>
      <xdr:rowOff>99723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40ECA361-9A9E-4FE2-8D3A-AE648128BD52}"/>
            </a:ext>
          </a:extLst>
        </xdr:cNvPr>
        <xdr:cNvCxnSpPr/>
      </xdr:nvCxnSpPr>
      <xdr:spPr>
        <a:xfrm flipV="1">
          <a:off x="8702761" y="32327031"/>
          <a:ext cx="737868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38519</xdr:colOff>
      <xdr:row>134</xdr:row>
      <xdr:rowOff>84070</xdr:rowOff>
    </xdr:from>
    <xdr:to>
      <xdr:col>9</xdr:col>
      <xdr:colOff>65187</xdr:colOff>
      <xdr:row>134</xdr:row>
      <xdr:rowOff>93595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591DB81A-EDBC-493C-9A62-181C7E5112FC}"/>
            </a:ext>
          </a:extLst>
        </xdr:cNvPr>
        <xdr:cNvCxnSpPr/>
      </xdr:nvCxnSpPr>
      <xdr:spPr>
        <a:xfrm flipV="1">
          <a:off x="8729552" y="33065970"/>
          <a:ext cx="737868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242888</xdr:colOff>
      <xdr:row>107</xdr:row>
      <xdr:rowOff>28575</xdr:rowOff>
    </xdr:from>
    <xdr:to>
      <xdr:col>4</xdr:col>
      <xdr:colOff>562928</xdr:colOff>
      <xdr:row>107</xdr:row>
      <xdr:rowOff>401955</xdr:rowOff>
    </xdr:to>
    <xdr:sp macro="" textlink="">
      <xdr:nvSpPr>
        <xdr:cNvPr id="123" name="Arrow: Down 122">
          <a:extLst>
            <a:ext uri="{FF2B5EF4-FFF2-40B4-BE49-F238E27FC236}">
              <a16:creationId xmlns:a16="http://schemas.microsoft.com/office/drawing/2014/main" id="{98E0F3B7-A16F-4A24-A32E-5F9B36E369BD}"/>
            </a:ext>
          </a:extLst>
        </xdr:cNvPr>
        <xdr:cNvSpPr/>
      </xdr:nvSpPr>
      <xdr:spPr>
        <a:xfrm>
          <a:off x="5475288" y="27083808"/>
          <a:ext cx="320040" cy="3733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2"/>
  <sheetViews>
    <sheetView tabSelected="1" topLeftCell="A131" zoomScale="93" zoomScaleNormal="85" workbookViewId="0">
      <selection activeCell="G139" sqref="G139"/>
    </sheetView>
  </sheetViews>
  <sheetFormatPr defaultRowHeight="14.35" x14ac:dyDescent="0.5"/>
  <cols>
    <col min="1" max="1" width="30.29296875" customWidth="1"/>
    <col min="2" max="2" width="12.41015625" customWidth="1"/>
    <col min="3" max="3" width="19.1171875" customWidth="1"/>
    <col min="4" max="4" width="10.87890625" customWidth="1"/>
    <col min="5" max="6" width="11.87890625" customWidth="1"/>
    <col min="7" max="7" width="12.87890625" customWidth="1"/>
    <col min="8" max="8" width="11.41015625" customWidth="1"/>
    <col min="9" max="9" width="9.87890625" customWidth="1"/>
    <col min="10" max="10" width="8.87890625" bestFit="1" customWidth="1"/>
    <col min="11" max="12" width="11.5859375" customWidth="1"/>
    <col min="13" max="13" width="9.41015625" customWidth="1"/>
    <col min="18" max="18" width="10" customWidth="1"/>
    <col min="257" max="257" width="30.29296875" customWidth="1"/>
    <col min="258" max="258" width="12.41015625" customWidth="1"/>
    <col min="259" max="259" width="19.1171875" customWidth="1"/>
    <col min="260" max="260" width="10.87890625" customWidth="1"/>
    <col min="261" max="262" width="11.87890625" customWidth="1"/>
    <col min="263" max="263" width="12.87890625" customWidth="1"/>
    <col min="264" max="264" width="11.41015625" customWidth="1"/>
    <col min="265" max="265" width="9.87890625" customWidth="1"/>
    <col min="266" max="266" width="8.5859375" bestFit="1" customWidth="1"/>
    <col min="267" max="268" width="11.5859375" customWidth="1"/>
    <col min="269" max="269" width="9.41015625" customWidth="1"/>
    <col min="274" max="274" width="10" customWidth="1"/>
    <col min="513" max="513" width="30.29296875" customWidth="1"/>
    <col min="514" max="514" width="12.41015625" customWidth="1"/>
    <col min="515" max="515" width="19.1171875" customWidth="1"/>
    <col min="516" max="516" width="10.87890625" customWidth="1"/>
    <col min="517" max="518" width="11.87890625" customWidth="1"/>
    <col min="519" max="519" width="12.87890625" customWidth="1"/>
    <col min="520" max="520" width="11.41015625" customWidth="1"/>
    <col min="521" max="521" width="9.87890625" customWidth="1"/>
    <col min="522" max="522" width="8.5859375" bestFit="1" customWidth="1"/>
    <col min="523" max="524" width="11.5859375" customWidth="1"/>
    <col min="525" max="525" width="9.41015625" customWidth="1"/>
    <col min="530" max="530" width="10" customWidth="1"/>
    <col min="769" max="769" width="30.29296875" customWidth="1"/>
    <col min="770" max="770" width="12.41015625" customWidth="1"/>
    <col min="771" max="771" width="19.1171875" customWidth="1"/>
    <col min="772" max="772" width="10.87890625" customWidth="1"/>
    <col min="773" max="774" width="11.87890625" customWidth="1"/>
    <col min="775" max="775" width="12.87890625" customWidth="1"/>
    <col min="776" max="776" width="11.41015625" customWidth="1"/>
    <col min="777" max="777" width="9.87890625" customWidth="1"/>
    <col min="778" max="778" width="8.5859375" bestFit="1" customWidth="1"/>
    <col min="779" max="780" width="11.5859375" customWidth="1"/>
    <col min="781" max="781" width="9.41015625" customWidth="1"/>
    <col min="786" max="786" width="10" customWidth="1"/>
    <col min="1025" max="1025" width="30.29296875" customWidth="1"/>
    <col min="1026" max="1026" width="12.41015625" customWidth="1"/>
    <col min="1027" max="1027" width="19.1171875" customWidth="1"/>
    <col min="1028" max="1028" width="10.87890625" customWidth="1"/>
    <col min="1029" max="1030" width="11.87890625" customWidth="1"/>
    <col min="1031" max="1031" width="12.87890625" customWidth="1"/>
    <col min="1032" max="1032" width="11.41015625" customWidth="1"/>
    <col min="1033" max="1033" width="9.87890625" customWidth="1"/>
    <col min="1034" max="1034" width="8.5859375" bestFit="1" customWidth="1"/>
    <col min="1035" max="1036" width="11.5859375" customWidth="1"/>
    <col min="1037" max="1037" width="9.41015625" customWidth="1"/>
    <col min="1042" max="1042" width="10" customWidth="1"/>
    <col min="1281" max="1281" width="30.29296875" customWidth="1"/>
    <col min="1282" max="1282" width="12.41015625" customWidth="1"/>
    <col min="1283" max="1283" width="19.1171875" customWidth="1"/>
    <col min="1284" max="1284" width="10.87890625" customWidth="1"/>
    <col min="1285" max="1286" width="11.87890625" customWidth="1"/>
    <col min="1287" max="1287" width="12.87890625" customWidth="1"/>
    <col min="1288" max="1288" width="11.41015625" customWidth="1"/>
    <col min="1289" max="1289" width="9.87890625" customWidth="1"/>
    <col min="1290" max="1290" width="8.5859375" bestFit="1" customWidth="1"/>
    <col min="1291" max="1292" width="11.5859375" customWidth="1"/>
    <col min="1293" max="1293" width="9.41015625" customWidth="1"/>
    <col min="1298" max="1298" width="10" customWidth="1"/>
    <col min="1537" max="1537" width="30.29296875" customWidth="1"/>
    <col min="1538" max="1538" width="12.41015625" customWidth="1"/>
    <col min="1539" max="1539" width="19.1171875" customWidth="1"/>
    <col min="1540" max="1540" width="10.87890625" customWidth="1"/>
    <col min="1541" max="1542" width="11.87890625" customWidth="1"/>
    <col min="1543" max="1543" width="12.87890625" customWidth="1"/>
    <col min="1544" max="1544" width="11.41015625" customWidth="1"/>
    <col min="1545" max="1545" width="9.87890625" customWidth="1"/>
    <col min="1546" max="1546" width="8.5859375" bestFit="1" customWidth="1"/>
    <col min="1547" max="1548" width="11.5859375" customWidth="1"/>
    <col min="1549" max="1549" width="9.41015625" customWidth="1"/>
    <col min="1554" max="1554" width="10" customWidth="1"/>
    <col min="1793" max="1793" width="30.29296875" customWidth="1"/>
    <col min="1794" max="1794" width="12.41015625" customWidth="1"/>
    <col min="1795" max="1795" width="19.1171875" customWidth="1"/>
    <col min="1796" max="1796" width="10.87890625" customWidth="1"/>
    <col min="1797" max="1798" width="11.87890625" customWidth="1"/>
    <col min="1799" max="1799" width="12.87890625" customWidth="1"/>
    <col min="1800" max="1800" width="11.41015625" customWidth="1"/>
    <col min="1801" max="1801" width="9.87890625" customWidth="1"/>
    <col min="1802" max="1802" width="8.5859375" bestFit="1" customWidth="1"/>
    <col min="1803" max="1804" width="11.5859375" customWidth="1"/>
    <col min="1805" max="1805" width="9.41015625" customWidth="1"/>
    <col min="1810" max="1810" width="10" customWidth="1"/>
    <col min="2049" max="2049" width="30.29296875" customWidth="1"/>
    <col min="2050" max="2050" width="12.41015625" customWidth="1"/>
    <col min="2051" max="2051" width="19.1171875" customWidth="1"/>
    <col min="2052" max="2052" width="10.87890625" customWidth="1"/>
    <col min="2053" max="2054" width="11.87890625" customWidth="1"/>
    <col min="2055" max="2055" width="12.87890625" customWidth="1"/>
    <col min="2056" max="2056" width="11.41015625" customWidth="1"/>
    <col min="2057" max="2057" width="9.87890625" customWidth="1"/>
    <col min="2058" max="2058" width="8.5859375" bestFit="1" customWidth="1"/>
    <col min="2059" max="2060" width="11.5859375" customWidth="1"/>
    <col min="2061" max="2061" width="9.41015625" customWidth="1"/>
    <col min="2066" max="2066" width="10" customWidth="1"/>
    <col min="2305" max="2305" width="30.29296875" customWidth="1"/>
    <col min="2306" max="2306" width="12.41015625" customWidth="1"/>
    <col min="2307" max="2307" width="19.1171875" customWidth="1"/>
    <col min="2308" max="2308" width="10.87890625" customWidth="1"/>
    <col min="2309" max="2310" width="11.87890625" customWidth="1"/>
    <col min="2311" max="2311" width="12.87890625" customWidth="1"/>
    <col min="2312" max="2312" width="11.41015625" customWidth="1"/>
    <col min="2313" max="2313" width="9.87890625" customWidth="1"/>
    <col min="2314" max="2314" width="8.5859375" bestFit="1" customWidth="1"/>
    <col min="2315" max="2316" width="11.5859375" customWidth="1"/>
    <col min="2317" max="2317" width="9.41015625" customWidth="1"/>
    <col min="2322" max="2322" width="10" customWidth="1"/>
    <col min="2561" max="2561" width="30.29296875" customWidth="1"/>
    <col min="2562" max="2562" width="12.41015625" customWidth="1"/>
    <col min="2563" max="2563" width="19.1171875" customWidth="1"/>
    <col min="2564" max="2564" width="10.87890625" customWidth="1"/>
    <col min="2565" max="2566" width="11.87890625" customWidth="1"/>
    <col min="2567" max="2567" width="12.87890625" customWidth="1"/>
    <col min="2568" max="2568" width="11.41015625" customWidth="1"/>
    <col min="2569" max="2569" width="9.87890625" customWidth="1"/>
    <col min="2570" max="2570" width="8.5859375" bestFit="1" customWidth="1"/>
    <col min="2571" max="2572" width="11.5859375" customWidth="1"/>
    <col min="2573" max="2573" width="9.41015625" customWidth="1"/>
    <col min="2578" max="2578" width="10" customWidth="1"/>
    <col min="2817" max="2817" width="30.29296875" customWidth="1"/>
    <col min="2818" max="2818" width="12.41015625" customWidth="1"/>
    <col min="2819" max="2819" width="19.1171875" customWidth="1"/>
    <col min="2820" max="2820" width="10.87890625" customWidth="1"/>
    <col min="2821" max="2822" width="11.87890625" customWidth="1"/>
    <col min="2823" max="2823" width="12.87890625" customWidth="1"/>
    <col min="2824" max="2824" width="11.41015625" customWidth="1"/>
    <col min="2825" max="2825" width="9.87890625" customWidth="1"/>
    <col min="2826" max="2826" width="8.5859375" bestFit="1" customWidth="1"/>
    <col min="2827" max="2828" width="11.5859375" customWidth="1"/>
    <col min="2829" max="2829" width="9.41015625" customWidth="1"/>
    <col min="2834" max="2834" width="10" customWidth="1"/>
    <col min="3073" max="3073" width="30.29296875" customWidth="1"/>
    <col min="3074" max="3074" width="12.41015625" customWidth="1"/>
    <col min="3075" max="3075" width="19.1171875" customWidth="1"/>
    <col min="3076" max="3076" width="10.87890625" customWidth="1"/>
    <col min="3077" max="3078" width="11.87890625" customWidth="1"/>
    <col min="3079" max="3079" width="12.87890625" customWidth="1"/>
    <col min="3080" max="3080" width="11.41015625" customWidth="1"/>
    <col min="3081" max="3081" width="9.87890625" customWidth="1"/>
    <col min="3082" max="3082" width="8.5859375" bestFit="1" customWidth="1"/>
    <col min="3083" max="3084" width="11.5859375" customWidth="1"/>
    <col min="3085" max="3085" width="9.41015625" customWidth="1"/>
    <col min="3090" max="3090" width="10" customWidth="1"/>
    <col min="3329" max="3329" width="30.29296875" customWidth="1"/>
    <col min="3330" max="3330" width="12.41015625" customWidth="1"/>
    <col min="3331" max="3331" width="19.1171875" customWidth="1"/>
    <col min="3332" max="3332" width="10.87890625" customWidth="1"/>
    <col min="3333" max="3334" width="11.87890625" customWidth="1"/>
    <col min="3335" max="3335" width="12.87890625" customWidth="1"/>
    <col min="3336" max="3336" width="11.41015625" customWidth="1"/>
    <col min="3337" max="3337" width="9.87890625" customWidth="1"/>
    <col min="3338" max="3338" width="8.5859375" bestFit="1" customWidth="1"/>
    <col min="3339" max="3340" width="11.5859375" customWidth="1"/>
    <col min="3341" max="3341" width="9.41015625" customWidth="1"/>
    <col min="3346" max="3346" width="10" customWidth="1"/>
    <col min="3585" max="3585" width="30.29296875" customWidth="1"/>
    <col min="3586" max="3586" width="12.41015625" customWidth="1"/>
    <col min="3587" max="3587" width="19.1171875" customWidth="1"/>
    <col min="3588" max="3588" width="10.87890625" customWidth="1"/>
    <col min="3589" max="3590" width="11.87890625" customWidth="1"/>
    <col min="3591" max="3591" width="12.87890625" customWidth="1"/>
    <col min="3592" max="3592" width="11.41015625" customWidth="1"/>
    <col min="3593" max="3593" width="9.87890625" customWidth="1"/>
    <col min="3594" max="3594" width="8.5859375" bestFit="1" customWidth="1"/>
    <col min="3595" max="3596" width="11.5859375" customWidth="1"/>
    <col min="3597" max="3597" width="9.41015625" customWidth="1"/>
    <col min="3602" max="3602" width="10" customWidth="1"/>
    <col min="3841" max="3841" width="30.29296875" customWidth="1"/>
    <col min="3842" max="3842" width="12.41015625" customWidth="1"/>
    <col min="3843" max="3843" width="19.1171875" customWidth="1"/>
    <col min="3844" max="3844" width="10.87890625" customWidth="1"/>
    <col min="3845" max="3846" width="11.87890625" customWidth="1"/>
    <col min="3847" max="3847" width="12.87890625" customWidth="1"/>
    <col min="3848" max="3848" width="11.41015625" customWidth="1"/>
    <col min="3849" max="3849" width="9.87890625" customWidth="1"/>
    <col min="3850" max="3850" width="8.5859375" bestFit="1" customWidth="1"/>
    <col min="3851" max="3852" width="11.5859375" customWidth="1"/>
    <col min="3853" max="3853" width="9.41015625" customWidth="1"/>
    <col min="3858" max="3858" width="10" customWidth="1"/>
    <col min="4097" max="4097" width="30.29296875" customWidth="1"/>
    <col min="4098" max="4098" width="12.41015625" customWidth="1"/>
    <col min="4099" max="4099" width="19.1171875" customWidth="1"/>
    <col min="4100" max="4100" width="10.87890625" customWidth="1"/>
    <col min="4101" max="4102" width="11.87890625" customWidth="1"/>
    <col min="4103" max="4103" width="12.87890625" customWidth="1"/>
    <col min="4104" max="4104" width="11.41015625" customWidth="1"/>
    <col min="4105" max="4105" width="9.87890625" customWidth="1"/>
    <col min="4106" max="4106" width="8.5859375" bestFit="1" customWidth="1"/>
    <col min="4107" max="4108" width="11.5859375" customWidth="1"/>
    <col min="4109" max="4109" width="9.41015625" customWidth="1"/>
    <col min="4114" max="4114" width="10" customWidth="1"/>
    <col min="4353" max="4353" width="30.29296875" customWidth="1"/>
    <col min="4354" max="4354" width="12.41015625" customWidth="1"/>
    <col min="4355" max="4355" width="19.1171875" customWidth="1"/>
    <col min="4356" max="4356" width="10.87890625" customWidth="1"/>
    <col min="4357" max="4358" width="11.87890625" customWidth="1"/>
    <col min="4359" max="4359" width="12.87890625" customWidth="1"/>
    <col min="4360" max="4360" width="11.41015625" customWidth="1"/>
    <col min="4361" max="4361" width="9.87890625" customWidth="1"/>
    <col min="4362" max="4362" width="8.5859375" bestFit="1" customWidth="1"/>
    <col min="4363" max="4364" width="11.5859375" customWidth="1"/>
    <col min="4365" max="4365" width="9.41015625" customWidth="1"/>
    <col min="4370" max="4370" width="10" customWidth="1"/>
    <col min="4609" max="4609" width="30.29296875" customWidth="1"/>
    <col min="4610" max="4610" width="12.41015625" customWidth="1"/>
    <col min="4611" max="4611" width="19.1171875" customWidth="1"/>
    <col min="4612" max="4612" width="10.87890625" customWidth="1"/>
    <col min="4613" max="4614" width="11.87890625" customWidth="1"/>
    <col min="4615" max="4615" width="12.87890625" customWidth="1"/>
    <col min="4616" max="4616" width="11.41015625" customWidth="1"/>
    <col min="4617" max="4617" width="9.87890625" customWidth="1"/>
    <col min="4618" max="4618" width="8.5859375" bestFit="1" customWidth="1"/>
    <col min="4619" max="4620" width="11.5859375" customWidth="1"/>
    <col min="4621" max="4621" width="9.41015625" customWidth="1"/>
    <col min="4626" max="4626" width="10" customWidth="1"/>
    <col min="4865" max="4865" width="30.29296875" customWidth="1"/>
    <col min="4866" max="4866" width="12.41015625" customWidth="1"/>
    <col min="4867" max="4867" width="19.1171875" customWidth="1"/>
    <col min="4868" max="4868" width="10.87890625" customWidth="1"/>
    <col min="4869" max="4870" width="11.87890625" customWidth="1"/>
    <col min="4871" max="4871" width="12.87890625" customWidth="1"/>
    <col min="4872" max="4872" width="11.41015625" customWidth="1"/>
    <col min="4873" max="4873" width="9.87890625" customWidth="1"/>
    <col min="4874" max="4874" width="8.5859375" bestFit="1" customWidth="1"/>
    <col min="4875" max="4876" width="11.5859375" customWidth="1"/>
    <col min="4877" max="4877" width="9.41015625" customWidth="1"/>
    <col min="4882" max="4882" width="10" customWidth="1"/>
    <col min="5121" max="5121" width="30.29296875" customWidth="1"/>
    <col min="5122" max="5122" width="12.41015625" customWidth="1"/>
    <col min="5123" max="5123" width="19.1171875" customWidth="1"/>
    <col min="5124" max="5124" width="10.87890625" customWidth="1"/>
    <col min="5125" max="5126" width="11.87890625" customWidth="1"/>
    <col min="5127" max="5127" width="12.87890625" customWidth="1"/>
    <col min="5128" max="5128" width="11.41015625" customWidth="1"/>
    <col min="5129" max="5129" width="9.87890625" customWidth="1"/>
    <col min="5130" max="5130" width="8.5859375" bestFit="1" customWidth="1"/>
    <col min="5131" max="5132" width="11.5859375" customWidth="1"/>
    <col min="5133" max="5133" width="9.41015625" customWidth="1"/>
    <col min="5138" max="5138" width="10" customWidth="1"/>
    <col min="5377" max="5377" width="30.29296875" customWidth="1"/>
    <col min="5378" max="5378" width="12.41015625" customWidth="1"/>
    <col min="5379" max="5379" width="19.1171875" customWidth="1"/>
    <col min="5380" max="5380" width="10.87890625" customWidth="1"/>
    <col min="5381" max="5382" width="11.87890625" customWidth="1"/>
    <col min="5383" max="5383" width="12.87890625" customWidth="1"/>
    <col min="5384" max="5384" width="11.41015625" customWidth="1"/>
    <col min="5385" max="5385" width="9.87890625" customWidth="1"/>
    <col min="5386" max="5386" width="8.5859375" bestFit="1" customWidth="1"/>
    <col min="5387" max="5388" width="11.5859375" customWidth="1"/>
    <col min="5389" max="5389" width="9.41015625" customWidth="1"/>
    <col min="5394" max="5394" width="10" customWidth="1"/>
    <col min="5633" max="5633" width="30.29296875" customWidth="1"/>
    <col min="5634" max="5634" width="12.41015625" customWidth="1"/>
    <col min="5635" max="5635" width="19.1171875" customWidth="1"/>
    <col min="5636" max="5636" width="10.87890625" customWidth="1"/>
    <col min="5637" max="5638" width="11.87890625" customWidth="1"/>
    <col min="5639" max="5639" width="12.87890625" customWidth="1"/>
    <col min="5640" max="5640" width="11.41015625" customWidth="1"/>
    <col min="5641" max="5641" width="9.87890625" customWidth="1"/>
    <col min="5642" max="5642" width="8.5859375" bestFit="1" customWidth="1"/>
    <col min="5643" max="5644" width="11.5859375" customWidth="1"/>
    <col min="5645" max="5645" width="9.41015625" customWidth="1"/>
    <col min="5650" max="5650" width="10" customWidth="1"/>
    <col min="5889" max="5889" width="30.29296875" customWidth="1"/>
    <col min="5890" max="5890" width="12.41015625" customWidth="1"/>
    <col min="5891" max="5891" width="19.1171875" customWidth="1"/>
    <col min="5892" max="5892" width="10.87890625" customWidth="1"/>
    <col min="5893" max="5894" width="11.87890625" customWidth="1"/>
    <col min="5895" max="5895" width="12.87890625" customWidth="1"/>
    <col min="5896" max="5896" width="11.41015625" customWidth="1"/>
    <col min="5897" max="5897" width="9.87890625" customWidth="1"/>
    <col min="5898" max="5898" width="8.5859375" bestFit="1" customWidth="1"/>
    <col min="5899" max="5900" width="11.5859375" customWidth="1"/>
    <col min="5901" max="5901" width="9.41015625" customWidth="1"/>
    <col min="5906" max="5906" width="10" customWidth="1"/>
    <col min="6145" max="6145" width="30.29296875" customWidth="1"/>
    <col min="6146" max="6146" width="12.41015625" customWidth="1"/>
    <col min="6147" max="6147" width="19.1171875" customWidth="1"/>
    <col min="6148" max="6148" width="10.87890625" customWidth="1"/>
    <col min="6149" max="6150" width="11.87890625" customWidth="1"/>
    <col min="6151" max="6151" width="12.87890625" customWidth="1"/>
    <col min="6152" max="6152" width="11.41015625" customWidth="1"/>
    <col min="6153" max="6153" width="9.87890625" customWidth="1"/>
    <col min="6154" max="6154" width="8.5859375" bestFit="1" customWidth="1"/>
    <col min="6155" max="6156" width="11.5859375" customWidth="1"/>
    <col min="6157" max="6157" width="9.41015625" customWidth="1"/>
    <col min="6162" max="6162" width="10" customWidth="1"/>
    <col min="6401" max="6401" width="30.29296875" customWidth="1"/>
    <col min="6402" max="6402" width="12.41015625" customWidth="1"/>
    <col min="6403" max="6403" width="19.1171875" customWidth="1"/>
    <col min="6404" max="6404" width="10.87890625" customWidth="1"/>
    <col min="6405" max="6406" width="11.87890625" customWidth="1"/>
    <col min="6407" max="6407" width="12.87890625" customWidth="1"/>
    <col min="6408" max="6408" width="11.41015625" customWidth="1"/>
    <col min="6409" max="6409" width="9.87890625" customWidth="1"/>
    <col min="6410" max="6410" width="8.5859375" bestFit="1" customWidth="1"/>
    <col min="6411" max="6412" width="11.5859375" customWidth="1"/>
    <col min="6413" max="6413" width="9.41015625" customWidth="1"/>
    <col min="6418" max="6418" width="10" customWidth="1"/>
    <col min="6657" max="6657" width="30.29296875" customWidth="1"/>
    <col min="6658" max="6658" width="12.41015625" customWidth="1"/>
    <col min="6659" max="6659" width="19.1171875" customWidth="1"/>
    <col min="6660" max="6660" width="10.87890625" customWidth="1"/>
    <col min="6661" max="6662" width="11.87890625" customWidth="1"/>
    <col min="6663" max="6663" width="12.87890625" customWidth="1"/>
    <col min="6664" max="6664" width="11.41015625" customWidth="1"/>
    <col min="6665" max="6665" width="9.87890625" customWidth="1"/>
    <col min="6666" max="6666" width="8.5859375" bestFit="1" customWidth="1"/>
    <col min="6667" max="6668" width="11.5859375" customWidth="1"/>
    <col min="6669" max="6669" width="9.41015625" customWidth="1"/>
    <col min="6674" max="6674" width="10" customWidth="1"/>
    <col min="6913" max="6913" width="30.29296875" customWidth="1"/>
    <col min="6914" max="6914" width="12.41015625" customWidth="1"/>
    <col min="6915" max="6915" width="19.1171875" customWidth="1"/>
    <col min="6916" max="6916" width="10.87890625" customWidth="1"/>
    <col min="6917" max="6918" width="11.87890625" customWidth="1"/>
    <col min="6919" max="6919" width="12.87890625" customWidth="1"/>
    <col min="6920" max="6920" width="11.41015625" customWidth="1"/>
    <col min="6921" max="6921" width="9.87890625" customWidth="1"/>
    <col min="6922" max="6922" width="8.5859375" bestFit="1" customWidth="1"/>
    <col min="6923" max="6924" width="11.5859375" customWidth="1"/>
    <col min="6925" max="6925" width="9.41015625" customWidth="1"/>
    <col min="6930" max="6930" width="10" customWidth="1"/>
    <col min="7169" max="7169" width="30.29296875" customWidth="1"/>
    <col min="7170" max="7170" width="12.41015625" customWidth="1"/>
    <col min="7171" max="7171" width="19.1171875" customWidth="1"/>
    <col min="7172" max="7172" width="10.87890625" customWidth="1"/>
    <col min="7173" max="7174" width="11.87890625" customWidth="1"/>
    <col min="7175" max="7175" width="12.87890625" customWidth="1"/>
    <col min="7176" max="7176" width="11.41015625" customWidth="1"/>
    <col min="7177" max="7177" width="9.87890625" customWidth="1"/>
    <col min="7178" max="7178" width="8.5859375" bestFit="1" customWidth="1"/>
    <col min="7179" max="7180" width="11.5859375" customWidth="1"/>
    <col min="7181" max="7181" width="9.41015625" customWidth="1"/>
    <col min="7186" max="7186" width="10" customWidth="1"/>
    <col min="7425" max="7425" width="30.29296875" customWidth="1"/>
    <col min="7426" max="7426" width="12.41015625" customWidth="1"/>
    <col min="7427" max="7427" width="19.1171875" customWidth="1"/>
    <col min="7428" max="7428" width="10.87890625" customWidth="1"/>
    <col min="7429" max="7430" width="11.87890625" customWidth="1"/>
    <col min="7431" max="7431" width="12.87890625" customWidth="1"/>
    <col min="7432" max="7432" width="11.41015625" customWidth="1"/>
    <col min="7433" max="7433" width="9.87890625" customWidth="1"/>
    <col min="7434" max="7434" width="8.5859375" bestFit="1" customWidth="1"/>
    <col min="7435" max="7436" width="11.5859375" customWidth="1"/>
    <col min="7437" max="7437" width="9.41015625" customWidth="1"/>
    <col min="7442" max="7442" width="10" customWidth="1"/>
    <col min="7681" max="7681" width="30.29296875" customWidth="1"/>
    <col min="7682" max="7682" width="12.41015625" customWidth="1"/>
    <col min="7683" max="7683" width="19.1171875" customWidth="1"/>
    <col min="7684" max="7684" width="10.87890625" customWidth="1"/>
    <col min="7685" max="7686" width="11.87890625" customWidth="1"/>
    <col min="7687" max="7687" width="12.87890625" customWidth="1"/>
    <col min="7688" max="7688" width="11.41015625" customWidth="1"/>
    <col min="7689" max="7689" width="9.87890625" customWidth="1"/>
    <col min="7690" max="7690" width="8.5859375" bestFit="1" customWidth="1"/>
    <col min="7691" max="7692" width="11.5859375" customWidth="1"/>
    <col min="7693" max="7693" width="9.41015625" customWidth="1"/>
    <col min="7698" max="7698" width="10" customWidth="1"/>
    <col min="7937" max="7937" width="30.29296875" customWidth="1"/>
    <col min="7938" max="7938" width="12.41015625" customWidth="1"/>
    <col min="7939" max="7939" width="19.1171875" customWidth="1"/>
    <col min="7940" max="7940" width="10.87890625" customWidth="1"/>
    <col min="7941" max="7942" width="11.87890625" customWidth="1"/>
    <col min="7943" max="7943" width="12.87890625" customWidth="1"/>
    <col min="7944" max="7944" width="11.41015625" customWidth="1"/>
    <col min="7945" max="7945" width="9.87890625" customWidth="1"/>
    <col min="7946" max="7946" width="8.5859375" bestFit="1" customWidth="1"/>
    <col min="7947" max="7948" width="11.5859375" customWidth="1"/>
    <col min="7949" max="7949" width="9.41015625" customWidth="1"/>
    <col min="7954" max="7954" width="10" customWidth="1"/>
    <col min="8193" max="8193" width="30.29296875" customWidth="1"/>
    <col min="8194" max="8194" width="12.41015625" customWidth="1"/>
    <col min="8195" max="8195" width="19.1171875" customWidth="1"/>
    <col min="8196" max="8196" width="10.87890625" customWidth="1"/>
    <col min="8197" max="8198" width="11.87890625" customWidth="1"/>
    <col min="8199" max="8199" width="12.87890625" customWidth="1"/>
    <col min="8200" max="8200" width="11.41015625" customWidth="1"/>
    <col min="8201" max="8201" width="9.87890625" customWidth="1"/>
    <col min="8202" max="8202" width="8.5859375" bestFit="1" customWidth="1"/>
    <col min="8203" max="8204" width="11.5859375" customWidth="1"/>
    <col min="8205" max="8205" width="9.41015625" customWidth="1"/>
    <col min="8210" max="8210" width="10" customWidth="1"/>
    <col min="8449" max="8449" width="30.29296875" customWidth="1"/>
    <col min="8450" max="8450" width="12.41015625" customWidth="1"/>
    <col min="8451" max="8451" width="19.1171875" customWidth="1"/>
    <col min="8452" max="8452" width="10.87890625" customWidth="1"/>
    <col min="8453" max="8454" width="11.87890625" customWidth="1"/>
    <col min="8455" max="8455" width="12.87890625" customWidth="1"/>
    <col min="8456" max="8456" width="11.41015625" customWidth="1"/>
    <col min="8457" max="8457" width="9.87890625" customWidth="1"/>
    <col min="8458" max="8458" width="8.5859375" bestFit="1" customWidth="1"/>
    <col min="8459" max="8460" width="11.5859375" customWidth="1"/>
    <col min="8461" max="8461" width="9.41015625" customWidth="1"/>
    <col min="8466" max="8466" width="10" customWidth="1"/>
    <col min="8705" max="8705" width="30.29296875" customWidth="1"/>
    <col min="8706" max="8706" width="12.41015625" customWidth="1"/>
    <col min="8707" max="8707" width="19.1171875" customWidth="1"/>
    <col min="8708" max="8708" width="10.87890625" customWidth="1"/>
    <col min="8709" max="8710" width="11.87890625" customWidth="1"/>
    <col min="8711" max="8711" width="12.87890625" customWidth="1"/>
    <col min="8712" max="8712" width="11.41015625" customWidth="1"/>
    <col min="8713" max="8713" width="9.87890625" customWidth="1"/>
    <col min="8714" max="8714" width="8.5859375" bestFit="1" customWidth="1"/>
    <col min="8715" max="8716" width="11.5859375" customWidth="1"/>
    <col min="8717" max="8717" width="9.41015625" customWidth="1"/>
    <col min="8722" max="8722" width="10" customWidth="1"/>
    <col min="8961" max="8961" width="30.29296875" customWidth="1"/>
    <col min="8962" max="8962" width="12.41015625" customWidth="1"/>
    <col min="8963" max="8963" width="19.1171875" customWidth="1"/>
    <col min="8964" max="8964" width="10.87890625" customWidth="1"/>
    <col min="8965" max="8966" width="11.87890625" customWidth="1"/>
    <col min="8967" max="8967" width="12.87890625" customWidth="1"/>
    <col min="8968" max="8968" width="11.41015625" customWidth="1"/>
    <col min="8969" max="8969" width="9.87890625" customWidth="1"/>
    <col min="8970" max="8970" width="8.5859375" bestFit="1" customWidth="1"/>
    <col min="8971" max="8972" width="11.5859375" customWidth="1"/>
    <col min="8973" max="8973" width="9.41015625" customWidth="1"/>
    <col min="8978" max="8978" width="10" customWidth="1"/>
    <col min="9217" max="9217" width="30.29296875" customWidth="1"/>
    <col min="9218" max="9218" width="12.41015625" customWidth="1"/>
    <col min="9219" max="9219" width="19.1171875" customWidth="1"/>
    <col min="9220" max="9220" width="10.87890625" customWidth="1"/>
    <col min="9221" max="9222" width="11.87890625" customWidth="1"/>
    <col min="9223" max="9223" width="12.87890625" customWidth="1"/>
    <col min="9224" max="9224" width="11.41015625" customWidth="1"/>
    <col min="9225" max="9225" width="9.87890625" customWidth="1"/>
    <col min="9226" max="9226" width="8.5859375" bestFit="1" customWidth="1"/>
    <col min="9227" max="9228" width="11.5859375" customWidth="1"/>
    <col min="9229" max="9229" width="9.41015625" customWidth="1"/>
    <col min="9234" max="9234" width="10" customWidth="1"/>
    <col min="9473" max="9473" width="30.29296875" customWidth="1"/>
    <col min="9474" max="9474" width="12.41015625" customWidth="1"/>
    <col min="9475" max="9475" width="19.1171875" customWidth="1"/>
    <col min="9476" max="9476" width="10.87890625" customWidth="1"/>
    <col min="9477" max="9478" width="11.87890625" customWidth="1"/>
    <col min="9479" max="9479" width="12.87890625" customWidth="1"/>
    <col min="9480" max="9480" width="11.41015625" customWidth="1"/>
    <col min="9481" max="9481" width="9.87890625" customWidth="1"/>
    <col min="9482" max="9482" width="8.5859375" bestFit="1" customWidth="1"/>
    <col min="9483" max="9484" width="11.5859375" customWidth="1"/>
    <col min="9485" max="9485" width="9.41015625" customWidth="1"/>
    <col min="9490" max="9490" width="10" customWidth="1"/>
    <col min="9729" max="9729" width="30.29296875" customWidth="1"/>
    <col min="9730" max="9730" width="12.41015625" customWidth="1"/>
    <col min="9731" max="9731" width="19.1171875" customWidth="1"/>
    <col min="9732" max="9732" width="10.87890625" customWidth="1"/>
    <col min="9733" max="9734" width="11.87890625" customWidth="1"/>
    <col min="9735" max="9735" width="12.87890625" customWidth="1"/>
    <col min="9736" max="9736" width="11.41015625" customWidth="1"/>
    <col min="9737" max="9737" width="9.87890625" customWidth="1"/>
    <col min="9738" max="9738" width="8.5859375" bestFit="1" customWidth="1"/>
    <col min="9739" max="9740" width="11.5859375" customWidth="1"/>
    <col min="9741" max="9741" width="9.41015625" customWidth="1"/>
    <col min="9746" max="9746" width="10" customWidth="1"/>
    <col min="9985" max="9985" width="30.29296875" customWidth="1"/>
    <col min="9986" max="9986" width="12.41015625" customWidth="1"/>
    <col min="9987" max="9987" width="19.1171875" customWidth="1"/>
    <col min="9988" max="9988" width="10.87890625" customWidth="1"/>
    <col min="9989" max="9990" width="11.87890625" customWidth="1"/>
    <col min="9991" max="9991" width="12.87890625" customWidth="1"/>
    <col min="9992" max="9992" width="11.41015625" customWidth="1"/>
    <col min="9993" max="9993" width="9.87890625" customWidth="1"/>
    <col min="9994" max="9994" width="8.5859375" bestFit="1" customWidth="1"/>
    <col min="9995" max="9996" width="11.5859375" customWidth="1"/>
    <col min="9997" max="9997" width="9.41015625" customWidth="1"/>
    <col min="10002" max="10002" width="10" customWidth="1"/>
    <col min="10241" max="10241" width="30.29296875" customWidth="1"/>
    <col min="10242" max="10242" width="12.41015625" customWidth="1"/>
    <col min="10243" max="10243" width="19.1171875" customWidth="1"/>
    <col min="10244" max="10244" width="10.87890625" customWidth="1"/>
    <col min="10245" max="10246" width="11.87890625" customWidth="1"/>
    <col min="10247" max="10247" width="12.87890625" customWidth="1"/>
    <col min="10248" max="10248" width="11.41015625" customWidth="1"/>
    <col min="10249" max="10249" width="9.87890625" customWidth="1"/>
    <col min="10250" max="10250" width="8.5859375" bestFit="1" customWidth="1"/>
    <col min="10251" max="10252" width="11.5859375" customWidth="1"/>
    <col min="10253" max="10253" width="9.41015625" customWidth="1"/>
    <col min="10258" max="10258" width="10" customWidth="1"/>
    <col min="10497" max="10497" width="30.29296875" customWidth="1"/>
    <col min="10498" max="10498" width="12.41015625" customWidth="1"/>
    <col min="10499" max="10499" width="19.1171875" customWidth="1"/>
    <col min="10500" max="10500" width="10.87890625" customWidth="1"/>
    <col min="10501" max="10502" width="11.87890625" customWidth="1"/>
    <col min="10503" max="10503" width="12.87890625" customWidth="1"/>
    <col min="10504" max="10504" width="11.41015625" customWidth="1"/>
    <col min="10505" max="10505" width="9.87890625" customWidth="1"/>
    <col min="10506" max="10506" width="8.5859375" bestFit="1" customWidth="1"/>
    <col min="10507" max="10508" width="11.5859375" customWidth="1"/>
    <col min="10509" max="10509" width="9.41015625" customWidth="1"/>
    <col min="10514" max="10514" width="10" customWidth="1"/>
    <col min="10753" max="10753" width="30.29296875" customWidth="1"/>
    <col min="10754" max="10754" width="12.41015625" customWidth="1"/>
    <col min="10755" max="10755" width="19.1171875" customWidth="1"/>
    <col min="10756" max="10756" width="10.87890625" customWidth="1"/>
    <col min="10757" max="10758" width="11.87890625" customWidth="1"/>
    <col min="10759" max="10759" width="12.87890625" customWidth="1"/>
    <col min="10760" max="10760" width="11.41015625" customWidth="1"/>
    <col min="10761" max="10761" width="9.87890625" customWidth="1"/>
    <col min="10762" max="10762" width="8.5859375" bestFit="1" customWidth="1"/>
    <col min="10763" max="10764" width="11.5859375" customWidth="1"/>
    <col min="10765" max="10765" width="9.41015625" customWidth="1"/>
    <col min="10770" max="10770" width="10" customWidth="1"/>
    <col min="11009" max="11009" width="30.29296875" customWidth="1"/>
    <col min="11010" max="11010" width="12.41015625" customWidth="1"/>
    <col min="11011" max="11011" width="19.1171875" customWidth="1"/>
    <col min="11012" max="11012" width="10.87890625" customWidth="1"/>
    <col min="11013" max="11014" width="11.87890625" customWidth="1"/>
    <col min="11015" max="11015" width="12.87890625" customWidth="1"/>
    <col min="11016" max="11016" width="11.41015625" customWidth="1"/>
    <col min="11017" max="11017" width="9.87890625" customWidth="1"/>
    <col min="11018" max="11018" width="8.5859375" bestFit="1" customWidth="1"/>
    <col min="11019" max="11020" width="11.5859375" customWidth="1"/>
    <col min="11021" max="11021" width="9.41015625" customWidth="1"/>
    <col min="11026" max="11026" width="10" customWidth="1"/>
    <col min="11265" max="11265" width="30.29296875" customWidth="1"/>
    <col min="11266" max="11266" width="12.41015625" customWidth="1"/>
    <col min="11267" max="11267" width="19.1171875" customWidth="1"/>
    <col min="11268" max="11268" width="10.87890625" customWidth="1"/>
    <col min="11269" max="11270" width="11.87890625" customWidth="1"/>
    <col min="11271" max="11271" width="12.87890625" customWidth="1"/>
    <col min="11272" max="11272" width="11.41015625" customWidth="1"/>
    <col min="11273" max="11273" width="9.87890625" customWidth="1"/>
    <col min="11274" max="11274" width="8.5859375" bestFit="1" customWidth="1"/>
    <col min="11275" max="11276" width="11.5859375" customWidth="1"/>
    <col min="11277" max="11277" width="9.41015625" customWidth="1"/>
    <col min="11282" max="11282" width="10" customWidth="1"/>
    <col min="11521" max="11521" width="30.29296875" customWidth="1"/>
    <col min="11522" max="11522" width="12.41015625" customWidth="1"/>
    <col min="11523" max="11523" width="19.1171875" customWidth="1"/>
    <col min="11524" max="11524" width="10.87890625" customWidth="1"/>
    <col min="11525" max="11526" width="11.87890625" customWidth="1"/>
    <col min="11527" max="11527" width="12.87890625" customWidth="1"/>
    <col min="11528" max="11528" width="11.41015625" customWidth="1"/>
    <col min="11529" max="11529" width="9.87890625" customWidth="1"/>
    <col min="11530" max="11530" width="8.5859375" bestFit="1" customWidth="1"/>
    <col min="11531" max="11532" width="11.5859375" customWidth="1"/>
    <col min="11533" max="11533" width="9.41015625" customWidth="1"/>
    <col min="11538" max="11538" width="10" customWidth="1"/>
    <col min="11777" max="11777" width="30.29296875" customWidth="1"/>
    <col min="11778" max="11778" width="12.41015625" customWidth="1"/>
    <col min="11779" max="11779" width="19.1171875" customWidth="1"/>
    <col min="11780" max="11780" width="10.87890625" customWidth="1"/>
    <col min="11781" max="11782" width="11.87890625" customWidth="1"/>
    <col min="11783" max="11783" width="12.87890625" customWidth="1"/>
    <col min="11784" max="11784" width="11.41015625" customWidth="1"/>
    <col min="11785" max="11785" width="9.87890625" customWidth="1"/>
    <col min="11786" max="11786" width="8.5859375" bestFit="1" customWidth="1"/>
    <col min="11787" max="11788" width="11.5859375" customWidth="1"/>
    <col min="11789" max="11789" width="9.41015625" customWidth="1"/>
    <col min="11794" max="11794" width="10" customWidth="1"/>
    <col min="12033" max="12033" width="30.29296875" customWidth="1"/>
    <col min="12034" max="12034" width="12.41015625" customWidth="1"/>
    <col min="12035" max="12035" width="19.1171875" customWidth="1"/>
    <col min="12036" max="12036" width="10.87890625" customWidth="1"/>
    <col min="12037" max="12038" width="11.87890625" customWidth="1"/>
    <col min="12039" max="12039" width="12.87890625" customWidth="1"/>
    <col min="12040" max="12040" width="11.41015625" customWidth="1"/>
    <col min="12041" max="12041" width="9.87890625" customWidth="1"/>
    <col min="12042" max="12042" width="8.5859375" bestFit="1" customWidth="1"/>
    <col min="12043" max="12044" width="11.5859375" customWidth="1"/>
    <col min="12045" max="12045" width="9.41015625" customWidth="1"/>
    <col min="12050" max="12050" width="10" customWidth="1"/>
    <col min="12289" max="12289" width="30.29296875" customWidth="1"/>
    <col min="12290" max="12290" width="12.41015625" customWidth="1"/>
    <col min="12291" max="12291" width="19.1171875" customWidth="1"/>
    <col min="12292" max="12292" width="10.87890625" customWidth="1"/>
    <col min="12293" max="12294" width="11.87890625" customWidth="1"/>
    <col min="12295" max="12295" width="12.87890625" customWidth="1"/>
    <col min="12296" max="12296" width="11.41015625" customWidth="1"/>
    <col min="12297" max="12297" width="9.87890625" customWidth="1"/>
    <col min="12298" max="12298" width="8.5859375" bestFit="1" customWidth="1"/>
    <col min="12299" max="12300" width="11.5859375" customWidth="1"/>
    <col min="12301" max="12301" width="9.41015625" customWidth="1"/>
    <col min="12306" max="12306" width="10" customWidth="1"/>
    <col min="12545" max="12545" width="30.29296875" customWidth="1"/>
    <col min="12546" max="12546" width="12.41015625" customWidth="1"/>
    <col min="12547" max="12547" width="19.1171875" customWidth="1"/>
    <col min="12548" max="12548" width="10.87890625" customWidth="1"/>
    <col min="12549" max="12550" width="11.87890625" customWidth="1"/>
    <col min="12551" max="12551" width="12.87890625" customWidth="1"/>
    <col min="12552" max="12552" width="11.41015625" customWidth="1"/>
    <col min="12553" max="12553" width="9.87890625" customWidth="1"/>
    <col min="12554" max="12554" width="8.5859375" bestFit="1" customWidth="1"/>
    <col min="12555" max="12556" width="11.5859375" customWidth="1"/>
    <col min="12557" max="12557" width="9.41015625" customWidth="1"/>
    <col min="12562" max="12562" width="10" customWidth="1"/>
    <col min="12801" max="12801" width="30.29296875" customWidth="1"/>
    <col min="12802" max="12802" width="12.41015625" customWidth="1"/>
    <col min="12803" max="12803" width="19.1171875" customWidth="1"/>
    <col min="12804" max="12804" width="10.87890625" customWidth="1"/>
    <col min="12805" max="12806" width="11.87890625" customWidth="1"/>
    <col min="12807" max="12807" width="12.87890625" customWidth="1"/>
    <col min="12808" max="12808" width="11.41015625" customWidth="1"/>
    <col min="12809" max="12809" width="9.87890625" customWidth="1"/>
    <col min="12810" max="12810" width="8.5859375" bestFit="1" customWidth="1"/>
    <col min="12811" max="12812" width="11.5859375" customWidth="1"/>
    <col min="12813" max="12813" width="9.41015625" customWidth="1"/>
    <col min="12818" max="12818" width="10" customWidth="1"/>
    <col min="13057" max="13057" width="30.29296875" customWidth="1"/>
    <col min="13058" max="13058" width="12.41015625" customWidth="1"/>
    <col min="13059" max="13059" width="19.1171875" customWidth="1"/>
    <col min="13060" max="13060" width="10.87890625" customWidth="1"/>
    <col min="13061" max="13062" width="11.87890625" customWidth="1"/>
    <col min="13063" max="13063" width="12.87890625" customWidth="1"/>
    <col min="13064" max="13064" width="11.41015625" customWidth="1"/>
    <col min="13065" max="13065" width="9.87890625" customWidth="1"/>
    <col min="13066" max="13066" width="8.5859375" bestFit="1" customWidth="1"/>
    <col min="13067" max="13068" width="11.5859375" customWidth="1"/>
    <col min="13069" max="13069" width="9.41015625" customWidth="1"/>
    <col min="13074" max="13074" width="10" customWidth="1"/>
    <col min="13313" max="13313" width="30.29296875" customWidth="1"/>
    <col min="13314" max="13314" width="12.41015625" customWidth="1"/>
    <col min="13315" max="13315" width="19.1171875" customWidth="1"/>
    <col min="13316" max="13316" width="10.87890625" customWidth="1"/>
    <col min="13317" max="13318" width="11.87890625" customWidth="1"/>
    <col min="13319" max="13319" width="12.87890625" customWidth="1"/>
    <col min="13320" max="13320" width="11.41015625" customWidth="1"/>
    <col min="13321" max="13321" width="9.87890625" customWidth="1"/>
    <col min="13322" max="13322" width="8.5859375" bestFit="1" customWidth="1"/>
    <col min="13323" max="13324" width="11.5859375" customWidth="1"/>
    <col min="13325" max="13325" width="9.41015625" customWidth="1"/>
    <col min="13330" max="13330" width="10" customWidth="1"/>
    <col min="13569" max="13569" width="30.29296875" customWidth="1"/>
    <col min="13570" max="13570" width="12.41015625" customWidth="1"/>
    <col min="13571" max="13571" width="19.1171875" customWidth="1"/>
    <col min="13572" max="13572" width="10.87890625" customWidth="1"/>
    <col min="13573" max="13574" width="11.87890625" customWidth="1"/>
    <col min="13575" max="13575" width="12.87890625" customWidth="1"/>
    <col min="13576" max="13576" width="11.41015625" customWidth="1"/>
    <col min="13577" max="13577" width="9.87890625" customWidth="1"/>
    <col min="13578" max="13578" width="8.5859375" bestFit="1" customWidth="1"/>
    <col min="13579" max="13580" width="11.5859375" customWidth="1"/>
    <col min="13581" max="13581" width="9.41015625" customWidth="1"/>
    <col min="13586" max="13586" width="10" customWidth="1"/>
    <col min="13825" max="13825" width="30.29296875" customWidth="1"/>
    <col min="13826" max="13826" width="12.41015625" customWidth="1"/>
    <col min="13827" max="13827" width="19.1171875" customWidth="1"/>
    <col min="13828" max="13828" width="10.87890625" customWidth="1"/>
    <col min="13829" max="13830" width="11.87890625" customWidth="1"/>
    <col min="13831" max="13831" width="12.87890625" customWidth="1"/>
    <col min="13832" max="13832" width="11.41015625" customWidth="1"/>
    <col min="13833" max="13833" width="9.87890625" customWidth="1"/>
    <col min="13834" max="13834" width="8.5859375" bestFit="1" customWidth="1"/>
    <col min="13835" max="13836" width="11.5859375" customWidth="1"/>
    <col min="13837" max="13837" width="9.41015625" customWidth="1"/>
    <col min="13842" max="13842" width="10" customWidth="1"/>
    <col min="14081" max="14081" width="30.29296875" customWidth="1"/>
    <col min="14082" max="14082" width="12.41015625" customWidth="1"/>
    <col min="14083" max="14083" width="19.1171875" customWidth="1"/>
    <col min="14084" max="14084" width="10.87890625" customWidth="1"/>
    <col min="14085" max="14086" width="11.87890625" customWidth="1"/>
    <col min="14087" max="14087" width="12.87890625" customWidth="1"/>
    <col min="14088" max="14088" width="11.41015625" customWidth="1"/>
    <col min="14089" max="14089" width="9.87890625" customWidth="1"/>
    <col min="14090" max="14090" width="8.5859375" bestFit="1" customWidth="1"/>
    <col min="14091" max="14092" width="11.5859375" customWidth="1"/>
    <col min="14093" max="14093" width="9.41015625" customWidth="1"/>
    <col min="14098" max="14098" width="10" customWidth="1"/>
    <col min="14337" max="14337" width="30.29296875" customWidth="1"/>
    <col min="14338" max="14338" width="12.41015625" customWidth="1"/>
    <col min="14339" max="14339" width="19.1171875" customWidth="1"/>
    <col min="14340" max="14340" width="10.87890625" customWidth="1"/>
    <col min="14341" max="14342" width="11.87890625" customWidth="1"/>
    <col min="14343" max="14343" width="12.87890625" customWidth="1"/>
    <col min="14344" max="14344" width="11.41015625" customWidth="1"/>
    <col min="14345" max="14345" width="9.87890625" customWidth="1"/>
    <col min="14346" max="14346" width="8.5859375" bestFit="1" customWidth="1"/>
    <col min="14347" max="14348" width="11.5859375" customWidth="1"/>
    <col min="14349" max="14349" width="9.41015625" customWidth="1"/>
    <col min="14354" max="14354" width="10" customWidth="1"/>
    <col min="14593" max="14593" width="30.29296875" customWidth="1"/>
    <col min="14594" max="14594" width="12.41015625" customWidth="1"/>
    <col min="14595" max="14595" width="19.1171875" customWidth="1"/>
    <col min="14596" max="14596" width="10.87890625" customWidth="1"/>
    <col min="14597" max="14598" width="11.87890625" customWidth="1"/>
    <col min="14599" max="14599" width="12.87890625" customWidth="1"/>
    <col min="14600" max="14600" width="11.41015625" customWidth="1"/>
    <col min="14601" max="14601" width="9.87890625" customWidth="1"/>
    <col min="14602" max="14602" width="8.5859375" bestFit="1" customWidth="1"/>
    <col min="14603" max="14604" width="11.5859375" customWidth="1"/>
    <col min="14605" max="14605" width="9.41015625" customWidth="1"/>
    <col min="14610" max="14610" width="10" customWidth="1"/>
    <col min="14849" max="14849" width="30.29296875" customWidth="1"/>
    <col min="14850" max="14850" width="12.41015625" customWidth="1"/>
    <col min="14851" max="14851" width="19.1171875" customWidth="1"/>
    <col min="14852" max="14852" width="10.87890625" customWidth="1"/>
    <col min="14853" max="14854" width="11.87890625" customWidth="1"/>
    <col min="14855" max="14855" width="12.87890625" customWidth="1"/>
    <col min="14856" max="14856" width="11.41015625" customWidth="1"/>
    <col min="14857" max="14857" width="9.87890625" customWidth="1"/>
    <col min="14858" max="14858" width="8.5859375" bestFit="1" customWidth="1"/>
    <col min="14859" max="14860" width="11.5859375" customWidth="1"/>
    <col min="14861" max="14861" width="9.41015625" customWidth="1"/>
    <col min="14866" max="14866" width="10" customWidth="1"/>
    <col min="15105" max="15105" width="30.29296875" customWidth="1"/>
    <col min="15106" max="15106" width="12.41015625" customWidth="1"/>
    <col min="15107" max="15107" width="19.1171875" customWidth="1"/>
    <col min="15108" max="15108" width="10.87890625" customWidth="1"/>
    <col min="15109" max="15110" width="11.87890625" customWidth="1"/>
    <col min="15111" max="15111" width="12.87890625" customWidth="1"/>
    <col min="15112" max="15112" width="11.41015625" customWidth="1"/>
    <col min="15113" max="15113" width="9.87890625" customWidth="1"/>
    <col min="15114" max="15114" width="8.5859375" bestFit="1" customWidth="1"/>
    <col min="15115" max="15116" width="11.5859375" customWidth="1"/>
    <col min="15117" max="15117" width="9.41015625" customWidth="1"/>
    <col min="15122" max="15122" width="10" customWidth="1"/>
    <col min="15361" max="15361" width="30.29296875" customWidth="1"/>
    <col min="15362" max="15362" width="12.41015625" customWidth="1"/>
    <col min="15363" max="15363" width="19.1171875" customWidth="1"/>
    <col min="15364" max="15364" width="10.87890625" customWidth="1"/>
    <col min="15365" max="15366" width="11.87890625" customWidth="1"/>
    <col min="15367" max="15367" width="12.87890625" customWidth="1"/>
    <col min="15368" max="15368" width="11.41015625" customWidth="1"/>
    <col min="15369" max="15369" width="9.87890625" customWidth="1"/>
    <col min="15370" max="15370" width="8.5859375" bestFit="1" customWidth="1"/>
    <col min="15371" max="15372" width="11.5859375" customWidth="1"/>
    <col min="15373" max="15373" width="9.41015625" customWidth="1"/>
    <col min="15378" max="15378" width="10" customWidth="1"/>
    <col min="15617" max="15617" width="30.29296875" customWidth="1"/>
    <col min="15618" max="15618" width="12.41015625" customWidth="1"/>
    <col min="15619" max="15619" width="19.1171875" customWidth="1"/>
    <col min="15620" max="15620" width="10.87890625" customWidth="1"/>
    <col min="15621" max="15622" width="11.87890625" customWidth="1"/>
    <col min="15623" max="15623" width="12.87890625" customWidth="1"/>
    <col min="15624" max="15624" width="11.41015625" customWidth="1"/>
    <col min="15625" max="15625" width="9.87890625" customWidth="1"/>
    <col min="15626" max="15626" width="8.5859375" bestFit="1" customWidth="1"/>
    <col min="15627" max="15628" width="11.5859375" customWidth="1"/>
    <col min="15629" max="15629" width="9.41015625" customWidth="1"/>
    <col min="15634" max="15634" width="10" customWidth="1"/>
    <col min="15873" max="15873" width="30.29296875" customWidth="1"/>
    <col min="15874" max="15874" width="12.41015625" customWidth="1"/>
    <col min="15875" max="15875" width="19.1171875" customWidth="1"/>
    <col min="15876" max="15876" width="10.87890625" customWidth="1"/>
    <col min="15877" max="15878" width="11.87890625" customWidth="1"/>
    <col min="15879" max="15879" width="12.87890625" customWidth="1"/>
    <col min="15880" max="15880" width="11.41015625" customWidth="1"/>
    <col min="15881" max="15881" width="9.87890625" customWidth="1"/>
    <col min="15882" max="15882" width="8.5859375" bestFit="1" customWidth="1"/>
    <col min="15883" max="15884" width="11.5859375" customWidth="1"/>
    <col min="15885" max="15885" width="9.41015625" customWidth="1"/>
    <col min="15890" max="15890" width="10" customWidth="1"/>
    <col min="16129" max="16129" width="30.29296875" customWidth="1"/>
    <col min="16130" max="16130" width="12.41015625" customWidth="1"/>
    <col min="16131" max="16131" width="19.1171875" customWidth="1"/>
    <col min="16132" max="16132" width="10.87890625" customWidth="1"/>
    <col min="16133" max="16134" width="11.87890625" customWidth="1"/>
    <col min="16135" max="16135" width="12.87890625" customWidth="1"/>
    <col min="16136" max="16136" width="11.41015625" customWidth="1"/>
    <col min="16137" max="16137" width="9.87890625" customWidth="1"/>
    <col min="16138" max="16138" width="8.5859375" bestFit="1" customWidth="1"/>
    <col min="16139" max="16140" width="11.5859375" customWidth="1"/>
    <col min="16141" max="16141" width="9.41015625" customWidth="1"/>
    <col min="16146" max="16146" width="10" customWidth="1"/>
  </cols>
  <sheetData>
    <row r="1" spans="1:11" ht="26.25" customHeight="1" thickBot="1" x14ac:dyDescent="0.65">
      <c r="A1" s="1" t="s">
        <v>0</v>
      </c>
      <c r="C1" s="2" t="s">
        <v>1</v>
      </c>
      <c r="K1" s="2"/>
    </row>
    <row r="2" spans="1:11" ht="28" thickBot="1" x14ac:dyDescent="0.9">
      <c r="A2" s="3" t="s">
        <v>2</v>
      </c>
      <c r="B2" s="235" t="s">
        <v>174</v>
      </c>
      <c r="C2" s="236"/>
      <c r="D2" s="236"/>
      <c r="E2" s="236"/>
      <c r="F2" s="236"/>
      <c r="G2" s="237"/>
      <c r="H2" s="4" t="s">
        <v>154</v>
      </c>
    </row>
    <row r="3" spans="1:11" ht="20" x14ac:dyDescent="0.6">
      <c r="A3" s="3"/>
      <c r="B3" s="2" t="s">
        <v>3</v>
      </c>
      <c r="C3" s="3"/>
      <c r="D3" s="3"/>
      <c r="E3" s="3"/>
      <c r="F3" s="3"/>
      <c r="G3" s="3"/>
      <c r="H3" s="3"/>
      <c r="I3" s="3"/>
      <c r="J3" s="3"/>
    </row>
    <row r="4" spans="1:11" ht="17.7" x14ac:dyDescent="0.55000000000000004">
      <c r="A4" s="5"/>
      <c r="B4" s="5" t="s">
        <v>4</v>
      </c>
    </row>
    <row r="6" spans="1:11" ht="20" x14ac:dyDescent="0.5">
      <c r="A6" s="197" t="s">
        <v>5</v>
      </c>
      <c r="B6" s="198"/>
      <c r="C6" s="198"/>
      <c r="D6" s="198"/>
      <c r="E6" s="198"/>
      <c r="F6" s="198"/>
      <c r="G6" s="198"/>
      <c r="H6" s="198"/>
      <c r="I6" s="198"/>
      <c r="K6" s="6" t="s">
        <v>6</v>
      </c>
    </row>
    <row r="8" spans="1:11" ht="17.7" x14ac:dyDescent="0.55000000000000004">
      <c r="A8" s="7" t="s">
        <v>7</v>
      </c>
      <c r="B8" s="8"/>
      <c r="C8" s="9"/>
      <c r="D8" s="10"/>
      <c r="E8" s="11"/>
      <c r="F8" s="12"/>
      <c r="G8" s="13"/>
    </row>
    <row r="9" spans="1:11" ht="18.75" customHeight="1" x14ac:dyDescent="0.55000000000000004">
      <c r="A9" s="191" t="s">
        <v>8</v>
      </c>
      <c r="B9" s="199"/>
      <c r="C9" s="199"/>
      <c r="D9" s="199"/>
      <c r="E9" s="199"/>
      <c r="F9" s="199"/>
      <c r="G9" s="199"/>
      <c r="H9" s="199"/>
    </row>
    <row r="11" spans="1:11" x14ac:dyDescent="0.5">
      <c r="A11" s="14" t="s">
        <v>9</v>
      </c>
    </row>
    <row r="12" spans="1:11" ht="12" customHeight="1" x14ac:dyDescent="0.5"/>
    <row r="13" spans="1:11" ht="17.25" customHeight="1" x14ac:dyDescent="0.5">
      <c r="A13" s="227" t="s">
        <v>10</v>
      </c>
      <c r="B13" s="227"/>
      <c r="C13" s="15">
        <v>0.06</v>
      </c>
    </row>
    <row r="14" spans="1:11" ht="17.25" customHeight="1" x14ac:dyDescent="0.5">
      <c r="A14" s="227" t="s">
        <v>11</v>
      </c>
      <c r="B14" s="227"/>
      <c r="C14" s="15">
        <v>0.55000000000000004</v>
      </c>
    </row>
    <row r="15" spans="1:11" ht="17.25" customHeight="1" x14ac:dyDescent="0.5">
      <c r="A15" s="227" t="s">
        <v>12</v>
      </c>
      <c r="B15" s="227"/>
      <c r="C15" s="15">
        <v>0.2</v>
      </c>
    </row>
    <row r="16" spans="1:11" ht="17.25" customHeight="1" x14ac:dyDescent="0.5">
      <c r="A16" s="227" t="s">
        <v>13</v>
      </c>
      <c r="B16" s="227"/>
      <c r="C16" s="15">
        <v>0.03</v>
      </c>
    </row>
    <row r="17" spans="1:10" ht="17.25" customHeight="1" x14ac:dyDescent="0.5">
      <c r="A17" s="227" t="s">
        <v>14</v>
      </c>
      <c r="B17" s="227"/>
      <c r="C17" s="15">
        <v>0.34</v>
      </c>
    </row>
    <row r="18" spans="1:10" ht="17.25" customHeight="1" x14ac:dyDescent="0.5">
      <c r="A18" s="16" t="s">
        <v>15</v>
      </c>
      <c r="B18" s="17"/>
      <c r="C18" s="18">
        <v>0</v>
      </c>
    </row>
    <row r="19" spans="1:10" ht="17.25" customHeight="1" x14ac:dyDescent="0.5">
      <c r="A19" s="184" t="s">
        <v>16</v>
      </c>
      <c r="B19" s="185"/>
      <c r="C19" s="15">
        <v>0.01</v>
      </c>
    </row>
    <row r="20" spans="1:10" ht="17.25" customHeight="1" x14ac:dyDescent="0.5">
      <c r="A20" s="227" t="s">
        <v>17</v>
      </c>
      <c r="B20" s="227"/>
      <c r="C20" s="15">
        <v>0.03</v>
      </c>
    </row>
    <row r="22" spans="1:10" ht="27.75" customHeight="1" x14ac:dyDescent="0.5">
      <c r="B22" s="19" t="s">
        <v>18</v>
      </c>
      <c r="C22" s="20">
        <v>2.1000000000000001E-2</v>
      </c>
      <c r="F22" s="21"/>
    </row>
    <row r="23" spans="1:10" ht="27.75" customHeight="1" x14ac:dyDescent="0.5">
      <c r="B23" s="19" t="s">
        <v>19</v>
      </c>
      <c r="C23" s="22">
        <v>0.1</v>
      </c>
    </row>
    <row r="24" spans="1:10" ht="27.75" customHeight="1" x14ac:dyDescent="0.5">
      <c r="B24" s="19" t="s">
        <v>20</v>
      </c>
      <c r="C24" s="23">
        <v>1.5</v>
      </c>
    </row>
    <row r="25" spans="1:10" ht="27.75" customHeight="1" x14ac:dyDescent="0.5">
      <c r="J25" s="180"/>
    </row>
    <row r="26" spans="1:10" ht="14.25" customHeight="1" x14ac:dyDescent="0.5">
      <c r="A26" t="s">
        <v>21</v>
      </c>
    </row>
    <row r="27" spans="1:10" ht="66" customHeight="1" x14ac:dyDescent="0.5">
      <c r="A27" s="24" t="s">
        <v>22</v>
      </c>
      <c r="B27" s="25" t="s">
        <v>23</v>
      </c>
      <c r="C27" s="26" t="s">
        <v>24</v>
      </c>
      <c r="D27" s="27" t="s">
        <v>25</v>
      </c>
      <c r="E27" s="26" t="s">
        <v>26</v>
      </c>
      <c r="F27" s="26" t="s">
        <v>27</v>
      </c>
      <c r="G27" s="28" t="s">
        <v>28</v>
      </c>
      <c r="I27" s="2"/>
    </row>
    <row r="28" spans="1:10" ht="19.5" customHeight="1" x14ac:dyDescent="0.5">
      <c r="A28" s="29" t="s">
        <v>29</v>
      </c>
      <c r="B28" s="29">
        <v>300000</v>
      </c>
      <c r="C28" s="30">
        <f>IRR(C38:J38)</f>
        <v>7.3668757114514705E-2</v>
      </c>
      <c r="D28" s="31">
        <f>B28/$B$31</f>
        <v>0.6</v>
      </c>
      <c r="E28" s="32">
        <f>C28*(1-$C$17)</f>
        <v>4.8621379695579697E-2</v>
      </c>
      <c r="F28" s="33">
        <f>E28*D28</f>
        <v>2.9172827817347816E-2</v>
      </c>
      <c r="G28" s="34"/>
      <c r="H28" s="35"/>
      <c r="I28" s="2"/>
    </row>
    <row r="29" spans="1:10" ht="19.5" customHeight="1" thickBot="1" x14ac:dyDescent="0.55000000000000004">
      <c r="A29" s="29" t="s">
        <v>30</v>
      </c>
      <c r="B29" s="29">
        <v>60000</v>
      </c>
      <c r="C29" s="36">
        <v>0.08</v>
      </c>
      <c r="D29" s="31">
        <f t="shared" ref="D29:D30" si="0">B29/$B$31</f>
        <v>0.12</v>
      </c>
      <c r="E29" s="32">
        <f>C29*(1-$C$17)</f>
        <v>5.2799999999999993E-2</v>
      </c>
      <c r="F29" s="33">
        <f t="shared" ref="F29" si="1">E29*D29</f>
        <v>6.3359999999999988E-3</v>
      </c>
      <c r="G29" s="34"/>
      <c r="H29" s="35"/>
      <c r="I29" s="2"/>
    </row>
    <row r="30" spans="1:10" ht="19.5" customHeight="1" thickBot="1" x14ac:dyDescent="0.55000000000000004">
      <c r="A30" s="29" t="s">
        <v>31</v>
      </c>
      <c r="B30" s="37">
        <v>140000</v>
      </c>
      <c r="C30" s="38">
        <f>C22+(C24*C23)</f>
        <v>0.17100000000000001</v>
      </c>
      <c r="D30" s="31">
        <f t="shared" si="0"/>
        <v>0.28000000000000003</v>
      </c>
      <c r="E30" s="32">
        <f>C30</f>
        <v>0.17100000000000001</v>
      </c>
      <c r="F30" s="33">
        <f>E30*D30</f>
        <v>4.7880000000000006E-2</v>
      </c>
      <c r="G30" s="34"/>
      <c r="H30" s="35"/>
      <c r="I30" s="2"/>
    </row>
    <row r="31" spans="1:10" ht="19.5" customHeight="1" thickBot="1" x14ac:dyDescent="0.55000000000000004">
      <c r="A31" s="29" t="s">
        <v>32</v>
      </c>
      <c r="B31" s="39">
        <f>SUM(B28:B30)</f>
        <v>500000</v>
      </c>
      <c r="C31" s="40"/>
      <c r="D31" s="31">
        <f>SUM(D28:D30)</f>
        <v>1</v>
      </c>
      <c r="F31" s="41">
        <f>SUM(F28:F30)</f>
        <v>8.3388827817347827E-2</v>
      </c>
      <c r="G31" s="42">
        <f>B31/C57</f>
        <v>6.25</v>
      </c>
      <c r="H31" t="s">
        <v>169</v>
      </c>
      <c r="I31" s="2"/>
    </row>
    <row r="32" spans="1:10" ht="14.7" thickTop="1" x14ac:dyDescent="0.5">
      <c r="A32" s="43"/>
      <c r="B32" s="43"/>
      <c r="C32" s="40"/>
      <c r="D32" s="43"/>
      <c r="E32" s="43"/>
      <c r="F32" s="43"/>
      <c r="G32" s="2"/>
      <c r="H32" s="2"/>
      <c r="I32" s="2"/>
    </row>
    <row r="33" spans="1:12" x14ac:dyDescent="0.5">
      <c r="A33" s="228"/>
      <c r="B33" s="194"/>
      <c r="C33" s="25">
        <v>0</v>
      </c>
      <c r="D33" s="25">
        <f>+C33+1</f>
        <v>1</v>
      </c>
      <c r="E33" s="25">
        <f>+D33+1</f>
        <v>2</v>
      </c>
      <c r="F33" s="25">
        <f>+E33+1</f>
        <v>3</v>
      </c>
      <c r="G33" s="25">
        <f>+F33+1</f>
        <v>4</v>
      </c>
      <c r="H33" s="25">
        <f>+G33+1</f>
        <v>5</v>
      </c>
      <c r="I33" s="25">
        <f t="shared" ref="I33:J33" si="2">+H33+1</f>
        <v>6</v>
      </c>
      <c r="J33" s="25">
        <f t="shared" si="2"/>
        <v>7</v>
      </c>
    </row>
    <row r="34" spans="1:12" x14ac:dyDescent="0.5">
      <c r="A34" s="229" t="s">
        <v>33</v>
      </c>
      <c r="B34" s="230"/>
      <c r="C34" s="43"/>
      <c r="D34" s="43"/>
      <c r="E34" s="43"/>
      <c r="F34" s="43"/>
      <c r="G34" s="43"/>
      <c r="H34" s="43"/>
      <c r="I34" s="43"/>
      <c r="J34" s="43"/>
    </row>
    <row r="35" spans="1:12" ht="23.25" customHeight="1" x14ac:dyDescent="0.5">
      <c r="A35" s="231" t="s">
        <v>34</v>
      </c>
      <c r="B35" s="231"/>
      <c r="C35" s="44">
        <f>B28</f>
        <v>300000</v>
      </c>
      <c r="D35" s="44">
        <f>C35-D36</f>
        <v>280000</v>
      </c>
      <c r="E35" s="44">
        <f t="shared" ref="E35:J35" si="3">D35-E36</f>
        <v>260000</v>
      </c>
      <c r="F35" s="44">
        <f t="shared" si="3"/>
        <v>230000</v>
      </c>
      <c r="G35" s="44">
        <f t="shared" si="3"/>
        <v>200000</v>
      </c>
      <c r="H35" s="44">
        <f t="shared" si="3"/>
        <v>0</v>
      </c>
      <c r="I35" s="44">
        <f t="shared" si="3"/>
        <v>0</v>
      </c>
      <c r="J35" s="44">
        <f t="shared" si="3"/>
        <v>0</v>
      </c>
    </row>
    <row r="36" spans="1:12" ht="23.25" customHeight="1" x14ac:dyDescent="0.5">
      <c r="A36" s="217" t="s">
        <v>35</v>
      </c>
      <c r="B36" s="221"/>
      <c r="C36" s="45"/>
      <c r="D36" s="46">
        <v>20000</v>
      </c>
      <c r="E36" s="46">
        <v>20000</v>
      </c>
      <c r="F36" s="46">
        <v>30000</v>
      </c>
      <c r="G36" s="46">
        <v>30000</v>
      </c>
      <c r="H36" s="46">
        <v>200000</v>
      </c>
      <c r="I36" s="46"/>
      <c r="J36" s="46"/>
      <c r="L36" s="26" t="s">
        <v>175</v>
      </c>
    </row>
    <row r="37" spans="1:12" ht="23.25" customHeight="1" x14ac:dyDescent="0.5">
      <c r="A37" s="215" t="s">
        <v>155</v>
      </c>
      <c r="B37" s="232"/>
      <c r="C37" s="45"/>
      <c r="D37" s="44">
        <f>C35*($L$37+D39)</f>
        <v>19500</v>
      </c>
      <c r="E37" s="44">
        <f t="shared" ref="E37:H37" si="4">D35*($L$37+E39)</f>
        <v>19600.000000000004</v>
      </c>
      <c r="F37" s="44">
        <f t="shared" si="4"/>
        <v>20800</v>
      </c>
      <c r="G37" s="44">
        <f t="shared" si="4"/>
        <v>18400</v>
      </c>
      <c r="H37" s="44">
        <f t="shared" si="4"/>
        <v>16000</v>
      </c>
      <c r="I37" s="44"/>
      <c r="J37" s="44"/>
      <c r="L37" s="33">
        <v>0.04</v>
      </c>
    </row>
    <row r="38" spans="1:12" ht="23.25" customHeight="1" thickBot="1" x14ac:dyDescent="0.55000000000000004">
      <c r="A38" s="217" t="s">
        <v>37</v>
      </c>
      <c r="B38" s="218"/>
      <c r="C38" s="47">
        <f>-C35</f>
        <v>-300000</v>
      </c>
      <c r="D38" s="48">
        <f>SUM(D36:D37)</f>
        <v>39500</v>
      </c>
      <c r="E38" s="48">
        <f t="shared" ref="E38:H38" si="5">SUM(E36:E37)</f>
        <v>39600</v>
      </c>
      <c r="F38" s="48">
        <f t="shared" si="5"/>
        <v>50800</v>
      </c>
      <c r="G38" s="48">
        <f t="shared" si="5"/>
        <v>48400</v>
      </c>
      <c r="H38" s="48">
        <f t="shared" si="5"/>
        <v>216000</v>
      </c>
      <c r="I38" s="48"/>
      <c r="J38" s="48"/>
    </row>
    <row r="39" spans="1:12" ht="23.25" customHeight="1" thickTop="1" x14ac:dyDescent="0.5">
      <c r="A39" s="49" t="s">
        <v>38</v>
      </c>
      <c r="B39" s="50"/>
      <c r="C39" s="51">
        <v>0.02</v>
      </c>
      <c r="D39" s="31">
        <f>C39+D40</f>
        <v>2.5000000000000001E-2</v>
      </c>
      <c r="E39" s="31">
        <f t="shared" ref="E39:J39" si="6">D39+E40</f>
        <v>3.0000000000000002E-2</v>
      </c>
      <c r="F39" s="31">
        <f t="shared" si="6"/>
        <v>0.04</v>
      </c>
      <c r="G39" s="31">
        <f t="shared" si="6"/>
        <v>0.04</v>
      </c>
      <c r="H39" s="31">
        <f t="shared" si="6"/>
        <v>0.04</v>
      </c>
      <c r="I39" s="31">
        <f t="shared" si="6"/>
        <v>0.04</v>
      </c>
      <c r="J39" s="31">
        <f t="shared" si="6"/>
        <v>0.04</v>
      </c>
    </row>
    <row r="40" spans="1:12" ht="23.25" customHeight="1" x14ac:dyDescent="0.5">
      <c r="A40" s="49" t="s">
        <v>39</v>
      </c>
      <c r="B40" s="50"/>
      <c r="C40" s="52"/>
      <c r="D40" s="51">
        <v>5.0000000000000001E-3</v>
      </c>
      <c r="E40" s="51">
        <v>5.0000000000000001E-3</v>
      </c>
      <c r="F40" s="51">
        <v>0.01</v>
      </c>
      <c r="G40" s="52">
        <v>0</v>
      </c>
      <c r="H40" s="52">
        <v>0</v>
      </c>
      <c r="I40" s="52">
        <v>0</v>
      </c>
      <c r="J40" s="52">
        <v>0</v>
      </c>
    </row>
    <row r="41" spans="1:12" x14ac:dyDescent="0.5">
      <c r="A41" s="53"/>
      <c r="B41" s="53"/>
      <c r="C41" s="54"/>
      <c r="D41" s="55"/>
      <c r="E41" s="55"/>
      <c r="F41" s="55"/>
      <c r="G41" s="55"/>
      <c r="H41" s="55"/>
      <c r="I41" s="55"/>
      <c r="J41" s="55"/>
    </row>
    <row r="42" spans="1:12" x14ac:dyDescent="0.5">
      <c r="A42" s="56" t="s">
        <v>40</v>
      </c>
      <c r="B42" s="57"/>
      <c r="C42" s="58"/>
      <c r="D42" s="55"/>
      <c r="E42" s="55"/>
      <c r="F42" s="55"/>
      <c r="G42" s="55"/>
      <c r="H42" s="55"/>
      <c r="I42" s="55"/>
      <c r="J42" s="55"/>
    </row>
    <row r="43" spans="1:12" ht="24" customHeight="1" x14ac:dyDescent="0.5">
      <c r="A43" s="233" t="s">
        <v>34</v>
      </c>
      <c r="B43" s="234"/>
      <c r="C43" s="59">
        <f>B29</f>
        <v>60000</v>
      </c>
      <c r="D43" s="59">
        <f>C43-D44</f>
        <v>60000</v>
      </c>
      <c r="E43" s="59">
        <f t="shared" ref="E43:J43" si="7">D43-E44</f>
        <v>60000</v>
      </c>
      <c r="F43" s="59">
        <f t="shared" si="7"/>
        <v>60000</v>
      </c>
      <c r="G43" s="59">
        <f t="shared" si="7"/>
        <v>60000</v>
      </c>
      <c r="H43" s="59">
        <f t="shared" si="7"/>
        <v>60000</v>
      </c>
      <c r="I43" s="59">
        <f t="shared" si="7"/>
        <v>60000</v>
      </c>
      <c r="J43" s="59">
        <f t="shared" si="7"/>
        <v>0</v>
      </c>
    </row>
    <row r="44" spans="1:12" ht="24" customHeight="1" x14ac:dyDescent="0.5">
      <c r="A44" s="217" t="s">
        <v>35</v>
      </c>
      <c r="B44" s="218"/>
      <c r="C44" s="60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60000</v>
      </c>
    </row>
    <row r="45" spans="1:12" ht="24" customHeight="1" x14ac:dyDescent="0.5">
      <c r="A45" s="215" t="s">
        <v>36</v>
      </c>
      <c r="B45" s="216"/>
      <c r="C45" s="61"/>
      <c r="D45" s="44">
        <f>C43*$C$29</f>
        <v>4800</v>
      </c>
      <c r="E45" s="44">
        <f t="shared" ref="E45:J45" si="8">D43*$C$29</f>
        <v>4800</v>
      </c>
      <c r="F45" s="44">
        <f t="shared" si="8"/>
        <v>4800</v>
      </c>
      <c r="G45" s="44">
        <f t="shared" si="8"/>
        <v>4800</v>
      </c>
      <c r="H45" s="44">
        <f t="shared" si="8"/>
        <v>4800</v>
      </c>
      <c r="I45" s="44">
        <f t="shared" si="8"/>
        <v>4800</v>
      </c>
      <c r="J45" s="44">
        <f t="shared" si="8"/>
        <v>4800</v>
      </c>
    </row>
    <row r="46" spans="1:12" ht="24" customHeight="1" thickBot="1" x14ac:dyDescent="0.55000000000000004">
      <c r="A46" s="217" t="s">
        <v>37</v>
      </c>
      <c r="B46" s="218"/>
      <c r="C46" s="45"/>
      <c r="D46" s="48">
        <f>SUM(D44:D45)</f>
        <v>4800</v>
      </c>
      <c r="E46" s="48">
        <f t="shared" ref="E46:J46" si="9">SUM(E44:E45)</f>
        <v>4800</v>
      </c>
      <c r="F46" s="48">
        <f t="shared" si="9"/>
        <v>4800</v>
      </c>
      <c r="G46" s="48">
        <f t="shared" si="9"/>
        <v>4800</v>
      </c>
      <c r="H46" s="48">
        <f t="shared" si="9"/>
        <v>4800</v>
      </c>
      <c r="I46" s="48">
        <f t="shared" si="9"/>
        <v>4800</v>
      </c>
      <c r="J46" s="48">
        <f t="shared" si="9"/>
        <v>64800</v>
      </c>
    </row>
    <row r="47" spans="1:12" ht="14.7" thickTop="1" x14ac:dyDescent="0.5">
      <c r="A47" s="53"/>
      <c r="B47" s="53"/>
      <c r="C47" s="54"/>
      <c r="D47" s="55"/>
      <c r="E47" s="55"/>
      <c r="F47" s="55"/>
      <c r="G47" s="55"/>
      <c r="H47" s="55"/>
      <c r="I47" s="2"/>
    </row>
    <row r="48" spans="1:12" x14ac:dyDescent="0.5">
      <c r="A48" s="219" t="s">
        <v>41</v>
      </c>
      <c r="B48" s="220"/>
      <c r="C48" s="54"/>
      <c r="D48" s="55"/>
      <c r="E48" s="55"/>
      <c r="F48" s="55"/>
      <c r="G48" s="55"/>
      <c r="H48" s="55"/>
      <c r="I48" s="2"/>
    </row>
    <row r="49" spans="1:9" ht="21" customHeight="1" x14ac:dyDescent="0.5">
      <c r="A49" s="217" t="s">
        <v>42</v>
      </c>
      <c r="B49" s="221"/>
      <c r="C49" s="62"/>
      <c r="D49" s="63">
        <f>SUM(D46,D38)</f>
        <v>44300</v>
      </c>
      <c r="E49" s="63">
        <f t="shared" ref="E49:H49" si="10">SUM(E46,E38)</f>
        <v>44400</v>
      </c>
      <c r="F49" s="63">
        <f t="shared" si="10"/>
        <v>55600</v>
      </c>
      <c r="G49" s="63">
        <f t="shared" si="10"/>
        <v>53200</v>
      </c>
      <c r="H49" s="63">
        <f t="shared" si="10"/>
        <v>220800</v>
      </c>
      <c r="I49" s="2"/>
    </row>
    <row r="50" spans="1:9" ht="21" customHeight="1" thickBot="1" x14ac:dyDescent="0.55000000000000004">
      <c r="A50" s="217" t="s">
        <v>43</v>
      </c>
      <c r="B50" s="185"/>
      <c r="C50" s="64">
        <f>SUM(C43,C35)</f>
        <v>360000</v>
      </c>
      <c r="D50" s="48">
        <f>D43+D35</f>
        <v>340000</v>
      </c>
      <c r="E50" s="48">
        <f t="shared" ref="E50:H50" si="11">E43+E35</f>
        <v>320000</v>
      </c>
      <c r="F50" s="48">
        <f t="shared" si="11"/>
        <v>290000</v>
      </c>
      <c r="G50" s="48">
        <f t="shared" si="11"/>
        <v>260000</v>
      </c>
      <c r="H50" s="48">
        <f t="shared" si="11"/>
        <v>60000</v>
      </c>
      <c r="I50" s="2"/>
    </row>
    <row r="51" spans="1:9" ht="15" thickTop="1" thickBot="1" x14ac:dyDescent="0.55000000000000004">
      <c r="A51" s="2"/>
      <c r="B51" s="2"/>
      <c r="C51" s="43"/>
      <c r="D51" s="2"/>
      <c r="E51" s="2"/>
      <c r="F51" s="2"/>
      <c r="G51" s="2"/>
      <c r="H51" s="40"/>
      <c r="I51" s="2"/>
    </row>
    <row r="52" spans="1:9" ht="14.7" thickBot="1" x14ac:dyDescent="0.55000000000000004">
      <c r="A52" s="65"/>
      <c r="B52" s="2"/>
      <c r="C52" s="2"/>
      <c r="D52" s="2"/>
      <c r="E52" s="2"/>
      <c r="F52" s="77" t="s">
        <v>58</v>
      </c>
      <c r="G52" s="2"/>
      <c r="H52" s="66"/>
      <c r="I52" s="2"/>
    </row>
    <row r="53" spans="1:9" x14ac:dyDescent="0.5">
      <c r="A53" s="222"/>
      <c r="B53" s="223"/>
      <c r="C53" s="25">
        <v>0</v>
      </c>
      <c r="D53" s="25">
        <f>+C53+1</f>
        <v>1</v>
      </c>
      <c r="E53" s="155">
        <f>+D53+1</f>
        <v>2</v>
      </c>
      <c r="F53" s="157">
        <f>+E53+1</f>
        <v>3</v>
      </c>
      <c r="G53" s="156">
        <f>+F53+1</f>
        <v>4</v>
      </c>
      <c r="H53" s="43"/>
      <c r="I53" s="2"/>
    </row>
    <row r="54" spans="1:9" ht="22.5" customHeight="1" x14ac:dyDescent="0.5">
      <c r="A54" s="224" t="s">
        <v>44</v>
      </c>
      <c r="B54" s="225"/>
      <c r="C54" s="67">
        <v>300000</v>
      </c>
      <c r="D54" s="44">
        <f>C54*(1+$C$13)</f>
        <v>318000</v>
      </c>
      <c r="E54" s="44">
        <f t="shared" ref="E54:G54" si="12">D54*(1+$C$13)</f>
        <v>337080</v>
      </c>
      <c r="F54" s="44">
        <f t="shared" si="12"/>
        <v>357304.80000000005</v>
      </c>
      <c r="G54" s="44">
        <f t="shared" si="12"/>
        <v>378743.08800000005</v>
      </c>
      <c r="H54" s="2"/>
      <c r="I54" s="2"/>
    </row>
    <row r="55" spans="1:9" ht="22.5" customHeight="1" x14ac:dyDescent="0.5">
      <c r="A55" s="224" t="s">
        <v>45</v>
      </c>
      <c r="B55" s="225"/>
      <c r="C55" s="68"/>
      <c r="D55" s="44">
        <f>-D54*$C$14</f>
        <v>-174900</v>
      </c>
      <c r="E55" s="44">
        <f t="shared" ref="E55:G55" si="13">-E54*$C$14</f>
        <v>-185394.00000000003</v>
      </c>
      <c r="F55" s="44">
        <f t="shared" si="13"/>
        <v>-196517.64000000004</v>
      </c>
      <c r="G55" s="44">
        <f t="shared" si="13"/>
        <v>-208308.69840000005</v>
      </c>
      <c r="H55" s="69"/>
      <c r="I55" s="2"/>
    </row>
    <row r="56" spans="1:9" ht="22.5" customHeight="1" x14ac:dyDescent="0.5">
      <c r="A56" s="224" t="s">
        <v>46</v>
      </c>
      <c r="B56" s="225"/>
      <c r="C56" s="70"/>
      <c r="D56" s="71">
        <f>-D54*$C$15</f>
        <v>-63600</v>
      </c>
      <c r="E56" s="71">
        <f t="shared" ref="E56:G56" si="14">-E54*$C$15</f>
        <v>-67416</v>
      </c>
      <c r="F56" s="71">
        <f t="shared" si="14"/>
        <v>-71460.960000000006</v>
      </c>
      <c r="G56" s="71">
        <f t="shared" si="14"/>
        <v>-75748.617600000012</v>
      </c>
      <c r="H56" s="69"/>
      <c r="I56" s="2"/>
    </row>
    <row r="57" spans="1:9" ht="22.5" customHeight="1" thickBot="1" x14ac:dyDescent="0.55000000000000004">
      <c r="A57" s="226" t="s">
        <v>47</v>
      </c>
      <c r="B57" s="225"/>
      <c r="C57" s="67">
        <v>80000</v>
      </c>
      <c r="D57" s="48">
        <f>SUM(D54:D56)</f>
        <v>79500</v>
      </c>
      <c r="E57" s="48">
        <f t="shared" ref="E57:G57" si="15">SUM(E54:E56)</f>
        <v>84269.999999999971</v>
      </c>
      <c r="F57" s="48">
        <f t="shared" si="15"/>
        <v>89326.2</v>
      </c>
      <c r="G57" s="48">
        <f t="shared" si="15"/>
        <v>94685.771999999983</v>
      </c>
      <c r="H57" s="69"/>
      <c r="I57" s="2"/>
    </row>
    <row r="58" spans="1:9" ht="22.5" customHeight="1" thickTop="1" thickBot="1" x14ac:dyDescent="0.55000000000000004">
      <c r="A58" s="204" t="s">
        <v>48</v>
      </c>
      <c r="B58" s="214"/>
      <c r="C58" s="206"/>
      <c r="D58" s="72">
        <f>-D54*$C$16</f>
        <v>-9540</v>
      </c>
      <c r="E58" s="72">
        <f>-E54*$C$16</f>
        <v>-10112.4</v>
      </c>
      <c r="F58" s="72">
        <f t="shared" ref="F58:G58" si="16">-F54*$C$16</f>
        <v>-10719.144</v>
      </c>
      <c r="G58" s="72">
        <f t="shared" si="16"/>
        <v>-11362.292640000001</v>
      </c>
      <c r="H58" s="43"/>
      <c r="I58" s="2"/>
    </row>
    <row r="59" spans="1:9" ht="22.5" customHeight="1" x14ac:dyDescent="0.5">
      <c r="A59" s="204" t="s">
        <v>49</v>
      </c>
      <c r="B59" s="214"/>
      <c r="C59" s="206"/>
      <c r="D59" s="71">
        <f>SUM(D57:D58)</f>
        <v>69960</v>
      </c>
      <c r="E59" s="71">
        <f t="shared" ref="E59:G59" si="17">SUM(E57:E58)</f>
        <v>74157.599999999977</v>
      </c>
      <c r="F59" s="71">
        <f t="shared" si="17"/>
        <v>78607.055999999997</v>
      </c>
      <c r="G59" s="71">
        <f t="shared" si="17"/>
        <v>83323.479359999983</v>
      </c>
      <c r="H59" s="69"/>
      <c r="I59" s="2"/>
    </row>
    <row r="60" spans="1:9" ht="22.5" customHeight="1" x14ac:dyDescent="0.5">
      <c r="A60" s="200" t="s">
        <v>50</v>
      </c>
      <c r="B60" s="201"/>
      <c r="C60" s="202"/>
      <c r="D60" s="44">
        <f>-D59*$C$17</f>
        <v>-23786.400000000001</v>
      </c>
      <c r="E60" s="44">
        <f t="shared" ref="E60:G60" si="18">-E59*$C$17</f>
        <v>-25213.583999999995</v>
      </c>
      <c r="F60" s="44">
        <f t="shared" si="18"/>
        <v>-26726.39904</v>
      </c>
      <c r="G60" s="44">
        <f t="shared" si="18"/>
        <v>-28329.982982399997</v>
      </c>
      <c r="H60" s="69"/>
      <c r="I60" s="2"/>
    </row>
    <row r="61" spans="1:9" ht="22.5" customHeight="1" x14ac:dyDescent="0.5">
      <c r="A61" s="200" t="s">
        <v>51</v>
      </c>
      <c r="B61" s="203"/>
      <c r="C61" s="202"/>
      <c r="D61" s="44">
        <f>-D58</f>
        <v>9540</v>
      </c>
      <c r="E61" s="44">
        <f t="shared" ref="E61:G61" si="19">-E58</f>
        <v>10112.4</v>
      </c>
      <c r="F61" s="44">
        <f t="shared" si="19"/>
        <v>10719.144</v>
      </c>
      <c r="G61" s="44">
        <f t="shared" si="19"/>
        <v>11362.292640000001</v>
      </c>
      <c r="H61" s="69"/>
      <c r="I61" s="2"/>
    </row>
    <row r="62" spans="1:9" ht="22.5" customHeight="1" x14ac:dyDescent="0.5">
      <c r="A62" s="73" t="s">
        <v>52</v>
      </c>
      <c r="B62" s="74"/>
      <c r="C62" s="75"/>
      <c r="D62" s="59">
        <f>-D54*$C$19</f>
        <v>-3180</v>
      </c>
      <c r="E62" s="59">
        <f t="shared" ref="E62:G62" si="20">-E54*$C$19</f>
        <v>-3370.8</v>
      </c>
      <c r="F62" s="59">
        <f t="shared" si="20"/>
        <v>-3573.0480000000007</v>
      </c>
      <c r="G62" s="59">
        <f t="shared" si="20"/>
        <v>-3787.4308800000003</v>
      </c>
      <c r="H62" s="69"/>
      <c r="I62" s="2"/>
    </row>
    <row r="63" spans="1:9" ht="22.5" customHeight="1" thickBot="1" x14ac:dyDescent="0.55000000000000004">
      <c r="A63" s="200" t="s">
        <v>53</v>
      </c>
      <c r="B63" s="203"/>
      <c r="C63" s="202"/>
      <c r="D63" s="72">
        <f>-D54*$C$20</f>
        <v>-9540</v>
      </c>
      <c r="E63" s="72">
        <f t="shared" ref="E63:G63" si="21">-E54*$C$20</f>
        <v>-10112.4</v>
      </c>
      <c r="F63" s="72">
        <f t="shared" si="21"/>
        <v>-10719.144</v>
      </c>
      <c r="G63" s="72">
        <f t="shared" si="21"/>
        <v>-11362.292640000001</v>
      </c>
      <c r="H63" s="69"/>
      <c r="I63" s="2"/>
    </row>
    <row r="64" spans="1:9" ht="22.5" customHeight="1" x14ac:dyDescent="0.5">
      <c r="A64" s="204" t="s">
        <v>54</v>
      </c>
      <c r="B64" s="205"/>
      <c r="C64" s="206"/>
      <c r="D64" s="71">
        <f>SUM(D59:D63)</f>
        <v>42993.599999999999</v>
      </c>
      <c r="E64" s="71">
        <f t="shared" ref="E64:G64" si="22">SUM(E59:E63)</f>
        <v>45573.215999999979</v>
      </c>
      <c r="F64" s="71">
        <f t="shared" si="22"/>
        <v>48307.60895999999</v>
      </c>
      <c r="G64" s="71">
        <f t="shared" si="22"/>
        <v>51206.065497599993</v>
      </c>
      <c r="H64" s="40"/>
      <c r="I64" s="2"/>
    </row>
    <row r="65" spans="1:10" ht="22.5" customHeight="1" x14ac:dyDescent="0.5">
      <c r="A65" s="207" t="s">
        <v>55</v>
      </c>
      <c r="B65" s="208"/>
      <c r="C65" s="76"/>
      <c r="D65" s="44">
        <f>-D49</f>
        <v>-44300</v>
      </c>
      <c r="E65" s="44">
        <f t="shared" ref="E65:G65" si="23">-E49</f>
        <v>-44400</v>
      </c>
      <c r="F65" s="44">
        <f t="shared" si="23"/>
        <v>-55600</v>
      </c>
      <c r="G65" s="44">
        <f t="shared" si="23"/>
        <v>-53200</v>
      </c>
      <c r="H65" s="40"/>
      <c r="I65" s="2"/>
    </row>
    <row r="66" spans="1:10" ht="22.5" customHeight="1" thickBot="1" x14ac:dyDescent="0.55000000000000004">
      <c r="A66" s="209" t="s">
        <v>56</v>
      </c>
      <c r="B66" s="210"/>
      <c r="C66" s="63"/>
      <c r="D66" s="48">
        <f>SUM(D64:D65)</f>
        <v>-1306.4000000000015</v>
      </c>
      <c r="E66" s="48">
        <f t="shared" ref="E66:G66" si="24">SUM(E64:E65)</f>
        <v>1173.2159999999785</v>
      </c>
      <c r="F66" s="48">
        <f t="shared" si="24"/>
        <v>-7292.3910400000095</v>
      </c>
      <c r="G66" s="48">
        <f t="shared" si="24"/>
        <v>-1993.9345024000067</v>
      </c>
      <c r="H66" s="40"/>
      <c r="I66" s="2"/>
    </row>
    <row r="67" spans="1:10" ht="15" thickTop="1" thickBot="1" x14ac:dyDescent="0.55000000000000004">
      <c r="A67" s="211"/>
      <c r="B67" s="211"/>
      <c r="C67" s="2"/>
      <c r="D67" s="6"/>
      <c r="E67" s="6"/>
      <c r="F67" s="158"/>
      <c r="G67" s="2"/>
      <c r="H67" s="40"/>
      <c r="I67" s="2"/>
    </row>
    <row r="68" spans="1:10" x14ac:dyDescent="0.5">
      <c r="A68" s="212" t="s">
        <v>57</v>
      </c>
      <c r="B68" s="213"/>
      <c r="C68" s="2"/>
      <c r="D68" s="6"/>
      <c r="E68" s="6"/>
      <c r="F68" s="77" t="s">
        <v>58</v>
      </c>
      <c r="G68" s="2"/>
      <c r="H68" s="40"/>
      <c r="I68" s="2"/>
    </row>
    <row r="69" spans="1:10" ht="20.25" customHeight="1" thickBot="1" x14ac:dyDescent="0.55000000000000004">
      <c r="A69" s="193" t="s">
        <v>59</v>
      </c>
      <c r="B69" s="193"/>
      <c r="C69" s="194"/>
      <c r="D69" s="194"/>
      <c r="E69" s="178"/>
      <c r="F69" s="79">
        <f>F57*G31</f>
        <v>558288.75</v>
      </c>
      <c r="G69" s="40"/>
      <c r="H69" s="40"/>
      <c r="I69" s="2"/>
    </row>
    <row r="70" spans="1:10" ht="20.25" customHeight="1" thickBot="1" x14ac:dyDescent="0.55000000000000004">
      <c r="A70" s="193" t="s">
        <v>60</v>
      </c>
      <c r="B70" s="193"/>
      <c r="C70" s="194"/>
      <c r="D70" s="194"/>
      <c r="E70" s="179"/>
      <c r="F70" s="79">
        <f>G64/F31</f>
        <v>614063.86008639063</v>
      </c>
      <c r="G70" s="40"/>
      <c r="H70" s="40"/>
      <c r="I70" s="2"/>
    </row>
    <row r="71" spans="1:10" ht="20.25" customHeight="1" thickBot="1" x14ac:dyDescent="0.55000000000000004">
      <c r="A71" s="193" t="s">
        <v>61</v>
      </c>
      <c r="B71" s="193"/>
      <c r="C71" s="194"/>
      <c r="D71" s="194"/>
      <c r="E71" s="78"/>
      <c r="F71" s="79">
        <f>(F70+F69)/2</f>
        <v>586176.30504319537</v>
      </c>
      <c r="G71" s="40"/>
      <c r="H71" s="40"/>
      <c r="I71" s="2"/>
    </row>
    <row r="72" spans="1:10" ht="20.25" customHeight="1" thickBot="1" x14ac:dyDescent="0.55000000000000004">
      <c r="A72" s="193" t="s">
        <v>62</v>
      </c>
      <c r="B72" s="193"/>
      <c r="C72" s="194"/>
      <c r="D72" s="194"/>
      <c r="E72" s="78"/>
      <c r="F72" s="79">
        <f>F50</f>
        <v>290000</v>
      </c>
      <c r="G72" s="40"/>
      <c r="H72" s="40"/>
      <c r="I72" s="2"/>
    </row>
    <row r="73" spans="1:10" ht="20.25" customHeight="1" thickBot="1" x14ac:dyDescent="0.55000000000000004">
      <c r="A73" s="193" t="s">
        <v>63</v>
      </c>
      <c r="B73" s="193"/>
      <c r="C73" s="194"/>
      <c r="D73" s="194"/>
      <c r="E73" s="78"/>
      <c r="F73" s="80">
        <f>F71-F72</f>
        <v>296176.30504319537</v>
      </c>
      <c r="G73" s="40"/>
      <c r="H73" s="40"/>
      <c r="I73" s="2"/>
    </row>
    <row r="74" spans="1:10" ht="18" customHeight="1" x14ac:dyDescent="0.5">
      <c r="A74" s="2"/>
      <c r="B74" s="2"/>
      <c r="C74" s="25">
        <v>0</v>
      </c>
      <c r="D74" s="25">
        <f>+C74+1</f>
        <v>1</v>
      </c>
      <c r="E74" s="155">
        <f>+D74+1</f>
        <v>2</v>
      </c>
      <c r="F74" s="157">
        <f>+E74+1</f>
        <v>3</v>
      </c>
      <c r="G74" s="40"/>
      <c r="H74" s="2"/>
      <c r="I74" s="2"/>
      <c r="J74" s="2"/>
    </row>
    <row r="75" spans="1:10" ht="21" customHeight="1" thickBot="1" x14ac:dyDescent="0.55000000000000004">
      <c r="A75" s="195" t="s">
        <v>64</v>
      </c>
      <c r="B75" s="196"/>
      <c r="C75" s="44">
        <f>-B30</f>
        <v>-140000</v>
      </c>
      <c r="D75" s="44">
        <f>D66</f>
        <v>-1306.4000000000015</v>
      </c>
      <c r="E75" s="81">
        <f>E66</f>
        <v>1173.2159999999785</v>
      </c>
      <c r="F75" s="79">
        <f>F73+F66</f>
        <v>288883.91400319536</v>
      </c>
      <c r="G75" s="40"/>
      <c r="H75" s="40"/>
      <c r="I75" s="2"/>
    </row>
    <row r="76" spans="1:10" x14ac:dyDescent="0.5">
      <c r="A76" s="2"/>
      <c r="B76" s="2"/>
      <c r="C76" s="2"/>
      <c r="D76" s="6"/>
      <c r="E76" s="6"/>
      <c r="F76" s="6"/>
      <c r="G76" s="6"/>
      <c r="H76" s="40"/>
      <c r="I76" s="2"/>
    </row>
    <row r="77" spans="1:10" ht="24" customHeight="1" x14ac:dyDescent="0.5">
      <c r="A77" s="82" t="s">
        <v>65</v>
      </c>
      <c r="B77" s="83"/>
      <c r="C77" s="83"/>
      <c r="D77" s="84">
        <f>(1/(1+$C$30)^D74)</f>
        <v>0.85397096498719038</v>
      </c>
      <c r="E77" s="84">
        <f t="shared" ref="E77:F77" si="25">(1/(1+$C$30)^E74)</f>
        <v>0.72926640904115314</v>
      </c>
      <c r="F77" s="84">
        <f t="shared" si="25"/>
        <v>0.62277233906161666</v>
      </c>
      <c r="G77" s="40"/>
      <c r="H77" s="40"/>
      <c r="I77" s="2"/>
    </row>
    <row r="78" spans="1:10" ht="24" customHeight="1" x14ac:dyDescent="0.5">
      <c r="A78" s="85"/>
      <c r="B78" s="83"/>
      <c r="C78" s="83"/>
      <c r="D78" s="83"/>
      <c r="E78" s="83"/>
      <c r="F78" s="83"/>
      <c r="G78" s="40"/>
      <c r="H78" s="40"/>
      <c r="I78" s="2"/>
    </row>
    <row r="79" spans="1:10" ht="24" customHeight="1" x14ac:dyDescent="0.5">
      <c r="A79" s="85"/>
      <c r="B79" s="83"/>
      <c r="C79" s="83"/>
      <c r="D79" s="83"/>
      <c r="E79" s="83"/>
      <c r="F79" s="83"/>
      <c r="G79" s="40"/>
      <c r="H79" s="40"/>
      <c r="I79" s="2"/>
    </row>
    <row r="80" spans="1:10" ht="24" customHeight="1" x14ac:dyDescent="0.5">
      <c r="A80" s="85" t="s">
        <v>66</v>
      </c>
      <c r="B80" s="44">
        <f>D75*D77</f>
        <v>-1115.6276686592669</v>
      </c>
      <c r="C80" s="83"/>
      <c r="D80" s="83"/>
      <c r="E80" s="83"/>
      <c r="F80" s="83"/>
      <c r="G80" s="40"/>
      <c r="H80" s="40"/>
      <c r="I80" s="2"/>
    </row>
    <row r="81" spans="1:10" ht="24" customHeight="1" x14ac:dyDescent="0.5">
      <c r="A81" s="85" t="s">
        <v>67</v>
      </c>
      <c r="B81" s="44">
        <f>E75*E77</f>
        <v>855.58701934960982</v>
      </c>
      <c r="C81" s="83"/>
      <c r="D81" s="83"/>
      <c r="E81" s="83"/>
      <c r="F81" s="83"/>
      <c r="G81" s="40"/>
      <c r="H81" s="2"/>
      <c r="I81" s="2"/>
    </row>
    <row r="82" spans="1:10" ht="24" customHeight="1" x14ac:dyDescent="0.5">
      <c r="A82" s="85" t="s">
        <v>68</v>
      </c>
      <c r="B82" s="44">
        <f>F75*F77</f>
        <v>179908.91084104488</v>
      </c>
      <c r="C82" s="83"/>
      <c r="D82" s="83"/>
      <c r="E82" s="83"/>
      <c r="F82" s="83"/>
      <c r="G82" s="40"/>
      <c r="H82" s="2"/>
      <c r="I82" s="2"/>
    </row>
    <row r="83" spans="1:10" ht="24" customHeight="1" thickBot="1" x14ac:dyDescent="0.55000000000000004">
      <c r="A83" s="85" t="s">
        <v>41</v>
      </c>
      <c r="B83" s="86">
        <f>SUM(B80:B82)</f>
        <v>179648.87019173522</v>
      </c>
      <c r="C83" s="85"/>
      <c r="D83" s="83"/>
      <c r="E83" s="83"/>
      <c r="F83" s="83"/>
      <c r="G83" s="40"/>
      <c r="H83" s="2"/>
      <c r="I83" s="2"/>
    </row>
    <row r="84" spans="1:10" ht="24" customHeight="1" thickTop="1" x14ac:dyDescent="0.5">
      <c r="A84" s="85" t="s">
        <v>69</v>
      </c>
      <c r="B84" s="71">
        <f>C75</f>
        <v>-140000</v>
      </c>
      <c r="C84" s="87"/>
      <c r="D84" s="83"/>
      <c r="E84" s="83"/>
      <c r="F84" s="83"/>
      <c r="G84" s="40"/>
      <c r="H84" s="2"/>
      <c r="I84" s="2"/>
    </row>
    <row r="85" spans="1:10" ht="25.5" customHeight="1" thickBot="1" x14ac:dyDescent="0.55000000000000004">
      <c r="A85" s="85"/>
      <c r="B85" s="55"/>
      <c r="C85" s="87"/>
      <c r="D85" s="83"/>
      <c r="E85" s="83"/>
      <c r="F85" s="83"/>
      <c r="G85" s="40"/>
      <c r="H85" s="2"/>
      <c r="I85" s="2"/>
    </row>
    <row r="86" spans="1:10" ht="25.5" customHeight="1" thickBot="1" x14ac:dyDescent="0.55000000000000004">
      <c r="A86" s="88" t="s">
        <v>70</v>
      </c>
      <c r="B86" s="89">
        <f>SUM(B83:B84)</f>
        <v>39648.870191735215</v>
      </c>
      <c r="C86" s="83"/>
      <c r="D86" s="83"/>
      <c r="E86" s="83"/>
      <c r="F86" s="83"/>
      <c r="G86" s="2"/>
      <c r="H86" s="2"/>
      <c r="I86" s="2"/>
    </row>
    <row r="87" spans="1:10" ht="25.5" customHeight="1" thickBot="1" x14ac:dyDescent="0.55000000000000004">
      <c r="A87" s="90"/>
      <c r="B87" s="91"/>
      <c r="C87" s="2"/>
      <c r="D87" s="2"/>
      <c r="E87" s="2"/>
      <c r="F87" s="2"/>
      <c r="G87" s="2"/>
      <c r="H87" s="2"/>
      <c r="I87" s="2"/>
    </row>
    <row r="88" spans="1:10" ht="25.5" customHeight="1" thickBot="1" x14ac:dyDescent="0.55000000000000004">
      <c r="A88" s="12" t="s">
        <v>71</v>
      </c>
      <c r="B88" s="92">
        <f>IRR(C75:F75)</f>
        <v>0.27219348540636901</v>
      </c>
      <c r="C88" s="2"/>
      <c r="D88" s="2"/>
      <c r="E88" s="2"/>
      <c r="F88" s="2"/>
      <c r="G88" s="2"/>
      <c r="H88" s="2"/>
      <c r="I88" s="2"/>
    </row>
    <row r="89" spans="1:10" ht="11.25" customHeight="1" x14ac:dyDescent="0.5">
      <c r="A89" s="2"/>
      <c r="B89" s="2"/>
      <c r="C89" s="2"/>
      <c r="D89" s="2"/>
      <c r="E89" s="2"/>
      <c r="F89" s="2"/>
      <c r="G89" s="2"/>
      <c r="H89" s="2"/>
      <c r="I89" s="2"/>
    </row>
    <row r="90" spans="1:10" ht="16.5" customHeight="1" x14ac:dyDescent="0.5">
      <c r="A90" s="2"/>
      <c r="B90" s="2"/>
      <c r="C90" s="2"/>
      <c r="D90" s="2"/>
      <c r="E90" s="2"/>
      <c r="F90" s="2"/>
      <c r="G90" s="2"/>
      <c r="H90" s="2"/>
      <c r="I90" s="2"/>
    </row>
    <row r="91" spans="1:10" ht="25.5" customHeight="1" x14ac:dyDescent="0.5">
      <c r="A91" s="197" t="s">
        <v>72</v>
      </c>
      <c r="B91" s="198"/>
      <c r="C91" s="198"/>
      <c r="D91" s="198"/>
      <c r="E91" s="198"/>
      <c r="F91" s="198"/>
      <c r="G91" s="198"/>
      <c r="H91" s="198"/>
      <c r="I91" s="198"/>
    </row>
    <row r="92" spans="1:10" x14ac:dyDescent="0.5">
      <c r="A92" s="2"/>
      <c r="B92" s="2"/>
      <c r="C92" s="2"/>
      <c r="D92" s="2"/>
      <c r="E92" s="2"/>
      <c r="F92" s="2"/>
      <c r="G92" s="2"/>
      <c r="H92" s="2"/>
      <c r="I92" s="2"/>
    </row>
    <row r="93" spans="1:10" ht="18" thickBot="1" x14ac:dyDescent="0.6">
      <c r="A93" s="7" t="s">
        <v>73</v>
      </c>
      <c r="B93" s="8"/>
      <c r="C93" s="9"/>
      <c r="D93" s="10"/>
      <c r="E93" s="11"/>
      <c r="F93" s="12"/>
      <c r="G93" s="13"/>
      <c r="I93" s="2"/>
    </row>
    <row r="94" spans="1:10" ht="15.7" thickBot="1" x14ac:dyDescent="0.55000000000000004">
      <c r="A94" s="93" t="s">
        <v>74</v>
      </c>
      <c r="B94" s="94" t="s">
        <v>75</v>
      </c>
      <c r="C94" s="95"/>
      <c r="D94" s="96"/>
      <c r="E94" s="94" t="s">
        <v>76</v>
      </c>
      <c r="F94" s="95"/>
      <c r="G94" s="96"/>
      <c r="H94" s="97"/>
      <c r="I94" s="97"/>
      <c r="J94" s="97"/>
    </row>
    <row r="95" spans="1:10" ht="15.7" thickBot="1" x14ac:dyDescent="0.55000000000000004">
      <c r="A95" s="98" t="s">
        <v>77</v>
      </c>
      <c r="B95" s="99" t="s">
        <v>78</v>
      </c>
      <c r="C95" s="100" t="s">
        <v>79</v>
      </c>
      <c r="D95" s="101" t="s">
        <v>80</v>
      </c>
      <c r="E95" s="99" t="s">
        <v>78</v>
      </c>
      <c r="F95" s="100" t="s">
        <v>79</v>
      </c>
      <c r="G95" s="101" t="s">
        <v>80</v>
      </c>
      <c r="H95" s="97"/>
      <c r="I95" s="97"/>
      <c r="J95" s="97"/>
    </row>
    <row r="96" spans="1:10" ht="15.7" thickBot="1" x14ac:dyDescent="0.55000000000000004">
      <c r="A96" s="102">
        <v>100</v>
      </c>
      <c r="B96" s="103">
        <v>3</v>
      </c>
      <c r="C96" s="103">
        <v>3.5</v>
      </c>
      <c r="D96" s="103">
        <v>3.7</v>
      </c>
      <c r="E96" s="103">
        <v>6</v>
      </c>
      <c r="F96" s="103">
        <v>6.6</v>
      </c>
      <c r="G96" s="103">
        <v>7.1999999999999993</v>
      </c>
      <c r="H96" s="97"/>
      <c r="I96" s="97"/>
      <c r="J96" s="97"/>
    </row>
    <row r="97" spans="1:13" ht="15.7" thickBot="1" x14ac:dyDescent="0.55000000000000004">
      <c r="A97" s="102">
        <v>105</v>
      </c>
      <c r="B97" s="103">
        <v>4</v>
      </c>
      <c r="C97" s="103">
        <v>4.5</v>
      </c>
      <c r="D97" s="103">
        <v>4.8</v>
      </c>
      <c r="E97" s="103">
        <v>7</v>
      </c>
      <c r="F97" s="103">
        <v>7.6</v>
      </c>
      <c r="G97" s="103">
        <v>8.1999999999999993</v>
      </c>
      <c r="H97" s="97"/>
      <c r="I97" s="97"/>
      <c r="J97" s="97"/>
    </row>
    <row r="98" spans="1:13" ht="15.7" thickBot="1" x14ac:dyDescent="0.55000000000000004">
      <c r="A98" s="102">
        <v>110</v>
      </c>
      <c r="B98" s="103">
        <v>5</v>
      </c>
      <c r="C98" s="103">
        <v>5.5</v>
      </c>
      <c r="D98" s="103">
        <v>5.8</v>
      </c>
      <c r="E98" s="103">
        <v>8.5</v>
      </c>
      <c r="F98" s="103">
        <v>9.1</v>
      </c>
      <c r="G98" s="103">
        <v>9.6999999999999993</v>
      </c>
      <c r="H98" s="97"/>
      <c r="I98" s="97"/>
      <c r="J98" s="97"/>
    </row>
    <row r="99" spans="1:13" ht="15.7" thickBot="1" x14ac:dyDescent="0.55000000000000004">
      <c r="A99" s="102">
        <v>115</v>
      </c>
      <c r="B99" s="103">
        <v>7</v>
      </c>
      <c r="C99" s="103">
        <v>7.5</v>
      </c>
      <c r="D99" s="103">
        <v>7.8000000000000007</v>
      </c>
      <c r="E99" s="103">
        <v>10</v>
      </c>
      <c r="F99" s="103">
        <v>10.6</v>
      </c>
      <c r="G99" s="103">
        <v>11.2</v>
      </c>
      <c r="H99" s="97"/>
      <c r="I99" s="97"/>
      <c r="J99" s="97"/>
    </row>
    <row r="100" spans="1:13" ht="15.7" thickBot="1" x14ac:dyDescent="0.55000000000000004">
      <c r="A100" s="102">
        <v>120</v>
      </c>
      <c r="B100" s="103">
        <v>8</v>
      </c>
      <c r="C100" s="103">
        <v>8.5</v>
      </c>
      <c r="D100" s="103">
        <v>8.8000000000000007</v>
      </c>
      <c r="E100" s="103">
        <v>11.5</v>
      </c>
      <c r="F100" s="103">
        <v>12.1</v>
      </c>
      <c r="G100" s="103">
        <v>12.7</v>
      </c>
      <c r="H100" s="97"/>
      <c r="I100" s="97"/>
      <c r="J100" s="97"/>
    </row>
    <row r="101" spans="1:13" ht="15.7" thickBot="1" x14ac:dyDescent="0.55000000000000004">
      <c r="A101" s="102">
        <v>125</v>
      </c>
      <c r="B101" s="103">
        <v>9</v>
      </c>
      <c r="C101" s="103">
        <v>9.5</v>
      </c>
      <c r="D101" s="103">
        <v>9.8000000000000007</v>
      </c>
      <c r="E101" s="103">
        <v>13</v>
      </c>
      <c r="F101" s="103">
        <v>13.6</v>
      </c>
      <c r="G101" s="103">
        <v>14.2</v>
      </c>
      <c r="H101" s="97"/>
      <c r="I101" s="97"/>
      <c r="J101" s="97"/>
    </row>
    <row r="102" spans="1:13" ht="15.7" thickBot="1" x14ac:dyDescent="0.55000000000000004">
      <c r="A102" s="102">
        <v>130</v>
      </c>
      <c r="B102" s="103">
        <v>11</v>
      </c>
      <c r="C102" s="103">
        <v>11.5</v>
      </c>
      <c r="D102" s="103">
        <v>11.8</v>
      </c>
      <c r="E102" s="103">
        <v>16</v>
      </c>
      <c r="F102" s="103">
        <v>16.600000000000001</v>
      </c>
      <c r="G102" s="103">
        <v>17.200000000000003</v>
      </c>
      <c r="H102" s="97"/>
      <c r="I102" s="97"/>
      <c r="J102" s="97"/>
    </row>
    <row r="103" spans="1:13" ht="15.35" x14ac:dyDescent="0.5">
      <c r="A103" s="93"/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1:13" ht="20" x14ac:dyDescent="0.6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3" ht="15.35" x14ac:dyDescent="0.5">
      <c r="A105" s="93" t="s">
        <v>81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ht="15.35" x14ac:dyDescent="0.5">
      <c r="A106" s="93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5.35" x14ac:dyDescent="0.5">
      <c r="A107" s="93" t="s">
        <v>82</v>
      </c>
      <c r="B107" s="93"/>
      <c r="C107" s="97"/>
      <c r="D107" s="93"/>
      <c r="E107" s="106" t="s">
        <v>83</v>
      </c>
      <c r="F107" s="93"/>
      <c r="G107" s="93"/>
      <c r="H107" s="93" t="s">
        <v>84</v>
      </c>
      <c r="I107" s="93"/>
      <c r="J107" s="93"/>
      <c r="K107" s="93"/>
      <c r="L107" s="97"/>
      <c r="M107" s="97"/>
    </row>
    <row r="108" spans="1:13" ht="53" thickBot="1" x14ac:dyDescent="0.55000000000000004">
      <c r="A108" s="107" t="s">
        <v>85</v>
      </c>
      <c r="B108" s="108" t="s">
        <v>86</v>
      </c>
      <c r="C108" s="108" t="s">
        <v>87</v>
      </c>
      <c r="D108" s="108" t="s">
        <v>88</v>
      </c>
      <c r="E108" s="108" t="s">
        <v>170</v>
      </c>
      <c r="F108" s="108" t="s">
        <v>89</v>
      </c>
      <c r="G108" s="97"/>
      <c r="H108" s="107" t="s">
        <v>90</v>
      </c>
      <c r="I108" s="107" t="s">
        <v>91</v>
      </c>
      <c r="J108" s="108" t="s">
        <v>92</v>
      </c>
      <c r="K108" s="108" t="s">
        <v>93</v>
      </c>
      <c r="L108" s="97"/>
      <c r="M108" s="97"/>
    </row>
    <row r="109" spans="1:13" ht="15.7" thickBot="1" x14ac:dyDescent="0.55000000000000004">
      <c r="A109" s="109" t="s">
        <v>94</v>
      </c>
      <c r="B109" s="109" t="s">
        <v>95</v>
      </c>
      <c r="C109" s="109" t="s">
        <v>96</v>
      </c>
      <c r="D109" s="110">
        <v>100</v>
      </c>
      <c r="E109" s="111">
        <f>B96</f>
        <v>3</v>
      </c>
      <c r="F109" s="110">
        <v>110</v>
      </c>
      <c r="G109" s="97"/>
      <c r="H109" s="112">
        <f>F109-D109</f>
        <v>10</v>
      </c>
      <c r="I109" s="112">
        <f>H109-E109</f>
        <v>7</v>
      </c>
      <c r="J109" s="112">
        <f>D109+E109</f>
        <v>103</v>
      </c>
      <c r="K109" s="161"/>
      <c r="L109" s="97"/>
      <c r="M109" s="97"/>
    </row>
    <row r="110" spans="1:13" ht="15.7" thickBot="1" x14ac:dyDescent="0.55000000000000004">
      <c r="A110" s="109" t="s">
        <v>97</v>
      </c>
      <c r="B110" s="109" t="s">
        <v>98</v>
      </c>
      <c r="C110" s="109" t="s">
        <v>96</v>
      </c>
      <c r="D110" s="110">
        <v>110</v>
      </c>
      <c r="E110" s="111">
        <f>D98</f>
        <v>5.8</v>
      </c>
      <c r="F110" s="110">
        <v>112</v>
      </c>
      <c r="G110" s="97"/>
      <c r="H110" s="112">
        <f>D110-F110</f>
        <v>-2</v>
      </c>
      <c r="I110" s="112">
        <f>H110+E110</f>
        <v>3.8</v>
      </c>
      <c r="J110" s="112">
        <f>D110+E110</f>
        <v>115.8</v>
      </c>
      <c r="K110" s="161"/>
      <c r="L110" s="97"/>
      <c r="M110" s="97"/>
    </row>
    <row r="111" spans="1:13" ht="15.7" thickBot="1" x14ac:dyDescent="0.55000000000000004">
      <c r="A111" s="109" t="s">
        <v>94</v>
      </c>
      <c r="B111" s="109" t="s">
        <v>99</v>
      </c>
      <c r="C111" s="109" t="s">
        <v>100</v>
      </c>
      <c r="D111" s="110">
        <v>105</v>
      </c>
      <c r="E111" s="111">
        <f>F97</f>
        <v>7.6</v>
      </c>
      <c r="F111" s="110">
        <v>106</v>
      </c>
      <c r="G111" s="97"/>
      <c r="H111" s="113">
        <v>0</v>
      </c>
      <c r="I111" s="112">
        <f>-E111</f>
        <v>-7.6</v>
      </c>
      <c r="J111" s="112">
        <f>D111-E111</f>
        <v>97.4</v>
      </c>
      <c r="K111" s="161"/>
      <c r="L111" s="97"/>
      <c r="M111" s="97"/>
    </row>
    <row r="112" spans="1:13" ht="15.7" thickBot="1" x14ac:dyDescent="0.55000000000000004">
      <c r="A112" s="109" t="s">
        <v>97</v>
      </c>
      <c r="B112" s="109" t="s">
        <v>98</v>
      </c>
      <c r="C112" s="109" t="s">
        <v>100</v>
      </c>
      <c r="D112" s="110">
        <v>125</v>
      </c>
      <c r="E112" s="111">
        <f>G101</f>
        <v>14.2</v>
      </c>
      <c r="F112" s="110">
        <v>120</v>
      </c>
      <c r="G112" s="97"/>
      <c r="H112" s="112">
        <f>F112-D112</f>
        <v>-5</v>
      </c>
      <c r="I112" s="112">
        <f>H112+E112</f>
        <v>9.1999999999999993</v>
      </c>
      <c r="J112" s="112">
        <f>D112-E112</f>
        <v>110.8</v>
      </c>
      <c r="K112" s="161"/>
      <c r="L112" s="97"/>
      <c r="M112" s="97"/>
    </row>
    <row r="113" spans="1:13" ht="15.7" thickBot="1" x14ac:dyDescent="0.55000000000000004">
      <c r="A113" s="109" t="s">
        <v>94</v>
      </c>
      <c r="B113" s="109" t="s">
        <v>98</v>
      </c>
      <c r="C113" s="109" t="s">
        <v>101</v>
      </c>
      <c r="D113" s="110">
        <v>115</v>
      </c>
      <c r="E113" s="111">
        <f>G99+D99</f>
        <v>19</v>
      </c>
      <c r="F113" s="110">
        <v>150</v>
      </c>
      <c r="G113" s="97"/>
      <c r="H113" s="112">
        <f>D113-F113</f>
        <v>-35</v>
      </c>
      <c r="I113" s="112">
        <f>H113-E113</f>
        <v>-54</v>
      </c>
      <c r="J113" s="112">
        <f>D113-G99</f>
        <v>103.8</v>
      </c>
      <c r="K113" s="112">
        <f>D113+D99</f>
        <v>122.8</v>
      </c>
      <c r="L113" s="114" t="s">
        <v>102</v>
      </c>
      <c r="M113" s="97"/>
    </row>
    <row r="114" spans="1:13" ht="15.7" thickBot="1" x14ac:dyDescent="0.55000000000000004">
      <c r="A114" s="109" t="s">
        <v>97</v>
      </c>
      <c r="B114" s="109" t="s">
        <v>95</v>
      </c>
      <c r="C114" s="109" t="s">
        <v>101</v>
      </c>
      <c r="D114" s="110">
        <v>130</v>
      </c>
      <c r="E114" s="111">
        <f>B102+E102</f>
        <v>27</v>
      </c>
      <c r="F114" s="110">
        <v>110</v>
      </c>
      <c r="G114" s="97"/>
      <c r="H114" s="112">
        <f>D114-F114</f>
        <v>20</v>
      </c>
      <c r="I114" s="112">
        <f>H114-E114</f>
        <v>-7</v>
      </c>
      <c r="J114" s="112">
        <f>D114-E102</f>
        <v>114</v>
      </c>
      <c r="K114" s="112">
        <f>D114+B102</f>
        <v>141</v>
      </c>
      <c r="L114" s="114" t="s">
        <v>102</v>
      </c>
      <c r="M114" s="97"/>
    </row>
    <row r="116" spans="1:13" ht="15.35" x14ac:dyDescent="0.5">
      <c r="A116" s="93" t="s">
        <v>103</v>
      </c>
      <c r="B116" s="115"/>
      <c r="C116" s="115"/>
      <c r="D116" s="115"/>
      <c r="E116" s="175" t="s">
        <v>171</v>
      </c>
      <c r="F116" s="115"/>
      <c r="H116" s="93" t="s">
        <v>84</v>
      </c>
      <c r="J116" s="115"/>
    </row>
    <row r="117" spans="1:13" ht="32.35" thickBot="1" x14ac:dyDescent="0.55000000000000004">
      <c r="A117" s="107" t="s">
        <v>85</v>
      </c>
      <c r="B117" s="108" t="s">
        <v>86</v>
      </c>
      <c r="C117" s="108" t="s">
        <v>87</v>
      </c>
      <c r="D117" s="116" t="s">
        <v>172</v>
      </c>
      <c r="E117" s="108" t="s">
        <v>170</v>
      </c>
      <c r="F117" s="108" t="s">
        <v>89</v>
      </c>
      <c r="H117" s="107" t="s">
        <v>90</v>
      </c>
      <c r="I117" s="107" t="s">
        <v>91</v>
      </c>
      <c r="J117" s="115"/>
    </row>
    <row r="118" spans="1:13" ht="20.100000000000001" customHeight="1" x14ac:dyDescent="0.5">
      <c r="A118" s="186" t="s">
        <v>94</v>
      </c>
      <c r="B118" s="186" t="s">
        <v>98</v>
      </c>
      <c r="C118" s="186" t="s">
        <v>104</v>
      </c>
      <c r="D118" s="176">
        <v>100</v>
      </c>
      <c r="E118" s="188">
        <f>D96+D98</f>
        <v>9.5</v>
      </c>
      <c r="F118" s="189">
        <v>110</v>
      </c>
      <c r="H118" s="182"/>
      <c r="I118" s="182">
        <f>H118-E118</f>
        <v>-9.5</v>
      </c>
      <c r="J118" s="115"/>
      <c r="K118" s="115"/>
    </row>
    <row r="119" spans="1:13" ht="20.100000000000001" customHeight="1" thickBot="1" x14ac:dyDescent="0.55000000000000004">
      <c r="A119" s="187"/>
      <c r="B119" s="187"/>
      <c r="C119" s="187"/>
      <c r="D119" s="176">
        <v>110</v>
      </c>
      <c r="E119" s="187"/>
      <c r="F119" s="187"/>
      <c r="H119" s="183"/>
      <c r="I119" s="183"/>
      <c r="J119" s="115"/>
      <c r="K119" s="115"/>
    </row>
    <row r="120" spans="1:13" ht="20.100000000000001" customHeight="1" x14ac:dyDescent="0.5">
      <c r="A120" s="186" t="s">
        <v>94</v>
      </c>
      <c r="B120" s="186" t="s">
        <v>99</v>
      </c>
      <c r="C120" s="186" t="s">
        <v>105</v>
      </c>
      <c r="D120" s="176">
        <v>105</v>
      </c>
      <c r="E120" s="188">
        <f>F97+F98</f>
        <v>16.7</v>
      </c>
      <c r="F120" s="189">
        <v>112</v>
      </c>
      <c r="H120" s="182"/>
      <c r="I120" s="182">
        <f>H120-E120</f>
        <v>-16.7</v>
      </c>
      <c r="J120" s="115"/>
      <c r="K120" s="115"/>
    </row>
    <row r="121" spans="1:13" ht="20.100000000000001" customHeight="1" thickBot="1" x14ac:dyDescent="0.55000000000000004">
      <c r="A121" s="187"/>
      <c r="B121" s="187"/>
      <c r="C121" s="187"/>
      <c r="D121" s="176">
        <v>110</v>
      </c>
      <c r="E121" s="187"/>
      <c r="F121" s="187"/>
      <c r="H121" s="183"/>
      <c r="I121" s="183"/>
      <c r="J121" s="115"/>
      <c r="K121" s="115"/>
    </row>
    <row r="122" spans="1:13" ht="20.100000000000001" customHeight="1" x14ac:dyDescent="0.5">
      <c r="A122" s="186" t="s">
        <v>94</v>
      </c>
      <c r="B122" s="186" t="s">
        <v>98</v>
      </c>
      <c r="C122" s="186" t="s">
        <v>106</v>
      </c>
      <c r="D122" s="176">
        <v>105</v>
      </c>
      <c r="E122" s="188"/>
      <c r="F122" s="189">
        <v>150</v>
      </c>
      <c r="H122" s="182"/>
      <c r="I122" s="182">
        <f>H122-E122</f>
        <v>0</v>
      </c>
      <c r="J122" s="115"/>
      <c r="K122" s="115"/>
    </row>
    <row r="123" spans="1:13" ht="20.100000000000001" customHeight="1" thickBot="1" x14ac:dyDescent="0.55000000000000004">
      <c r="A123" s="187"/>
      <c r="B123" s="187"/>
      <c r="C123" s="187"/>
      <c r="D123" s="176">
        <v>125</v>
      </c>
      <c r="E123" s="187"/>
      <c r="F123" s="187"/>
      <c r="H123" s="183"/>
      <c r="I123" s="183"/>
      <c r="J123" s="115"/>
      <c r="K123" s="115"/>
    </row>
    <row r="125" spans="1:13" ht="17.7" x14ac:dyDescent="0.55000000000000004">
      <c r="A125" s="7" t="s">
        <v>107</v>
      </c>
      <c r="B125" s="8"/>
      <c r="C125" s="9"/>
      <c r="D125" s="10"/>
      <c r="E125" s="11"/>
      <c r="F125" s="12"/>
      <c r="G125" s="13"/>
      <c r="I125" s="2"/>
    </row>
    <row r="126" spans="1:13" ht="35.25" customHeight="1" x14ac:dyDescent="0.55000000000000004">
      <c r="A126" s="191" t="s">
        <v>108</v>
      </c>
      <c r="B126" s="199"/>
      <c r="C126" s="199"/>
      <c r="D126" s="199"/>
      <c r="E126" s="199"/>
      <c r="F126" s="199"/>
      <c r="G126" s="199"/>
      <c r="H126" s="199"/>
      <c r="I126" s="2"/>
    </row>
    <row r="128" spans="1:13" ht="15.95" customHeight="1" x14ac:dyDescent="0.5">
      <c r="A128" s="117" t="s">
        <v>74</v>
      </c>
      <c r="B128" s="117"/>
      <c r="C128" s="118"/>
      <c r="E128" s="136"/>
      <c r="F128" s="137"/>
      <c r="G128" s="137"/>
      <c r="H128" s="137" t="s">
        <v>158</v>
      </c>
      <c r="I128" s="137"/>
      <c r="J128" s="137"/>
      <c r="K128" s="137" t="s">
        <v>159</v>
      </c>
    </row>
    <row r="129" spans="1:11" ht="21.45" customHeight="1" x14ac:dyDescent="0.5">
      <c r="A129" s="184" t="s">
        <v>109</v>
      </c>
      <c r="B129" s="185"/>
      <c r="C129" s="119">
        <v>63</v>
      </c>
      <c r="E129" s="138"/>
      <c r="F129" s="139"/>
      <c r="G129" s="139"/>
      <c r="H129" s="139"/>
      <c r="I129" s="139"/>
      <c r="J129" s="139"/>
      <c r="K129" s="139"/>
    </row>
    <row r="130" spans="1:11" ht="21.45" customHeight="1" thickBot="1" x14ac:dyDescent="0.55000000000000004">
      <c r="A130" s="184" t="s">
        <v>110</v>
      </c>
      <c r="B130" s="185"/>
      <c r="C130" s="119">
        <v>63</v>
      </c>
      <c r="E130" s="138"/>
      <c r="F130" s="139"/>
      <c r="G130" s="139"/>
      <c r="H130" s="139"/>
      <c r="I130" s="139"/>
      <c r="J130" s="139"/>
      <c r="K130" s="139"/>
    </row>
    <row r="131" spans="1:11" ht="21.45" customHeight="1" thickBot="1" x14ac:dyDescent="0.55000000000000004">
      <c r="A131" s="190" t="s">
        <v>111</v>
      </c>
      <c r="B131" s="185"/>
      <c r="C131" s="120">
        <v>0.03</v>
      </c>
      <c r="E131" s="138"/>
      <c r="F131" s="167"/>
      <c r="G131" s="168" t="s">
        <v>136</v>
      </c>
      <c r="H131" s="169">
        <f>C129*C133</f>
        <v>78.75</v>
      </c>
      <c r="I131" s="170"/>
      <c r="J131" s="168" t="s">
        <v>156</v>
      </c>
      <c r="K131" s="171">
        <f>MAX(0,H131-C130)</f>
        <v>15.75</v>
      </c>
    </row>
    <row r="132" spans="1:11" ht="21.45" customHeight="1" thickBot="1" x14ac:dyDescent="0.55000000000000004">
      <c r="A132" s="190" t="s">
        <v>112</v>
      </c>
      <c r="B132" s="185"/>
      <c r="C132" s="119">
        <v>0.25</v>
      </c>
      <c r="E132" s="138"/>
      <c r="F132" s="167"/>
      <c r="G132" s="167"/>
      <c r="H132" s="167"/>
      <c r="I132" s="167"/>
      <c r="J132" s="167"/>
      <c r="K132" s="167"/>
    </row>
    <row r="133" spans="1:11" ht="21.45" customHeight="1" thickBot="1" x14ac:dyDescent="0.55000000000000004">
      <c r="A133" s="190" t="s">
        <v>113</v>
      </c>
      <c r="B133" s="185"/>
      <c r="C133" s="119">
        <v>1.25</v>
      </c>
      <c r="E133" s="173" t="s">
        <v>137</v>
      </c>
      <c r="F133" s="172">
        <f>C129</f>
        <v>63</v>
      </c>
      <c r="G133" s="167"/>
      <c r="H133" s="166">
        <f>H131-H135</f>
        <v>28.349999999999994</v>
      </c>
      <c r="I133" s="167"/>
      <c r="J133" s="167"/>
      <c r="K133" s="166">
        <f>K131-K135</f>
        <v>15.75</v>
      </c>
    </row>
    <row r="134" spans="1:11" ht="21.45" customHeight="1" thickBot="1" x14ac:dyDescent="0.55000000000000004">
      <c r="A134" s="190" t="s">
        <v>114</v>
      </c>
      <c r="B134" s="185"/>
      <c r="C134" s="162">
        <v>0.8</v>
      </c>
      <c r="E134" s="138"/>
      <c r="F134" s="167"/>
      <c r="G134" s="167"/>
      <c r="H134" s="167"/>
      <c r="I134" s="167"/>
      <c r="J134" s="167"/>
      <c r="K134" s="167"/>
    </row>
    <row r="135" spans="1:11" ht="21.45" customHeight="1" thickBot="1" x14ac:dyDescent="0.55000000000000004">
      <c r="E135" s="138"/>
      <c r="F135" s="167"/>
      <c r="G135" s="168" t="s">
        <v>138</v>
      </c>
      <c r="H135" s="169">
        <f>C129*C134</f>
        <v>50.400000000000006</v>
      </c>
      <c r="I135" s="170"/>
      <c r="J135" s="168" t="s">
        <v>157</v>
      </c>
      <c r="K135" s="171">
        <f>MAX(0,H135-C130)</f>
        <v>0</v>
      </c>
    </row>
    <row r="136" spans="1:11" ht="21.45" customHeight="1" x14ac:dyDescent="0.5">
      <c r="E136" s="138"/>
      <c r="F136" s="139"/>
      <c r="G136" s="139"/>
      <c r="H136" s="139"/>
      <c r="I136" s="139"/>
      <c r="J136" s="139"/>
      <c r="K136" s="139"/>
    </row>
    <row r="137" spans="1:11" x14ac:dyDescent="0.5">
      <c r="A137" s="121" t="s">
        <v>84</v>
      </c>
      <c r="B137" s="121"/>
    </row>
    <row r="138" spans="1:11" ht="30" customHeight="1" x14ac:dyDescent="0.5">
      <c r="A138" s="163" t="s">
        <v>115</v>
      </c>
      <c r="B138" s="164">
        <f>K133/H133</f>
        <v>0.55555555555555569</v>
      </c>
      <c r="C138" s="165" t="s">
        <v>116</v>
      </c>
    </row>
    <row r="139" spans="1:11" ht="30" customHeight="1" x14ac:dyDescent="0.5">
      <c r="A139" s="163" t="s">
        <v>117</v>
      </c>
      <c r="B139" s="166">
        <f>H135/((1+C131)^C132)</f>
        <v>50.028931821715041</v>
      </c>
      <c r="C139" s="165" t="s">
        <v>173</v>
      </c>
    </row>
    <row r="140" spans="1:11" ht="30" customHeight="1" x14ac:dyDescent="0.5">
      <c r="A140" s="163" t="s">
        <v>118</v>
      </c>
      <c r="B140" s="166">
        <f>(F133-B139)*B138</f>
        <v>7.20614898793609</v>
      </c>
      <c r="C140" s="165" t="s">
        <v>119</v>
      </c>
    </row>
    <row r="142" spans="1:11" ht="17.7" x14ac:dyDescent="0.55000000000000004">
      <c r="A142" s="7" t="s">
        <v>120</v>
      </c>
      <c r="B142" s="8"/>
      <c r="C142" s="9"/>
      <c r="D142" s="10"/>
      <c r="E142" s="11"/>
      <c r="F142" s="12"/>
      <c r="G142" s="13"/>
      <c r="I142" s="2"/>
    </row>
    <row r="143" spans="1:11" ht="15.35" x14ac:dyDescent="0.5">
      <c r="A143" s="93" t="s">
        <v>160</v>
      </c>
      <c r="F143" s="12"/>
      <c r="G143" s="13"/>
      <c r="I143" s="2"/>
    </row>
    <row r="144" spans="1:11" ht="15.35" x14ac:dyDescent="0.5">
      <c r="A144" s="93"/>
      <c r="F144" s="12"/>
      <c r="G144" s="13"/>
      <c r="I144" s="2"/>
    </row>
    <row r="145" spans="1:10" ht="15.35" x14ac:dyDescent="0.5">
      <c r="A145" s="93"/>
      <c r="C145" s="126"/>
      <c r="E145" s="19"/>
    </row>
    <row r="146" spans="1:10" ht="15.35" x14ac:dyDescent="0.5">
      <c r="A146" s="177" t="s">
        <v>168</v>
      </c>
      <c r="B146" s="174">
        <f>((1+C131)-C134)/(C133-C134)</f>
        <v>0.51111111111111107</v>
      </c>
      <c r="C146" s="128"/>
    </row>
    <row r="147" spans="1:10" ht="15.35" x14ac:dyDescent="0.5">
      <c r="A147" s="177" t="s">
        <v>176</v>
      </c>
      <c r="B147" s="174">
        <f>1-B146</f>
        <v>0.48888888888888893</v>
      </c>
      <c r="C147" s="128"/>
    </row>
    <row r="148" spans="1:10" ht="15.35" x14ac:dyDescent="0.5">
      <c r="A148" s="93"/>
      <c r="C148" s="126"/>
    </row>
    <row r="149" spans="1:10" ht="32.700000000000003" customHeight="1" x14ac:dyDescent="0.5">
      <c r="A149" s="163" t="s">
        <v>118</v>
      </c>
      <c r="B149" s="123">
        <f>((B146*K131)+(B147*K135)/(1+C131)^C132)</f>
        <v>8.0499999999999989</v>
      </c>
      <c r="C149" s="130"/>
    </row>
    <row r="150" spans="1:10" ht="15.35" x14ac:dyDescent="0.5">
      <c r="A150" s="93"/>
      <c r="C150" s="130"/>
    </row>
    <row r="151" spans="1:10" x14ac:dyDescent="0.5">
      <c r="B151" s="135"/>
      <c r="C151" s="135"/>
      <c r="D151" s="135"/>
      <c r="E151" s="135"/>
      <c r="F151" s="135"/>
      <c r="G151" s="135"/>
      <c r="H151" s="135"/>
      <c r="I151" s="135"/>
      <c r="J151" s="135"/>
    </row>
    <row r="152" spans="1:10" ht="17.7" x14ac:dyDescent="0.55000000000000004">
      <c r="A152" s="7" t="s">
        <v>140</v>
      </c>
      <c r="B152" s="8"/>
      <c r="C152" s="9"/>
      <c r="D152" s="10"/>
      <c r="E152" s="11"/>
      <c r="F152" s="12"/>
      <c r="G152" s="13"/>
      <c r="I152" s="2"/>
    </row>
    <row r="153" spans="1:10" ht="15.35" x14ac:dyDescent="0.5">
      <c r="A153" s="93" t="s">
        <v>121</v>
      </c>
      <c r="F153" s="12"/>
      <c r="G153" s="13"/>
      <c r="I153" s="2"/>
    </row>
    <row r="154" spans="1:10" ht="15.35" x14ac:dyDescent="0.5">
      <c r="A154" s="93"/>
      <c r="F154" s="12"/>
      <c r="G154" s="13"/>
      <c r="I154" s="2"/>
    </row>
    <row r="155" spans="1:10" x14ac:dyDescent="0.5">
      <c r="A155" s="124" t="s">
        <v>122</v>
      </c>
      <c r="B155" s="125">
        <v>100</v>
      </c>
      <c r="C155" s="126"/>
      <c r="E155" s="19"/>
    </row>
    <row r="156" spans="1:10" x14ac:dyDescent="0.5">
      <c r="A156" s="124" t="s">
        <v>123</v>
      </c>
      <c r="B156" s="127">
        <v>1.3</v>
      </c>
      <c r="C156" s="128"/>
    </row>
    <row r="157" spans="1:10" x14ac:dyDescent="0.5">
      <c r="A157" s="124" t="s">
        <v>124</v>
      </c>
      <c r="B157" s="127">
        <v>0.9</v>
      </c>
      <c r="C157" s="128"/>
    </row>
    <row r="158" spans="1:10" x14ac:dyDescent="0.5">
      <c r="A158" s="124" t="s">
        <v>125</v>
      </c>
      <c r="B158" s="125">
        <v>110</v>
      </c>
      <c r="C158" s="126"/>
    </row>
    <row r="159" spans="1:10" x14ac:dyDescent="0.5">
      <c r="A159" s="124" t="s">
        <v>126</v>
      </c>
      <c r="B159" s="129">
        <v>0.04</v>
      </c>
      <c r="C159" s="130"/>
    </row>
    <row r="160" spans="1:10" x14ac:dyDescent="0.5">
      <c r="A160" s="124" t="s">
        <v>127</v>
      </c>
      <c r="B160" s="129">
        <v>0.03</v>
      </c>
      <c r="C160" s="130" t="s">
        <v>141</v>
      </c>
    </row>
    <row r="161" spans="1:10" x14ac:dyDescent="0.5">
      <c r="A161" s="124" t="s">
        <v>128</v>
      </c>
      <c r="B161" s="131">
        <v>1</v>
      </c>
      <c r="C161" s="132"/>
    </row>
    <row r="162" spans="1:10" x14ac:dyDescent="0.5">
      <c r="A162" s="133" t="s">
        <v>129</v>
      </c>
      <c r="B162" s="131">
        <v>2</v>
      </c>
      <c r="C162" s="134"/>
    </row>
    <row r="163" spans="1:10" x14ac:dyDescent="0.5">
      <c r="A163" s="19" t="s">
        <v>130</v>
      </c>
      <c r="B163" s="127" t="s">
        <v>131</v>
      </c>
    </row>
    <row r="165" spans="1:10" ht="12.95" customHeight="1" x14ac:dyDescent="0.5">
      <c r="B165" s="135"/>
      <c r="C165" s="135"/>
      <c r="D165" s="135"/>
      <c r="E165" s="135"/>
      <c r="F165" s="135"/>
      <c r="G165" s="135"/>
      <c r="H165" s="135"/>
      <c r="I165" s="135"/>
      <c r="J165" s="135"/>
    </row>
    <row r="166" spans="1:10" ht="23.1" customHeight="1" x14ac:dyDescent="0.5">
      <c r="A166" s="136"/>
      <c r="B166" s="137" t="s">
        <v>132</v>
      </c>
      <c r="C166" s="137"/>
      <c r="D166" s="137" t="s">
        <v>133</v>
      </c>
      <c r="E166" s="137"/>
      <c r="F166" s="137" t="s">
        <v>134</v>
      </c>
      <c r="G166" s="137"/>
      <c r="H166" s="137"/>
      <c r="I166" s="137"/>
      <c r="J166" s="137"/>
    </row>
    <row r="167" spans="1:10" ht="23.1" customHeight="1" thickBot="1" x14ac:dyDescent="0.55000000000000004">
      <c r="A167" s="138"/>
      <c r="B167" s="139"/>
      <c r="C167" s="139"/>
      <c r="D167" s="139"/>
      <c r="E167" s="140" t="s">
        <v>135</v>
      </c>
      <c r="F167" s="141">
        <f>D169*B156</f>
        <v>163.93</v>
      </c>
      <c r="G167" s="139"/>
      <c r="H167" s="139"/>
      <c r="I167" s="140" t="s">
        <v>161</v>
      </c>
      <c r="J167" s="142">
        <f>MAX(0,F167-B158)</f>
        <v>53.930000000000007</v>
      </c>
    </row>
    <row r="168" spans="1:10" ht="23.1" customHeight="1" thickBot="1" x14ac:dyDescent="0.55000000000000004">
      <c r="A168" s="138"/>
      <c r="B168" s="139"/>
      <c r="C168" s="139"/>
      <c r="D168" s="140" t="s">
        <v>167</v>
      </c>
      <c r="E168" s="139"/>
      <c r="F168" s="139"/>
      <c r="G168" s="139"/>
      <c r="H168" s="139"/>
      <c r="I168" s="139"/>
      <c r="J168" s="139"/>
    </row>
    <row r="169" spans="1:10" ht="23.1" customHeight="1" thickBot="1" x14ac:dyDescent="0.55000000000000004">
      <c r="A169" s="138"/>
      <c r="B169" s="139"/>
      <c r="C169" s="140" t="s">
        <v>136</v>
      </c>
      <c r="D169" s="143">
        <f>(B171*B156)*(1-B160)</f>
        <v>126.1</v>
      </c>
      <c r="E169" s="144"/>
      <c r="F169" s="144"/>
      <c r="G169" s="159" t="s">
        <v>164</v>
      </c>
      <c r="H169" s="147"/>
      <c r="I169" s="139"/>
      <c r="J169" s="144"/>
    </row>
    <row r="170" spans="1:10" ht="23.1" customHeight="1" thickBot="1" x14ac:dyDescent="0.55000000000000004">
      <c r="A170" s="138"/>
      <c r="B170" s="139"/>
      <c r="C170" s="139"/>
      <c r="D170" s="139"/>
      <c r="E170" s="139"/>
      <c r="F170" s="139"/>
      <c r="G170" s="139"/>
      <c r="H170" s="139"/>
      <c r="I170" s="139"/>
      <c r="J170" s="139"/>
    </row>
    <row r="171" spans="1:10" ht="23.1" customHeight="1" thickBot="1" x14ac:dyDescent="0.55000000000000004">
      <c r="A171" s="145" t="s">
        <v>137</v>
      </c>
      <c r="B171" s="181">
        <f>B155</f>
        <v>100</v>
      </c>
      <c r="C171" s="140" t="s">
        <v>166</v>
      </c>
      <c r="D171" s="160"/>
      <c r="E171" s="140"/>
      <c r="F171" s="143">
        <f>D169*B157</f>
        <v>113.49</v>
      </c>
      <c r="G171" s="140"/>
      <c r="H171" s="140"/>
      <c r="I171" s="140" t="s">
        <v>162</v>
      </c>
      <c r="J171" s="142">
        <f>MAX(0,F175-B158)</f>
        <v>0</v>
      </c>
    </row>
    <row r="172" spans="1:10" ht="23.1" customHeight="1" thickBot="1" x14ac:dyDescent="0.55000000000000004">
      <c r="A172" s="138"/>
      <c r="B172" s="139"/>
      <c r="C172" s="139"/>
      <c r="D172" s="139"/>
      <c r="E172" s="139"/>
      <c r="F172" s="143">
        <f>D173*B156</f>
        <v>113.49</v>
      </c>
      <c r="G172" s="139"/>
      <c r="H172" s="139"/>
      <c r="I172" s="139"/>
      <c r="J172" s="139"/>
    </row>
    <row r="173" spans="1:10" ht="23.1" customHeight="1" thickBot="1" x14ac:dyDescent="0.55000000000000004">
      <c r="A173" s="138"/>
      <c r="B173" s="139"/>
      <c r="C173" s="140" t="s">
        <v>138</v>
      </c>
      <c r="D173" s="143">
        <f>(B171*B157)*(1-B160)</f>
        <v>87.3</v>
      </c>
      <c r="E173" s="144"/>
      <c r="F173" s="144"/>
      <c r="G173" s="159" t="s">
        <v>165</v>
      </c>
      <c r="H173" s="147"/>
      <c r="I173" s="139"/>
      <c r="J173" s="144"/>
    </row>
    <row r="174" spans="1:10" ht="23.1" customHeight="1" thickBot="1" x14ac:dyDescent="0.55000000000000004">
      <c r="A174" s="138"/>
      <c r="B174" s="139"/>
      <c r="C174" s="139"/>
      <c r="D174" s="140" t="s">
        <v>167</v>
      </c>
      <c r="E174" s="139"/>
      <c r="F174" s="139"/>
      <c r="G174" s="139"/>
      <c r="H174" s="139"/>
      <c r="I174" s="139"/>
      <c r="J174" s="139"/>
    </row>
    <row r="175" spans="1:10" ht="23.1" customHeight="1" thickBot="1" x14ac:dyDescent="0.55000000000000004">
      <c r="A175" s="138"/>
      <c r="B175" s="139"/>
      <c r="C175" s="139"/>
      <c r="D175" s="139"/>
      <c r="E175" s="140" t="s">
        <v>139</v>
      </c>
      <c r="F175" s="143">
        <f>D173*B157</f>
        <v>78.569999999999993</v>
      </c>
      <c r="G175" s="139"/>
      <c r="H175" s="139"/>
      <c r="I175" s="140" t="s">
        <v>163</v>
      </c>
      <c r="J175" s="142">
        <f>MAX(0,F175-B158)</f>
        <v>0</v>
      </c>
    </row>
    <row r="176" spans="1:10" ht="23.1" customHeight="1" x14ac:dyDescent="0.5">
      <c r="A176" s="146"/>
      <c r="B176" s="139"/>
      <c r="C176" s="139"/>
      <c r="D176" s="139"/>
      <c r="E176" s="139"/>
      <c r="F176" s="139"/>
      <c r="G176" s="139"/>
      <c r="H176" s="139"/>
      <c r="I176" s="139"/>
      <c r="J176" s="139"/>
    </row>
    <row r="177" spans="1:16" ht="23.1" customHeight="1" x14ac:dyDescent="0.5">
      <c r="A177" s="146"/>
      <c r="B177" s="139"/>
      <c r="C177" s="139"/>
      <c r="D177" s="139"/>
      <c r="E177" s="139"/>
      <c r="F177" s="139"/>
      <c r="G177" s="139"/>
      <c r="H177" s="139"/>
      <c r="I177" s="139"/>
      <c r="J177" s="139"/>
    </row>
    <row r="178" spans="1:16" ht="23.1" customHeight="1" x14ac:dyDescent="0.5">
      <c r="A178" s="138"/>
      <c r="B178" s="139"/>
      <c r="C178" s="139"/>
      <c r="D178" s="139"/>
      <c r="E178" s="139"/>
      <c r="F178" s="139"/>
      <c r="G178" s="139"/>
      <c r="H178" s="139"/>
      <c r="I178" s="139"/>
      <c r="J178" s="139"/>
    </row>
    <row r="179" spans="1:16" x14ac:dyDescent="0.5">
      <c r="B179" s="135"/>
      <c r="C179" s="135"/>
      <c r="D179" s="135"/>
      <c r="E179" s="135"/>
      <c r="F179" s="135"/>
      <c r="G179" s="135"/>
      <c r="H179" s="135"/>
      <c r="I179" s="135"/>
      <c r="J179" s="135"/>
    </row>
    <row r="180" spans="1:16" ht="17.7" x14ac:dyDescent="0.55000000000000004">
      <c r="A180" s="7"/>
      <c r="B180" s="8"/>
      <c r="C180" s="9"/>
      <c r="D180" s="10"/>
      <c r="E180" s="11"/>
      <c r="F180" s="12"/>
      <c r="G180" s="13"/>
      <c r="I180" s="2"/>
    </row>
    <row r="181" spans="1:16" ht="17.7" x14ac:dyDescent="0.55000000000000004">
      <c r="A181" s="7" t="s">
        <v>142</v>
      </c>
      <c r="B181" s="8"/>
      <c r="C181" s="9"/>
      <c r="D181" s="10"/>
      <c r="E181" s="11"/>
      <c r="F181" s="12"/>
      <c r="G181" s="13"/>
      <c r="I181" s="2"/>
    </row>
    <row r="182" spans="1:16" ht="18" customHeight="1" x14ac:dyDescent="0.55000000000000004">
      <c r="A182" s="191" t="s">
        <v>143</v>
      </c>
      <c r="B182" s="191"/>
      <c r="C182" s="191"/>
      <c r="D182" s="191"/>
      <c r="E182" s="191"/>
      <c r="F182" s="191"/>
      <c r="G182" s="191"/>
      <c r="H182" s="191"/>
      <c r="I182" s="192"/>
      <c r="J182" s="192"/>
    </row>
    <row r="184" spans="1:16" x14ac:dyDescent="0.5">
      <c r="A184" s="117" t="s">
        <v>74</v>
      </c>
      <c r="B184" s="117"/>
      <c r="C184" s="118"/>
    </row>
    <row r="185" spans="1:16" ht="16.5" customHeight="1" x14ac:dyDescent="0.5">
      <c r="A185" s="184" t="s">
        <v>144</v>
      </c>
      <c r="B185" s="185"/>
      <c r="C185" s="162">
        <v>0.25</v>
      </c>
    </row>
    <row r="186" spans="1:16" ht="16.5" customHeight="1" x14ac:dyDescent="0.5">
      <c r="A186" s="184" t="s">
        <v>145</v>
      </c>
      <c r="B186" s="185"/>
      <c r="C186" s="119">
        <v>1</v>
      </c>
    </row>
    <row r="187" spans="1:16" ht="16.5" customHeight="1" x14ac:dyDescent="0.5">
      <c r="A187" s="184" t="s">
        <v>146</v>
      </c>
      <c r="B187" s="185"/>
      <c r="C187" s="120">
        <v>0.02</v>
      </c>
    </row>
    <row r="188" spans="1:16" ht="16.5" customHeight="1" x14ac:dyDescent="0.5">
      <c r="A188" s="184" t="s">
        <v>109</v>
      </c>
      <c r="B188" s="185"/>
      <c r="C188" s="119">
        <v>95</v>
      </c>
    </row>
    <row r="189" spans="1:16" ht="16.5" customHeight="1" x14ac:dyDescent="0.5">
      <c r="A189" s="184" t="s">
        <v>110</v>
      </c>
      <c r="B189" s="185"/>
      <c r="C189" s="119">
        <v>100</v>
      </c>
    </row>
    <row r="190" spans="1:16" ht="16.5" customHeight="1" x14ac:dyDescent="0.5">
      <c r="A190" s="184" t="s">
        <v>147</v>
      </c>
      <c r="B190" s="185"/>
      <c r="C190" s="119">
        <v>0</v>
      </c>
    </row>
    <row r="191" spans="1:16" ht="12" customHeight="1" x14ac:dyDescent="0.5">
      <c r="L191" s="148"/>
      <c r="M191" s="149"/>
      <c r="N191" s="148"/>
      <c r="O191" s="148"/>
      <c r="P191" s="148"/>
    </row>
    <row r="192" spans="1:16" x14ac:dyDescent="0.5">
      <c r="A192" s="121" t="s">
        <v>84</v>
      </c>
      <c r="B192" s="121"/>
    </row>
    <row r="193" spans="1:5" ht="30" customHeight="1" x14ac:dyDescent="0.5">
      <c r="A193" s="122" t="s">
        <v>148</v>
      </c>
      <c r="B193" s="150">
        <f>(C193+D193)/E193</f>
        <v>-1.7317755020229697E-4</v>
      </c>
      <c r="C193">
        <f>LN(C188/C189)</f>
        <v>-5.1293294387550578E-2</v>
      </c>
      <c r="D193">
        <f>(C187-C190+(C185^2)/2)*C186</f>
        <v>5.1250000000000004E-2</v>
      </c>
      <c r="E193">
        <f>C185*SQRT(C186)</f>
        <v>0.25</v>
      </c>
    </row>
    <row r="194" spans="1:5" ht="30" customHeight="1" x14ac:dyDescent="0.5">
      <c r="A194" s="122" t="s">
        <v>149</v>
      </c>
      <c r="B194" s="150">
        <f>B193-(C185*SQRT(C186))</f>
        <v>-0.2501731775502023</v>
      </c>
    </row>
    <row r="195" spans="1:5" ht="30" customHeight="1" x14ac:dyDescent="0.5">
      <c r="A195" s="122" t="s">
        <v>150</v>
      </c>
      <c r="B195" s="150">
        <f>NORMSDIST(B193)</f>
        <v>0.49993091215355329</v>
      </c>
    </row>
    <row r="196" spans="1:5" ht="30" customHeight="1" x14ac:dyDescent="0.5">
      <c r="A196" s="122" t="s">
        <v>151</v>
      </c>
      <c r="B196" s="150">
        <f>NORMSDIST(B194)</f>
        <v>0.40122671352972528</v>
      </c>
    </row>
    <row r="197" spans="1:5" ht="14.25" customHeight="1" x14ac:dyDescent="0.5">
      <c r="A197" s="151"/>
      <c r="B197" s="152"/>
    </row>
    <row r="198" spans="1:5" ht="30" customHeight="1" x14ac:dyDescent="0.5">
      <c r="A198" s="122" t="s">
        <v>152</v>
      </c>
      <c r="B198" s="153">
        <f>(C188*(EXP(-C190*C186))*B195)-(C189*(EXP(-C187*C186))*B196)</f>
        <v>8.1652474248809384</v>
      </c>
    </row>
    <row r="199" spans="1:5" ht="24.6" customHeight="1" x14ac:dyDescent="0.5">
      <c r="A199" s="122" t="s">
        <v>153</v>
      </c>
      <c r="B199" s="153">
        <f>C189*(EXP(-C187*C186))-(C188+B198)</f>
        <v>-5.1453800942054073</v>
      </c>
    </row>
    <row r="200" spans="1:5" ht="24.6" customHeight="1" x14ac:dyDescent="0.5">
      <c r="A200" s="148"/>
      <c r="B200" s="148"/>
      <c r="C200" s="148"/>
      <c r="D200" s="148"/>
      <c r="E200" s="154"/>
    </row>
    <row r="201" spans="1:5" ht="24.6" customHeight="1" x14ac:dyDescent="0.5"/>
    <row r="202" spans="1:5" ht="24.6" customHeight="1" x14ac:dyDescent="0.5"/>
  </sheetData>
  <mergeCells count="80">
    <mergeCell ref="A15:B15"/>
    <mergeCell ref="B2:G2"/>
    <mergeCell ref="A6:I6"/>
    <mergeCell ref="A9:H9"/>
    <mergeCell ref="A13:B13"/>
    <mergeCell ref="A14:B14"/>
    <mergeCell ref="A44:B44"/>
    <mergeCell ref="A16:B16"/>
    <mergeCell ref="A17:B17"/>
    <mergeCell ref="A19:B19"/>
    <mergeCell ref="A20:B20"/>
    <mergeCell ref="A33:B33"/>
    <mergeCell ref="A34:B34"/>
    <mergeCell ref="A35:B35"/>
    <mergeCell ref="A36:B36"/>
    <mergeCell ref="A37:B37"/>
    <mergeCell ref="A38:B38"/>
    <mergeCell ref="A43:B43"/>
    <mergeCell ref="A59:C59"/>
    <mergeCell ref="A45:B45"/>
    <mergeCell ref="A46:B46"/>
    <mergeCell ref="A48:B48"/>
    <mergeCell ref="A49:B49"/>
    <mergeCell ref="A50:B50"/>
    <mergeCell ref="A53:B53"/>
    <mergeCell ref="A54:B54"/>
    <mergeCell ref="A55:B55"/>
    <mergeCell ref="A56:B56"/>
    <mergeCell ref="A57:B57"/>
    <mergeCell ref="A58:C58"/>
    <mergeCell ref="A72:D72"/>
    <mergeCell ref="A60:C60"/>
    <mergeCell ref="A61:C61"/>
    <mergeCell ref="A63:C63"/>
    <mergeCell ref="A64:C64"/>
    <mergeCell ref="A65:B65"/>
    <mergeCell ref="A66:B66"/>
    <mergeCell ref="A67:B67"/>
    <mergeCell ref="A68:B68"/>
    <mergeCell ref="A69:D69"/>
    <mergeCell ref="A70:D70"/>
    <mergeCell ref="A71:D71"/>
    <mergeCell ref="A188:B188"/>
    <mergeCell ref="A134:B134"/>
    <mergeCell ref="A182:J182"/>
    <mergeCell ref="A185:B185"/>
    <mergeCell ref="A73:D73"/>
    <mergeCell ref="A75:B75"/>
    <mergeCell ref="A91:I91"/>
    <mergeCell ref="A126:H126"/>
    <mergeCell ref="A129:B129"/>
    <mergeCell ref="A130:B130"/>
    <mergeCell ref="C118:C119"/>
    <mergeCell ref="E118:E119"/>
    <mergeCell ref="F118:F119"/>
    <mergeCell ref="H118:H119"/>
    <mergeCell ref="A122:A123"/>
    <mergeCell ref="B122:B123"/>
    <mergeCell ref="H122:H123"/>
    <mergeCell ref="A132:B132"/>
    <mergeCell ref="A133:B133"/>
    <mergeCell ref="A186:B186"/>
    <mergeCell ref="A187:B187"/>
    <mergeCell ref="A131:B131"/>
    <mergeCell ref="I122:I123"/>
    <mergeCell ref="A189:B189"/>
    <mergeCell ref="A190:B190"/>
    <mergeCell ref="I118:I119"/>
    <mergeCell ref="A120:A121"/>
    <mergeCell ref="B120:B121"/>
    <mergeCell ref="C120:C121"/>
    <mergeCell ref="E120:E121"/>
    <mergeCell ref="F120:F121"/>
    <mergeCell ref="H120:H121"/>
    <mergeCell ref="I120:I121"/>
    <mergeCell ref="A118:A119"/>
    <mergeCell ref="B118:B119"/>
    <mergeCell ref="C122:C123"/>
    <mergeCell ref="E122:E123"/>
    <mergeCell ref="F122:F123"/>
  </mergeCells>
  <pageMargins left="0.7" right="0.7" top="0.75" bottom="0.75" header="0.3" footer="0.3"/>
  <pageSetup scale="1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2018-12-14T19:36:26Z</cp:lastPrinted>
  <dcterms:created xsi:type="dcterms:W3CDTF">2018-12-14T12:29:09Z</dcterms:created>
  <dcterms:modified xsi:type="dcterms:W3CDTF">2018-12-15T17:33:14Z</dcterms:modified>
</cp:coreProperties>
</file>