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Onedrive\Documents\Text Book project\Figures\"/>
    </mc:Choice>
  </mc:AlternateContent>
  <xr:revisionPtr revIDLastSave="0" documentId="6_{76022DBD-517B-442B-88D1-76227333AC2D}" xr6:coauthVersionLast="40" xr6:coauthVersionMax="40" xr10:uidLastSave="{00000000-0000-0000-0000-000000000000}"/>
  <bookViews>
    <workbookView xWindow="-93" yWindow="1120" windowWidth="21520" windowHeight="10973" firstSheet="7" activeTab="9" xr2:uid="{03928AB0-97B0-47F6-9272-894F0BA59EBC}"/>
  </bookViews>
  <sheets>
    <sheet name="Fig. 2.1" sheetId="1" r:id="rId1"/>
    <sheet name="Fig 2.2" sheetId="5" r:id="rId2"/>
    <sheet name="Fig 2.3" sheetId="2" r:id="rId3"/>
    <sheet name="Fig. 2.4" sheetId="7" r:id="rId4"/>
    <sheet name="Fig. 2.5" sheetId="8" r:id="rId5"/>
    <sheet name="Fig. 2.6" sheetId="9" r:id="rId6"/>
    <sheet name="Fig. 2.7" sheetId="13" r:id="rId7"/>
    <sheet name="Fig. 2.8" sheetId="14" r:id="rId8"/>
    <sheet name="Fig. 2.9" sheetId="19" r:id="rId9"/>
    <sheet name="Fig. 2.10" sheetId="17" r:id="rId10"/>
    <sheet name="Fig. 2.11" sheetId="18" r:id="rId11"/>
    <sheet name="Sheet14" sheetId="15" r:id="rId12"/>
    <sheet name="Sheet5" sheetId="6" r:id="rId13"/>
    <sheet name="Sheet9" sheetId="10" r:id="rId14"/>
    <sheet name="Sheet10" sheetId="11" r:id="rId15"/>
    <sheet name="Sheet2" sheetId="3" r:id="rId16"/>
    <sheet name="Sheet11" sheetId="12" r:id="rId17"/>
  </sheets>
  <definedNames>
    <definedName name="ExternalData_1" localSheetId="12" hidden="1">Sheet5!$A$1:$B$12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9" i="17" l="1"/>
  <c r="K68" i="17"/>
  <c r="K25" i="13" l="1"/>
  <c r="K24" i="13"/>
  <c r="E21" i="19"/>
  <c r="E33" i="19" s="1"/>
  <c r="D20" i="19"/>
  <c r="E30" i="19" s="1"/>
  <c r="B21" i="13"/>
  <c r="C19" i="13"/>
  <c r="B19" i="13"/>
  <c r="E26" i="19"/>
  <c r="E25" i="19"/>
  <c r="E24" i="19"/>
  <c r="E18" i="19"/>
  <c r="E19" i="19"/>
  <c r="D19" i="19"/>
  <c r="C19" i="19"/>
  <c r="D18" i="19"/>
  <c r="C18" i="19"/>
  <c r="E32" i="19" l="1"/>
  <c r="E29" i="19"/>
  <c r="M30" i="18" l="1"/>
  <c r="C30" i="18"/>
  <c r="D30" i="18"/>
  <c r="E30" i="18"/>
  <c r="F30" i="18"/>
  <c r="H30" i="18"/>
  <c r="I30" i="18"/>
  <c r="J30" i="18"/>
  <c r="K30" i="18"/>
  <c r="L30" i="18"/>
  <c r="B30" i="18"/>
  <c r="H12" i="18"/>
  <c r="I12" i="18"/>
  <c r="I17" i="18" s="1"/>
  <c r="J12" i="18"/>
  <c r="J17" i="18" s="1"/>
  <c r="K12" i="18"/>
  <c r="K16" i="18" s="1"/>
  <c r="L12" i="18"/>
  <c r="L13" i="18" s="1"/>
  <c r="M12" i="18"/>
  <c r="M17" i="18" s="1"/>
  <c r="G12" i="18"/>
  <c r="G17" i="18" s="1"/>
  <c r="D39" i="17"/>
  <c r="E39" i="17"/>
  <c r="F39" i="17"/>
  <c r="G39" i="17"/>
  <c r="H39" i="17"/>
  <c r="I39" i="17"/>
  <c r="J39" i="17"/>
  <c r="E56" i="17"/>
  <c r="F56" i="17"/>
  <c r="G56" i="17"/>
  <c r="H56" i="17"/>
  <c r="I56" i="17"/>
  <c r="J56" i="17"/>
  <c r="E57" i="17"/>
  <c r="F57" i="17"/>
  <c r="G57" i="17"/>
  <c r="H57" i="17"/>
  <c r="I57" i="17"/>
  <c r="J57" i="17"/>
  <c r="E58" i="17"/>
  <c r="F58" i="17"/>
  <c r="G58" i="17"/>
  <c r="H58" i="17"/>
  <c r="I58" i="17"/>
  <c r="J58" i="17"/>
  <c r="E59" i="17"/>
  <c r="F59" i="17"/>
  <c r="G59" i="17"/>
  <c r="H59" i="17"/>
  <c r="I59" i="17"/>
  <c r="J59" i="17"/>
  <c r="E60" i="17"/>
  <c r="F60" i="17"/>
  <c r="G60" i="17"/>
  <c r="H60" i="17"/>
  <c r="I60" i="17"/>
  <c r="J60" i="17"/>
  <c r="E61" i="17"/>
  <c r="F61" i="17"/>
  <c r="G61" i="17"/>
  <c r="H61" i="17"/>
  <c r="I61" i="17"/>
  <c r="J61" i="17"/>
  <c r="D57" i="17"/>
  <c r="D58" i="17"/>
  <c r="D59" i="17"/>
  <c r="D60" i="17"/>
  <c r="D61" i="17"/>
  <c r="D56" i="17"/>
  <c r="D26" i="17"/>
  <c r="E26" i="17"/>
  <c r="F26" i="17"/>
  <c r="G26" i="17"/>
  <c r="H26" i="17"/>
  <c r="I26" i="17"/>
  <c r="J26" i="17"/>
  <c r="D27" i="17"/>
  <c r="E27" i="17"/>
  <c r="F27" i="17"/>
  <c r="G27" i="17"/>
  <c r="H27" i="17"/>
  <c r="I27" i="17"/>
  <c r="J27" i="17"/>
  <c r="D28" i="17"/>
  <c r="E28" i="17"/>
  <c r="F28" i="17"/>
  <c r="G28" i="17"/>
  <c r="H28" i="17"/>
  <c r="I28" i="17"/>
  <c r="J28" i="17"/>
  <c r="D29" i="17"/>
  <c r="E29" i="17"/>
  <c r="F29" i="17"/>
  <c r="G29" i="17"/>
  <c r="H29" i="17"/>
  <c r="I29" i="17"/>
  <c r="J29" i="17"/>
  <c r="D30" i="17"/>
  <c r="E30" i="17"/>
  <c r="F30" i="17"/>
  <c r="G30" i="17"/>
  <c r="H30" i="17"/>
  <c r="I30" i="17"/>
  <c r="J30" i="17"/>
  <c r="D31" i="17"/>
  <c r="E31" i="17"/>
  <c r="F31" i="17"/>
  <c r="G31" i="17"/>
  <c r="H31" i="17"/>
  <c r="I31" i="17"/>
  <c r="J31" i="17"/>
  <c r="D32" i="17"/>
  <c r="E32" i="17"/>
  <c r="F32" i="17"/>
  <c r="G32" i="17"/>
  <c r="H32" i="17"/>
  <c r="I32" i="17"/>
  <c r="J32" i="17"/>
  <c r="D33" i="17"/>
  <c r="E33" i="17"/>
  <c r="F33" i="17"/>
  <c r="G33" i="17"/>
  <c r="H33" i="17"/>
  <c r="I33" i="17"/>
  <c r="J33" i="17"/>
  <c r="D34" i="17"/>
  <c r="E34" i="17"/>
  <c r="F34" i="17"/>
  <c r="G34" i="17"/>
  <c r="H34" i="17"/>
  <c r="I34" i="17"/>
  <c r="J34" i="17"/>
  <c r="D35" i="17"/>
  <c r="E35" i="17"/>
  <c r="F35" i="17"/>
  <c r="G35" i="17"/>
  <c r="H35" i="17"/>
  <c r="I35" i="17"/>
  <c r="J35" i="17"/>
  <c r="D36" i="17"/>
  <c r="E36" i="17"/>
  <c r="F36" i="17"/>
  <c r="G36" i="17"/>
  <c r="H36" i="17"/>
  <c r="I36" i="17"/>
  <c r="J36" i="17"/>
  <c r="D37" i="17"/>
  <c r="E37" i="17"/>
  <c r="F37" i="17"/>
  <c r="G37" i="17"/>
  <c r="H37" i="17"/>
  <c r="I37" i="17"/>
  <c r="J37" i="17"/>
  <c r="D38" i="17"/>
  <c r="E38" i="17"/>
  <c r="F38" i="17"/>
  <c r="G38" i="17"/>
  <c r="H38" i="17"/>
  <c r="E25" i="17"/>
  <c r="F25" i="17"/>
  <c r="G25" i="17"/>
  <c r="H25" i="17"/>
  <c r="I25" i="17"/>
  <c r="J25" i="17"/>
  <c r="D25" i="17"/>
  <c r="I20" i="17"/>
  <c r="J38" i="17" s="1"/>
  <c r="G94" i="12"/>
  <c r="E94" i="12"/>
  <c r="E93" i="12"/>
  <c r="E92" i="12"/>
  <c r="E91" i="12"/>
  <c r="E90" i="12"/>
  <c r="E89" i="12"/>
  <c r="B89" i="12"/>
  <c r="E88" i="12"/>
  <c r="E87" i="12"/>
  <c r="E86" i="12"/>
  <c r="E85" i="12"/>
  <c r="E84" i="12"/>
  <c r="E83" i="12"/>
  <c r="E82" i="12"/>
  <c r="E81" i="12"/>
  <c r="E80" i="12"/>
  <c r="E95" i="12" s="1"/>
  <c r="H79" i="12"/>
  <c r="K75" i="12"/>
  <c r="J75" i="12"/>
  <c r="I75" i="12"/>
  <c r="H75" i="12"/>
  <c r="G75" i="12"/>
  <c r="F75" i="12"/>
  <c r="E75" i="12"/>
  <c r="K74" i="12"/>
  <c r="J74" i="12"/>
  <c r="I74" i="12"/>
  <c r="H74" i="12"/>
  <c r="G74" i="12"/>
  <c r="F74" i="12"/>
  <c r="E74" i="12"/>
  <c r="C74" i="12"/>
  <c r="C93" i="12" s="1"/>
  <c r="K73" i="12"/>
  <c r="J73" i="12"/>
  <c r="I73" i="12"/>
  <c r="H73" i="12"/>
  <c r="G73" i="12"/>
  <c r="F73" i="12"/>
  <c r="E73" i="12"/>
  <c r="D73" i="12"/>
  <c r="D92" i="12" s="1"/>
  <c r="K72" i="12"/>
  <c r="J72" i="12"/>
  <c r="I72" i="12"/>
  <c r="H72" i="12"/>
  <c r="G72" i="12"/>
  <c r="F72" i="12"/>
  <c r="E72" i="12"/>
  <c r="K71" i="12"/>
  <c r="J71" i="12"/>
  <c r="I71" i="12"/>
  <c r="H71" i="12"/>
  <c r="G71" i="12"/>
  <c r="F71" i="12"/>
  <c r="E71" i="12"/>
  <c r="K70" i="12"/>
  <c r="J70" i="12"/>
  <c r="I70" i="12"/>
  <c r="H70" i="12"/>
  <c r="G70" i="12"/>
  <c r="F70" i="12"/>
  <c r="E70" i="12"/>
  <c r="C70" i="12"/>
  <c r="C89" i="12" s="1"/>
  <c r="K69" i="12"/>
  <c r="J69" i="12"/>
  <c r="I69" i="12"/>
  <c r="H69" i="12"/>
  <c r="G69" i="12"/>
  <c r="F69" i="12"/>
  <c r="E69" i="12"/>
  <c r="D69" i="12"/>
  <c r="D88" i="12" s="1"/>
  <c r="K68" i="12"/>
  <c r="J68" i="12"/>
  <c r="I68" i="12"/>
  <c r="H68" i="12"/>
  <c r="G68" i="12"/>
  <c r="F68" i="12"/>
  <c r="E68" i="12"/>
  <c r="K67" i="12"/>
  <c r="J67" i="12"/>
  <c r="I67" i="12"/>
  <c r="H67" i="12"/>
  <c r="G67" i="12"/>
  <c r="F67" i="12"/>
  <c r="E67" i="12"/>
  <c r="K66" i="12"/>
  <c r="J66" i="12"/>
  <c r="I66" i="12"/>
  <c r="H66" i="12"/>
  <c r="G66" i="12"/>
  <c r="F66" i="12"/>
  <c r="E66" i="12"/>
  <c r="C66" i="12"/>
  <c r="C85" i="12" s="1"/>
  <c r="K65" i="12"/>
  <c r="J65" i="12"/>
  <c r="I65" i="12"/>
  <c r="H65" i="12"/>
  <c r="G65" i="12"/>
  <c r="F65" i="12"/>
  <c r="E65" i="12"/>
  <c r="K64" i="12"/>
  <c r="J64" i="12"/>
  <c r="I64" i="12"/>
  <c r="H64" i="12"/>
  <c r="G64" i="12"/>
  <c r="F64" i="12"/>
  <c r="E64" i="12"/>
  <c r="K63" i="12"/>
  <c r="J63" i="12"/>
  <c r="J76" i="12" s="1"/>
  <c r="I63" i="12"/>
  <c r="H63" i="12"/>
  <c r="G63" i="12"/>
  <c r="F63" i="12"/>
  <c r="E63" i="12"/>
  <c r="K62" i="12"/>
  <c r="J62" i="12"/>
  <c r="I62" i="12"/>
  <c r="H62" i="12"/>
  <c r="G62" i="12"/>
  <c r="F62" i="12"/>
  <c r="E62" i="12"/>
  <c r="C62" i="12"/>
  <c r="C81" i="12" s="1"/>
  <c r="K61" i="12"/>
  <c r="J61" i="12"/>
  <c r="I61" i="12"/>
  <c r="H61" i="12"/>
  <c r="H76" i="12" s="1"/>
  <c r="G61" i="12"/>
  <c r="F61" i="12"/>
  <c r="F76" i="12" s="1"/>
  <c r="E61" i="12"/>
  <c r="B57" i="12"/>
  <c r="B75" i="12" s="1"/>
  <c r="B94" i="12" s="1"/>
  <c r="D55" i="12"/>
  <c r="D54" i="12"/>
  <c r="D72" i="12" s="1"/>
  <c r="D91" i="12" s="1"/>
  <c r="B53" i="12"/>
  <c r="B71" i="12" s="1"/>
  <c r="B90" i="12" s="1"/>
  <c r="D52" i="12"/>
  <c r="D70" i="12" s="1"/>
  <c r="D89" i="12" s="1"/>
  <c r="B51" i="12"/>
  <c r="B69" i="12" s="1"/>
  <c r="B88" i="12" s="1"/>
  <c r="D50" i="12"/>
  <c r="D68" i="12" s="1"/>
  <c r="D87" i="12" s="1"/>
  <c r="B49" i="12"/>
  <c r="B67" i="12" s="1"/>
  <c r="B86" i="12" s="1"/>
  <c r="D48" i="12"/>
  <c r="D66" i="12" s="1"/>
  <c r="D85" i="12" s="1"/>
  <c r="B47" i="12"/>
  <c r="B65" i="12" s="1"/>
  <c r="B84" i="12" s="1"/>
  <c r="D46" i="12"/>
  <c r="D64" i="12" s="1"/>
  <c r="D83" i="12" s="1"/>
  <c r="B45" i="12"/>
  <c r="B63" i="12" s="1"/>
  <c r="B82" i="12" s="1"/>
  <c r="D44" i="12"/>
  <c r="D62" i="12" s="1"/>
  <c r="D81" i="12" s="1"/>
  <c r="B43" i="12"/>
  <c r="B61" i="12" s="1"/>
  <c r="B80" i="12" s="1"/>
  <c r="E42" i="12"/>
  <c r="E60" i="12" s="1"/>
  <c r="E79" i="12" s="1"/>
  <c r="G39" i="12"/>
  <c r="H39" i="12" s="1"/>
  <c r="H94" i="12" s="1"/>
  <c r="F39" i="12"/>
  <c r="F94" i="12" s="1"/>
  <c r="D39" i="12"/>
  <c r="D57" i="12" s="1"/>
  <c r="D75" i="12" s="1"/>
  <c r="D94" i="12" s="1"/>
  <c r="C39" i="12"/>
  <c r="C57" i="12" s="1"/>
  <c r="C75" i="12" s="1"/>
  <c r="C94" i="12" s="1"/>
  <c r="B39" i="12"/>
  <c r="F38" i="12"/>
  <c r="F93" i="12" s="1"/>
  <c r="D38" i="12"/>
  <c r="D56" i="12" s="1"/>
  <c r="D74" i="12" s="1"/>
  <c r="D93" i="12" s="1"/>
  <c r="C38" i="12"/>
  <c r="C56" i="12" s="1"/>
  <c r="B38" i="12"/>
  <c r="B56" i="12" s="1"/>
  <c r="B74" i="12" s="1"/>
  <c r="B93" i="12" s="1"/>
  <c r="G37" i="12"/>
  <c r="H37" i="12" s="1"/>
  <c r="F37" i="12"/>
  <c r="F92" i="12" s="1"/>
  <c r="D37" i="12"/>
  <c r="C37" i="12"/>
  <c r="C55" i="12" s="1"/>
  <c r="C73" i="12" s="1"/>
  <c r="C92" i="12" s="1"/>
  <c r="B37" i="12"/>
  <c r="B55" i="12" s="1"/>
  <c r="B73" i="12" s="1"/>
  <c r="B92" i="12" s="1"/>
  <c r="F36" i="12"/>
  <c r="D36" i="12"/>
  <c r="C36" i="12"/>
  <c r="C54" i="12" s="1"/>
  <c r="C72" i="12" s="1"/>
  <c r="C91" i="12" s="1"/>
  <c r="B36" i="12"/>
  <c r="B54" i="12" s="1"/>
  <c r="B72" i="12" s="1"/>
  <c r="B91" i="12" s="1"/>
  <c r="F35" i="12"/>
  <c r="F90" i="12" s="1"/>
  <c r="D35" i="12"/>
  <c r="D53" i="12" s="1"/>
  <c r="D71" i="12" s="1"/>
  <c r="D90" i="12" s="1"/>
  <c r="C35" i="12"/>
  <c r="C53" i="12" s="1"/>
  <c r="C71" i="12" s="1"/>
  <c r="C90" i="12" s="1"/>
  <c r="B35" i="12"/>
  <c r="F34" i="12"/>
  <c r="D34" i="12"/>
  <c r="C34" i="12"/>
  <c r="C52" i="12" s="1"/>
  <c r="B34" i="12"/>
  <c r="B52" i="12" s="1"/>
  <c r="B70" i="12" s="1"/>
  <c r="F33" i="12"/>
  <c r="F88" i="12" s="1"/>
  <c r="D33" i="12"/>
  <c r="D51" i="12" s="1"/>
  <c r="C33" i="12"/>
  <c r="C51" i="12" s="1"/>
  <c r="C69" i="12" s="1"/>
  <c r="C88" i="12" s="1"/>
  <c r="B33" i="12"/>
  <c r="F32" i="12"/>
  <c r="D32" i="12"/>
  <c r="C32" i="12"/>
  <c r="C50" i="12" s="1"/>
  <c r="C68" i="12" s="1"/>
  <c r="C87" i="12" s="1"/>
  <c r="B32" i="12"/>
  <c r="B50" i="12" s="1"/>
  <c r="B68" i="12" s="1"/>
  <c r="B87" i="12" s="1"/>
  <c r="F31" i="12"/>
  <c r="F86" i="12" s="1"/>
  <c r="D31" i="12"/>
  <c r="D49" i="12" s="1"/>
  <c r="D67" i="12" s="1"/>
  <c r="D86" i="12" s="1"/>
  <c r="C31" i="12"/>
  <c r="C49" i="12" s="1"/>
  <c r="C67" i="12" s="1"/>
  <c r="C86" i="12" s="1"/>
  <c r="B31" i="12"/>
  <c r="F30" i="12"/>
  <c r="D30" i="12"/>
  <c r="C30" i="12"/>
  <c r="C48" i="12" s="1"/>
  <c r="B30" i="12"/>
  <c r="B48" i="12" s="1"/>
  <c r="B66" i="12" s="1"/>
  <c r="B85" i="12" s="1"/>
  <c r="F29" i="12"/>
  <c r="F84" i="12" s="1"/>
  <c r="D29" i="12"/>
  <c r="D47" i="12" s="1"/>
  <c r="D65" i="12" s="1"/>
  <c r="D84" i="12" s="1"/>
  <c r="C29" i="12"/>
  <c r="C47" i="12" s="1"/>
  <c r="C65" i="12" s="1"/>
  <c r="C84" i="12" s="1"/>
  <c r="B29" i="12"/>
  <c r="F28" i="12"/>
  <c r="D28" i="12"/>
  <c r="C28" i="12"/>
  <c r="C46" i="12" s="1"/>
  <c r="C64" i="12" s="1"/>
  <c r="C83" i="12" s="1"/>
  <c r="B28" i="12"/>
  <c r="B46" i="12" s="1"/>
  <c r="B64" i="12" s="1"/>
  <c r="B83" i="12" s="1"/>
  <c r="F27" i="12"/>
  <c r="F82" i="12" s="1"/>
  <c r="D27" i="12"/>
  <c r="D45" i="12" s="1"/>
  <c r="D63" i="12" s="1"/>
  <c r="D82" i="12" s="1"/>
  <c r="C27" i="12"/>
  <c r="C45" i="12" s="1"/>
  <c r="C63" i="12" s="1"/>
  <c r="C82" i="12" s="1"/>
  <c r="B27" i="12"/>
  <c r="F26" i="12"/>
  <c r="F81" i="12" s="1"/>
  <c r="D26" i="12"/>
  <c r="C26" i="12"/>
  <c r="C44" i="12" s="1"/>
  <c r="B26" i="12"/>
  <c r="B44" i="12" s="1"/>
  <c r="B62" i="12" s="1"/>
  <c r="B81" i="12" s="1"/>
  <c r="F25" i="12"/>
  <c r="F80" i="12" s="1"/>
  <c r="D25" i="12"/>
  <c r="D43" i="12" s="1"/>
  <c r="D61" i="12" s="1"/>
  <c r="D80" i="12" s="1"/>
  <c r="C25" i="12"/>
  <c r="C43" i="12" s="1"/>
  <c r="C61" i="12" s="1"/>
  <c r="C80" i="12" s="1"/>
  <c r="B25" i="12"/>
  <c r="L24" i="12"/>
  <c r="L42" i="12" s="1"/>
  <c r="L60" i="12" s="1"/>
  <c r="L79" i="12" s="1"/>
  <c r="K24" i="12"/>
  <c r="K42" i="12" s="1"/>
  <c r="K60" i="12" s="1"/>
  <c r="K79" i="12" s="1"/>
  <c r="J24" i="12"/>
  <c r="J42" i="12" s="1"/>
  <c r="J60" i="12" s="1"/>
  <c r="J79" i="12" s="1"/>
  <c r="I24" i="12"/>
  <c r="I42" i="12" s="1"/>
  <c r="I60" i="12" s="1"/>
  <c r="I79" i="12" s="1"/>
  <c r="H24" i="12"/>
  <c r="H42" i="12" s="1"/>
  <c r="H60" i="12" s="1"/>
  <c r="G24" i="12"/>
  <c r="G42" i="12" s="1"/>
  <c r="G60" i="12" s="1"/>
  <c r="G79" i="12" s="1"/>
  <c r="F24" i="12"/>
  <c r="F42" i="12" s="1"/>
  <c r="F60" i="12" s="1"/>
  <c r="F79" i="12" s="1"/>
  <c r="E24" i="12"/>
  <c r="K20" i="12"/>
  <c r="K61" i="17" l="1"/>
  <c r="K57" i="17"/>
  <c r="J41" i="17"/>
  <c r="F41" i="17"/>
  <c r="K36" i="17"/>
  <c r="K32" i="17"/>
  <c r="K28" i="17"/>
  <c r="I63" i="17"/>
  <c r="E63" i="17"/>
  <c r="E41" i="17"/>
  <c r="K37" i="17"/>
  <c r="K33" i="17"/>
  <c r="K29" i="17"/>
  <c r="K60" i="17"/>
  <c r="H63" i="17"/>
  <c r="H41" i="17"/>
  <c r="K34" i="17"/>
  <c r="K30" i="17"/>
  <c r="K26" i="17"/>
  <c r="K59" i="17"/>
  <c r="G63" i="17"/>
  <c r="D41" i="17"/>
  <c r="K25" i="17"/>
  <c r="G41" i="17"/>
  <c r="K35" i="17"/>
  <c r="K31" i="17"/>
  <c r="K27" i="17"/>
  <c r="D63" i="17"/>
  <c r="K56" i="17"/>
  <c r="K58" i="17"/>
  <c r="J63" i="17"/>
  <c r="F63" i="17"/>
  <c r="K39" i="17"/>
  <c r="M16" i="18"/>
  <c r="J13" i="18"/>
  <c r="J16" i="18"/>
  <c r="H13" i="18"/>
  <c r="I16" i="18"/>
  <c r="G16" i="18"/>
  <c r="K13" i="18"/>
  <c r="L16" i="18"/>
  <c r="H16" i="18"/>
  <c r="M13" i="18"/>
  <c r="I13" i="18"/>
  <c r="L17" i="18"/>
  <c r="H17" i="18"/>
  <c r="K17" i="18"/>
  <c r="D40" i="17"/>
  <c r="G40" i="17"/>
  <c r="F40" i="17"/>
  <c r="E40" i="17"/>
  <c r="H62" i="17"/>
  <c r="K8" i="18" s="1"/>
  <c r="H40" i="17"/>
  <c r="J40" i="17"/>
  <c r="I62" i="17"/>
  <c r="L8" i="18" s="1"/>
  <c r="E62" i="17"/>
  <c r="H8" i="18" s="1"/>
  <c r="I38" i="17"/>
  <c r="I40" i="17" s="1"/>
  <c r="G62" i="17"/>
  <c r="J8" i="18" s="1"/>
  <c r="D62" i="17"/>
  <c r="G8" i="18" s="1"/>
  <c r="J62" i="17"/>
  <c r="M8" i="18" s="1"/>
  <c r="F62" i="17"/>
  <c r="I8" i="18" s="1"/>
  <c r="F85" i="12"/>
  <c r="G30" i="12"/>
  <c r="F83" i="12"/>
  <c r="F95" i="12" s="1"/>
  <c r="G28" i="12"/>
  <c r="F91" i="12"/>
  <c r="G36" i="12"/>
  <c r="G26" i="12"/>
  <c r="F89" i="12"/>
  <c r="G34" i="12"/>
  <c r="F87" i="12"/>
  <c r="G32" i="12"/>
  <c r="H92" i="12"/>
  <c r="I37" i="12"/>
  <c r="E76" i="12"/>
  <c r="I76" i="12"/>
  <c r="G92" i="12"/>
  <c r="G38" i="12"/>
  <c r="G25" i="12"/>
  <c r="G27" i="12"/>
  <c r="G29" i="12"/>
  <c r="G31" i="12"/>
  <c r="G33" i="12"/>
  <c r="G35" i="12"/>
  <c r="I39" i="12"/>
  <c r="G76" i="12"/>
  <c r="K76" i="12"/>
  <c r="C15" i="14"/>
  <c r="C14" i="14"/>
  <c r="C13" i="14"/>
  <c r="C12" i="14"/>
  <c r="C11" i="14"/>
  <c r="C10" i="14"/>
  <c r="C9" i="14"/>
  <c r="C8" i="14"/>
  <c r="C7" i="14"/>
  <c r="C6" i="14"/>
  <c r="C5" i="14"/>
  <c r="C18" i="13"/>
  <c r="F7" i="13" s="1"/>
  <c r="B18" i="13"/>
  <c r="E9" i="13" s="1"/>
  <c r="H9" i="13" s="1"/>
  <c r="H21" i="18" l="1"/>
  <c r="K74" i="17"/>
  <c r="D73" i="17" s="1"/>
  <c r="G73" i="17"/>
  <c r="H73" i="17"/>
  <c r="F11" i="18"/>
  <c r="E72" i="17"/>
  <c r="H7" i="18"/>
  <c r="K62" i="17"/>
  <c r="K63" i="17"/>
  <c r="F72" i="17"/>
  <c r="I7" i="18"/>
  <c r="H22" i="18"/>
  <c r="K38" i="17"/>
  <c r="K40" i="17" s="1"/>
  <c r="I41" i="17"/>
  <c r="I73" i="17" s="1"/>
  <c r="D72" i="17"/>
  <c r="G7" i="18"/>
  <c r="J72" i="17"/>
  <c r="M7" i="18"/>
  <c r="I72" i="17"/>
  <c r="L7" i="18"/>
  <c r="H72" i="17"/>
  <c r="K7" i="18"/>
  <c r="G72" i="17"/>
  <c r="J7" i="18"/>
  <c r="K41" i="17"/>
  <c r="K73" i="17" s="1"/>
  <c r="I7" i="13"/>
  <c r="G88" i="12"/>
  <c r="H33" i="12"/>
  <c r="G80" i="12"/>
  <c r="H25" i="12"/>
  <c r="G83" i="12"/>
  <c r="H28" i="12"/>
  <c r="G86" i="12"/>
  <c r="H31" i="12"/>
  <c r="G93" i="12"/>
  <c r="H38" i="12"/>
  <c r="G87" i="12"/>
  <c r="H32" i="12"/>
  <c r="G81" i="12"/>
  <c r="H26" i="12"/>
  <c r="J39" i="12"/>
  <c r="I94" i="12"/>
  <c r="G84" i="12"/>
  <c r="H29" i="12"/>
  <c r="H36" i="12"/>
  <c r="G91" i="12"/>
  <c r="G85" i="12"/>
  <c r="H30" i="12"/>
  <c r="G90" i="12"/>
  <c r="H35" i="12"/>
  <c r="G82" i="12"/>
  <c r="H27" i="12"/>
  <c r="J37" i="12"/>
  <c r="I92" i="12"/>
  <c r="G89" i="12"/>
  <c r="H34" i="12"/>
  <c r="F6" i="14"/>
  <c r="F13" i="14"/>
  <c r="F10" i="14"/>
  <c r="F9" i="14"/>
  <c r="F5" i="14"/>
  <c r="F12" i="14"/>
  <c r="F14" i="14"/>
  <c r="F8" i="14"/>
  <c r="F7" i="14"/>
  <c r="F11" i="14"/>
  <c r="F15" i="14"/>
  <c r="F6" i="13"/>
  <c r="E10" i="13"/>
  <c r="H10" i="13" s="1"/>
  <c r="E7" i="13"/>
  <c r="H7" i="13" s="1"/>
  <c r="E8" i="13"/>
  <c r="H8" i="13" s="1"/>
  <c r="E16" i="13"/>
  <c r="H16" i="13" s="1"/>
  <c r="E14" i="13"/>
  <c r="H14" i="13" s="1"/>
  <c r="E5" i="13"/>
  <c r="H5" i="13" s="1"/>
  <c r="E12" i="13"/>
  <c r="H12" i="13" s="1"/>
  <c r="F5" i="13"/>
  <c r="K5" i="13" s="1"/>
  <c r="E6" i="13"/>
  <c r="H6" i="13" s="1"/>
  <c r="F16" i="13"/>
  <c r="F14" i="13"/>
  <c r="F12" i="13"/>
  <c r="K12" i="13" s="1"/>
  <c r="F10" i="13"/>
  <c r="K10" i="13" s="1"/>
  <c r="F8" i="13"/>
  <c r="K8" i="13" s="1"/>
  <c r="F15" i="13"/>
  <c r="F13" i="13"/>
  <c r="F11" i="13"/>
  <c r="F9" i="13"/>
  <c r="K9" i="13" s="1"/>
  <c r="E15" i="13"/>
  <c r="H15" i="13" s="1"/>
  <c r="E13" i="13"/>
  <c r="H13" i="13" s="1"/>
  <c r="E11" i="13"/>
  <c r="H11" i="13" s="1"/>
  <c r="J73" i="17" l="1"/>
  <c r="E73" i="17"/>
  <c r="F73" i="17"/>
  <c r="K72" i="17"/>
  <c r="C21" i="18"/>
  <c r="C24" i="18"/>
  <c r="M24" i="18" s="1"/>
  <c r="C25" i="18"/>
  <c r="C22" i="18"/>
  <c r="F10" i="18"/>
  <c r="F12" i="18" s="1"/>
  <c r="F16" i="18"/>
  <c r="C23" i="18" s="1"/>
  <c r="I13" i="13"/>
  <c r="K13" i="13"/>
  <c r="I15" i="13"/>
  <c r="K15" i="13"/>
  <c r="K14" i="13"/>
  <c r="K7" i="13"/>
  <c r="I11" i="13"/>
  <c r="K11" i="13"/>
  <c r="I6" i="13"/>
  <c r="K6" i="13"/>
  <c r="K18" i="13" s="1"/>
  <c r="K19" i="13" s="1"/>
  <c r="K16" i="13"/>
  <c r="H18" i="13"/>
  <c r="H19" i="13" s="1"/>
  <c r="H90" i="12"/>
  <c r="I35" i="12"/>
  <c r="I32" i="12"/>
  <c r="H87" i="12"/>
  <c r="H86" i="12"/>
  <c r="I31" i="12"/>
  <c r="H80" i="12"/>
  <c r="I25" i="12"/>
  <c r="J92" i="12"/>
  <c r="L55" i="12"/>
  <c r="L73" i="12" s="1"/>
  <c r="L37" i="12"/>
  <c r="L92" i="12" s="1"/>
  <c r="K37" i="12"/>
  <c r="K92" i="12" s="1"/>
  <c r="I36" i="12"/>
  <c r="H91" i="12"/>
  <c r="J94" i="12"/>
  <c r="L57" i="12"/>
  <c r="L75" i="12" s="1"/>
  <c r="K39" i="12"/>
  <c r="K94" i="12" s="1"/>
  <c r="G95" i="12"/>
  <c r="I34" i="12"/>
  <c r="H89" i="12"/>
  <c r="H82" i="12"/>
  <c r="I27" i="12"/>
  <c r="I30" i="12"/>
  <c r="H85" i="12"/>
  <c r="H84" i="12"/>
  <c r="I29" i="12"/>
  <c r="I26" i="12"/>
  <c r="H81" i="12"/>
  <c r="I38" i="12"/>
  <c r="H93" i="12"/>
  <c r="I28" i="12"/>
  <c r="H83" i="12"/>
  <c r="H88" i="12"/>
  <c r="I33" i="12"/>
  <c r="H20" i="13"/>
  <c r="I14" i="13"/>
  <c r="I10" i="13"/>
  <c r="I12" i="13"/>
  <c r="I5" i="13"/>
  <c r="I9" i="13"/>
  <c r="I8" i="13"/>
  <c r="I16" i="13"/>
  <c r="C32" i="18" l="1"/>
  <c r="I32" i="18"/>
  <c r="J32" i="18"/>
  <c r="D32" i="18"/>
  <c r="H32" i="18"/>
  <c r="L32" i="18"/>
  <c r="E32" i="18"/>
  <c r="F32" i="18"/>
  <c r="M32" i="18"/>
  <c r="K32" i="18"/>
  <c r="B32" i="18"/>
  <c r="G13" i="18"/>
  <c r="G14" i="18" s="1"/>
  <c r="H14" i="18" s="1"/>
  <c r="I14" i="18" s="1"/>
  <c r="J14" i="18" s="1"/>
  <c r="K14" i="18" s="1"/>
  <c r="L14" i="18" s="1"/>
  <c r="M14" i="18" s="1"/>
  <c r="F17" i="18"/>
  <c r="H23" i="18" s="1"/>
  <c r="H33" i="18"/>
  <c r="B33" i="18"/>
  <c r="E33" i="18"/>
  <c r="C33" i="18"/>
  <c r="L33" i="18"/>
  <c r="I33" i="18"/>
  <c r="K33" i="18"/>
  <c r="M33" i="18"/>
  <c r="D33" i="18"/>
  <c r="F33" i="18"/>
  <c r="J33" i="18"/>
  <c r="G29" i="18"/>
  <c r="I18" i="13"/>
  <c r="I19" i="13" s="1"/>
  <c r="I83" i="12"/>
  <c r="J28" i="12"/>
  <c r="I81" i="12"/>
  <c r="J26" i="12"/>
  <c r="I85" i="12"/>
  <c r="J30" i="12"/>
  <c r="I89" i="12"/>
  <c r="J34" i="12"/>
  <c r="I80" i="12"/>
  <c r="J25" i="12"/>
  <c r="I88" i="12"/>
  <c r="J33" i="12"/>
  <c r="I84" i="12"/>
  <c r="J29" i="12"/>
  <c r="I82" i="12"/>
  <c r="J27" i="12"/>
  <c r="H95" i="12"/>
  <c r="I87" i="12"/>
  <c r="J32" i="12"/>
  <c r="I93" i="12"/>
  <c r="J38" i="12"/>
  <c r="I86" i="12"/>
  <c r="J31" i="12"/>
  <c r="I90" i="12"/>
  <c r="J35" i="12"/>
  <c r="L39" i="12"/>
  <c r="L94" i="12" s="1"/>
  <c r="I91" i="12"/>
  <c r="J36" i="12"/>
  <c r="B20" i="13"/>
  <c r="E25" i="7"/>
  <c r="E21" i="7"/>
  <c r="E17" i="7"/>
  <c r="B9" i="7"/>
  <c r="B9" i="8"/>
  <c r="B9" i="9"/>
  <c r="A16" i="9"/>
  <c r="B15" i="9"/>
  <c r="B8" i="9"/>
  <c r="B7" i="9"/>
  <c r="B6" i="9"/>
  <c r="B5" i="9"/>
  <c r="A16" i="8"/>
  <c r="B15" i="8"/>
  <c r="B8" i="8"/>
  <c r="B7" i="8"/>
  <c r="B6" i="8"/>
  <c r="B5" i="8"/>
  <c r="A16" i="7"/>
  <c r="B15" i="7"/>
  <c r="B8" i="7"/>
  <c r="B7" i="7"/>
  <c r="B6" i="7"/>
  <c r="B5" i="7"/>
  <c r="E24" i="7" s="1"/>
  <c r="A16" i="5"/>
  <c r="B15" i="5"/>
  <c r="E12" i="5"/>
  <c r="B9" i="5"/>
  <c r="B8" i="5"/>
  <c r="B7" i="5"/>
  <c r="B6" i="5"/>
  <c r="B5" i="5"/>
  <c r="F15" i="5" s="1"/>
  <c r="E22" i="7" l="1"/>
  <c r="E15" i="7"/>
  <c r="E19" i="7"/>
  <c r="E23" i="7"/>
  <c r="E18" i="7"/>
  <c r="E16" i="7"/>
  <c r="E20" i="7"/>
  <c r="G30" i="18"/>
  <c r="G33" i="18" s="1"/>
  <c r="M22" i="18"/>
  <c r="M23" i="18" s="1"/>
  <c r="G32" i="18"/>
  <c r="M21" i="18"/>
  <c r="L54" i="12"/>
  <c r="L72" i="12" s="1"/>
  <c r="J91" i="12"/>
  <c r="K36" i="12"/>
  <c r="K91" i="12" s="1"/>
  <c r="J82" i="12"/>
  <c r="L45" i="12"/>
  <c r="L63" i="12" s="1"/>
  <c r="K27" i="12"/>
  <c r="K82" i="12" s="1"/>
  <c r="L27" i="12"/>
  <c r="L82" i="12" s="1"/>
  <c r="J88" i="12"/>
  <c r="L51" i="12"/>
  <c r="L69" i="12" s="1"/>
  <c r="K33" i="12"/>
  <c r="K88" i="12" s="1"/>
  <c r="L33" i="12"/>
  <c r="L88" i="12" s="1"/>
  <c r="L52" i="12"/>
  <c r="L70" i="12" s="1"/>
  <c r="L34" i="12"/>
  <c r="L89" i="12" s="1"/>
  <c r="J89" i="12"/>
  <c r="K34" i="12"/>
  <c r="K89" i="12" s="1"/>
  <c r="L44" i="12"/>
  <c r="L62" i="12" s="1"/>
  <c r="L26" i="12"/>
  <c r="L81" i="12" s="1"/>
  <c r="J81" i="12"/>
  <c r="K26" i="12"/>
  <c r="K81" i="12" s="1"/>
  <c r="J86" i="12"/>
  <c r="L49" i="12"/>
  <c r="L67" i="12" s="1"/>
  <c r="K31" i="12"/>
  <c r="K86" i="12" s="1"/>
  <c r="L31" i="12"/>
  <c r="L86" i="12" s="1"/>
  <c r="L50" i="12"/>
  <c r="L68" i="12" s="1"/>
  <c r="L32" i="12"/>
  <c r="L87" i="12" s="1"/>
  <c r="J87" i="12"/>
  <c r="K32" i="12"/>
  <c r="K87" i="12" s="1"/>
  <c r="J84" i="12"/>
  <c r="L47" i="12"/>
  <c r="L65" i="12" s="1"/>
  <c r="K29" i="12"/>
  <c r="K84" i="12" s="1"/>
  <c r="L29" i="12"/>
  <c r="L84" i="12" s="1"/>
  <c r="J80" i="12"/>
  <c r="L43" i="12"/>
  <c r="L61" i="12" s="1"/>
  <c r="K25" i="12"/>
  <c r="K80" i="12" s="1"/>
  <c r="L25" i="12"/>
  <c r="L80" i="12" s="1"/>
  <c r="L48" i="12"/>
  <c r="L66" i="12" s="1"/>
  <c r="L30" i="12"/>
  <c r="L85" i="12" s="1"/>
  <c r="J85" i="12"/>
  <c r="K30" i="12"/>
  <c r="K85" i="12" s="1"/>
  <c r="L46" i="12"/>
  <c r="L64" i="12" s="1"/>
  <c r="L28" i="12"/>
  <c r="L83" i="12" s="1"/>
  <c r="J83" i="12"/>
  <c r="K28" i="12"/>
  <c r="K83" i="12" s="1"/>
  <c r="J90" i="12"/>
  <c r="L53" i="12"/>
  <c r="L71" i="12" s="1"/>
  <c r="K35" i="12"/>
  <c r="K90" i="12" s="1"/>
  <c r="L35" i="12"/>
  <c r="L90" i="12" s="1"/>
  <c r="L56" i="12"/>
  <c r="L74" i="12" s="1"/>
  <c r="J93" i="12"/>
  <c r="K38" i="12"/>
  <c r="K93" i="12" s="1"/>
  <c r="I95" i="12"/>
  <c r="I20" i="13"/>
  <c r="K20" i="13" s="1"/>
  <c r="D15" i="9"/>
  <c r="E15" i="9"/>
  <c r="A17" i="9"/>
  <c r="B16" i="9"/>
  <c r="E16" i="9" s="1"/>
  <c r="D15" i="8"/>
  <c r="A17" i="8"/>
  <c r="B16" i="8"/>
  <c r="E15" i="8"/>
  <c r="D15" i="7"/>
  <c r="A17" i="7"/>
  <c r="B16" i="7"/>
  <c r="E15" i="5"/>
  <c r="A17" i="5"/>
  <c r="B16" i="5"/>
  <c r="F16" i="5"/>
  <c r="B15" i="3"/>
  <c r="D14" i="3"/>
  <c r="B14" i="3"/>
  <c r="D13" i="3"/>
  <c r="M12" i="2"/>
  <c r="B9" i="2" s="1"/>
  <c r="B8" i="2"/>
  <c r="F13" i="3" s="1"/>
  <c r="B7" i="2"/>
  <c r="B6" i="2"/>
  <c r="B5" i="2"/>
  <c r="A16" i="2"/>
  <c r="A17" i="2" s="1"/>
  <c r="B15" i="2"/>
  <c r="K95" i="12" l="1"/>
  <c r="L76" i="12"/>
  <c r="L38" i="12"/>
  <c r="L93" i="12" s="1"/>
  <c r="J95" i="12"/>
  <c r="L36" i="12"/>
  <c r="L91" i="12" s="1"/>
  <c r="L95" i="12" s="1"/>
  <c r="E9" i="14"/>
  <c r="E10" i="14"/>
  <c r="E5" i="14"/>
  <c r="E8" i="14"/>
  <c r="E11" i="14"/>
  <c r="E15" i="14"/>
  <c r="E12" i="14"/>
  <c r="E14" i="14"/>
  <c r="E13" i="14"/>
  <c r="E6" i="14"/>
  <c r="E7" i="14"/>
  <c r="D16" i="9"/>
  <c r="B17" i="9"/>
  <c r="E17" i="9" s="1"/>
  <c r="A18" i="9"/>
  <c r="D17" i="9"/>
  <c r="D16" i="8"/>
  <c r="B17" i="8"/>
  <c r="A18" i="8"/>
  <c r="D17" i="8"/>
  <c r="E16" i="8"/>
  <c r="B17" i="7"/>
  <c r="A18" i="7"/>
  <c r="D16" i="7"/>
  <c r="B17" i="5"/>
  <c r="F17" i="5" s="1"/>
  <c r="A18" i="5"/>
  <c r="E16" i="5"/>
  <c r="M15" i="2"/>
  <c r="E14" i="3" s="1"/>
  <c r="N15" i="2"/>
  <c r="K15" i="2"/>
  <c r="J15" i="2"/>
  <c r="G15" i="2"/>
  <c r="H15" i="2"/>
  <c r="D15" i="2"/>
  <c r="E13" i="3"/>
  <c r="G13" i="3"/>
  <c r="F14" i="3"/>
  <c r="G14" i="3" s="1"/>
  <c r="E15" i="2"/>
  <c r="B17" i="2"/>
  <c r="D17" i="2" s="1"/>
  <c r="A18" i="2"/>
  <c r="B16" i="2"/>
  <c r="C24" i="1"/>
  <c r="C25" i="1"/>
  <c r="C23" i="1"/>
  <c r="L8" i="1"/>
  <c r="L9" i="1"/>
  <c r="L7" i="1"/>
  <c r="C19" i="1"/>
  <c r="E24" i="1" s="1"/>
  <c r="C11" i="1"/>
  <c r="F9" i="1"/>
  <c r="F8" i="1"/>
  <c r="F7" i="1"/>
  <c r="A19" i="9" l="1"/>
  <c r="B18" i="9"/>
  <c r="E17" i="8"/>
  <c r="A19" i="8"/>
  <c r="B18" i="8"/>
  <c r="D17" i="7"/>
  <c r="A19" i="7"/>
  <c r="B18" i="7"/>
  <c r="A19" i="5"/>
  <c r="B18" i="5"/>
  <c r="F18" i="5" s="1"/>
  <c r="E18" i="5"/>
  <c r="E17" i="5"/>
  <c r="E17" i="2"/>
  <c r="K17" i="2"/>
  <c r="J17" i="2"/>
  <c r="G17" i="2"/>
  <c r="D16" i="2"/>
  <c r="J16" i="2"/>
  <c r="M16" i="2"/>
  <c r="H16" i="2"/>
  <c r="E16" i="2"/>
  <c r="K16" i="2"/>
  <c r="G16" i="2"/>
  <c r="N16" i="2"/>
  <c r="M17" i="2"/>
  <c r="H17" i="2"/>
  <c r="N17" i="2"/>
  <c r="G15" i="3"/>
  <c r="H15" i="3"/>
  <c r="D20" i="3"/>
  <c r="E15" i="3"/>
  <c r="B18" i="2"/>
  <c r="D18" i="2" s="1"/>
  <c r="A19" i="2"/>
  <c r="F11" i="1"/>
  <c r="C27" i="1"/>
  <c r="E23" i="1"/>
  <c r="F23" i="1" s="1"/>
  <c r="E25" i="1"/>
  <c r="F25" i="1" s="1"/>
  <c r="L11" i="1"/>
  <c r="F24" i="1"/>
  <c r="G7" i="1"/>
  <c r="G8" i="1"/>
  <c r="G9" i="1"/>
  <c r="D18" i="9" l="1"/>
  <c r="B19" i="9"/>
  <c r="E19" i="9"/>
  <c r="A20" i="9"/>
  <c r="E18" i="9"/>
  <c r="E18" i="8"/>
  <c r="D18" i="8"/>
  <c r="B19" i="8"/>
  <c r="A20" i="8"/>
  <c r="D18" i="7"/>
  <c r="B19" i="7"/>
  <c r="A20" i="7"/>
  <c r="B19" i="5"/>
  <c r="F19" i="5" s="1"/>
  <c r="E19" i="5"/>
  <c r="A20" i="5"/>
  <c r="H18" i="2"/>
  <c r="M18" i="2"/>
  <c r="N18" i="2"/>
  <c r="K15" i="3"/>
  <c r="K17" i="3" s="1"/>
  <c r="B18" i="3" s="1"/>
  <c r="G18" i="2"/>
  <c r="K18" i="2"/>
  <c r="J18" i="2"/>
  <c r="E18" i="2"/>
  <c r="B19" i="2"/>
  <c r="D19" i="2" s="1"/>
  <c r="A20" i="2"/>
  <c r="H9" i="1"/>
  <c r="I9" i="1" s="1"/>
  <c r="K25" i="1"/>
  <c r="H8" i="1"/>
  <c r="I8" i="1" s="1"/>
  <c r="K24" i="1"/>
  <c r="H7" i="1"/>
  <c r="I7" i="1" s="1"/>
  <c r="K23" i="1"/>
  <c r="F27" i="1"/>
  <c r="M7" i="1"/>
  <c r="M8" i="1"/>
  <c r="M9" i="1"/>
  <c r="I11" i="1"/>
  <c r="I12" i="1" s="1"/>
  <c r="B20" i="9" l="1"/>
  <c r="E20" i="9" s="1"/>
  <c r="A21" i="9"/>
  <c r="D19" i="9"/>
  <c r="D19" i="8"/>
  <c r="E19" i="8"/>
  <c r="B20" i="8"/>
  <c r="A21" i="8"/>
  <c r="D19" i="7"/>
  <c r="A21" i="7"/>
  <c r="B20" i="7"/>
  <c r="B20" i="5"/>
  <c r="A21" i="5"/>
  <c r="K19" i="2"/>
  <c r="J19" i="2"/>
  <c r="E19" i="2"/>
  <c r="M19" i="2"/>
  <c r="H19" i="2"/>
  <c r="G19" i="2"/>
  <c r="G20" i="2"/>
  <c r="N19" i="2"/>
  <c r="B20" i="2"/>
  <c r="D20" i="2" s="1"/>
  <c r="A21" i="2"/>
  <c r="N9" i="1"/>
  <c r="O9" i="1" s="1"/>
  <c r="L25" i="1"/>
  <c r="N25" i="1" s="1"/>
  <c r="O25" i="1" s="1"/>
  <c r="L24" i="1"/>
  <c r="N24" i="1" s="1"/>
  <c r="O24" i="1" s="1"/>
  <c r="N8" i="1"/>
  <c r="O8" i="1" s="1"/>
  <c r="N7" i="1"/>
  <c r="O7" i="1" s="1"/>
  <c r="L23" i="1"/>
  <c r="N23" i="1" s="1"/>
  <c r="O23" i="1" s="1"/>
  <c r="G24" i="1"/>
  <c r="H24" i="1" s="1"/>
  <c r="I24" i="1" s="1"/>
  <c r="G25" i="1"/>
  <c r="H25" i="1" s="1"/>
  <c r="I25" i="1" s="1"/>
  <c r="G23" i="1"/>
  <c r="H23" i="1" s="1"/>
  <c r="I23" i="1" s="1"/>
  <c r="D20" i="9" l="1"/>
  <c r="B21" i="9"/>
  <c r="E21" i="9"/>
  <c r="A22" i="9"/>
  <c r="D20" i="8"/>
  <c r="B21" i="8"/>
  <c r="E21" i="8" s="1"/>
  <c r="A22" i="8"/>
  <c r="E20" i="8"/>
  <c r="B21" i="7"/>
  <c r="A22" i="7"/>
  <c r="D21" i="7"/>
  <c r="D20" i="7"/>
  <c r="F20" i="5"/>
  <c r="E20" i="5"/>
  <c r="B21" i="5"/>
  <c r="F21" i="5" s="1"/>
  <c r="A22" i="5"/>
  <c r="M20" i="2"/>
  <c r="H20" i="2"/>
  <c r="N20" i="2"/>
  <c r="K20" i="2"/>
  <c r="J20" i="2"/>
  <c r="E20" i="2"/>
  <c r="B21" i="2"/>
  <c r="M21" i="2" s="1"/>
  <c r="A22" i="2"/>
  <c r="O27" i="1"/>
  <c r="I27" i="1"/>
  <c r="I28" i="1" s="1"/>
  <c r="O11" i="1"/>
  <c r="O12" i="1" s="1"/>
  <c r="D21" i="9" l="1"/>
  <c r="A23" i="9"/>
  <c r="B22" i="9"/>
  <c r="B22" i="8"/>
  <c r="A23" i="8"/>
  <c r="D21" i="8"/>
  <c r="A23" i="7"/>
  <c r="B22" i="7"/>
  <c r="E21" i="5"/>
  <c r="A23" i="5"/>
  <c r="B22" i="5"/>
  <c r="E22" i="5" s="1"/>
  <c r="J21" i="2"/>
  <c r="H21" i="2"/>
  <c r="K21" i="2"/>
  <c r="E21" i="2"/>
  <c r="D21" i="2"/>
  <c r="N21" i="2"/>
  <c r="G21" i="2"/>
  <c r="B22" i="2"/>
  <c r="M22" i="2" s="1"/>
  <c r="A23" i="2"/>
  <c r="O28" i="1"/>
  <c r="E22" i="9" l="1"/>
  <c r="B23" i="9"/>
  <c r="E23" i="9" s="1"/>
  <c r="A24" i="9"/>
  <c r="D22" i="9"/>
  <c r="D22" i="8"/>
  <c r="B23" i="8"/>
  <c r="E23" i="8" s="1"/>
  <c r="A24" i="8"/>
  <c r="E22" i="8"/>
  <c r="B23" i="7"/>
  <c r="A24" i="7"/>
  <c r="D22" i="7"/>
  <c r="B23" i="5"/>
  <c r="A24" i="5"/>
  <c r="F22" i="5"/>
  <c r="E22" i="2"/>
  <c r="D22" i="2"/>
  <c r="G22" i="2"/>
  <c r="H22" i="2"/>
  <c r="J22" i="2"/>
  <c r="N22" i="2"/>
  <c r="K22" i="2"/>
  <c r="B23" i="2"/>
  <c r="G23" i="2" s="1"/>
  <c r="A24" i="2"/>
  <c r="A25" i="9" l="1"/>
  <c r="B24" i="9"/>
  <c r="E24" i="9" s="1"/>
  <c r="D23" i="9"/>
  <c r="B24" i="8"/>
  <c r="A25" i="8"/>
  <c r="D23" i="8"/>
  <c r="A25" i="7"/>
  <c r="B24" i="7"/>
  <c r="D23" i="7"/>
  <c r="B24" i="5"/>
  <c r="E24" i="5"/>
  <c r="A25" i="5"/>
  <c r="F24" i="5"/>
  <c r="F23" i="5"/>
  <c r="E23" i="5"/>
  <c r="J23" i="2"/>
  <c r="D23" i="2"/>
  <c r="H23" i="2"/>
  <c r="K23" i="2"/>
  <c r="E23" i="2"/>
  <c r="N23" i="2"/>
  <c r="M23" i="2"/>
  <c r="B24" i="2"/>
  <c r="G24" i="2" s="1"/>
  <c r="A25" i="2"/>
  <c r="D24" i="9" l="1"/>
  <c r="B25" i="9"/>
  <c r="E24" i="8"/>
  <c r="D24" i="8"/>
  <c r="B25" i="8"/>
  <c r="E25" i="8" s="1"/>
  <c r="B25" i="7"/>
  <c r="D25" i="7"/>
  <c r="D24" i="7"/>
  <c r="B25" i="5"/>
  <c r="F25" i="5" s="1"/>
  <c r="J24" i="2"/>
  <c r="D24" i="2"/>
  <c r="K24" i="2"/>
  <c r="E24" i="2"/>
  <c r="H24" i="2"/>
  <c r="N24" i="2"/>
  <c r="M24" i="2"/>
  <c r="B25" i="2"/>
  <c r="D25" i="2" s="1"/>
  <c r="D25" i="9" l="1"/>
  <c r="E25" i="9"/>
  <c r="D25" i="8"/>
  <c r="E25" i="5"/>
  <c r="H25" i="2"/>
  <c r="N25" i="2"/>
  <c r="M25" i="2"/>
  <c r="K25" i="2"/>
  <c r="J25" i="2"/>
  <c r="G25" i="2"/>
  <c r="E2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D87E7C8-7167-4EAB-8239-DE26D3E64279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<sst xmlns="http://schemas.openxmlformats.org/spreadsheetml/2006/main" count="544" uniqueCount="230">
  <si>
    <t>SCENARIO PERFROMANCE ANALYSIS</t>
  </si>
  <si>
    <t>Stocks (s)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</si>
  <si>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</si>
  <si>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</si>
  <si>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</si>
  <si>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</si>
  <si>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</si>
  <si>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</si>
  <si>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</si>
  <si>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t>Recession (Sr)</t>
  </si>
  <si>
    <t>Normal (Sn)</t>
  </si>
  <si>
    <t>Boom (Sb)</t>
  </si>
  <si>
    <t>%</t>
  </si>
  <si>
    <t>Variance=</t>
  </si>
  <si>
    <t>SD =</t>
  </si>
  <si>
    <t>Bonds (b)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</si>
  <si>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</si>
  <si>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</si>
  <si>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PORTFOLIO ANALYSIS (Asset Allocation)</t>
  </si>
  <si>
    <t>Asset Allocation</t>
  </si>
  <si>
    <t>Weights (W%)</t>
  </si>
  <si>
    <t>Stocks (Ws) =</t>
  </si>
  <si>
    <t>Bonds (Wb) =</t>
  </si>
  <si>
    <r>
      <t>(Ws * 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 + (Wb * 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</si>
  <si>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t>Figure 2.1</t>
  </si>
  <si>
    <t>EFFICIENCY THROUGH CORRELATION</t>
  </si>
  <si>
    <t>COVARIANCE &amp; CORRELATION</t>
  </si>
  <si>
    <t>Stocks (Deviation from the mean)</t>
  </si>
  <si>
    <t>Bonds (Deviation from the mean)</t>
  </si>
  <si>
    <t>Ds * Db</t>
  </si>
  <si>
    <t>Covariance
 [p * (Ds*Db)</t>
  </si>
  <si>
    <t>Covariance=</t>
  </si>
  <si>
    <t>Correlation Coefficient =</t>
  </si>
  <si>
    <t>E (rs) =</t>
  </si>
  <si>
    <t>E (rb) =</t>
  </si>
  <si>
    <t>σs =</t>
  </si>
  <si>
    <t>Portfolio Weights</t>
  </si>
  <si>
    <t>Stocks</t>
  </si>
  <si>
    <t>Bonds</t>
  </si>
  <si>
    <t>CALCULATING PORTFOLIO OPTIMIZATION (SHARPE RATIO)</t>
  </si>
  <si>
    <t>Correlation between B and S =</t>
  </si>
  <si>
    <t>Portfolio %</t>
  </si>
  <si>
    <t>Weights</t>
  </si>
  <si>
    <t>Returns (%)</t>
  </si>
  <si>
    <t>σ (%)</t>
  </si>
  <si>
    <r>
      <t>(Wb.</t>
    </r>
    <r>
      <rPr>
        <b/>
        <sz val="10"/>
        <rFont val="Arial"/>
        <family val="2"/>
      </rPr>
      <t>σb)^2+(Ws.σs)^2</t>
    </r>
  </si>
  <si>
    <r>
      <t>2*(Wb.</t>
    </r>
    <r>
      <rPr>
        <b/>
        <sz val="10"/>
        <rFont val="Arial"/>
        <family val="2"/>
      </rPr>
      <t>σb.Wb.σb).p</t>
    </r>
  </si>
  <si>
    <t>σ (bs) (%)</t>
  </si>
  <si>
    <t>Risk Free Portfolio</t>
  </si>
  <si>
    <t>T-Bills</t>
  </si>
  <si>
    <t>Risky Portfolio</t>
  </si>
  <si>
    <t>Sharpe Ratio</t>
  </si>
  <si>
    <t>Expected Return  of Total Portfolio =</t>
  </si>
  <si>
    <t>Correlation=</t>
  </si>
  <si>
    <t>FINDING RISK RETURN EFFICIENCY (EFFICIENT FRONTIER)</t>
  </si>
  <si>
    <t>Correlation</t>
  </si>
  <si>
    <t>ZERO CORRELATION</t>
  </si>
  <si>
    <t>POSITIVE CORRELATION</t>
  </si>
  <si>
    <t>NEGATIVE CORRELATION</t>
  </si>
  <si>
    <t>Correlation =</t>
  </si>
  <si>
    <r>
      <t xml:space="preserve">W% </t>
    </r>
    <r>
      <rPr>
        <b/>
        <sz val="8"/>
        <rFont val="Arial"/>
        <family val="2"/>
      </rPr>
      <t>stocks</t>
    </r>
  </si>
  <si>
    <r>
      <t xml:space="preserve">W% </t>
    </r>
    <r>
      <rPr>
        <b/>
        <sz val="8"/>
        <rFont val="Arial"/>
        <family val="2"/>
      </rPr>
      <t>bonds</t>
    </r>
  </si>
  <si>
    <t xml:space="preserve"> E(r) %</t>
  </si>
  <si>
    <t>Standard Deviation</t>
  </si>
  <si>
    <r>
      <rPr>
        <b/>
        <sz val="12"/>
        <rFont val="Arial"/>
        <family val="2"/>
      </rPr>
      <t>σ</t>
    </r>
    <r>
      <rPr>
        <b/>
        <sz val="10"/>
        <rFont val="Arial"/>
        <family val="2"/>
      </rPr>
      <t xml:space="preserve"> %</t>
    </r>
  </si>
  <si>
    <t>Portfolio A</t>
  </si>
  <si>
    <t>σb =</t>
  </si>
  <si>
    <t>Efficiency</t>
  </si>
  <si>
    <t>PORTF. A CORRELATION</t>
  </si>
  <si>
    <t>Risk</t>
  </si>
  <si>
    <t>Return</t>
  </si>
  <si>
    <t>Figure 2</t>
  </si>
  <si>
    <t>Figure 2.3</t>
  </si>
  <si>
    <t>F</t>
  </si>
  <si>
    <t>Figure 2.4</t>
  </si>
  <si>
    <t>Figure 2.5</t>
  </si>
  <si>
    <t>Figure 2.6</t>
  </si>
  <si>
    <t>HISTORICAL ANALYSIS</t>
  </si>
  <si>
    <t>Covariance</t>
  </si>
  <si>
    <t>Returns</t>
  </si>
  <si>
    <t xml:space="preserve"> Ds . Db</t>
  </si>
  <si>
    <t xml:space="preserve"> Total</t>
  </si>
  <si>
    <t xml:space="preserve"> Cov=</t>
  </si>
  <si>
    <t>Correl=</t>
  </si>
  <si>
    <t>Deviations 
from Average Return</t>
  </si>
  <si>
    <t>Stocks 
(Ds)</t>
  </si>
  <si>
    <t>Bonds 
(Db)</t>
  </si>
  <si>
    <t>Product from 
Deviation</t>
  </si>
  <si>
    <t>Average Return</t>
  </si>
  <si>
    <t>Portfolio Consruction</t>
  </si>
  <si>
    <t>W% 
Bonds</t>
  </si>
  <si>
    <t>W% 
Stocks</t>
  </si>
  <si>
    <t>Weighted Average 
Return</t>
  </si>
  <si>
    <t>WeightedAverage 
St. Dev.</t>
  </si>
  <si>
    <t>Figure 2.7</t>
  </si>
  <si>
    <t>Figure 2.8</t>
  </si>
  <si>
    <t>Year -12</t>
  </si>
  <si>
    <t>Year -11</t>
  </si>
  <si>
    <t>Year -10</t>
  </si>
  <si>
    <t>Year -9</t>
  </si>
  <si>
    <t>Year -8</t>
  </si>
  <si>
    <t>Year -7</t>
  </si>
  <si>
    <t>Year -6</t>
  </si>
  <si>
    <t>Year -5</t>
  </si>
  <si>
    <t>Year -4</t>
  </si>
  <si>
    <t>Year -3</t>
  </si>
  <si>
    <t>Year -2</t>
  </si>
  <si>
    <t>Year -1</t>
  </si>
  <si>
    <t>Stocks
%</t>
  </si>
  <si>
    <t>Bonds
%</t>
  </si>
  <si>
    <t>Average (use n-1)</t>
  </si>
  <si>
    <t>ZEUS Fund I</t>
  </si>
  <si>
    <t>STOCK PORTFOLIO</t>
  </si>
  <si>
    <t>Stock Prices</t>
  </si>
  <si>
    <t>Symbol</t>
  </si>
  <si>
    <t>Company Name</t>
  </si>
  <si>
    <t>Industry</t>
  </si>
  <si>
    <t>June 1
20x1</t>
  </si>
  <si>
    <t>July 1
20x1</t>
  </si>
  <si>
    <t>Aug 1
20x1</t>
  </si>
  <si>
    <t>Sep 1
20x1</t>
  </si>
  <si>
    <t>Oct 1
20x1</t>
  </si>
  <si>
    <t>Nov 1
20x1</t>
  </si>
  <si>
    <t>Dec 1
20x1</t>
  </si>
  <si>
    <t>Jan 2
20x2</t>
  </si>
  <si>
    <t>ABC</t>
  </si>
  <si>
    <t>ABC Chem Inc</t>
  </si>
  <si>
    <t>Chemicals</t>
  </si>
  <si>
    <t>BCD</t>
  </si>
  <si>
    <t>BCD  Precision Inc</t>
  </si>
  <si>
    <t>Industrial</t>
  </si>
  <si>
    <t>CDE</t>
  </si>
  <si>
    <t>CDE Inc</t>
  </si>
  <si>
    <t>Publishing</t>
  </si>
  <si>
    <t>DEF</t>
  </si>
  <si>
    <t>DEF Inc</t>
  </si>
  <si>
    <t>Hospitality</t>
  </si>
  <si>
    <t>EFG</t>
  </si>
  <si>
    <t>Effective Inc</t>
  </si>
  <si>
    <t>TV/Cable</t>
  </si>
  <si>
    <t>FGH</t>
  </si>
  <si>
    <t>FGH Inc</t>
  </si>
  <si>
    <t>Techonlogy</t>
  </si>
  <si>
    <t>GHI</t>
  </si>
  <si>
    <t>General HI</t>
  </si>
  <si>
    <t>Service</t>
  </si>
  <si>
    <t>HIK</t>
  </si>
  <si>
    <t>Hicks Kental Inc</t>
  </si>
  <si>
    <t>Retail</t>
  </si>
  <si>
    <t>IKL</t>
  </si>
  <si>
    <t>IKL Inc</t>
  </si>
  <si>
    <t>Pharmaceutical</t>
  </si>
  <si>
    <t>KLM</t>
  </si>
  <si>
    <t>KLM Health</t>
  </si>
  <si>
    <t>Healthcare</t>
  </si>
  <si>
    <t>LMN</t>
  </si>
  <si>
    <t>LMN Hotel &amp; Resorts</t>
  </si>
  <si>
    <t>MNO</t>
  </si>
  <si>
    <t>MNO Cable Inc</t>
  </si>
  <si>
    <t>NOP</t>
  </si>
  <si>
    <t>Norton Optimum</t>
  </si>
  <si>
    <t>OPQ</t>
  </si>
  <si>
    <t>Odyssea PQ Inc</t>
  </si>
  <si>
    <t>PQR</t>
  </si>
  <si>
    <t>PQR Chemicals</t>
  </si>
  <si>
    <t>Number of Shares own (000's)</t>
  </si>
  <si>
    <t>Buy/Sell Stock (000's)</t>
  </si>
  <si>
    <t>Buy/Sell ($000's)</t>
  </si>
  <si>
    <t xml:space="preserve">Total Sale/Purchases Cash Flow </t>
  </si>
  <si>
    <t>Total Value ($000's)</t>
  </si>
  <si>
    <t>Total Value</t>
  </si>
  <si>
    <t>Figure 1.11</t>
  </si>
  <si>
    <t>AAA</t>
  </si>
  <si>
    <t>Alpha Inc.</t>
  </si>
  <si>
    <t>BBB</t>
  </si>
  <si>
    <t>Beta Inc.</t>
  </si>
  <si>
    <t>CCC</t>
  </si>
  <si>
    <t>CC Corporation</t>
  </si>
  <si>
    <t>DDD</t>
  </si>
  <si>
    <t>Delta D Inc.</t>
  </si>
  <si>
    <t>EEE</t>
  </si>
  <si>
    <t>Epsilon Inc</t>
  </si>
  <si>
    <t>FFF</t>
  </si>
  <si>
    <t>Fusbol For Friends</t>
  </si>
  <si>
    <t>BOND PORTFOLIO</t>
  </si>
  <si>
    <t xml:space="preserve">Bond Prices </t>
  </si>
  <si>
    <t>Bond Prices Monthly %</t>
  </si>
  <si>
    <t>Figure 2.9</t>
  </si>
  <si>
    <t>STOCK AND BOND PORTFOLIO</t>
  </si>
  <si>
    <t>Performance</t>
  </si>
  <si>
    <t>Covariance (Portfolio)</t>
  </si>
  <si>
    <t>Correlation (Portfolio)</t>
  </si>
  <si>
    <t>Stocks (Weights)</t>
  </si>
  <si>
    <t>Bonds (Weights)</t>
  </si>
  <si>
    <t>Total Stock Value</t>
  </si>
  <si>
    <t>Total Bonds Value</t>
  </si>
  <si>
    <t xml:space="preserve">  Total Portfolio Value</t>
  </si>
  <si>
    <t>STOCKS</t>
  </si>
  <si>
    <t>Average</t>
  </si>
  <si>
    <t>BONDS</t>
  </si>
  <si>
    <t xml:space="preserve"> Average % of Portfolio</t>
  </si>
  <si>
    <t>7-month Portfolio Performance</t>
  </si>
  <si>
    <t xml:space="preserve">   Portfolio % change</t>
  </si>
  <si>
    <t xml:space="preserve">   Cummulative % Change</t>
  </si>
  <si>
    <t>Jan 2
20x1</t>
  </si>
  <si>
    <t>COMBINED PORTFOLIO</t>
  </si>
  <si>
    <t>Finding Efficiency in the Portfolio</t>
  </si>
  <si>
    <t>Variance</t>
  </si>
  <si>
    <t>Current
Position</t>
  </si>
  <si>
    <t>HIGHEST EFFICIENCY</t>
  </si>
  <si>
    <t>Figure 2.10</t>
  </si>
  <si>
    <t>Figure 2.11</t>
  </si>
  <si>
    <t>Large-Cap Stocks and Bonds</t>
  </si>
  <si>
    <t>Bond and Small Cap-Stocks</t>
  </si>
  <si>
    <t>Large-Cap
Stocks
%</t>
  </si>
  <si>
    <t>Small-Cap
Stocks
%</t>
  </si>
  <si>
    <t>Small Cap-Stocks and Large Cap Stocks</t>
  </si>
  <si>
    <t>THREE-ASSET CASE</t>
  </si>
  <si>
    <t>% Holdings before Extension</t>
  </si>
  <si>
    <t>% Holdings including new Extension</t>
  </si>
  <si>
    <t>Portfolio Results</t>
  </si>
  <si>
    <t>Standard Deviation for 2-Asset Holdings</t>
  </si>
  <si>
    <t>Return for 2-Asset Holdings</t>
  </si>
  <si>
    <t>Standard Deviation for 3-Asset Holdings</t>
  </si>
  <si>
    <t>Achieving efficiency by adding a third asset class</t>
  </si>
  <si>
    <t>Combinced Portfolio at 30% Stocks and 70% Bonds</t>
  </si>
  <si>
    <t>Total</t>
  </si>
  <si>
    <t>Weightts</t>
  </si>
  <si>
    <t>Portfolio Measurement</t>
  </si>
  <si>
    <t>Stock Prices Monthly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</si>
</sst>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%"/>
    <numFmt numFmtId="167" formatCode="0.000"/>
    <numFmt numFmtId="168" formatCode="_(* #,##0_);_(* \(#,##0\);_(* &quot;-&quot;??_);_(@_)"/>
    <numFmt numFmtId="169" formatCode="0.0000"/>
    <numFmt numFmtId="170" formatCode="_(&quot;$&quot;* #,##0_);_(&quot;$&quot;* \(#,##0\);_(&quot;$&quot;* &quot;-&quot;??_);_(@_)"/>
    <numFmt numFmtId="171" formatCode="0.000%"/>
    <numFmt numFmtId="172" formatCode="0.000\x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00B0F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rgb="FF00B0F0"/>
      <name val="Arial"/>
      <family val="2"/>
    </font>
    <font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7" fillId="0" borderId="0" xfId="1" applyNumberFormat="1" applyFont="1" applyAlignment="1">
      <alignment horizontal="center"/>
    </xf>
    <xf numFmtId="0" fontId="7" fillId="0" borderId="0" xfId="0" applyFont="1"/>
    <xf numFmtId="2" fontId="7" fillId="0" borderId="0" xfId="0" applyNumberFormat="1" applyFont="1"/>
    <xf numFmtId="2" fontId="0" fillId="0" borderId="0" xfId="0" applyNumberFormat="1"/>
    <xf numFmtId="164" fontId="0" fillId="0" borderId="3" xfId="1" applyNumberFormat="1" applyFont="1" applyBorder="1" applyAlignment="1">
      <alignment horizontal="center"/>
    </xf>
    <xf numFmtId="2" fontId="5" fillId="2" borderId="3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2" fontId="5" fillId="0" borderId="4" xfId="0" applyNumberFormat="1" applyFont="1" applyBorder="1"/>
    <xf numFmtId="2" fontId="5" fillId="2" borderId="5" xfId="0" applyNumberFormat="1" applyFont="1" applyFill="1" applyBorder="1"/>
    <xf numFmtId="0" fontId="5" fillId="0" borderId="0" xfId="0" quotePrefix="1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6" xfId="0" applyBorder="1"/>
    <xf numFmtId="9" fontId="7" fillId="0" borderId="7" xfId="0" applyNumberFormat="1" applyFont="1" applyBorder="1" applyAlignment="1">
      <alignment horizontal="center"/>
    </xf>
    <xf numFmtId="9" fontId="0" fillId="0" borderId="0" xfId="0" applyNumberFormat="1"/>
    <xf numFmtId="0" fontId="0" fillId="0" borderId="8" xfId="0" applyBorder="1"/>
    <xf numFmtId="9" fontId="5" fillId="0" borderId="9" xfId="0" applyNumberFormat="1" applyFont="1" applyBorder="1" applyAlignment="1">
      <alignment horizontal="center"/>
    </xf>
    <xf numFmtId="0" fontId="6" fillId="3" borderId="10" xfId="0" applyFont="1" applyFill="1" applyBorder="1" applyAlignment="1">
      <alignment horizontal="centerContinuous"/>
    </xf>
    <xf numFmtId="0" fontId="5" fillId="3" borderId="11" xfId="0" applyFont="1" applyFill="1" applyBorder="1" applyAlignment="1">
      <alignment horizontal="centerContinuous"/>
    </xf>
    <xf numFmtId="0" fontId="0" fillId="3" borderId="12" xfId="0" applyFill="1" applyBorder="1" applyAlignment="1">
      <alignment horizontal="centerContinuous"/>
    </xf>
    <xf numFmtId="0" fontId="0" fillId="0" borderId="0" xfId="0" applyFill="1"/>
    <xf numFmtId="0" fontId="0" fillId="0" borderId="11" xfId="0" applyBorder="1"/>
    <xf numFmtId="0" fontId="0" fillId="0" borderId="2" xfId="0" applyBorder="1"/>
    <xf numFmtId="164" fontId="0" fillId="0" borderId="0" xfId="1" applyNumberFormat="1" applyFont="1" applyAlignment="1">
      <alignment horizontal="center"/>
    </xf>
    <xf numFmtId="0" fontId="0" fillId="2" borderId="2" xfId="0" applyFill="1" applyBorder="1"/>
    <xf numFmtId="0" fontId="11" fillId="4" borderId="0" xfId="0" applyFont="1" applyFill="1" applyBorder="1"/>
    <xf numFmtId="0" fontId="12" fillId="4" borderId="0" xfId="0" applyFont="1" applyFill="1" applyBorder="1"/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2" borderId="13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1" xfId="0" applyBorder="1"/>
    <xf numFmtId="0" fontId="11" fillId="4" borderId="0" xfId="0" applyFont="1" applyFill="1"/>
    <xf numFmtId="166" fontId="12" fillId="4" borderId="0" xfId="0" applyNumberFormat="1" applyFont="1" applyFill="1"/>
    <xf numFmtId="0" fontId="12" fillId="4" borderId="0" xfId="0" applyFont="1" applyFill="1"/>
    <xf numFmtId="0" fontId="15" fillId="0" borderId="0" xfId="0" applyFont="1"/>
    <xf numFmtId="0" fontId="5" fillId="2" borderId="10" xfId="0" applyFont="1" applyFill="1" applyBorder="1"/>
    <xf numFmtId="167" fontId="5" fillId="2" borderId="12" xfId="0" applyNumberFormat="1" applyFont="1" applyFill="1" applyBorder="1"/>
    <xf numFmtId="0" fontId="0" fillId="2" borderId="10" xfId="0" applyFill="1" applyBorder="1"/>
    <xf numFmtId="0" fontId="5" fillId="2" borderId="11" xfId="0" applyFont="1" applyFill="1" applyBorder="1" applyAlignment="1">
      <alignment horizontal="center"/>
    </xf>
    <xf numFmtId="0" fontId="0" fillId="2" borderId="11" xfId="0" applyFill="1" applyBorder="1"/>
    <xf numFmtId="0" fontId="5" fillId="2" borderId="11" xfId="0" applyFont="1" applyFill="1" applyBorder="1"/>
    <xf numFmtId="0" fontId="5" fillId="2" borderId="11" xfId="0" quotePrefix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8" fontId="5" fillId="0" borderId="0" xfId="2" applyNumberFormat="1" applyFont="1" applyAlignment="1">
      <alignment horizontal="center"/>
    </xf>
    <xf numFmtId="168" fontId="0" fillId="0" borderId="0" xfId="2" applyNumberFormat="1" applyFont="1"/>
    <xf numFmtId="0" fontId="14" fillId="0" borderId="0" xfId="2" applyNumberFormat="1" applyFont="1" applyAlignment="1">
      <alignment horizontal="center"/>
    </xf>
    <xf numFmtId="0" fontId="0" fillId="0" borderId="0" xfId="2" applyNumberFormat="1" applyFont="1" applyAlignment="1">
      <alignment horizontal="center"/>
    </xf>
    <xf numFmtId="43" fontId="14" fillId="0" borderId="0" xfId="2" applyFont="1" applyAlignment="1">
      <alignment horizontal="center"/>
    </xf>
    <xf numFmtId="169" fontId="0" fillId="0" borderId="0" xfId="2" applyNumberFormat="1" applyFont="1" applyAlignment="1">
      <alignment horizontal="center"/>
    </xf>
    <xf numFmtId="2" fontId="0" fillId="0" borderId="0" xfId="2" applyNumberFormat="1" applyFont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5" fillId="2" borderId="5" xfId="0" applyNumberFormat="1" applyFont="1" applyFill="1" applyBorder="1"/>
    <xf numFmtId="2" fontId="5" fillId="2" borderId="12" xfId="0" applyNumberFormat="1" applyFont="1" applyFill="1" applyBorder="1"/>
    <xf numFmtId="0" fontId="5" fillId="2" borderId="12" xfId="0" applyFont="1" applyFill="1" applyBorder="1"/>
    <xf numFmtId="2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/>
    <xf numFmtId="0" fontId="16" fillId="5" borderId="15" xfId="0" applyFont="1" applyFill="1" applyBorder="1" applyAlignment="1">
      <alignment horizontal="centerContinuous"/>
    </xf>
    <xf numFmtId="0" fontId="16" fillId="5" borderId="16" xfId="0" applyFont="1" applyFill="1" applyBorder="1" applyAlignment="1">
      <alignment horizontal="centerContinuous"/>
    </xf>
    <xf numFmtId="9" fontId="14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9" fontId="0" fillId="0" borderId="13" xfId="1" applyFont="1" applyBorder="1" applyAlignment="1">
      <alignment horizontal="center"/>
    </xf>
    <xf numFmtId="0" fontId="0" fillId="0" borderId="13" xfId="0" applyBorder="1"/>
    <xf numFmtId="2" fontId="0" fillId="0" borderId="2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10" fillId="4" borderId="11" xfId="0" applyFont="1" applyFill="1" applyBorder="1"/>
    <xf numFmtId="0" fontId="20" fillId="4" borderId="11" xfId="0" applyFont="1" applyFill="1" applyBorder="1" applyAlignment="1">
      <alignment horizontal="center"/>
    </xf>
    <xf numFmtId="167" fontId="20" fillId="4" borderId="11" xfId="0" applyNumberFormat="1" applyFont="1" applyFill="1" applyBorder="1" applyAlignment="1">
      <alignment horizontal="center"/>
    </xf>
    <xf numFmtId="167" fontId="10" fillId="4" borderId="11" xfId="0" applyNumberFormat="1" applyFont="1" applyFill="1" applyBorder="1"/>
    <xf numFmtId="167" fontId="20" fillId="4" borderId="10" xfId="0" applyNumberFormat="1" applyFont="1" applyFill="1" applyBorder="1" applyAlignment="1">
      <alignment horizontal="centerContinuous"/>
    </xf>
    <xf numFmtId="167" fontId="10" fillId="4" borderId="12" xfId="0" applyNumberFormat="1" applyFont="1" applyFill="1" applyBorder="1" applyAlignment="1">
      <alignment horizontal="centerContinuous"/>
    </xf>
    <xf numFmtId="167" fontId="21" fillId="0" borderId="0" xfId="0" applyNumberFormat="1" applyFont="1" applyAlignment="1">
      <alignment horizontal="center"/>
    </xf>
    <xf numFmtId="2" fontId="0" fillId="6" borderId="14" xfId="0" applyNumberFormat="1" applyFill="1" applyBorder="1" applyAlignment="1">
      <alignment horizontal="center"/>
    </xf>
    <xf numFmtId="2" fontId="0" fillId="6" borderId="17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0" fontId="17" fillId="0" borderId="13" xfId="0" applyFont="1" applyBorder="1" applyAlignment="1">
      <alignment vertical="top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4" borderId="0" xfId="0" applyFill="1"/>
    <xf numFmtId="0" fontId="9" fillId="0" borderId="0" xfId="0" applyFont="1"/>
    <xf numFmtId="0" fontId="9" fillId="0" borderId="0" xfId="0" applyFont="1" applyAlignment="1">
      <alignment horizontal="center"/>
    </xf>
    <xf numFmtId="0" fontId="23" fillId="0" borderId="0" xfId="0" applyFont="1"/>
    <xf numFmtId="2" fontId="22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22" fillId="0" borderId="13" xfId="0" applyNumberFormat="1" applyFont="1" applyBorder="1" applyAlignment="1">
      <alignment horizontal="center"/>
    </xf>
    <xf numFmtId="2" fontId="0" fillId="0" borderId="13" xfId="0" applyNumberFormat="1" applyBorder="1"/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2" fontId="0" fillId="0" borderId="13" xfId="0" applyNumberForma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9" fontId="9" fillId="7" borderId="1" xfId="0" applyNumberFormat="1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wrapText="1"/>
    </xf>
    <xf numFmtId="9" fontId="0" fillId="0" borderId="1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6" borderId="13" xfId="0" applyNumberFormat="1" applyFill="1" applyBorder="1" applyAlignment="1">
      <alignment horizontal="center"/>
    </xf>
    <xf numFmtId="0" fontId="0" fillId="6" borderId="13" xfId="0" applyFill="1" applyBorder="1"/>
    <xf numFmtId="2" fontId="0" fillId="6" borderId="13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0" fillId="4" borderId="0" xfId="0" applyFont="1" applyFill="1" applyAlignment="1">
      <alignment horizontal="left"/>
    </xf>
    <xf numFmtId="10" fontId="20" fillId="4" borderId="0" xfId="1" applyNumberFormat="1" applyFont="1" applyFill="1"/>
    <xf numFmtId="0" fontId="20" fillId="4" borderId="0" xfId="0" applyFont="1" applyFill="1"/>
    <xf numFmtId="0" fontId="0" fillId="0" borderId="0" xfId="0" applyAlignment="1">
      <alignment horizontal="left"/>
    </xf>
    <xf numFmtId="10" fontId="0" fillId="0" borderId="0" xfId="1" applyNumberFormat="1" applyFont="1"/>
    <xf numFmtId="0" fontId="26" fillId="0" borderId="0" xfId="0" applyFont="1" applyAlignment="1">
      <alignment horizontal="center"/>
    </xf>
    <xf numFmtId="0" fontId="18" fillId="2" borderId="3" xfId="0" applyFont="1" applyFill="1" applyBorder="1"/>
    <xf numFmtId="0" fontId="18" fillId="2" borderId="3" xfId="0" applyFont="1" applyFill="1" applyBorder="1" applyAlignment="1">
      <alignment horizontal="left"/>
    </xf>
    <xf numFmtId="15" fontId="18" fillId="2" borderId="3" xfId="0" applyNumberFormat="1" applyFont="1" applyFill="1" applyBorder="1" applyAlignment="1">
      <alignment horizontal="center" wrapText="1"/>
    </xf>
    <xf numFmtId="2" fontId="27" fillId="0" borderId="0" xfId="0" applyNumberFormat="1" applyFont="1"/>
    <xf numFmtId="0" fontId="5" fillId="0" borderId="0" xfId="0" applyFont="1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15" fontId="5" fillId="2" borderId="3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7" fillId="0" borderId="0" xfId="0" applyFont="1"/>
    <xf numFmtId="0" fontId="0" fillId="0" borderId="0" xfId="0" applyAlignment="1"/>
    <xf numFmtId="0" fontId="5" fillId="2" borderId="3" xfId="0" applyFont="1" applyFill="1" applyBorder="1" applyAlignment="1">
      <alignment wrapText="1"/>
    </xf>
    <xf numFmtId="2" fontId="15" fillId="0" borderId="0" xfId="0" applyNumberFormat="1" applyFont="1" applyAlignment="1">
      <alignment horizontal="left"/>
    </xf>
    <xf numFmtId="37" fontId="0" fillId="0" borderId="0" xfId="3" applyNumberFormat="1" applyFont="1"/>
    <xf numFmtId="0" fontId="9" fillId="0" borderId="3" xfId="0" applyFont="1" applyBorder="1" applyAlignment="1">
      <alignment horizontal="left"/>
    </xf>
    <xf numFmtId="37" fontId="9" fillId="0" borderId="3" xfId="3" applyNumberFormat="1" applyFont="1" applyBorder="1"/>
    <xf numFmtId="37" fontId="0" fillId="0" borderId="0" xfId="3" applyNumberFormat="1" applyFont="1" applyFill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/>
    <xf numFmtId="37" fontId="9" fillId="0" borderId="3" xfId="0" applyNumberFormat="1" applyFont="1" applyBorder="1"/>
    <xf numFmtId="0" fontId="0" fillId="0" borderId="0" xfId="0" applyAlignment="1">
      <alignment horizontal="center" wrapText="1"/>
    </xf>
    <xf numFmtId="170" fontId="0" fillId="0" borderId="0" xfId="3" applyNumberFormat="1" applyFont="1"/>
    <xf numFmtId="164" fontId="0" fillId="0" borderId="0" xfId="1" applyNumberFormat="1" applyFont="1"/>
    <xf numFmtId="0" fontId="5" fillId="2" borderId="3" xfId="0" applyFont="1" applyFill="1" applyBorder="1" applyAlignment="1">
      <alignment horizontal="left" wrapText="1"/>
    </xf>
    <xf numFmtId="2" fontId="15" fillId="0" borderId="0" xfId="0" applyNumberFormat="1" applyFont="1" applyFill="1"/>
    <xf numFmtId="0" fontId="5" fillId="0" borderId="0" xfId="0" applyFont="1" applyFill="1"/>
    <xf numFmtId="2" fontId="15" fillId="0" borderId="0" xfId="0" applyNumberFormat="1" applyFont="1"/>
    <xf numFmtId="164" fontId="15" fillId="0" borderId="0" xfId="1" applyNumberFormat="1" applyFont="1"/>
    <xf numFmtId="2" fontId="27" fillId="0" borderId="0" xfId="0" applyNumberFormat="1" applyFont="1" applyFill="1"/>
    <xf numFmtId="164" fontId="0" fillId="0" borderId="0" xfId="0" applyNumberFormat="1"/>
    <xf numFmtId="166" fontId="0" fillId="0" borderId="0" xfId="1" applyNumberFormat="1" applyFont="1"/>
    <xf numFmtId="167" fontId="0" fillId="0" borderId="0" xfId="2" applyNumberFormat="1" applyFont="1"/>
    <xf numFmtId="168" fontId="0" fillId="0" borderId="3" xfId="2" applyNumberFormat="1" applyFont="1" applyBorder="1"/>
    <xf numFmtId="0" fontId="0" fillId="0" borderId="0" xfId="0" applyBorder="1"/>
    <xf numFmtId="0" fontId="9" fillId="0" borderId="23" xfId="0" quotePrefix="1" applyFont="1" applyBorder="1"/>
    <xf numFmtId="0" fontId="0" fillId="0" borderId="23" xfId="0" applyBorder="1"/>
    <xf numFmtId="0" fontId="9" fillId="0" borderId="23" xfId="0" applyFont="1" applyBorder="1"/>
    <xf numFmtId="0" fontId="0" fillId="0" borderId="22" xfId="0" applyBorder="1"/>
    <xf numFmtId="0" fontId="24" fillId="4" borderId="22" xfId="0" quotePrefix="1" applyFont="1" applyFill="1" applyBorder="1"/>
    <xf numFmtId="0" fontId="10" fillId="4" borderId="22" xfId="0" applyFont="1" applyFill="1" applyBorder="1"/>
    <xf numFmtId="171" fontId="0" fillId="0" borderId="0" xfId="0" applyNumberFormat="1"/>
    <xf numFmtId="0" fontId="24" fillId="4" borderId="0" xfId="0" applyFont="1" applyFill="1"/>
    <xf numFmtId="171" fontId="0" fillId="6" borderId="0" xfId="0" applyNumberFormat="1" applyFill="1"/>
    <xf numFmtId="166" fontId="0" fillId="6" borderId="0" xfId="1" applyNumberFormat="1" applyFont="1" applyFill="1"/>
    <xf numFmtId="0" fontId="0" fillId="6" borderId="0" xfId="0" applyFill="1"/>
    <xf numFmtId="168" fontId="0" fillId="0" borderId="22" xfId="2" applyNumberFormat="1" applyFont="1" applyBorder="1"/>
    <xf numFmtId="0" fontId="24" fillId="4" borderId="24" xfId="0" applyFont="1" applyFill="1" applyBorder="1"/>
    <xf numFmtId="168" fontId="9" fillId="8" borderId="25" xfId="2" applyNumberFormat="1" applyFont="1" applyFill="1" applyBorder="1" applyAlignment="1">
      <alignment horizontal="center" wrapText="1"/>
    </xf>
    <xf numFmtId="171" fontId="9" fillId="8" borderId="26" xfId="0" applyNumberFormat="1" applyFont="1" applyFill="1" applyBorder="1"/>
    <xf numFmtId="0" fontId="9" fillId="8" borderId="26" xfId="0" applyFont="1" applyFill="1" applyBorder="1"/>
    <xf numFmtId="166" fontId="9" fillId="8" borderId="26" xfId="1" applyNumberFormat="1" applyFont="1" applyFill="1" applyBorder="1"/>
    <xf numFmtId="0" fontId="0" fillId="8" borderId="27" xfId="0" applyFill="1" applyBorder="1"/>
    <xf numFmtId="2" fontId="0" fillId="0" borderId="0" xfId="0" applyNumberFormat="1" applyBorder="1" applyAlignment="1">
      <alignment horizontal="center"/>
    </xf>
    <xf numFmtId="0" fontId="9" fillId="0" borderId="13" xfId="0" applyFont="1" applyBorder="1"/>
    <xf numFmtId="167" fontId="0" fillId="0" borderId="13" xfId="0" applyNumberFormat="1" applyBorder="1" applyAlignment="1">
      <alignment horizontal="center"/>
    </xf>
    <xf numFmtId="0" fontId="0" fillId="0" borderId="13" xfId="0" applyFill="1" applyBorder="1"/>
    <xf numFmtId="0" fontId="9" fillId="0" borderId="0" xfId="0" applyFont="1" applyBorder="1"/>
    <xf numFmtId="0" fontId="0" fillId="0" borderId="28" xfId="0" applyBorder="1"/>
    <xf numFmtId="0" fontId="0" fillId="0" borderId="16" xfId="0" applyBorder="1"/>
    <xf numFmtId="0" fontId="0" fillId="0" borderId="19" xfId="0" applyBorder="1"/>
    <xf numFmtId="0" fontId="0" fillId="0" borderId="18" xfId="0" applyBorder="1"/>
    <xf numFmtId="0" fontId="5" fillId="2" borderId="29" xfId="0" applyFont="1" applyFill="1" applyBorder="1" applyAlignment="1">
      <alignment horizontal="center" vertical="center" wrapText="1"/>
    </xf>
    <xf numFmtId="2" fontId="0" fillId="0" borderId="18" xfId="0" applyNumberFormat="1" applyBorder="1"/>
    <xf numFmtId="2" fontId="0" fillId="0" borderId="0" xfId="0" applyNumberFormat="1" applyBorder="1"/>
    <xf numFmtId="0" fontId="5" fillId="0" borderId="0" xfId="0" applyFont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2" fillId="0" borderId="15" xfId="0" applyFont="1" applyBorder="1"/>
    <xf numFmtId="0" fontId="5" fillId="2" borderId="30" xfId="0" applyFont="1" applyFill="1" applyBorder="1" applyAlignment="1">
      <alignment horizontal="right" vertical="center" wrapText="1"/>
    </xf>
    <xf numFmtId="2" fontId="0" fillId="0" borderId="19" xfId="0" applyNumberFormat="1" applyBorder="1"/>
    <xf numFmtId="164" fontId="0" fillId="0" borderId="13" xfId="1" applyNumberFormat="1" applyFont="1" applyBorder="1" applyAlignment="1">
      <alignment horizontal="center"/>
    </xf>
    <xf numFmtId="0" fontId="0" fillId="0" borderId="1" xfId="0" applyFill="1" applyBorder="1"/>
    <xf numFmtId="0" fontId="9" fillId="0" borderId="13" xfId="0" applyFont="1" applyFill="1" applyBorder="1"/>
    <xf numFmtId="2" fontId="9" fillId="0" borderId="13" xfId="0" applyNumberFormat="1" applyFont="1" applyBorder="1" applyAlignment="1">
      <alignment horizontal="center"/>
    </xf>
    <xf numFmtId="2" fontId="9" fillId="7" borderId="13" xfId="0" applyNumberFormat="1" applyFont="1" applyFill="1" applyBorder="1" applyAlignment="1">
      <alignment horizontal="center"/>
    </xf>
    <xf numFmtId="0" fontId="28" fillId="0" borderId="0" xfId="0" applyFont="1"/>
    <xf numFmtId="2" fontId="15" fillId="0" borderId="4" xfId="0" applyNumberFormat="1" applyFont="1" applyBorder="1"/>
    <xf numFmtId="0" fontId="0" fillId="0" borderId="4" xfId="0" applyBorder="1"/>
    <xf numFmtId="164" fontId="0" fillId="0" borderId="4" xfId="0" applyNumberFormat="1" applyBorder="1"/>
    <xf numFmtId="2" fontId="15" fillId="0" borderId="13" xfId="0" applyNumberFormat="1" applyFont="1" applyFill="1" applyBorder="1"/>
    <xf numFmtId="164" fontId="0" fillId="0" borderId="13" xfId="1" applyNumberFormat="1" applyFont="1" applyBorder="1"/>
    <xf numFmtId="0" fontId="0" fillId="0" borderId="0" xfId="0" applyFont="1"/>
    <xf numFmtId="2" fontId="29" fillId="0" borderId="0" xfId="0" applyNumberFormat="1" applyFont="1" applyFill="1"/>
    <xf numFmtId="2" fontId="29" fillId="0" borderId="13" xfId="0" applyNumberFormat="1" applyFont="1" applyFill="1" applyBorder="1"/>
    <xf numFmtId="0" fontId="0" fillId="0" borderId="13" xfId="0" applyFont="1" applyBorder="1"/>
    <xf numFmtId="10" fontId="0" fillId="0" borderId="4" xfId="1" applyNumberFormat="1" applyFont="1" applyBorder="1"/>
    <xf numFmtId="10" fontId="0" fillId="0" borderId="13" xfId="1" applyNumberFormat="1" applyFont="1" applyBorder="1"/>
    <xf numFmtId="2" fontId="30" fillId="0" borderId="0" xfId="0" applyNumberFormat="1" applyFont="1" applyFill="1"/>
    <xf numFmtId="15" fontId="18" fillId="2" borderId="24" xfId="0" applyNumberFormat="1" applyFont="1" applyFill="1" applyBorder="1" applyAlignment="1">
      <alignment horizontal="center" wrapText="1"/>
    </xf>
    <xf numFmtId="10" fontId="0" fillId="0" borderId="26" xfId="0" applyNumberFormat="1" applyBorder="1"/>
    <xf numFmtId="10" fontId="0" fillId="0" borderId="31" xfId="1" applyNumberFormat="1" applyFont="1" applyBorder="1"/>
    <xf numFmtId="10" fontId="0" fillId="0" borderId="25" xfId="1" applyNumberFormat="1" applyFont="1" applyBorder="1"/>
    <xf numFmtId="164" fontId="9" fillId="7" borderId="24" xfId="0" applyNumberFormat="1" applyFont="1" applyFill="1" applyBorder="1"/>
    <xf numFmtId="164" fontId="9" fillId="7" borderId="27" xfId="0" applyNumberFormat="1" applyFont="1" applyFill="1" applyBorder="1"/>
    <xf numFmtId="15" fontId="18" fillId="2" borderId="32" xfId="0" applyNumberFormat="1" applyFont="1" applyFill="1" applyBorder="1" applyAlignment="1">
      <alignment horizontal="center" wrapText="1"/>
    </xf>
    <xf numFmtId="164" fontId="0" fillId="0" borderId="26" xfId="0" applyNumberFormat="1" applyBorder="1"/>
    <xf numFmtId="164" fontId="0" fillId="0" borderId="31" xfId="0" applyNumberFormat="1" applyBorder="1"/>
    <xf numFmtId="164" fontId="0" fillId="0" borderId="25" xfId="1" applyNumberFormat="1" applyFont="1" applyBorder="1"/>
    <xf numFmtId="2" fontId="29" fillId="0" borderId="4" xfId="0" applyNumberFormat="1" applyFont="1" applyFill="1" applyBorder="1"/>
    <xf numFmtId="2" fontId="15" fillId="0" borderId="13" xfId="0" applyNumberFormat="1" applyFont="1" applyBorder="1"/>
    <xf numFmtId="164" fontId="0" fillId="7" borderId="32" xfId="0" applyNumberFormat="1" applyFill="1" applyBorder="1"/>
    <xf numFmtId="172" fontId="0" fillId="7" borderId="25" xfId="0" applyNumberFormat="1" applyFill="1" applyBorder="1"/>
    <xf numFmtId="164" fontId="0" fillId="7" borderId="33" xfId="1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9" fillId="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RISK vs RETURN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26159230096237"/>
          <c:y val="0.17499232193120526"/>
          <c:w val="0.65801596675415575"/>
          <c:h val="0.6256050661869426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  <a:r>
                      <a:rPr lang="en-US" baseline="0"/>
                      <a:t> Bonds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23-436A-8FF4-8F600327C43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100% Stock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23-436A-8FF4-8F600327C4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Sheet5!$A$2:$A$12</c:f>
              <c:numCache>
                <c:formatCode>General</c:formatCode>
                <c:ptCount val="11"/>
                <c:pt idx="0">
                  <c:v>7.0489360899358422</c:v>
                </c:pt>
                <c:pt idx="1">
                  <c:v>4.9062689490079929</c:v>
                </c:pt>
                <c:pt idx="2">
                  <c:v>2.8263757711953303</c:v>
                </c:pt>
                <c:pt idx="3">
                  <c:v>1.1992810346203251</c:v>
                </c:pt>
                <c:pt idx="4">
                  <c:v>2.1026411962101386</c:v>
                </c:pt>
                <c:pt idx="5">
                  <c:v>4.1154434754956846</c:v>
                </c:pt>
                <c:pt idx="6">
                  <c:v>6.2438449692477151</c:v>
                </c:pt>
                <c:pt idx="7">
                  <c:v>8.4004330245529584</c:v>
                </c:pt>
                <c:pt idx="8">
                  <c:v>10.567965745591719</c:v>
                </c:pt>
                <c:pt idx="9">
                  <c:v>12.740858487558832</c:v>
                </c:pt>
                <c:pt idx="10">
                  <c:v>14.916769087171657</c:v>
                </c:pt>
              </c:numCache>
            </c:numRef>
          </c:xVal>
          <c:yVal>
            <c:numRef>
              <c:f>Sheet5!$B$2:$B$12</c:f>
              <c:numCache>
                <c:formatCode>General</c:formatCode>
                <c:ptCount val="11"/>
                <c:pt idx="0">
                  <c:v>4.25</c:v>
                </c:pt>
                <c:pt idx="1">
                  <c:v>4.9950000000000001</c:v>
                </c:pt>
                <c:pt idx="2">
                  <c:v>5.74</c:v>
                </c:pt>
                <c:pt idx="3">
                  <c:v>6.4849999999999994</c:v>
                </c:pt>
                <c:pt idx="4">
                  <c:v>7.2299999999999995</c:v>
                </c:pt>
                <c:pt idx="5">
                  <c:v>7.9749999999999996</c:v>
                </c:pt>
                <c:pt idx="6">
                  <c:v>8.7199999999999989</c:v>
                </c:pt>
                <c:pt idx="7">
                  <c:v>9.4649999999999999</c:v>
                </c:pt>
                <c:pt idx="8">
                  <c:v>10.209999999999999</c:v>
                </c:pt>
                <c:pt idx="9">
                  <c:v>10.954999999999998</c:v>
                </c:pt>
                <c:pt idx="10">
                  <c:v>11.699999999999998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23-436A-8FF4-8F600327C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936408"/>
        <c:axId val="1478939688"/>
      </c:scatterChart>
      <c:valAx>
        <c:axId val="1478936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RISK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39688"/>
        <c:crosses val="autoZero"/>
        <c:crossBetween val="midCat"/>
      </c:valAx>
      <c:valAx>
        <c:axId val="147893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0896993778322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36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" cap="flat" cmpd="sng" algn="ctr">
      <a:solidFill>
        <a:schemeClr val="accent1"/>
      </a:solidFill>
      <a:round/>
    </a:ln>
    <a:effectLst>
      <a:softEdge rad="63500"/>
    </a:effectLst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 vs Return</a:t>
            </a:r>
          </a:p>
          <a:p>
            <a:pPr>
              <a:defRPr/>
            </a:pPr>
            <a:r>
              <a:rPr lang="en-US"/>
              <a:t>Correlation</a:t>
            </a:r>
            <a:r>
              <a:rPr lang="en-US" baseline="0"/>
              <a:t> = 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8097222222222226"/>
          <c:w val="0.89019685039370078"/>
          <c:h val="0.720887649460484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Sheet5!$E$1</c:f>
              <c:strCache>
                <c:ptCount val="1"/>
                <c:pt idx="0">
                  <c:v>Return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Sheet5!$D$2:$D$12</c:f>
              <c:numCache>
                <c:formatCode>General</c:formatCode>
                <c:ptCount val="11"/>
                <c:pt idx="0">
                  <c:v>7.0489360899358422</c:v>
                </c:pt>
                <c:pt idx="1">
                  <c:v>6.5170526313664219</c:v>
                </c:pt>
                <c:pt idx="2">
                  <c:v>6.3796865126744304</c:v>
                </c:pt>
                <c:pt idx="3">
                  <c:v>6.6612892896195408</c:v>
                </c:pt>
                <c:pt idx="4">
                  <c:v>7.3136242725477771</c:v>
                </c:pt>
                <c:pt idx="5">
                  <c:v>8.2492045071024869</c:v>
                </c:pt>
                <c:pt idx="6">
                  <c:v>9.3836879743520889</c:v>
                </c:pt>
                <c:pt idx="7">
                  <c:v>10.653721180883231</c:v>
                </c:pt>
                <c:pt idx="8">
                  <c:v>12.016401291568119</c:v>
                </c:pt>
                <c:pt idx="9">
                  <c:v>13.443584901357225</c:v>
                </c:pt>
                <c:pt idx="10">
                  <c:v>14.916769087171657</c:v>
                </c:pt>
              </c:numCache>
            </c:numRef>
          </c:xVal>
          <c:yVal>
            <c:numRef>
              <c:f>Sheet5!$E$2:$E$12</c:f>
              <c:numCache>
                <c:formatCode>General</c:formatCode>
                <c:ptCount val="11"/>
                <c:pt idx="0">
                  <c:v>4.25</c:v>
                </c:pt>
                <c:pt idx="1">
                  <c:v>4.9950000000000001</c:v>
                </c:pt>
                <c:pt idx="2">
                  <c:v>5.74</c:v>
                </c:pt>
                <c:pt idx="3">
                  <c:v>6.4849999999999994</c:v>
                </c:pt>
                <c:pt idx="4">
                  <c:v>7.2299999999999995</c:v>
                </c:pt>
                <c:pt idx="5">
                  <c:v>7.9749999999999996</c:v>
                </c:pt>
                <c:pt idx="6">
                  <c:v>8.7199999999999989</c:v>
                </c:pt>
                <c:pt idx="7">
                  <c:v>9.4649999999999999</c:v>
                </c:pt>
                <c:pt idx="8">
                  <c:v>10.209999999999999</c:v>
                </c:pt>
                <c:pt idx="9">
                  <c:v>10.954999999999998</c:v>
                </c:pt>
                <c:pt idx="10">
                  <c:v>11.699999999999998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6F-4123-AD1F-DC3DB0C40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953136"/>
        <c:axId val="1478952808"/>
      </c:scatterChart>
      <c:valAx>
        <c:axId val="147895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52808"/>
        <c:crosses val="autoZero"/>
        <c:crossBetween val="midCat"/>
      </c:valAx>
      <c:valAx>
        <c:axId val="147895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53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</a:t>
            </a:r>
            <a:r>
              <a:rPr lang="en-US" baseline="0"/>
              <a:t> vs </a:t>
            </a:r>
            <a:r>
              <a:rPr lang="en-US"/>
              <a:t>Return</a:t>
            </a:r>
          </a:p>
          <a:p>
            <a:pPr>
              <a:defRPr/>
            </a:pPr>
            <a:r>
              <a:rPr lang="en-US"/>
              <a:t>Correlation = +1</a:t>
            </a:r>
          </a:p>
        </c:rich>
      </c:tx>
      <c:layout>
        <c:manualLayout>
          <c:xMode val="edge"/>
          <c:yMode val="edge"/>
          <c:x val="0.4381596675415573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Sheet5!$H$1</c:f>
              <c:strCache>
                <c:ptCount val="1"/>
                <c:pt idx="0">
                  <c:v>Return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Sheet5!$G$2:$G$12</c:f>
              <c:numCache>
                <c:formatCode>General</c:formatCode>
                <c:ptCount val="11"/>
                <c:pt idx="0">
                  <c:v>7.0489360899358422</c:v>
                </c:pt>
                <c:pt idx="1">
                  <c:v>7.8357193896594239</c:v>
                </c:pt>
                <c:pt idx="2">
                  <c:v>8.6225026893830048</c:v>
                </c:pt>
                <c:pt idx="3">
                  <c:v>9.4092859891065874</c:v>
                </c:pt>
                <c:pt idx="4">
                  <c:v>10.19606928883017</c:v>
                </c:pt>
                <c:pt idx="5">
                  <c:v>10.982852588553751</c:v>
                </c:pt>
                <c:pt idx="6">
                  <c:v>11.769635888277332</c:v>
                </c:pt>
                <c:pt idx="7">
                  <c:v>12.556419188000913</c:v>
                </c:pt>
                <c:pt idx="8">
                  <c:v>13.343202487724495</c:v>
                </c:pt>
                <c:pt idx="9">
                  <c:v>14.129985787448076</c:v>
                </c:pt>
                <c:pt idx="10">
                  <c:v>14.916769087171657</c:v>
                </c:pt>
              </c:numCache>
            </c:numRef>
          </c:xVal>
          <c:yVal>
            <c:numRef>
              <c:f>Sheet5!$H$2:$H$12</c:f>
              <c:numCache>
                <c:formatCode>General</c:formatCode>
                <c:ptCount val="11"/>
                <c:pt idx="0">
                  <c:v>4.25</c:v>
                </c:pt>
                <c:pt idx="1">
                  <c:v>4.9950000000000001</c:v>
                </c:pt>
                <c:pt idx="2">
                  <c:v>5.74</c:v>
                </c:pt>
                <c:pt idx="3">
                  <c:v>6.4849999999999994</c:v>
                </c:pt>
                <c:pt idx="4">
                  <c:v>7.2299999999999995</c:v>
                </c:pt>
                <c:pt idx="5">
                  <c:v>7.9749999999999996</c:v>
                </c:pt>
                <c:pt idx="6">
                  <c:v>8.7199999999999989</c:v>
                </c:pt>
                <c:pt idx="7">
                  <c:v>9.4649999999999999</c:v>
                </c:pt>
                <c:pt idx="8">
                  <c:v>10.209999999999999</c:v>
                </c:pt>
                <c:pt idx="9">
                  <c:v>10.954999999999998</c:v>
                </c:pt>
                <c:pt idx="10">
                  <c:v>11.699999999999998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11-4387-9C5F-E2D486185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580424"/>
        <c:axId val="922579112"/>
      </c:scatterChart>
      <c:valAx>
        <c:axId val="922580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579112"/>
        <c:crosses val="autoZero"/>
        <c:crossBetween val="midCat"/>
      </c:valAx>
      <c:valAx>
        <c:axId val="92257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580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 versus Return</a:t>
            </a:r>
          </a:p>
          <a:p>
            <a:pPr>
              <a:defRPr/>
            </a:pPr>
            <a:r>
              <a:rPr lang="en-US"/>
              <a:t>at Correlation</a:t>
            </a:r>
            <a:r>
              <a:rPr lang="en-US" baseline="0"/>
              <a:t> -1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Sheet5!$K$1</c:f>
              <c:strCache>
                <c:ptCount val="1"/>
                <c:pt idx="0">
                  <c:v>Return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Sheet5!$J$2:$J$12</c:f>
              <c:numCache>
                <c:formatCode>General</c:formatCode>
                <c:ptCount val="11"/>
                <c:pt idx="0">
                  <c:v>7.0489360899358422</c:v>
                </c:pt>
                <c:pt idx="1">
                  <c:v>4.852365572225092</c:v>
                </c:pt>
                <c:pt idx="2">
                  <c:v>2.6557950545143414</c:v>
                </c:pt>
                <c:pt idx="3">
                  <c:v>0.45922453680359088</c:v>
                </c:pt>
                <c:pt idx="4">
                  <c:v>1.7373459809071594</c:v>
                </c:pt>
                <c:pt idx="5">
                  <c:v>3.9339164986179083</c:v>
                </c:pt>
                <c:pt idx="6">
                  <c:v>6.130487016328658</c:v>
                </c:pt>
                <c:pt idx="7">
                  <c:v>8.3270575340394064</c:v>
                </c:pt>
                <c:pt idx="8">
                  <c:v>10.523628051750157</c:v>
                </c:pt>
                <c:pt idx="9">
                  <c:v>12.720198569460905</c:v>
                </c:pt>
                <c:pt idx="10">
                  <c:v>14.916769087171657</c:v>
                </c:pt>
              </c:numCache>
            </c:numRef>
          </c:xVal>
          <c:yVal>
            <c:numRef>
              <c:f>Sheet5!$K$2:$K$12</c:f>
              <c:numCache>
                <c:formatCode>General</c:formatCode>
                <c:ptCount val="11"/>
                <c:pt idx="0">
                  <c:v>4.25</c:v>
                </c:pt>
                <c:pt idx="1">
                  <c:v>4.9950000000000001</c:v>
                </c:pt>
                <c:pt idx="2">
                  <c:v>5.74</c:v>
                </c:pt>
                <c:pt idx="3">
                  <c:v>6.4849999999999994</c:v>
                </c:pt>
                <c:pt idx="4">
                  <c:v>7.2299999999999995</c:v>
                </c:pt>
                <c:pt idx="5">
                  <c:v>7.9749999999999996</c:v>
                </c:pt>
                <c:pt idx="6">
                  <c:v>8.7199999999999989</c:v>
                </c:pt>
                <c:pt idx="7">
                  <c:v>9.4649999999999999</c:v>
                </c:pt>
                <c:pt idx="8">
                  <c:v>10.209999999999999</c:v>
                </c:pt>
                <c:pt idx="9">
                  <c:v>10.954999999999998</c:v>
                </c:pt>
                <c:pt idx="10">
                  <c:v>11.699999999999998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97-4188-ADF1-EC48C241B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996432"/>
        <c:axId val="1478996760"/>
      </c:scatterChart>
      <c:valAx>
        <c:axId val="147899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96760"/>
        <c:crosses val="autoZero"/>
        <c:crossBetween val="midCat"/>
      </c:valAx>
      <c:valAx>
        <c:axId val="147899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9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 vs Return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Sheet14!$E$3</c:f>
              <c:strCache>
                <c:ptCount val="1"/>
                <c:pt idx="0">
                  <c:v>Return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Sheet14!$D$4:$D$14</c:f>
              <c:numCache>
                <c:formatCode>0.00</c:formatCode>
                <c:ptCount val="11"/>
                <c:pt idx="0">
                  <c:v>5.0968715895144943</c:v>
                </c:pt>
                <c:pt idx="1">
                  <c:v>3.4970082556720183</c:v>
                </c:pt>
                <c:pt idx="2">
                  <c:v>2.7292462908244652</c:v>
                </c:pt>
                <c:pt idx="3">
                  <c:v>3.4113422178407378</c:v>
                </c:pt>
                <c:pt idx="4">
                  <c:v>4.9794053835742931</c:v>
                </c:pt>
                <c:pt idx="5">
                  <c:v>6.8498505134212468</c:v>
                </c:pt>
                <c:pt idx="6">
                  <c:v>8.8326201080975189</c:v>
                </c:pt>
                <c:pt idx="7">
                  <c:v>10.866400311382908</c:v>
                </c:pt>
                <c:pt idx="8">
                  <c:v>12.927137553069475</c:v>
                </c:pt>
                <c:pt idx="9">
                  <c:v>15.00372842796877</c:v>
                </c:pt>
                <c:pt idx="10">
                  <c:v>17.09039496325348</c:v>
                </c:pt>
              </c:numCache>
            </c:numRef>
          </c:xVal>
          <c:yVal>
            <c:numRef>
              <c:f>Sheet14!$E$4:$E$14</c:f>
              <c:numCache>
                <c:formatCode>0.00</c:formatCode>
                <c:ptCount val="11"/>
                <c:pt idx="0">
                  <c:v>2.0833333333333335</c:v>
                </c:pt>
                <c:pt idx="1">
                  <c:v>3.0425000000000004</c:v>
                </c:pt>
                <c:pt idx="2">
                  <c:v>4.0016666666666669</c:v>
                </c:pt>
                <c:pt idx="3">
                  <c:v>4.9608333333333343</c:v>
                </c:pt>
                <c:pt idx="4">
                  <c:v>5.9200000000000008</c:v>
                </c:pt>
                <c:pt idx="5">
                  <c:v>6.8791666666666682</c:v>
                </c:pt>
                <c:pt idx="6">
                  <c:v>7.8383333333333347</c:v>
                </c:pt>
                <c:pt idx="7">
                  <c:v>8.7975000000000012</c:v>
                </c:pt>
                <c:pt idx="8">
                  <c:v>9.7566666666666677</c:v>
                </c:pt>
                <c:pt idx="9">
                  <c:v>10.715833333333336</c:v>
                </c:pt>
                <c:pt idx="10">
                  <c:v>11.675000000000002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06-4C97-991E-8609B8A9C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434904"/>
        <c:axId val="927435560"/>
      </c:scatterChart>
      <c:valAx>
        <c:axId val="92743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435560"/>
        <c:crosses val="autoZero"/>
        <c:crossBetween val="midCat"/>
      </c:valAx>
      <c:valAx>
        <c:axId val="92743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43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 vs Return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Sheet14!$E$3</c:f>
              <c:strCache>
                <c:ptCount val="1"/>
                <c:pt idx="0">
                  <c:v>Return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Sheet14!$D$4:$D$14</c:f>
              <c:numCache>
                <c:formatCode>0.00</c:formatCode>
                <c:ptCount val="11"/>
                <c:pt idx="0">
                  <c:v>5.0968715895144943</c:v>
                </c:pt>
                <c:pt idx="1">
                  <c:v>3.4970082556720183</c:v>
                </c:pt>
                <c:pt idx="2">
                  <c:v>2.7292462908244652</c:v>
                </c:pt>
                <c:pt idx="3">
                  <c:v>3.4113422178407378</c:v>
                </c:pt>
                <c:pt idx="4">
                  <c:v>4.9794053835742931</c:v>
                </c:pt>
                <c:pt idx="5">
                  <c:v>6.8498505134212468</c:v>
                </c:pt>
                <c:pt idx="6">
                  <c:v>8.8326201080975189</c:v>
                </c:pt>
                <c:pt idx="7">
                  <c:v>10.866400311382908</c:v>
                </c:pt>
                <c:pt idx="8">
                  <c:v>12.927137553069475</c:v>
                </c:pt>
                <c:pt idx="9">
                  <c:v>15.00372842796877</c:v>
                </c:pt>
                <c:pt idx="10">
                  <c:v>17.09039496325348</c:v>
                </c:pt>
              </c:numCache>
            </c:numRef>
          </c:xVal>
          <c:yVal>
            <c:numRef>
              <c:f>Sheet14!$E$4:$E$14</c:f>
              <c:numCache>
                <c:formatCode>0.00</c:formatCode>
                <c:ptCount val="11"/>
                <c:pt idx="0">
                  <c:v>2.0833333333333335</c:v>
                </c:pt>
                <c:pt idx="1">
                  <c:v>3.0425000000000004</c:v>
                </c:pt>
                <c:pt idx="2">
                  <c:v>4.0016666666666669</c:v>
                </c:pt>
                <c:pt idx="3">
                  <c:v>4.9608333333333343</c:v>
                </c:pt>
                <c:pt idx="4">
                  <c:v>5.9200000000000008</c:v>
                </c:pt>
                <c:pt idx="5">
                  <c:v>6.8791666666666682</c:v>
                </c:pt>
                <c:pt idx="6">
                  <c:v>7.8383333333333347</c:v>
                </c:pt>
                <c:pt idx="7">
                  <c:v>8.7975000000000012</c:v>
                </c:pt>
                <c:pt idx="8">
                  <c:v>9.7566666666666677</c:v>
                </c:pt>
                <c:pt idx="9">
                  <c:v>10.715833333333336</c:v>
                </c:pt>
                <c:pt idx="10">
                  <c:v>11.675000000000002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F1-4404-9EC7-EDCA5B1D2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434904"/>
        <c:axId val="927435560"/>
      </c:scatterChart>
      <c:valAx>
        <c:axId val="92743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435560"/>
        <c:crosses val="autoZero"/>
        <c:crossBetween val="midCat"/>
      </c:valAx>
      <c:valAx>
        <c:axId val="92743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43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575733</xdr:colOff>
      <xdr:row>18</xdr:row>
      <xdr:rowOff>143933</xdr:rowOff>
    </xdr:from>
    <xdr:to>
      <xdr:col>5</xdr:col>
      <xdr:colOff>0</xdr:colOff>
      <xdr:row>19</xdr:row>
      <xdr:rowOff>118533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7F1A6F3-709E-47D0-8BE3-F972E7A2E2F8}"/>
            </a:ext>
          </a:extLst>
        </xdr:cNvPr>
        <xdr:cNvSpPr>
          <a:spLocks noChangeShapeType="1"/>
        </xdr:cNvSpPr>
      </xdr:nvSpPr>
      <xdr:spPr bwMode="auto">
        <a:xfrm flipH="1">
          <a:off x="3725333" y="1257300"/>
          <a:ext cx="160867" cy="203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110915</xdr:colOff>
      <xdr:row>16</xdr:row>
      <xdr:rowOff>33868</xdr:rowOff>
    </xdr:from>
    <xdr:to>
      <xdr:col>3</xdr:col>
      <xdr:colOff>156634</xdr:colOff>
      <xdr:row>18</xdr:row>
      <xdr:rowOff>169334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id="{2B80C259-D9FC-4D84-976C-58A57EA31D68}"/>
            </a:ext>
          </a:extLst>
        </xdr:cNvPr>
        <xdr:cNvSpPr/>
      </xdr:nvSpPr>
      <xdr:spPr>
        <a:xfrm>
          <a:off x="6998548" y="3056468"/>
          <a:ext cx="45719" cy="499533"/>
        </a:xfrm>
        <a:prstGeom prst="lef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59266</xdr:colOff>
      <xdr:row>10</xdr:row>
      <xdr:rowOff>207432</xdr:rowOff>
    </xdr:from>
    <xdr:to>
      <xdr:col>13</xdr:col>
      <xdr:colOff>127000</xdr:colOff>
      <xdr:row>25</xdr:row>
      <xdr:rowOff>16933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CDE851-8442-4F38-9CB8-F7B0B8863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15</xdr:row>
      <xdr:rowOff>29634</xdr:rowOff>
    </xdr:from>
    <xdr:to>
      <xdr:col>7</xdr:col>
      <xdr:colOff>414868</xdr:colOff>
      <xdr:row>17</xdr:row>
      <xdr:rowOff>135467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6D4C16E-CCE9-4A23-B469-9EBD6D5CFED8}"/>
            </a:ext>
          </a:extLst>
        </xdr:cNvPr>
        <xdr:cNvCxnSpPr/>
      </xdr:nvCxnSpPr>
      <xdr:spPr>
        <a:xfrm flipH="1">
          <a:off x="4652433" y="2870201"/>
          <a:ext cx="224368" cy="4698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126999</xdr:colOff>
      <xdr:row>13</xdr:row>
      <xdr:rowOff>165101</xdr:rowOff>
    </xdr:from>
    <xdr:to>
      <xdr:col>8</xdr:col>
      <xdr:colOff>635000</xdr:colOff>
      <xdr:row>14</xdr:row>
      <xdr:rowOff>177802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F4C7593-97B4-414D-91CD-EDCD35740E17}"/>
            </a:ext>
          </a:extLst>
        </xdr:cNvPr>
        <xdr:cNvSpPr txBox="1"/>
      </xdr:nvSpPr>
      <xdr:spPr>
        <a:xfrm>
          <a:off x="4588932" y="2628901"/>
          <a:ext cx="1151468" cy="2074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Efficient Frontier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517315</xdr:colOff>
      <xdr:row>13</xdr:row>
      <xdr:rowOff>194733</xdr:rowOff>
    </xdr:from>
    <xdr:to>
      <xdr:col>2</xdr:col>
      <xdr:colOff>563034</xdr:colOff>
      <xdr:row>16</xdr:row>
      <xdr:rowOff>135466</xdr:rowOff>
    </xdr:to>
    <xdr:sp macro="" textlink="">
      <xdr:nvSpPr>
        <xdr:cNvPr id="40" name="Left Brace 39">
          <a:extLst>
            <a:ext uri="{FF2B5EF4-FFF2-40B4-BE49-F238E27FC236}">
              <a16:creationId xmlns:a16="http://schemas.microsoft.com/office/drawing/2014/main" id="{E7F9D71D-CC75-43FD-B278-D295D720CBD2}"/>
            </a:ext>
          </a:extLst>
        </xdr:cNvPr>
        <xdr:cNvSpPr/>
      </xdr:nvSpPr>
      <xdr:spPr>
        <a:xfrm>
          <a:off x="2172548" y="2624666"/>
          <a:ext cx="45719" cy="499533"/>
        </a:xfrm>
        <a:prstGeom prst="lef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106681</xdr:colOff>
      <xdr:row>16</xdr:row>
      <xdr:rowOff>42335</xdr:rowOff>
    </xdr:from>
    <xdr:to>
      <xdr:col>8</xdr:col>
      <xdr:colOff>152400</xdr:colOff>
      <xdr:row>18</xdr:row>
      <xdr:rowOff>177801</xdr:rowOff>
    </xdr:to>
    <xdr:sp macro="" textlink="">
      <xdr:nvSpPr>
        <xdr:cNvPr id="41" name="Left Brace 40">
          <a:extLst>
            <a:ext uri="{FF2B5EF4-FFF2-40B4-BE49-F238E27FC236}">
              <a16:creationId xmlns:a16="http://schemas.microsoft.com/office/drawing/2014/main" id="{16350EB7-99F7-453D-9B7C-C3C64656A7B8}"/>
            </a:ext>
          </a:extLst>
        </xdr:cNvPr>
        <xdr:cNvSpPr/>
      </xdr:nvSpPr>
      <xdr:spPr>
        <a:xfrm>
          <a:off x="5106248" y="3031068"/>
          <a:ext cx="45719" cy="499533"/>
        </a:xfrm>
        <a:prstGeom prst="lef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110915</xdr:colOff>
      <xdr:row>16</xdr:row>
      <xdr:rowOff>33868</xdr:rowOff>
    </xdr:from>
    <xdr:to>
      <xdr:col>11</xdr:col>
      <xdr:colOff>156634</xdr:colOff>
      <xdr:row>18</xdr:row>
      <xdr:rowOff>169334</xdr:rowOff>
    </xdr:to>
    <xdr:sp macro="" textlink="">
      <xdr:nvSpPr>
        <xdr:cNvPr id="42" name="Left Brace 41">
          <a:extLst>
            <a:ext uri="{FF2B5EF4-FFF2-40B4-BE49-F238E27FC236}">
              <a16:creationId xmlns:a16="http://schemas.microsoft.com/office/drawing/2014/main" id="{8541444A-63AE-4F62-8821-BEA83608DA92}"/>
            </a:ext>
          </a:extLst>
        </xdr:cNvPr>
        <xdr:cNvSpPr/>
      </xdr:nvSpPr>
      <xdr:spPr>
        <a:xfrm>
          <a:off x="6668348" y="3022601"/>
          <a:ext cx="45719" cy="499533"/>
        </a:xfrm>
        <a:prstGeom prst="lef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521548</xdr:colOff>
      <xdr:row>15</xdr:row>
      <xdr:rowOff>50801</xdr:rowOff>
    </xdr:from>
    <xdr:to>
      <xdr:col>2</xdr:col>
      <xdr:colOff>567267</xdr:colOff>
      <xdr:row>18</xdr:row>
      <xdr:rowOff>4234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669E638D-C83E-403E-9479-748006D86994}"/>
            </a:ext>
          </a:extLst>
        </xdr:cNvPr>
        <xdr:cNvSpPr/>
      </xdr:nvSpPr>
      <xdr:spPr>
        <a:xfrm>
          <a:off x="2176781" y="2544234"/>
          <a:ext cx="45719" cy="499533"/>
        </a:xfrm>
        <a:prstGeom prst="lef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323850</xdr:colOff>
      <xdr:row>10</xdr:row>
      <xdr:rowOff>25400</xdr:rowOff>
    </xdr:from>
    <xdr:to>
      <xdr:col>13</xdr:col>
      <xdr:colOff>391583</xdr:colOff>
      <xdr:row>25</xdr:row>
      <xdr:rowOff>8466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C14A61C-5AAD-4182-81E3-CC44224B35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9</xdr:row>
      <xdr:rowOff>114300</xdr:rowOff>
    </xdr:from>
    <xdr:to>
      <xdr:col>13</xdr:col>
      <xdr:colOff>88900</xdr:colOff>
      <xdr:row>24</xdr:row>
      <xdr:rowOff>118533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80A900-B217-45D8-A064-73CF39A56F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513081</xdr:colOff>
      <xdr:row>15</xdr:row>
      <xdr:rowOff>177800</xdr:rowOff>
    </xdr:from>
    <xdr:to>
      <xdr:col>2</xdr:col>
      <xdr:colOff>558800</xdr:colOff>
      <xdr:row>18</xdr:row>
      <xdr:rowOff>131233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38CF8CF5-3EA9-4B6F-A4C2-42946F900924}"/>
            </a:ext>
          </a:extLst>
        </xdr:cNvPr>
        <xdr:cNvSpPr/>
      </xdr:nvSpPr>
      <xdr:spPr>
        <a:xfrm>
          <a:off x="2168314" y="2489200"/>
          <a:ext cx="45719" cy="499533"/>
        </a:xfrm>
        <a:prstGeom prst="lef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321732</xdr:colOff>
      <xdr:row>10</xdr:row>
      <xdr:rowOff>88899</xdr:rowOff>
    </xdr:from>
    <xdr:to>
      <xdr:col>12</xdr:col>
      <xdr:colOff>215899</xdr:colOff>
      <xdr:row>25</xdr:row>
      <xdr:rowOff>71966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FAA9733-AC35-454D-A9F1-428B3337FD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517314</xdr:colOff>
      <xdr:row>5</xdr:row>
      <xdr:rowOff>8469</xdr:rowOff>
    </xdr:from>
    <xdr:to>
      <xdr:col>1</xdr:col>
      <xdr:colOff>55033</xdr:colOff>
      <xdr:row>8</xdr:row>
      <xdr:rowOff>8469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F5969617-9959-4175-AECE-A80B6AAC03E4}"/>
            </a:ext>
          </a:extLst>
        </xdr:cNvPr>
        <xdr:cNvSpPr/>
      </xdr:nvSpPr>
      <xdr:spPr>
        <a:xfrm>
          <a:off x="517314" y="1282702"/>
          <a:ext cx="160019" cy="546100"/>
        </a:xfrm>
        <a:prstGeom prst="leftBrace">
          <a:avLst>
            <a:gd name="adj1" fmla="val 8333"/>
            <a:gd name="adj2" fmla="val 51550"/>
          </a:avLst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8466</xdr:colOff>
      <xdr:row>3</xdr:row>
      <xdr:rowOff>8466</xdr:rowOff>
    </xdr:from>
    <xdr:to>
      <xdr:col>13</xdr:col>
      <xdr:colOff>579966</xdr:colOff>
      <xdr:row>15</xdr:row>
      <xdr:rowOff>21166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053D70-5CB9-4B22-B24B-FC106D11A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27514</xdr:colOff>
      <xdr:row>32</xdr:row>
      <xdr:rowOff>64560</xdr:rowOff>
    </xdr:from>
    <xdr:to>
      <xdr:col>5</xdr:col>
      <xdr:colOff>7409</xdr:colOff>
      <xdr:row>35</xdr:row>
      <xdr:rowOff>77261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D5393105-4097-4587-8CAD-84DB87A44D58}"/>
            </a:ext>
          </a:extLst>
        </xdr:cNvPr>
        <xdr:cNvSpPr/>
      </xdr:nvSpPr>
      <xdr:spPr>
        <a:xfrm rot="5400000">
          <a:off x="2411411" y="5243513"/>
          <a:ext cx="565151" cy="2875495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404283</xdr:colOff>
      <xdr:row>2</xdr:row>
      <xdr:rowOff>160866</xdr:rowOff>
    </xdr:from>
    <xdr:to>
      <xdr:col>13</xdr:col>
      <xdr:colOff>472016</xdr:colOff>
      <xdr:row>17</xdr:row>
      <xdr:rowOff>173566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C71FCB-E456-4E43-AE6C-C57E5089EF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89E38CA-6AAE-48F1-B132-1E85714BB1DD}" autoFormatId="16" applyNumberFormats="0" applyBorderFormats="0" applyFontFormats="0" applyPatternFormats="0" applyAlignmentFormats="0" applyWidthHeightFormats="0">
  <queryTableRefresh nextId="3">
    <queryTableFields count="2">
      <queryTableField id="1" name="Risk" tableColumnId="1"/>
      <queryTableField id="2" name="Return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1E0F5E-8BFA-4A2C-B516-8911D983038E}" name="Table1" displayName="Table1" ref="O12:P23" totalsRowShown="0">
  <autoFilter ref="O12:P23" xr:uid="{FC2607C1-3F03-4E34-98EF-C2433AC21C92}"/>
  <tableColumns count="2">
    <tableColumn id="1" xr3:uid="{ACA18548-D841-46B0-8662-B562252B37DD}" name="Risk"/>
    <tableColumn id="2" xr3:uid="{CD490231-5CFF-4339-B66C-5CB7D3DEA406}" name="Retur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A289E6-045B-4546-A8D1-D863BAE495A4}" name="Table1_2" displayName="Table1_2" ref="A1:B12" tableType="queryTable" totalsRowShown="0">
  <autoFilter ref="A1:B12" xr:uid="{E586248C-7A6E-4C05-810F-DA23F69CDD00}"/>
  <tableColumns count="2">
    <tableColumn id="1" xr3:uid="{874F1B80-69A5-4EA1-B9DF-ABFC2710DC75}" uniqueName="1" name="Risk" queryTableFieldId="1"/>
    <tableColumn id="2" xr3:uid="{7474E23D-D0EE-463A-BFDF-680BF37BA3C0}" uniqueName="2" name="Return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8D8B0-7639-49BF-B890-FB44B5BCC771}">
  <dimension ref="B1:P31"/>
  <sheetViews>
    <sheetView showGridLines="0" topLeftCell="A13" workbookViewId="0">
      <selection activeCell="O27" sqref="O27"/>
    </sheetView>
  </sheetViews>
  <sheetFormatPr defaultRowHeight="14.35" x14ac:dyDescent="0.5"/>
  <cols>
    <col min="1" max="1" width="5.76171875" customWidth="1"/>
    <col min="2" max="2" width="14.87890625" customWidth="1"/>
    <col min="3" max="3" width="10.87890625" customWidth="1"/>
    <col min="4" max="4" width="6.1171875" customWidth="1"/>
    <col min="6" max="6" width="9.9375" customWidth="1"/>
    <col min="7" max="7" width="9.703125" customWidth="1"/>
    <col min="8" max="8" width="9.3515625" customWidth="1"/>
    <col min="9" max="9" width="10.8203125" customWidth="1"/>
    <col min="10" max="10" width="5.29296875" customWidth="1"/>
    <col min="15" max="15" width="11.87890625" customWidth="1"/>
    <col min="16" max="16" width="3.05859375" customWidth="1"/>
  </cols>
  <sheetData>
    <row r="1" spans="2:16" ht="20.7" x14ac:dyDescent="0.7">
      <c r="B1" s="20" t="s">
        <v>25</v>
      </c>
    </row>
    <row r="3" spans="2:16" ht="15.35" x14ac:dyDescent="0.5">
      <c r="B3" s="1" t="s">
        <v>0</v>
      </c>
      <c r="C3" s="2"/>
      <c r="D3" s="2"/>
      <c r="E3" s="2"/>
      <c r="F3" s="2"/>
      <c r="G3" s="2"/>
      <c r="H3" s="2"/>
      <c r="I3" s="2"/>
      <c r="J3" s="2"/>
    </row>
    <row r="4" spans="2:16" ht="15.35" x14ac:dyDescent="0.5">
      <c r="B4" s="2"/>
      <c r="C4" s="2"/>
      <c r="D4" s="2"/>
      <c r="E4" s="243" t="s">
        <v>1</v>
      </c>
      <c r="F4" s="243"/>
      <c r="G4" s="243"/>
      <c r="H4" s="243"/>
      <c r="I4" s="243"/>
      <c r="J4" s="2"/>
      <c r="K4" s="243" t="s">
        <v>15</v>
      </c>
      <c r="L4" s="243"/>
      <c r="M4" s="243"/>
      <c r="N4" s="243"/>
      <c r="O4" s="243"/>
    </row>
    <row r="5" spans="2:16" ht="51" thickBot="1" x14ac:dyDescent="0.55000000000000004">
      <c r="B5" s="3" t="s">
        <v>2</v>
      </c>
      <c r="C5" s="4" t="s">
        <v>3</v>
      </c>
      <c r="D5" s="5"/>
      <c r="E5" s="4" t="s">
        <v>4</v>
      </c>
      <c r="F5" s="6" t="s">
        <v>5</v>
      </c>
      <c r="G5" s="4" t="s">
        <v>6</v>
      </c>
      <c r="H5" s="4" t="s">
        <v>7</v>
      </c>
      <c r="I5" s="7" t="s">
        <v>8</v>
      </c>
      <c r="J5" s="8"/>
      <c r="K5" s="4" t="s">
        <v>16</v>
      </c>
      <c r="L5" s="6" t="s">
        <v>17</v>
      </c>
      <c r="M5" s="4" t="s">
        <v>6</v>
      </c>
      <c r="N5" s="4" t="s">
        <v>7</v>
      </c>
      <c r="O5" s="7" t="s">
        <v>8</v>
      </c>
      <c r="P5" s="21"/>
    </row>
    <row r="7" spans="2:16" x14ac:dyDescent="0.5">
      <c r="B7" t="s">
        <v>9</v>
      </c>
      <c r="C7" s="9">
        <v>0.25</v>
      </c>
      <c r="D7" s="10"/>
      <c r="E7" s="11">
        <v>-12</v>
      </c>
      <c r="F7" s="12">
        <f>+E7*C7</f>
        <v>-3</v>
      </c>
      <c r="G7" s="12">
        <f>+E7-$F$11</f>
        <v>-23.7</v>
      </c>
      <c r="H7" s="12">
        <f>+G7^2</f>
        <v>561.68999999999994</v>
      </c>
      <c r="I7" s="12">
        <f>+H7*C7</f>
        <v>140.42249999999999</v>
      </c>
      <c r="K7" s="11">
        <v>14</v>
      </c>
      <c r="L7" s="12">
        <f>+K7*C7</f>
        <v>3.5</v>
      </c>
      <c r="M7" s="12">
        <f>+K7-$L$11</f>
        <v>9.75</v>
      </c>
      <c r="N7" s="12">
        <f>+M7^2</f>
        <v>95.0625</v>
      </c>
      <c r="O7" s="12">
        <f>+N7*C7</f>
        <v>23.765625</v>
      </c>
    </row>
    <row r="8" spans="2:16" x14ac:dyDescent="0.5">
      <c r="B8" t="s">
        <v>10</v>
      </c>
      <c r="C8" s="9">
        <v>0.45</v>
      </c>
      <c r="D8" s="10"/>
      <c r="E8" s="11">
        <v>14</v>
      </c>
      <c r="F8" s="12">
        <f>+E8*C8</f>
        <v>6.3</v>
      </c>
      <c r="G8" s="12">
        <f>+E8-$F$11</f>
        <v>2.3000000000000007</v>
      </c>
      <c r="H8" s="12">
        <f>+G8^2</f>
        <v>5.2900000000000036</v>
      </c>
      <c r="I8" s="12">
        <f>+H8*C8</f>
        <v>2.3805000000000018</v>
      </c>
      <c r="K8" s="11">
        <v>5</v>
      </c>
      <c r="L8" s="12">
        <f t="shared" ref="L8:L9" si="0">+K8*C8</f>
        <v>2.25</v>
      </c>
      <c r="M8" s="12">
        <f>+K8-$L$11</f>
        <v>0.75</v>
      </c>
      <c r="N8" s="12">
        <f>+M8^2</f>
        <v>0.5625</v>
      </c>
      <c r="O8" s="12">
        <f t="shared" ref="O8:O9" si="1">+N8*C8</f>
        <v>0.25312499999999999</v>
      </c>
    </row>
    <row r="9" spans="2:16" x14ac:dyDescent="0.5">
      <c r="B9" t="s">
        <v>11</v>
      </c>
      <c r="C9" s="9">
        <v>0.3</v>
      </c>
      <c r="D9" s="10"/>
      <c r="E9" s="11">
        <v>28</v>
      </c>
      <c r="F9" s="12">
        <f>+E9*C9</f>
        <v>8.4</v>
      </c>
      <c r="G9" s="12">
        <f>+E9-$F$11</f>
        <v>16.3</v>
      </c>
      <c r="H9" s="12">
        <f>+G9^2</f>
        <v>265.69</v>
      </c>
      <c r="I9" s="12">
        <f>+H9*C9</f>
        <v>79.706999999999994</v>
      </c>
      <c r="K9" s="11">
        <v>-5</v>
      </c>
      <c r="L9" s="12">
        <f t="shared" si="0"/>
        <v>-1.5</v>
      </c>
      <c r="M9" s="12">
        <f>+K9-$L$11</f>
        <v>-9.25</v>
      </c>
      <c r="N9" s="12">
        <f>+M9^2</f>
        <v>85.5625</v>
      </c>
      <c r="O9" s="12">
        <f t="shared" si="1"/>
        <v>25.668749999999999</v>
      </c>
    </row>
    <row r="10" spans="2:16" x14ac:dyDescent="0.5">
      <c r="C10" s="9"/>
      <c r="D10" s="10"/>
      <c r="E10" s="11"/>
      <c r="F10" s="12"/>
      <c r="G10" s="12"/>
      <c r="H10" s="12"/>
      <c r="K10" s="12"/>
      <c r="L10" s="12"/>
      <c r="M10" s="12"/>
      <c r="N10" s="12"/>
    </row>
    <row r="11" spans="2:16" ht="14.7" thickBot="1" x14ac:dyDescent="0.55000000000000004">
      <c r="C11" s="13">
        <f>SUM(C7:C9)</f>
        <v>1</v>
      </c>
      <c r="E11" s="12"/>
      <c r="F11" s="14">
        <f>SUM(F7:F9)</f>
        <v>11.7</v>
      </c>
      <c r="G11" s="15" t="s">
        <v>12</v>
      </c>
      <c r="H11" s="16" t="s">
        <v>13</v>
      </c>
      <c r="I11" s="17">
        <f>SUM(I7:I9)</f>
        <v>222.51</v>
      </c>
      <c r="K11" s="12"/>
      <c r="L11" s="14">
        <f>SUM(L7:L9)</f>
        <v>4.25</v>
      </c>
      <c r="M11" s="15" t="s">
        <v>12</v>
      </c>
      <c r="N11" s="16" t="s">
        <v>13</v>
      </c>
      <c r="O11" s="17">
        <f>SUM(O7:O9)</f>
        <v>49.6875</v>
      </c>
    </row>
    <row r="12" spans="2:16" ht="15" thickTop="1" thickBot="1" x14ac:dyDescent="0.55000000000000004">
      <c r="H12" s="16" t="s">
        <v>14</v>
      </c>
      <c r="I12" s="18">
        <f>SQRT(I11)</f>
        <v>14.916769087171659</v>
      </c>
      <c r="J12" s="19" t="s">
        <v>12</v>
      </c>
      <c r="N12" s="16" t="s">
        <v>14</v>
      </c>
      <c r="O12" s="18">
        <f>SQRT(O11)</f>
        <v>7.0489360899358422</v>
      </c>
      <c r="P12" s="15" t="s">
        <v>12</v>
      </c>
    </row>
    <row r="14" spans="2:16" ht="14.7" thickBot="1" x14ac:dyDescent="0.55000000000000004"/>
    <row r="15" spans="2:16" ht="15.35" x14ac:dyDescent="0.5">
      <c r="B15" s="1" t="s">
        <v>18</v>
      </c>
      <c r="K15" s="207" t="s">
        <v>26</v>
      </c>
      <c r="L15" s="197"/>
      <c r="M15" s="197"/>
      <c r="N15" s="197"/>
      <c r="O15" s="198"/>
    </row>
    <row r="16" spans="2:16" ht="8.4499999999999993" customHeight="1" x14ac:dyDescent="0.5">
      <c r="H16" s="16"/>
      <c r="I16" s="16"/>
      <c r="J16" s="16"/>
      <c r="K16" s="200"/>
      <c r="L16" s="173"/>
      <c r="M16" s="173"/>
      <c r="N16" s="173"/>
      <c r="O16" s="199"/>
    </row>
    <row r="17" spans="2:15" ht="14.7" thickBot="1" x14ac:dyDescent="0.55000000000000004">
      <c r="B17" s="15" t="s">
        <v>19</v>
      </c>
      <c r="C17" t="s">
        <v>20</v>
      </c>
      <c r="K17" s="200"/>
      <c r="L17" s="173"/>
      <c r="M17" s="173"/>
      <c r="N17" s="173"/>
      <c r="O17" s="199"/>
    </row>
    <row r="18" spans="2:15" ht="14.7" thickBot="1" x14ac:dyDescent="0.55000000000000004">
      <c r="B18" s="22" t="s">
        <v>21</v>
      </c>
      <c r="C18" s="23">
        <v>0.6</v>
      </c>
      <c r="D18" s="24"/>
      <c r="K18" s="200"/>
      <c r="L18" s="173"/>
      <c r="M18" s="173"/>
      <c r="N18" s="173"/>
      <c r="O18" s="199"/>
    </row>
    <row r="19" spans="2:15" ht="18" thickBot="1" x14ac:dyDescent="0.6">
      <c r="B19" s="25" t="s">
        <v>22</v>
      </c>
      <c r="C19" s="26">
        <f>1-C18</f>
        <v>0.4</v>
      </c>
      <c r="F19" s="27" t="s">
        <v>23</v>
      </c>
      <c r="G19" s="28"/>
      <c r="H19" s="29"/>
      <c r="I19" s="30"/>
      <c r="K19" s="200"/>
      <c r="L19" s="173"/>
      <c r="M19" s="173"/>
      <c r="N19" s="173"/>
      <c r="O19" s="199"/>
    </row>
    <row r="20" spans="2:15" ht="8.6999999999999993" customHeight="1" thickBot="1" x14ac:dyDescent="0.55000000000000004">
      <c r="B20" s="31"/>
      <c r="C20" s="31"/>
      <c r="E20" s="32"/>
      <c r="F20" s="32"/>
      <c r="G20" s="32"/>
      <c r="H20" s="32"/>
      <c r="I20" s="32"/>
      <c r="K20" s="200"/>
      <c r="L20" s="173"/>
      <c r="M20" s="173"/>
      <c r="N20" s="173"/>
      <c r="O20" s="199"/>
    </row>
    <row r="21" spans="2:15" ht="63.7" thickBot="1" x14ac:dyDescent="0.55000000000000004">
      <c r="B21" s="3" t="s">
        <v>2</v>
      </c>
      <c r="C21" s="4" t="s">
        <v>3</v>
      </c>
      <c r="E21" s="4" t="s">
        <v>4</v>
      </c>
      <c r="F21" s="6" t="s">
        <v>5</v>
      </c>
      <c r="G21" s="4" t="s">
        <v>6</v>
      </c>
      <c r="H21" s="4" t="s">
        <v>7</v>
      </c>
      <c r="I21" s="7" t="s">
        <v>8</v>
      </c>
      <c r="J21" s="8"/>
      <c r="K21" s="201" t="s">
        <v>27</v>
      </c>
      <c r="L21" s="4" t="s">
        <v>28</v>
      </c>
      <c r="M21" s="34"/>
      <c r="N21" s="4" t="s">
        <v>29</v>
      </c>
      <c r="O21" s="208" t="s">
        <v>30</v>
      </c>
    </row>
    <row r="22" spans="2:15" x14ac:dyDescent="0.5">
      <c r="K22" s="200"/>
      <c r="L22" s="173"/>
      <c r="M22" s="173"/>
      <c r="N22" s="173"/>
      <c r="O22" s="199"/>
    </row>
    <row r="23" spans="2:15" x14ac:dyDescent="0.5">
      <c r="B23" t="s">
        <v>9</v>
      </c>
      <c r="C23" s="33">
        <f>+C7</f>
        <v>0.25</v>
      </c>
      <c r="E23">
        <f>+(E7*$C$18)+(K7*$C$19)</f>
        <v>-1.5999999999999988</v>
      </c>
      <c r="F23" s="12">
        <f>+E23*C23</f>
        <v>-0.39999999999999969</v>
      </c>
      <c r="G23" s="12">
        <f>+E23-$F$27</f>
        <v>-10.32</v>
      </c>
      <c r="H23" s="12">
        <f>+G23^2</f>
        <v>106.50240000000001</v>
      </c>
      <c r="I23" s="12">
        <f>+H23*C23</f>
        <v>26.625600000000002</v>
      </c>
      <c r="K23" s="202">
        <f>+G7</f>
        <v>-23.7</v>
      </c>
      <c r="L23" s="203">
        <f>+M7</f>
        <v>9.75</v>
      </c>
      <c r="M23" s="173"/>
      <c r="N23" s="203">
        <f>+L23*K23</f>
        <v>-231.07499999999999</v>
      </c>
      <c r="O23" s="209">
        <f>+N23*C23</f>
        <v>-57.768749999999997</v>
      </c>
    </row>
    <row r="24" spans="2:15" x14ac:dyDescent="0.5">
      <c r="B24" t="s">
        <v>10</v>
      </c>
      <c r="C24" s="33">
        <f t="shared" ref="C24:C25" si="2">+C8</f>
        <v>0.45</v>
      </c>
      <c r="E24">
        <f>+(E8*$C$18)+(K8*$C$19)</f>
        <v>10.4</v>
      </c>
      <c r="F24" s="12">
        <f>+E24*C24</f>
        <v>4.6800000000000006</v>
      </c>
      <c r="G24" s="12">
        <f t="shared" ref="G24:G25" si="3">+E24-$F$27</f>
        <v>1.6799999999999979</v>
      </c>
      <c r="H24" s="12">
        <f>+G24^2</f>
        <v>2.8223999999999929</v>
      </c>
      <c r="I24" s="12">
        <f>+H24*C24</f>
        <v>1.2700799999999968</v>
      </c>
      <c r="K24" s="202">
        <f>+G8</f>
        <v>2.3000000000000007</v>
      </c>
      <c r="L24" s="203">
        <f>+M8</f>
        <v>0.75</v>
      </c>
      <c r="M24" s="173"/>
      <c r="N24" s="203">
        <f>+L24*K24</f>
        <v>1.7250000000000005</v>
      </c>
      <c r="O24" s="209">
        <f t="shared" ref="O24:O25" si="4">+N24*C24</f>
        <v>0.77625000000000022</v>
      </c>
    </row>
    <row r="25" spans="2:15" x14ac:dyDescent="0.5">
      <c r="B25" t="s">
        <v>11</v>
      </c>
      <c r="C25" s="33">
        <f t="shared" si="2"/>
        <v>0.3</v>
      </c>
      <c r="E25">
        <f>+(E9*$C$18)+(K9*$C$19)</f>
        <v>14.8</v>
      </c>
      <c r="F25" s="12">
        <f>+E25*C25</f>
        <v>4.4400000000000004</v>
      </c>
      <c r="G25" s="12">
        <f t="shared" si="3"/>
        <v>6.0799999999999983</v>
      </c>
      <c r="H25" s="12">
        <f>+G25^2</f>
        <v>36.966399999999979</v>
      </c>
      <c r="I25" s="12">
        <f>+H25*C25</f>
        <v>11.089919999999994</v>
      </c>
      <c r="K25" s="202">
        <f>+G9</f>
        <v>16.3</v>
      </c>
      <c r="L25" s="203">
        <f>+M9</f>
        <v>-9.25</v>
      </c>
      <c r="M25" s="173"/>
      <c r="N25" s="203">
        <f>+L25*K25</f>
        <v>-150.77500000000001</v>
      </c>
      <c r="O25" s="209">
        <f t="shared" si="4"/>
        <v>-45.232500000000002</v>
      </c>
    </row>
    <row r="26" spans="2:15" ht="14.7" thickBot="1" x14ac:dyDescent="0.55000000000000004">
      <c r="C26" s="33"/>
      <c r="F26" s="12"/>
      <c r="G26" s="12"/>
      <c r="H26" s="12"/>
      <c r="K26" s="200"/>
      <c r="L26" s="173"/>
      <c r="M26" s="173"/>
      <c r="N26" s="173"/>
      <c r="O26" s="199"/>
    </row>
    <row r="27" spans="2:15" ht="14.7" thickBot="1" x14ac:dyDescent="0.55000000000000004">
      <c r="C27" s="13">
        <f>SUM(C23:C25)</f>
        <v>1</v>
      </c>
      <c r="F27" s="14">
        <f>SUM(F23:F25)</f>
        <v>8.7200000000000024</v>
      </c>
      <c r="G27" s="15" t="s">
        <v>12</v>
      </c>
      <c r="H27" s="16" t="s">
        <v>13</v>
      </c>
      <c r="I27" s="17">
        <f>SUM(I23:I25)</f>
        <v>38.985599999999991</v>
      </c>
      <c r="K27" s="200"/>
      <c r="L27" s="173"/>
      <c r="M27" s="173"/>
      <c r="N27" s="204" t="s">
        <v>31</v>
      </c>
      <c r="O27" s="18">
        <f>SUM(O23:O25)</f>
        <v>-102.22499999999999</v>
      </c>
    </row>
    <row r="28" spans="2:15" ht="15" thickTop="1" thickBot="1" x14ac:dyDescent="0.55000000000000004">
      <c r="H28" s="16" t="s">
        <v>14</v>
      </c>
      <c r="I28" s="18">
        <f>SQRT(I27)</f>
        <v>6.2438449692477143</v>
      </c>
      <c r="J28" s="19" t="s">
        <v>12</v>
      </c>
      <c r="K28" s="200"/>
      <c r="L28" s="173"/>
      <c r="M28" s="173"/>
      <c r="N28" s="204" t="s">
        <v>32</v>
      </c>
      <c r="O28" s="18">
        <f>+O27/(I12*O12)</f>
        <v>-0.97220707978637788</v>
      </c>
    </row>
    <row r="29" spans="2:15" ht="14.7" thickBot="1" x14ac:dyDescent="0.55000000000000004">
      <c r="K29" s="205"/>
      <c r="L29" s="32"/>
      <c r="M29" s="32"/>
      <c r="N29" s="32"/>
      <c r="O29" s="206"/>
    </row>
    <row r="31" spans="2:15" x14ac:dyDescent="0.5">
      <c r="O31" t="s">
        <v>24</v>
      </c>
    </row>
  </sheetData>
  <mergeCells count="2">
    <mergeCell ref="E4:I4"/>
    <mergeCell ref="K4:O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CF4F2-EB28-447F-891D-A0D7AFE1DD93}">
  <dimension ref="A1:M76"/>
  <sheetViews>
    <sheetView showGridLines="0" tabSelected="1" topLeftCell="A26" workbookViewId="0">
      <selection activeCell="D40" sqref="D40"/>
    </sheetView>
  </sheetViews>
  <sheetFormatPr defaultRowHeight="14.35" x14ac:dyDescent="0.5"/>
  <cols>
    <col min="2" max="2" width="18.234375" customWidth="1"/>
  </cols>
  <sheetData>
    <row r="1" spans="1:11" ht="23.35" x14ac:dyDescent="0.8">
      <c r="A1" s="133" t="s">
        <v>111</v>
      </c>
    </row>
    <row r="3" spans="1:11" ht="17.7" x14ac:dyDescent="0.55000000000000004">
      <c r="A3" s="45" t="s">
        <v>112</v>
      </c>
      <c r="B3" s="134"/>
      <c r="C3" s="136"/>
      <c r="D3" s="136"/>
      <c r="E3" s="136"/>
      <c r="F3" s="136"/>
      <c r="G3" s="136"/>
      <c r="H3" s="136"/>
      <c r="I3" s="136"/>
      <c r="J3" s="136"/>
      <c r="K3" s="136"/>
    </row>
    <row r="4" spans="1:11" hidden="1" x14ac:dyDescent="0.5">
      <c r="B4" s="137"/>
    </row>
    <row r="5" spans="1:11" hidden="1" x14ac:dyDescent="0.5">
      <c r="A5" s="15" t="s">
        <v>113</v>
      </c>
      <c r="B5" s="137"/>
      <c r="C5" s="139">
        <v>0</v>
      </c>
      <c r="D5" s="139">
        <v>1</v>
      </c>
      <c r="E5" s="139">
        <v>2</v>
      </c>
      <c r="F5" s="139">
        <v>3</v>
      </c>
      <c r="G5" s="139">
        <v>4</v>
      </c>
      <c r="H5" s="139">
        <v>5</v>
      </c>
      <c r="I5" s="139">
        <v>6</v>
      </c>
      <c r="J5" s="139">
        <v>7</v>
      </c>
    </row>
    <row r="6" spans="1:11" ht="24.35" hidden="1" thickBot="1" x14ac:dyDescent="0.55000000000000004">
      <c r="A6" s="140" t="s">
        <v>114</v>
      </c>
      <c r="B6" s="141" t="s">
        <v>115</v>
      </c>
      <c r="C6" s="142" t="s">
        <v>117</v>
      </c>
      <c r="D6" s="142" t="s">
        <v>118</v>
      </c>
      <c r="E6" s="142" t="s">
        <v>119</v>
      </c>
      <c r="F6" s="142" t="s">
        <v>120</v>
      </c>
      <c r="G6" s="142" t="s">
        <v>121</v>
      </c>
      <c r="H6" s="142" t="s">
        <v>122</v>
      </c>
      <c r="I6" s="142" t="s">
        <v>123</v>
      </c>
      <c r="J6" s="142" t="s">
        <v>124</v>
      </c>
    </row>
    <row r="7" spans="1:11" ht="14.7" hidden="1" thickTop="1" x14ac:dyDescent="0.5">
      <c r="A7" s="143" t="s">
        <v>125</v>
      </c>
      <c r="B7" s="143" t="s">
        <v>126</v>
      </c>
      <c r="C7" s="143">
        <v>23</v>
      </c>
      <c r="D7" s="143">
        <v>24</v>
      </c>
      <c r="E7" s="143">
        <v>22.5</v>
      </c>
      <c r="F7" s="143">
        <v>25</v>
      </c>
      <c r="G7" s="143">
        <v>26</v>
      </c>
      <c r="H7" s="143">
        <v>27</v>
      </c>
      <c r="I7" s="143">
        <v>28</v>
      </c>
      <c r="J7" s="143">
        <v>31</v>
      </c>
    </row>
    <row r="8" spans="1:11" hidden="1" x14ac:dyDescent="0.5">
      <c r="A8" s="143" t="s">
        <v>128</v>
      </c>
      <c r="B8" s="143" t="s">
        <v>129</v>
      </c>
      <c r="C8" s="143">
        <v>12</v>
      </c>
      <c r="D8" s="143">
        <v>10</v>
      </c>
      <c r="E8" s="143">
        <v>12</v>
      </c>
      <c r="F8" s="143">
        <v>12</v>
      </c>
      <c r="G8" s="143">
        <v>15</v>
      </c>
      <c r="H8" s="143">
        <v>18</v>
      </c>
      <c r="I8" s="143">
        <v>19.5</v>
      </c>
      <c r="J8" s="143">
        <v>22</v>
      </c>
    </row>
    <row r="9" spans="1:11" hidden="1" x14ac:dyDescent="0.5">
      <c r="A9" s="143" t="s">
        <v>131</v>
      </c>
      <c r="B9" s="143" t="s">
        <v>132</v>
      </c>
      <c r="C9" s="143">
        <v>18</v>
      </c>
      <c r="D9" s="143">
        <v>19</v>
      </c>
      <c r="E9" s="143">
        <v>18</v>
      </c>
      <c r="F9" s="143">
        <v>19</v>
      </c>
      <c r="G9" s="143">
        <v>21</v>
      </c>
      <c r="H9" s="143">
        <v>20</v>
      </c>
      <c r="I9" s="143">
        <v>19</v>
      </c>
      <c r="J9" s="143">
        <v>21</v>
      </c>
    </row>
    <row r="10" spans="1:11" hidden="1" x14ac:dyDescent="0.5">
      <c r="A10" s="143" t="s">
        <v>134</v>
      </c>
      <c r="B10" s="143" t="s">
        <v>135</v>
      </c>
      <c r="C10" s="143">
        <v>40</v>
      </c>
      <c r="D10" s="143">
        <v>42</v>
      </c>
      <c r="E10" s="143">
        <v>43</v>
      </c>
      <c r="F10" s="143">
        <v>45</v>
      </c>
      <c r="G10" s="143">
        <v>45</v>
      </c>
      <c r="H10" s="143">
        <v>45</v>
      </c>
      <c r="I10" s="143">
        <v>46</v>
      </c>
      <c r="J10" s="143">
        <v>48</v>
      </c>
    </row>
    <row r="11" spans="1:11" hidden="1" x14ac:dyDescent="0.5">
      <c r="A11" s="143" t="s">
        <v>137</v>
      </c>
      <c r="B11" s="143" t="s">
        <v>138</v>
      </c>
      <c r="C11" s="143">
        <v>52</v>
      </c>
      <c r="D11" s="143">
        <v>60</v>
      </c>
      <c r="E11" s="143">
        <v>60</v>
      </c>
      <c r="F11" s="143">
        <v>60</v>
      </c>
      <c r="G11" s="143">
        <v>62</v>
      </c>
      <c r="H11" s="143">
        <v>62</v>
      </c>
      <c r="I11" s="143">
        <v>61</v>
      </c>
      <c r="J11" s="143">
        <v>63</v>
      </c>
    </row>
    <row r="12" spans="1:11" hidden="1" x14ac:dyDescent="0.5">
      <c r="A12" s="143" t="s">
        <v>140</v>
      </c>
      <c r="B12" s="143" t="s">
        <v>141</v>
      </c>
      <c r="C12" s="143">
        <v>31</v>
      </c>
      <c r="D12" s="143">
        <v>20</v>
      </c>
      <c r="E12" s="143">
        <v>25</v>
      </c>
      <c r="F12" s="143">
        <v>26</v>
      </c>
      <c r="G12" s="143">
        <v>20</v>
      </c>
      <c r="H12" s="143">
        <v>22</v>
      </c>
      <c r="I12" s="143">
        <v>24</v>
      </c>
      <c r="J12" s="143">
        <v>25</v>
      </c>
    </row>
    <row r="13" spans="1:11" hidden="1" x14ac:dyDescent="0.5">
      <c r="A13" s="143" t="s">
        <v>143</v>
      </c>
      <c r="B13" s="143" t="s">
        <v>144</v>
      </c>
      <c r="C13" s="143">
        <v>15</v>
      </c>
      <c r="D13" s="143">
        <v>16</v>
      </c>
      <c r="E13" s="143">
        <v>17</v>
      </c>
      <c r="F13" s="143">
        <v>18</v>
      </c>
      <c r="G13" s="143">
        <v>19</v>
      </c>
      <c r="H13" s="143">
        <v>19</v>
      </c>
      <c r="I13" s="143">
        <v>18</v>
      </c>
      <c r="J13" s="143">
        <v>20</v>
      </c>
    </row>
    <row r="14" spans="1:11" hidden="1" x14ac:dyDescent="0.5">
      <c r="A14" s="143" t="s">
        <v>146</v>
      </c>
      <c r="B14" s="143" t="s">
        <v>147</v>
      </c>
      <c r="C14" s="143">
        <v>8</v>
      </c>
      <c r="D14" s="143">
        <v>9.5</v>
      </c>
      <c r="E14" s="143">
        <v>10.5</v>
      </c>
      <c r="F14" s="143">
        <v>11</v>
      </c>
      <c r="G14" s="143">
        <v>11.5</v>
      </c>
      <c r="H14" s="143">
        <v>12</v>
      </c>
      <c r="I14" s="143">
        <v>14</v>
      </c>
      <c r="J14" s="143">
        <v>14.5</v>
      </c>
    </row>
    <row r="15" spans="1:11" hidden="1" x14ac:dyDescent="0.5">
      <c r="A15" s="143" t="s">
        <v>149</v>
      </c>
      <c r="B15" s="143" t="s">
        <v>150</v>
      </c>
      <c r="C15" s="143">
        <v>15</v>
      </c>
      <c r="D15" s="143">
        <v>13</v>
      </c>
      <c r="E15" s="143">
        <v>12</v>
      </c>
      <c r="F15" s="143">
        <v>14</v>
      </c>
      <c r="G15" s="143">
        <v>15</v>
      </c>
      <c r="H15" s="143">
        <v>18</v>
      </c>
      <c r="I15" s="143">
        <v>22</v>
      </c>
      <c r="J15" s="143">
        <v>20</v>
      </c>
    </row>
    <row r="16" spans="1:11" hidden="1" x14ac:dyDescent="0.5">
      <c r="A16" s="143" t="s">
        <v>152</v>
      </c>
      <c r="B16" s="143" t="s">
        <v>153</v>
      </c>
      <c r="C16" s="143">
        <v>25</v>
      </c>
      <c r="D16" s="143">
        <v>26</v>
      </c>
      <c r="E16" s="143">
        <v>26</v>
      </c>
      <c r="F16" s="143">
        <v>26</v>
      </c>
      <c r="G16" s="143">
        <v>26</v>
      </c>
      <c r="H16" s="143">
        <v>26</v>
      </c>
      <c r="I16" s="143">
        <v>27</v>
      </c>
      <c r="J16" s="143">
        <v>20</v>
      </c>
    </row>
    <row r="17" spans="1:11" hidden="1" x14ac:dyDescent="0.5">
      <c r="A17" s="143" t="s">
        <v>155</v>
      </c>
      <c r="B17" s="143" t="s">
        <v>156</v>
      </c>
      <c r="C17" s="143">
        <v>26</v>
      </c>
      <c r="D17" s="143">
        <v>30</v>
      </c>
      <c r="E17" s="143">
        <v>32</v>
      </c>
      <c r="F17" s="143">
        <v>33</v>
      </c>
      <c r="G17" s="143">
        <v>35</v>
      </c>
      <c r="H17" s="143">
        <v>32</v>
      </c>
      <c r="I17" s="143">
        <v>34</v>
      </c>
      <c r="J17" s="143">
        <v>35</v>
      </c>
    </row>
    <row r="18" spans="1:11" hidden="1" x14ac:dyDescent="0.5">
      <c r="A18" s="143" t="s">
        <v>157</v>
      </c>
      <c r="B18" s="143" t="s">
        <v>158</v>
      </c>
      <c r="C18" s="143">
        <v>19</v>
      </c>
      <c r="D18" s="143">
        <v>20</v>
      </c>
      <c r="E18" s="143">
        <v>19</v>
      </c>
      <c r="F18" s="143">
        <v>18</v>
      </c>
      <c r="G18" s="143">
        <v>18</v>
      </c>
      <c r="H18" s="143">
        <v>16</v>
      </c>
      <c r="I18" s="143">
        <v>20</v>
      </c>
      <c r="J18" s="143">
        <v>18</v>
      </c>
    </row>
    <row r="19" spans="1:11" hidden="1" x14ac:dyDescent="0.5">
      <c r="A19" s="143" t="s">
        <v>159</v>
      </c>
      <c r="B19" s="143" t="s">
        <v>160</v>
      </c>
      <c r="C19" s="143">
        <v>53</v>
      </c>
      <c r="D19" s="143">
        <v>52</v>
      </c>
      <c r="E19" s="143">
        <v>55</v>
      </c>
      <c r="F19" s="143">
        <v>56</v>
      </c>
      <c r="G19" s="143">
        <v>58</v>
      </c>
      <c r="H19" s="143">
        <v>59</v>
      </c>
      <c r="I19" s="143">
        <v>59</v>
      </c>
      <c r="J19" s="143">
        <v>61</v>
      </c>
    </row>
    <row r="20" spans="1:11" hidden="1" x14ac:dyDescent="0.5">
      <c r="A20" s="143" t="s">
        <v>161</v>
      </c>
      <c r="B20" s="143" t="s">
        <v>162</v>
      </c>
      <c r="C20" s="143">
        <v>11</v>
      </c>
      <c r="D20" s="143">
        <v>8.5</v>
      </c>
      <c r="E20" s="143">
        <v>11</v>
      </c>
      <c r="F20" s="143">
        <v>11</v>
      </c>
      <c r="G20" s="143">
        <v>11</v>
      </c>
      <c r="H20" s="143">
        <v>11</v>
      </c>
      <c r="I20" s="143">
        <f>+H20+0.5</f>
        <v>11.5</v>
      </c>
      <c r="J20" s="143">
        <v>12</v>
      </c>
    </row>
    <row r="21" spans="1:11" hidden="1" x14ac:dyDescent="0.5">
      <c r="A21" s="143" t="s">
        <v>163</v>
      </c>
      <c r="B21" s="143" t="s">
        <v>164</v>
      </c>
      <c r="C21" s="143">
        <v>18</v>
      </c>
      <c r="D21" s="143">
        <v>17</v>
      </c>
      <c r="E21" s="143">
        <v>19</v>
      </c>
      <c r="F21" s="143">
        <v>19</v>
      </c>
      <c r="G21" s="143">
        <v>20</v>
      </c>
      <c r="H21" s="143">
        <v>22</v>
      </c>
      <c r="I21" s="143">
        <v>26</v>
      </c>
      <c r="J21" s="143">
        <v>24</v>
      </c>
    </row>
    <row r="22" spans="1:11" hidden="1" x14ac:dyDescent="0.5"/>
    <row r="23" spans="1:11" ht="14.7" thickBot="1" x14ac:dyDescent="0.55000000000000004">
      <c r="A23" s="15" t="s">
        <v>229</v>
      </c>
      <c r="B23" s="137"/>
      <c r="C23" s="139">
        <v>0</v>
      </c>
      <c r="D23" s="139">
        <v>1</v>
      </c>
      <c r="E23" s="139">
        <v>2</v>
      </c>
      <c r="F23" s="139">
        <v>3</v>
      </c>
      <c r="G23" s="139">
        <v>4</v>
      </c>
      <c r="H23" s="139">
        <v>5</v>
      </c>
      <c r="I23" s="139">
        <v>6</v>
      </c>
      <c r="J23" s="139">
        <v>7</v>
      </c>
    </row>
    <row r="24" spans="1:11" ht="24.35" thickBot="1" x14ac:dyDescent="0.55000000000000004">
      <c r="A24" s="140" t="s">
        <v>114</v>
      </c>
      <c r="B24" s="141" t="s">
        <v>115</v>
      </c>
      <c r="C24" s="142" t="s">
        <v>117</v>
      </c>
      <c r="D24" s="142" t="s">
        <v>118</v>
      </c>
      <c r="E24" s="142" t="s">
        <v>119</v>
      </c>
      <c r="F24" s="142" t="s">
        <v>120</v>
      </c>
      <c r="G24" s="142" t="s">
        <v>121</v>
      </c>
      <c r="H24" s="142" t="s">
        <v>122</v>
      </c>
      <c r="I24" s="142" t="s">
        <v>123</v>
      </c>
      <c r="J24" s="142" t="s">
        <v>124</v>
      </c>
      <c r="K24" s="234" t="s">
        <v>226</v>
      </c>
    </row>
    <row r="25" spans="1:11" ht="14.7" thickTop="1" x14ac:dyDescent="0.5">
      <c r="A25" s="166" t="s">
        <v>125</v>
      </c>
      <c r="B25" s="166" t="s">
        <v>126</v>
      </c>
      <c r="C25" s="166"/>
      <c r="D25" s="167">
        <f>+D7/C7-1</f>
        <v>4.3478260869565188E-2</v>
      </c>
      <c r="E25" s="167">
        <f t="shared" ref="E25:J25" si="0">+E7/D7-1</f>
        <v>-6.25E-2</v>
      </c>
      <c r="F25" s="167">
        <f t="shared" si="0"/>
        <v>0.11111111111111116</v>
      </c>
      <c r="G25" s="167">
        <f t="shared" si="0"/>
        <v>4.0000000000000036E-2</v>
      </c>
      <c r="H25" s="167">
        <f t="shared" si="0"/>
        <v>3.8461538461538547E-2</v>
      </c>
      <c r="I25" s="167">
        <f t="shared" si="0"/>
        <v>3.7037037037036979E-2</v>
      </c>
      <c r="J25" s="167">
        <f t="shared" si="0"/>
        <v>0.10714285714285721</v>
      </c>
      <c r="K25" s="235">
        <f>SUM(D25:J25)</f>
        <v>0.31473080462210912</v>
      </c>
    </row>
    <row r="26" spans="1:11" x14ac:dyDescent="0.5">
      <c r="A26" s="166" t="s">
        <v>128</v>
      </c>
      <c r="B26" s="166" t="s">
        <v>129</v>
      </c>
      <c r="C26" s="166"/>
      <c r="D26" s="167">
        <f t="shared" ref="D26:J26" si="1">+D8/C8-1</f>
        <v>-0.16666666666666663</v>
      </c>
      <c r="E26" s="167">
        <f t="shared" si="1"/>
        <v>0.19999999999999996</v>
      </c>
      <c r="F26" s="167">
        <f t="shared" si="1"/>
        <v>0</v>
      </c>
      <c r="G26" s="167">
        <f t="shared" si="1"/>
        <v>0.25</v>
      </c>
      <c r="H26" s="167">
        <f t="shared" si="1"/>
        <v>0.19999999999999996</v>
      </c>
      <c r="I26" s="167">
        <f t="shared" si="1"/>
        <v>8.3333333333333259E-2</v>
      </c>
      <c r="J26" s="167">
        <f t="shared" si="1"/>
        <v>0.12820512820512819</v>
      </c>
      <c r="K26" s="235">
        <f t="shared" ref="K26:K39" si="2">SUM(D26:J26)</f>
        <v>0.69487179487179473</v>
      </c>
    </row>
    <row r="27" spans="1:11" x14ac:dyDescent="0.5">
      <c r="A27" s="166" t="s">
        <v>131</v>
      </c>
      <c r="B27" s="166" t="s">
        <v>132</v>
      </c>
      <c r="C27" s="166"/>
      <c r="D27" s="167">
        <f t="shared" ref="D27:J27" si="3">+D9/C9-1</f>
        <v>5.555555555555558E-2</v>
      </c>
      <c r="E27" s="167">
        <f t="shared" si="3"/>
        <v>-5.2631578947368474E-2</v>
      </c>
      <c r="F27" s="167">
        <f t="shared" si="3"/>
        <v>5.555555555555558E-2</v>
      </c>
      <c r="G27" s="167">
        <f t="shared" si="3"/>
        <v>0.10526315789473695</v>
      </c>
      <c r="H27" s="167">
        <f t="shared" si="3"/>
        <v>-4.7619047619047672E-2</v>
      </c>
      <c r="I27" s="167">
        <f t="shared" si="3"/>
        <v>-5.0000000000000044E-2</v>
      </c>
      <c r="J27" s="167">
        <f t="shared" si="3"/>
        <v>0.10526315789473695</v>
      </c>
      <c r="K27" s="235">
        <f t="shared" si="2"/>
        <v>0.17138680033416887</v>
      </c>
    </row>
    <row r="28" spans="1:11" x14ac:dyDescent="0.5">
      <c r="A28" s="166" t="s">
        <v>134</v>
      </c>
      <c r="B28" s="166" t="s">
        <v>135</v>
      </c>
      <c r="C28" s="166"/>
      <c r="D28" s="167">
        <f t="shared" ref="D28:J28" si="4">+D10/C10-1</f>
        <v>5.0000000000000044E-2</v>
      </c>
      <c r="E28" s="167">
        <f t="shared" si="4"/>
        <v>2.3809523809523725E-2</v>
      </c>
      <c r="F28" s="167">
        <f t="shared" si="4"/>
        <v>4.6511627906976827E-2</v>
      </c>
      <c r="G28" s="167">
        <f t="shared" si="4"/>
        <v>0</v>
      </c>
      <c r="H28" s="167">
        <f t="shared" si="4"/>
        <v>0</v>
      </c>
      <c r="I28" s="167">
        <f t="shared" si="4"/>
        <v>2.2222222222222143E-2</v>
      </c>
      <c r="J28" s="167">
        <f t="shared" si="4"/>
        <v>4.3478260869565188E-2</v>
      </c>
      <c r="K28" s="235">
        <f t="shared" si="2"/>
        <v>0.18602163480828793</v>
      </c>
    </row>
    <row r="29" spans="1:11" x14ac:dyDescent="0.5">
      <c r="A29" s="166" t="s">
        <v>137</v>
      </c>
      <c r="B29" s="166" t="s">
        <v>138</v>
      </c>
      <c r="C29" s="166"/>
      <c r="D29" s="167">
        <f t="shared" ref="D29:J29" si="5">+D11/C11-1</f>
        <v>0.15384615384615374</v>
      </c>
      <c r="E29" s="167">
        <f t="shared" si="5"/>
        <v>0</v>
      </c>
      <c r="F29" s="167">
        <f t="shared" si="5"/>
        <v>0</v>
      </c>
      <c r="G29" s="167">
        <f t="shared" si="5"/>
        <v>3.3333333333333437E-2</v>
      </c>
      <c r="H29" s="167">
        <f t="shared" si="5"/>
        <v>0</v>
      </c>
      <c r="I29" s="167">
        <f t="shared" si="5"/>
        <v>-1.6129032258064502E-2</v>
      </c>
      <c r="J29" s="167">
        <f t="shared" si="5"/>
        <v>3.2786885245901676E-2</v>
      </c>
      <c r="K29" s="235">
        <f t="shared" si="2"/>
        <v>0.20383734016732435</v>
      </c>
    </row>
    <row r="30" spans="1:11" x14ac:dyDescent="0.5">
      <c r="A30" s="166" t="s">
        <v>140</v>
      </c>
      <c r="B30" s="166" t="s">
        <v>141</v>
      </c>
      <c r="C30" s="166"/>
      <c r="D30" s="167">
        <f t="shared" ref="D30:J30" si="6">+D12/C12-1</f>
        <v>-0.35483870967741937</v>
      </c>
      <c r="E30" s="167">
        <f t="shared" si="6"/>
        <v>0.25</v>
      </c>
      <c r="F30" s="167">
        <f t="shared" si="6"/>
        <v>4.0000000000000036E-2</v>
      </c>
      <c r="G30" s="167">
        <f t="shared" si="6"/>
        <v>-0.23076923076923073</v>
      </c>
      <c r="H30" s="167">
        <f t="shared" si="6"/>
        <v>0.10000000000000009</v>
      </c>
      <c r="I30" s="167">
        <f t="shared" si="6"/>
        <v>9.0909090909090828E-2</v>
      </c>
      <c r="J30" s="167">
        <f t="shared" si="6"/>
        <v>4.1666666666666741E-2</v>
      </c>
      <c r="K30" s="235">
        <f t="shared" si="2"/>
        <v>-6.3032182870892406E-2</v>
      </c>
    </row>
    <row r="31" spans="1:11" x14ac:dyDescent="0.5">
      <c r="A31" s="166" t="s">
        <v>143</v>
      </c>
      <c r="B31" s="166" t="s">
        <v>144</v>
      </c>
      <c r="C31" s="166"/>
      <c r="D31" s="167">
        <f t="shared" ref="D31:J31" si="7">+D13/C13-1</f>
        <v>6.6666666666666652E-2</v>
      </c>
      <c r="E31" s="167">
        <f t="shared" si="7"/>
        <v>6.25E-2</v>
      </c>
      <c r="F31" s="167">
        <f t="shared" si="7"/>
        <v>5.8823529411764719E-2</v>
      </c>
      <c r="G31" s="167">
        <f t="shared" si="7"/>
        <v>5.555555555555558E-2</v>
      </c>
      <c r="H31" s="167">
        <f t="shared" si="7"/>
        <v>0</v>
      </c>
      <c r="I31" s="167">
        <f t="shared" si="7"/>
        <v>-5.2631578947368474E-2</v>
      </c>
      <c r="J31" s="167">
        <f t="shared" si="7"/>
        <v>0.11111111111111116</v>
      </c>
      <c r="K31" s="235">
        <f t="shared" si="2"/>
        <v>0.30202528379772964</v>
      </c>
    </row>
    <row r="32" spans="1:11" x14ac:dyDescent="0.5">
      <c r="A32" s="166" t="s">
        <v>146</v>
      </c>
      <c r="B32" s="166" t="s">
        <v>147</v>
      </c>
      <c r="C32" s="166"/>
      <c r="D32" s="167">
        <f t="shared" ref="D32:J32" si="8">+D14/C14-1</f>
        <v>0.1875</v>
      </c>
      <c r="E32" s="167">
        <f t="shared" si="8"/>
        <v>0.10526315789473695</v>
      </c>
      <c r="F32" s="167">
        <f t="shared" si="8"/>
        <v>4.7619047619047672E-2</v>
      </c>
      <c r="G32" s="167">
        <f t="shared" si="8"/>
        <v>4.5454545454545414E-2</v>
      </c>
      <c r="H32" s="167">
        <f t="shared" si="8"/>
        <v>4.3478260869565188E-2</v>
      </c>
      <c r="I32" s="167">
        <f t="shared" si="8"/>
        <v>0.16666666666666674</v>
      </c>
      <c r="J32" s="167">
        <f t="shared" si="8"/>
        <v>3.5714285714285809E-2</v>
      </c>
      <c r="K32" s="235">
        <f t="shared" si="2"/>
        <v>0.63169596421884777</v>
      </c>
    </row>
    <row r="33" spans="1:11" x14ac:dyDescent="0.5">
      <c r="A33" s="166" t="s">
        <v>149</v>
      </c>
      <c r="B33" s="166" t="s">
        <v>150</v>
      </c>
      <c r="C33" s="166"/>
      <c r="D33" s="167">
        <f t="shared" ref="D33:J33" si="9">+D15/C15-1</f>
        <v>-0.1333333333333333</v>
      </c>
      <c r="E33" s="167">
        <f t="shared" si="9"/>
        <v>-7.6923076923076872E-2</v>
      </c>
      <c r="F33" s="167">
        <f t="shared" si="9"/>
        <v>0.16666666666666674</v>
      </c>
      <c r="G33" s="167">
        <f t="shared" si="9"/>
        <v>7.1428571428571397E-2</v>
      </c>
      <c r="H33" s="167">
        <f t="shared" si="9"/>
        <v>0.19999999999999996</v>
      </c>
      <c r="I33" s="167">
        <f t="shared" si="9"/>
        <v>0.22222222222222232</v>
      </c>
      <c r="J33" s="167">
        <f t="shared" si="9"/>
        <v>-9.0909090909090939E-2</v>
      </c>
      <c r="K33" s="235">
        <f t="shared" si="2"/>
        <v>0.3591519591519593</v>
      </c>
    </row>
    <row r="34" spans="1:11" x14ac:dyDescent="0.5">
      <c r="A34" s="166" t="s">
        <v>152</v>
      </c>
      <c r="B34" s="166" t="s">
        <v>153</v>
      </c>
      <c r="C34" s="166"/>
      <c r="D34" s="167">
        <f t="shared" ref="D34:J34" si="10">+D16/C16-1</f>
        <v>4.0000000000000036E-2</v>
      </c>
      <c r="E34" s="167">
        <f t="shared" si="10"/>
        <v>0</v>
      </c>
      <c r="F34" s="167">
        <f t="shared" si="10"/>
        <v>0</v>
      </c>
      <c r="G34" s="167">
        <f t="shared" si="10"/>
        <v>0</v>
      </c>
      <c r="H34" s="167">
        <f t="shared" si="10"/>
        <v>0</v>
      </c>
      <c r="I34" s="167">
        <f t="shared" si="10"/>
        <v>3.8461538461538547E-2</v>
      </c>
      <c r="J34" s="167">
        <f t="shared" si="10"/>
        <v>-0.2592592592592593</v>
      </c>
      <c r="K34" s="235">
        <f t="shared" si="2"/>
        <v>-0.18079772079772072</v>
      </c>
    </row>
    <row r="35" spans="1:11" x14ac:dyDescent="0.5">
      <c r="A35" s="166" t="s">
        <v>155</v>
      </c>
      <c r="B35" s="166" t="s">
        <v>156</v>
      </c>
      <c r="C35" s="166"/>
      <c r="D35" s="167">
        <f t="shared" ref="D35:J35" si="11">+D17/C17-1</f>
        <v>0.15384615384615374</v>
      </c>
      <c r="E35" s="167">
        <f t="shared" si="11"/>
        <v>6.6666666666666652E-2</v>
      </c>
      <c r="F35" s="167">
        <f t="shared" si="11"/>
        <v>3.125E-2</v>
      </c>
      <c r="G35" s="167">
        <f t="shared" si="11"/>
        <v>6.0606060606060552E-2</v>
      </c>
      <c r="H35" s="167">
        <f t="shared" si="11"/>
        <v>-8.5714285714285743E-2</v>
      </c>
      <c r="I35" s="167">
        <f t="shared" si="11"/>
        <v>6.25E-2</v>
      </c>
      <c r="J35" s="167">
        <f t="shared" si="11"/>
        <v>2.9411764705882248E-2</v>
      </c>
      <c r="K35" s="235">
        <f t="shared" si="2"/>
        <v>0.31856636011047745</v>
      </c>
    </row>
    <row r="36" spans="1:11" x14ac:dyDescent="0.5">
      <c r="A36" s="166" t="s">
        <v>157</v>
      </c>
      <c r="B36" s="166" t="s">
        <v>158</v>
      </c>
      <c r="C36" s="166"/>
      <c r="D36" s="167">
        <f t="shared" ref="D36:J36" si="12">+D18/C18-1</f>
        <v>5.2631578947368363E-2</v>
      </c>
      <c r="E36" s="167">
        <f t="shared" si="12"/>
        <v>-5.0000000000000044E-2</v>
      </c>
      <c r="F36" s="167">
        <f t="shared" si="12"/>
        <v>-5.2631578947368474E-2</v>
      </c>
      <c r="G36" s="167">
        <f t="shared" si="12"/>
        <v>0</v>
      </c>
      <c r="H36" s="167">
        <f t="shared" si="12"/>
        <v>-0.11111111111111116</v>
      </c>
      <c r="I36" s="167">
        <f t="shared" si="12"/>
        <v>0.25</v>
      </c>
      <c r="J36" s="167">
        <f t="shared" si="12"/>
        <v>-9.9999999999999978E-2</v>
      </c>
      <c r="K36" s="235">
        <f t="shared" si="2"/>
        <v>-1.1111111111111294E-2</v>
      </c>
    </row>
    <row r="37" spans="1:11" x14ac:dyDescent="0.5">
      <c r="A37" s="166" t="s">
        <v>159</v>
      </c>
      <c r="B37" s="166" t="s">
        <v>160</v>
      </c>
      <c r="C37" s="166"/>
      <c r="D37" s="167">
        <f t="shared" ref="D37:J37" si="13">+D19/C19-1</f>
        <v>-1.8867924528301883E-2</v>
      </c>
      <c r="E37" s="167">
        <f t="shared" si="13"/>
        <v>5.7692307692307709E-2</v>
      </c>
      <c r="F37" s="167">
        <f t="shared" si="13"/>
        <v>1.8181818181818077E-2</v>
      </c>
      <c r="G37" s="167">
        <f t="shared" si="13"/>
        <v>3.5714285714285809E-2</v>
      </c>
      <c r="H37" s="167">
        <f t="shared" si="13"/>
        <v>1.7241379310344751E-2</v>
      </c>
      <c r="I37" s="167">
        <f t="shared" si="13"/>
        <v>0</v>
      </c>
      <c r="J37" s="167">
        <f t="shared" si="13"/>
        <v>3.3898305084745672E-2</v>
      </c>
      <c r="K37" s="235">
        <f t="shared" si="2"/>
        <v>0.14386017145520014</v>
      </c>
    </row>
    <row r="38" spans="1:11" x14ac:dyDescent="0.5">
      <c r="A38" s="166" t="s">
        <v>161</v>
      </c>
      <c r="B38" s="166" t="s">
        <v>162</v>
      </c>
      <c r="C38" s="166"/>
      <c r="D38" s="167">
        <f t="shared" ref="D38:J39" si="14">+D20/C20-1</f>
        <v>-0.22727272727272729</v>
      </c>
      <c r="E38" s="167">
        <f t="shared" si="14"/>
        <v>0.29411764705882359</v>
      </c>
      <c r="F38" s="167">
        <f t="shared" si="14"/>
        <v>0</v>
      </c>
      <c r="G38" s="167">
        <f t="shared" si="14"/>
        <v>0</v>
      </c>
      <c r="H38" s="167">
        <f t="shared" si="14"/>
        <v>0</v>
      </c>
      <c r="I38" s="167">
        <f t="shared" si="14"/>
        <v>4.5454545454545414E-2</v>
      </c>
      <c r="J38" s="167">
        <f t="shared" si="14"/>
        <v>4.3478260869565188E-2</v>
      </c>
      <c r="K38" s="235">
        <f t="shared" si="2"/>
        <v>0.1557777261102069</v>
      </c>
    </row>
    <row r="39" spans="1:11" x14ac:dyDescent="0.5">
      <c r="A39" s="166" t="s">
        <v>163</v>
      </c>
      <c r="B39" s="166" t="s">
        <v>164</v>
      </c>
      <c r="C39" s="166"/>
      <c r="D39" s="167">
        <f t="shared" si="14"/>
        <v>-5.555555555555558E-2</v>
      </c>
      <c r="E39" s="167">
        <f t="shared" si="14"/>
        <v>0.11764705882352944</v>
      </c>
      <c r="F39" s="167">
        <f t="shared" si="14"/>
        <v>0</v>
      </c>
      <c r="G39" s="167">
        <f t="shared" si="14"/>
        <v>5.2631578947368363E-2</v>
      </c>
      <c r="H39" s="167">
        <f t="shared" si="14"/>
        <v>0.10000000000000009</v>
      </c>
      <c r="I39" s="167">
        <f t="shared" si="14"/>
        <v>0.18181818181818188</v>
      </c>
      <c r="J39" s="167">
        <f t="shared" si="14"/>
        <v>-7.6923076923076872E-2</v>
      </c>
      <c r="K39" s="235">
        <f t="shared" si="2"/>
        <v>0.31961818711044732</v>
      </c>
    </row>
    <row r="40" spans="1:11" x14ac:dyDescent="0.5">
      <c r="A40" s="216" t="s">
        <v>88</v>
      </c>
      <c r="B40" s="217"/>
      <c r="C40" s="217"/>
      <c r="D40" s="218">
        <f>AVERAGE(D25:D39)</f>
        <v>-1.0200703153502714E-2</v>
      </c>
      <c r="E40" s="218">
        <f t="shared" ref="E40:J40" si="15">AVERAGE(E25:E39)</f>
        <v>6.2376113738342842E-2</v>
      </c>
      <c r="F40" s="218">
        <f t="shared" si="15"/>
        <v>3.4872518500371492E-2</v>
      </c>
      <c r="G40" s="218">
        <f t="shared" si="15"/>
        <v>3.461452387768179E-2</v>
      </c>
      <c r="H40" s="218">
        <f t="shared" si="15"/>
        <v>3.0315782279800266E-2</v>
      </c>
      <c r="I40" s="218">
        <f t="shared" si="15"/>
        <v>7.2124281794627002E-2</v>
      </c>
      <c r="J40" s="218">
        <f t="shared" si="15"/>
        <v>1.2337683761267929E-2</v>
      </c>
      <c r="K40" s="236">
        <f t="shared" ref="K40" si="16">AVERAGE(K25:K39)</f>
        <v>0.23644020079858866</v>
      </c>
    </row>
    <row r="41" spans="1:11" ht="14.7" thickBot="1" x14ac:dyDescent="0.55000000000000004">
      <c r="A41" s="219" t="s">
        <v>63</v>
      </c>
      <c r="B41" s="82"/>
      <c r="C41" s="82"/>
      <c r="D41" s="220">
        <f>STDEV(D25:D39)</f>
        <v>0.15207737592013423</v>
      </c>
      <c r="E41" s="220">
        <f t="shared" ref="E41:J41" si="17">STDEV(E25:E39)</f>
        <v>0.1143004008229096</v>
      </c>
      <c r="F41" s="220">
        <f t="shared" si="17"/>
        <v>5.2465516089058348E-2</v>
      </c>
      <c r="G41" s="220">
        <f t="shared" si="17"/>
        <v>9.6194247898413257E-2</v>
      </c>
      <c r="H41" s="220">
        <f t="shared" si="17"/>
        <v>8.9379370392665788E-2</v>
      </c>
      <c r="I41" s="220">
        <f t="shared" si="17"/>
        <v>9.4395076163843544E-2</v>
      </c>
      <c r="J41" s="220">
        <f t="shared" si="17"/>
        <v>0.10362615986587773</v>
      </c>
      <c r="K41" s="237">
        <f t="shared" ref="K41" si="18">STDEV(K25:K39)</f>
        <v>0.23199541090315068</v>
      </c>
    </row>
    <row r="43" spans="1:11" ht="17.7" x14ac:dyDescent="0.55000000000000004">
      <c r="A43" s="45" t="s">
        <v>184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</row>
    <row r="44" spans="1:11" hidden="1" x14ac:dyDescent="0.5">
      <c r="A44" s="165"/>
      <c r="B44" s="165"/>
      <c r="C44" s="165"/>
      <c r="D44" s="165"/>
      <c r="E44" s="165"/>
      <c r="F44" s="165"/>
      <c r="G44" s="165"/>
      <c r="H44" s="165"/>
      <c r="I44" s="165"/>
      <c r="J44" s="30"/>
    </row>
    <row r="45" spans="1:11" hidden="1" x14ac:dyDescent="0.5">
      <c r="A45" s="15" t="s">
        <v>185</v>
      </c>
      <c r="B45" s="48"/>
      <c r="C45" s="139">
        <v>0</v>
      </c>
      <c r="D45" s="139">
        <v>1</v>
      </c>
      <c r="E45" s="139">
        <v>2</v>
      </c>
      <c r="F45" s="139">
        <v>3</v>
      </c>
      <c r="G45" s="139">
        <v>4</v>
      </c>
      <c r="H45" s="139">
        <v>5</v>
      </c>
      <c r="I45" s="139">
        <v>6</v>
      </c>
      <c r="J45" s="139">
        <v>7</v>
      </c>
    </row>
    <row r="46" spans="1:11" ht="24.35" hidden="1" thickBot="1" x14ac:dyDescent="0.55000000000000004">
      <c r="A46" s="163" t="s">
        <v>114</v>
      </c>
      <c r="B46" s="163" t="s">
        <v>115</v>
      </c>
      <c r="C46" s="142" t="s">
        <v>117</v>
      </c>
      <c r="D46" s="142" t="s">
        <v>118</v>
      </c>
      <c r="E46" s="142" t="s">
        <v>119</v>
      </c>
      <c r="F46" s="142" t="s">
        <v>120</v>
      </c>
      <c r="G46" s="142" t="s">
        <v>121</v>
      </c>
      <c r="H46" s="142" t="s">
        <v>122</v>
      </c>
      <c r="I46" s="142" t="s">
        <v>123</v>
      </c>
      <c r="J46" s="142" t="s">
        <v>124</v>
      </c>
    </row>
    <row r="47" spans="1:11" ht="14.7" hidden="1" thickTop="1" x14ac:dyDescent="0.5">
      <c r="A47" s="168" t="s">
        <v>172</v>
      </c>
      <c r="B47" s="168" t="s">
        <v>173</v>
      </c>
      <c r="C47">
        <v>890</v>
      </c>
      <c r="D47">
        <v>893</v>
      </c>
      <c r="E47">
        <v>895</v>
      </c>
      <c r="F47">
        <v>905</v>
      </c>
      <c r="G47">
        <v>910</v>
      </c>
      <c r="H47">
        <v>912</v>
      </c>
      <c r="I47">
        <v>915</v>
      </c>
      <c r="J47">
        <v>910</v>
      </c>
    </row>
    <row r="48" spans="1:11" hidden="1" x14ac:dyDescent="0.5">
      <c r="A48" s="168" t="s">
        <v>174</v>
      </c>
      <c r="B48" s="168" t="s">
        <v>175</v>
      </c>
      <c r="C48">
        <v>910</v>
      </c>
      <c r="D48">
        <v>925</v>
      </c>
      <c r="E48">
        <v>915</v>
      </c>
      <c r="F48">
        <v>925</v>
      </c>
      <c r="G48">
        <v>915</v>
      </c>
      <c r="H48">
        <v>922</v>
      </c>
      <c r="I48">
        <v>935</v>
      </c>
      <c r="J48">
        <v>930</v>
      </c>
    </row>
    <row r="49" spans="1:13" hidden="1" x14ac:dyDescent="0.5">
      <c r="A49" s="168" t="s">
        <v>176</v>
      </c>
      <c r="B49" s="168" t="s">
        <v>177</v>
      </c>
      <c r="C49">
        <v>790</v>
      </c>
      <c r="D49">
        <v>800</v>
      </c>
      <c r="E49">
        <v>810</v>
      </c>
      <c r="F49">
        <v>815</v>
      </c>
      <c r="G49">
        <v>820</v>
      </c>
      <c r="H49">
        <v>822</v>
      </c>
      <c r="I49">
        <v>815</v>
      </c>
      <c r="J49">
        <v>800</v>
      </c>
    </row>
    <row r="50" spans="1:13" hidden="1" x14ac:dyDescent="0.5">
      <c r="A50" s="168" t="s">
        <v>178</v>
      </c>
      <c r="B50" s="168" t="s">
        <v>179</v>
      </c>
      <c r="C50">
        <v>1010</v>
      </c>
      <c r="D50">
        <v>1015</v>
      </c>
      <c r="E50">
        <v>1020</v>
      </c>
      <c r="F50">
        <v>1022</v>
      </c>
      <c r="G50">
        <v>1026</v>
      </c>
      <c r="H50">
        <v>1025</v>
      </c>
      <c r="I50">
        <v>1020</v>
      </c>
      <c r="J50">
        <v>1027</v>
      </c>
    </row>
    <row r="51" spans="1:13" hidden="1" x14ac:dyDescent="0.5">
      <c r="A51" s="168" t="s">
        <v>180</v>
      </c>
      <c r="B51" s="168" t="s">
        <v>181</v>
      </c>
      <c r="C51">
        <v>950</v>
      </c>
      <c r="D51">
        <v>965</v>
      </c>
      <c r="E51">
        <v>975</v>
      </c>
      <c r="F51">
        <v>980</v>
      </c>
      <c r="G51">
        <v>982</v>
      </c>
      <c r="H51">
        <v>995</v>
      </c>
      <c r="I51">
        <v>1000</v>
      </c>
      <c r="J51">
        <v>1010</v>
      </c>
    </row>
    <row r="52" spans="1:13" hidden="1" x14ac:dyDescent="0.5">
      <c r="A52" s="168" t="s">
        <v>182</v>
      </c>
      <c r="B52" s="168" t="s">
        <v>183</v>
      </c>
      <c r="C52">
        <v>640</v>
      </c>
      <c r="D52">
        <v>680</v>
      </c>
      <c r="E52">
        <v>687</v>
      </c>
      <c r="F52">
        <v>695</v>
      </c>
      <c r="G52">
        <v>710</v>
      </c>
      <c r="H52">
        <v>720</v>
      </c>
      <c r="I52">
        <v>710</v>
      </c>
      <c r="J52">
        <v>700</v>
      </c>
    </row>
    <row r="53" spans="1:13" hidden="1" x14ac:dyDescent="0.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L53" s="164"/>
      <c r="M53" s="164"/>
    </row>
    <row r="54" spans="1:13" ht="14.7" thickBot="1" x14ac:dyDescent="0.55000000000000004">
      <c r="A54" s="15" t="s">
        <v>186</v>
      </c>
      <c r="B54" s="48"/>
      <c r="C54" s="139">
        <v>0</v>
      </c>
      <c r="D54" s="139">
        <v>1</v>
      </c>
      <c r="E54" s="139">
        <v>2</v>
      </c>
      <c r="F54" s="139">
        <v>3</v>
      </c>
      <c r="G54" s="139">
        <v>4</v>
      </c>
      <c r="H54" s="139">
        <v>5</v>
      </c>
      <c r="I54" s="139">
        <v>6</v>
      </c>
      <c r="J54" s="139">
        <v>7</v>
      </c>
    </row>
    <row r="55" spans="1:13" ht="24.35" thickBot="1" x14ac:dyDescent="0.55000000000000004">
      <c r="A55" s="163" t="s">
        <v>114</v>
      </c>
      <c r="B55" s="163" t="s">
        <v>115</v>
      </c>
      <c r="C55" s="142" t="s">
        <v>117</v>
      </c>
      <c r="D55" s="142" t="s">
        <v>118</v>
      </c>
      <c r="E55" s="142" t="s">
        <v>119</v>
      </c>
      <c r="F55" s="142" t="s">
        <v>120</v>
      </c>
      <c r="G55" s="142" t="s">
        <v>121</v>
      </c>
      <c r="H55" s="142" t="s">
        <v>122</v>
      </c>
      <c r="I55" s="142" t="s">
        <v>123</v>
      </c>
      <c r="J55" s="142" t="s">
        <v>124</v>
      </c>
      <c r="K55" s="228" t="s">
        <v>226</v>
      </c>
    </row>
    <row r="56" spans="1:13" ht="14.7" thickTop="1" x14ac:dyDescent="0.5">
      <c r="A56" s="168" t="s">
        <v>172</v>
      </c>
      <c r="B56" s="168" t="s">
        <v>173</v>
      </c>
      <c r="D56" s="138">
        <f>+D47/C47-1</f>
        <v>3.370786516853963E-3</v>
      </c>
      <c r="E56" s="138">
        <f t="shared" ref="E56:J56" si="19">+E47/D47-1</f>
        <v>2.2396416573349232E-3</v>
      </c>
      <c r="F56" s="138">
        <f t="shared" si="19"/>
        <v>1.1173184357541999E-2</v>
      </c>
      <c r="G56" s="138">
        <f t="shared" si="19"/>
        <v>5.5248618784531356E-3</v>
      </c>
      <c r="H56" s="138">
        <f t="shared" si="19"/>
        <v>2.19780219780219E-3</v>
      </c>
      <c r="I56" s="138">
        <f t="shared" si="19"/>
        <v>3.2894736842106198E-3</v>
      </c>
      <c r="J56" s="138">
        <f t="shared" si="19"/>
        <v>-5.464480874316946E-3</v>
      </c>
      <c r="K56" s="229">
        <f>SUM(D56:J56)</f>
        <v>2.2331269417879884E-2</v>
      </c>
    </row>
    <row r="57" spans="1:13" x14ac:dyDescent="0.5">
      <c r="A57" s="168" t="s">
        <v>174</v>
      </c>
      <c r="B57" s="168" t="s">
        <v>175</v>
      </c>
      <c r="D57" s="138">
        <f t="shared" ref="D57:J61" si="20">+D48/C48-1</f>
        <v>1.6483516483516425E-2</v>
      </c>
      <c r="E57" s="138">
        <f t="shared" si="20"/>
        <v>-1.0810810810810811E-2</v>
      </c>
      <c r="F57" s="138">
        <f t="shared" si="20"/>
        <v>1.0928961748633892E-2</v>
      </c>
      <c r="G57" s="138">
        <f t="shared" si="20"/>
        <v>-1.0810810810810811E-2</v>
      </c>
      <c r="H57" s="138">
        <f t="shared" si="20"/>
        <v>7.6502732240437687E-3</v>
      </c>
      <c r="I57" s="138">
        <f t="shared" si="20"/>
        <v>1.4099783080260275E-2</v>
      </c>
      <c r="J57" s="138">
        <f t="shared" si="20"/>
        <v>-5.3475935828877219E-3</v>
      </c>
      <c r="K57" s="229">
        <f t="shared" ref="K57:K61" si="21">SUM(D57:J57)</f>
        <v>2.2193319331945016E-2</v>
      </c>
    </row>
    <row r="58" spans="1:13" x14ac:dyDescent="0.5">
      <c r="A58" s="168" t="s">
        <v>176</v>
      </c>
      <c r="B58" s="168" t="s">
        <v>177</v>
      </c>
      <c r="D58" s="138">
        <f t="shared" si="20"/>
        <v>1.2658227848101333E-2</v>
      </c>
      <c r="E58" s="138">
        <f t="shared" si="20"/>
        <v>1.2499999999999956E-2</v>
      </c>
      <c r="F58" s="138">
        <f t="shared" si="20"/>
        <v>6.1728395061728669E-3</v>
      </c>
      <c r="G58" s="138">
        <f t="shared" si="20"/>
        <v>6.1349693251533388E-3</v>
      </c>
      <c r="H58" s="138">
        <f t="shared" si="20"/>
        <v>2.4390243902439046E-3</v>
      </c>
      <c r="I58" s="138">
        <f t="shared" si="20"/>
        <v>-8.515815085158196E-3</v>
      </c>
      <c r="J58" s="138">
        <f t="shared" si="20"/>
        <v>-1.8404907975460127E-2</v>
      </c>
      <c r="K58" s="229">
        <f t="shared" si="21"/>
        <v>1.2984338009053076E-2</v>
      </c>
    </row>
    <row r="59" spans="1:13" x14ac:dyDescent="0.5">
      <c r="A59" s="168" t="s">
        <v>178</v>
      </c>
      <c r="B59" s="168" t="s">
        <v>179</v>
      </c>
      <c r="D59" s="138">
        <f t="shared" si="20"/>
        <v>4.9504950495049549E-3</v>
      </c>
      <c r="E59" s="138">
        <f t="shared" si="20"/>
        <v>4.9261083743843415E-3</v>
      </c>
      <c r="F59" s="138">
        <f t="shared" si="20"/>
        <v>1.9607843137254832E-3</v>
      </c>
      <c r="G59" s="138">
        <f t="shared" si="20"/>
        <v>3.9138943248533398E-3</v>
      </c>
      <c r="H59" s="138">
        <f t="shared" si="20"/>
        <v>-9.746588693957392E-4</v>
      </c>
      <c r="I59" s="138">
        <f t="shared" si="20"/>
        <v>-4.8780487804878092E-3</v>
      </c>
      <c r="J59" s="138">
        <f t="shared" si="20"/>
        <v>6.8627450980391913E-3</v>
      </c>
      <c r="K59" s="229">
        <f t="shared" si="21"/>
        <v>1.6761319510623762E-2</v>
      </c>
    </row>
    <row r="60" spans="1:13" x14ac:dyDescent="0.5">
      <c r="A60" s="168" t="s">
        <v>180</v>
      </c>
      <c r="B60" s="168" t="s">
        <v>181</v>
      </c>
      <c r="D60" s="138">
        <f t="shared" si="20"/>
        <v>1.5789473684210575E-2</v>
      </c>
      <c r="E60" s="138">
        <f t="shared" si="20"/>
        <v>1.0362694300518172E-2</v>
      </c>
      <c r="F60" s="138">
        <f t="shared" si="20"/>
        <v>5.12820512820511E-3</v>
      </c>
      <c r="G60" s="138">
        <f t="shared" si="20"/>
        <v>2.0408163265306367E-3</v>
      </c>
      <c r="H60" s="138">
        <f t="shared" si="20"/>
        <v>1.323828920570258E-2</v>
      </c>
      <c r="I60" s="138">
        <f t="shared" si="20"/>
        <v>5.0251256281406143E-3</v>
      </c>
      <c r="J60" s="138">
        <f t="shared" si="20"/>
        <v>1.0000000000000009E-2</v>
      </c>
      <c r="K60" s="229">
        <f t="shared" si="21"/>
        <v>6.1584604273307697E-2</v>
      </c>
    </row>
    <row r="61" spans="1:13" x14ac:dyDescent="0.5">
      <c r="A61" s="168" t="s">
        <v>182</v>
      </c>
      <c r="B61" s="168" t="s">
        <v>183</v>
      </c>
      <c r="D61" s="138">
        <f t="shared" si="20"/>
        <v>6.25E-2</v>
      </c>
      <c r="E61" s="138">
        <f t="shared" si="20"/>
        <v>1.0294117647058787E-2</v>
      </c>
      <c r="F61" s="138">
        <f t="shared" si="20"/>
        <v>1.1644832605531397E-2</v>
      </c>
      <c r="G61" s="138">
        <f t="shared" si="20"/>
        <v>2.1582733812949728E-2</v>
      </c>
      <c r="H61" s="138">
        <f t="shared" si="20"/>
        <v>1.4084507042253502E-2</v>
      </c>
      <c r="I61" s="138">
        <f t="shared" si="20"/>
        <v>-1.388888888888884E-2</v>
      </c>
      <c r="J61" s="138">
        <f t="shared" si="20"/>
        <v>-1.4084507042253502E-2</v>
      </c>
      <c r="K61" s="229">
        <f t="shared" si="21"/>
        <v>9.2132795176651072E-2</v>
      </c>
    </row>
    <row r="62" spans="1:13" x14ac:dyDescent="0.5">
      <c r="A62" s="216" t="s">
        <v>88</v>
      </c>
      <c r="B62" s="217"/>
      <c r="C62" s="218"/>
      <c r="D62" s="225">
        <f>AVERAGE(D56:D61)</f>
        <v>1.9292083263697874E-2</v>
      </c>
      <c r="E62" s="225">
        <f t="shared" ref="E62:J62" si="22">AVERAGE(E56:E61)</f>
        <v>4.9186251947475612E-3</v>
      </c>
      <c r="F62" s="225">
        <f t="shared" si="22"/>
        <v>7.8348012766351251E-3</v>
      </c>
      <c r="G62" s="225">
        <f t="shared" si="22"/>
        <v>4.7310774761882279E-3</v>
      </c>
      <c r="H62" s="225">
        <f t="shared" si="22"/>
        <v>6.4392061984417008E-3</v>
      </c>
      <c r="I62" s="225">
        <f t="shared" si="22"/>
        <v>-8.1139506032055586E-4</v>
      </c>
      <c r="J62" s="225">
        <f t="shared" si="22"/>
        <v>-4.4064573961465165E-3</v>
      </c>
      <c r="K62" s="230">
        <f t="shared" ref="K62" si="23">AVERAGE(K56:K61)</f>
        <v>3.7997940953243416E-2</v>
      </c>
    </row>
    <row r="63" spans="1:13" ht="14.7" thickBot="1" x14ac:dyDescent="0.55000000000000004">
      <c r="A63" s="223" t="s">
        <v>63</v>
      </c>
      <c r="B63" s="224"/>
      <c r="C63" s="82"/>
      <c r="D63" s="226">
        <f>STDEV(D56:D61)</f>
        <v>2.1864387803905469E-2</v>
      </c>
      <c r="E63" s="226">
        <f t="shared" ref="E63:J63" si="24">STDEV(E56:E61)</f>
        <v>8.6093346701779268E-3</v>
      </c>
      <c r="F63" s="226">
        <f t="shared" si="24"/>
        <v>3.9956682611613408E-3</v>
      </c>
      <c r="G63" s="226">
        <f t="shared" si="24"/>
        <v>1.0354080472692149E-2</v>
      </c>
      <c r="H63" s="226">
        <f t="shared" si="24"/>
        <v>6.2466182164734787E-3</v>
      </c>
      <c r="I63" s="226">
        <f t="shared" si="24"/>
        <v>1.0199430738839834E-2</v>
      </c>
      <c r="J63" s="226">
        <f t="shared" si="24"/>
        <v>1.1190776149475039E-2</v>
      </c>
      <c r="K63" s="231">
        <f t="shared" ref="K63" si="25">STDEV(K56:K61)</f>
        <v>3.1808232307060973E-2</v>
      </c>
    </row>
    <row r="64" spans="1:13" x14ac:dyDescent="0.5">
      <c r="A64" s="222"/>
      <c r="B64" s="221"/>
    </row>
    <row r="65" spans="1:11" ht="18" thickBot="1" x14ac:dyDescent="0.6">
      <c r="A65" s="45" t="s">
        <v>205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</row>
    <row r="66" spans="1:11" ht="24.35" thickBot="1" x14ac:dyDescent="0.55000000000000004">
      <c r="A66" s="163" t="s">
        <v>114</v>
      </c>
      <c r="B66" s="163" t="s">
        <v>115</v>
      </c>
      <c r="C66" s="142" t="s">
        <v>117</v>
      </c>
      <c r="D66" s="142" t="s">
        <v>118</v>
      </c>
      <c r="E66" s="142" t="s">
        <v>119</v>
      </c>
      <c r="F66" s="142" t="s">
        <v>120</v>
      </c>
      <c r="G66" s="142" t="s">
        <v>121</v>
      </c>
      <c r="H66" s="142" t="s">
        <v>122</v>
      </c>
      <c r="I66" s="142" t="s">
        <v>123</v>
      </c>
      <c r="J66" s="142" t="s">
        <v>124</v>
      </c>
      <c r="K66" s="228" t="s">
        <v>226</v>
      </c>
    </row>
    <row r="67" spans="1:11" ht="15" thickTop="1" thickBot="1" x14ac:dyDescent="0.55000000000000004">
      <c r="A67" s="227" t="s">
        <v>227</v>
      </c>
      <c r="B67" s="221"/>
    </row>
    <row r="68" spans="1:11" x14ac:dyDescent="0.5">
      <c r="A68" t="s">
        <v>192</v>
      </c>
      <c r="C68" s="162">
        <v>0.45610145622785053</v>
      </c>
      <c r="D68" s="162">
        <v>0.46339410939691444</v>
      </c>
      <c r="E68" s="162">
        <v>0.46752360368558754</v>
      </c>
      <c r="F68" s="162">
        <v>0.46414667145263272</v>
      </c>
      <c r="G68" s="162">
        <v>0.45558086560364464</v>
      </c>
      <c r="H68" s="162">
        <v>0.45558754531883133</v>
      </c>
      <c r="I68" s="162">
        <v>0.46261459382120712</v>
      </c>
      <c r="J68" s="162">
        <v>0.4866824894514768</v>
      </c>
      <c r="K68" s="232">
        <f>AVERAGE(C68:J68)</f>
        <v>0.46395391686976811</v>
      </c>
    </row>
    <row r="69" spans="1:11" ht="14.7" thickBot="1" x14ac:dyDescent="0.55000000000000004">
      <c r="A69" t="s">
        <v>193</v>
      </c>
      <c r="C69" s="162">
        <v>0.54389854377214941</v>
      </c>
      <c r="D69" s="162">
        <v>0.5366058906030855</v>
      </c>
      <c r="E69" s="162">
        <v>0.53247639631441246</v>
      </c>
      <c r="F69" s="162">
        <v>0.53585332854736722</v>
      </c>
      <c r="G69" s="162">
        <v>0.54441913439635536</v>
      </c>
      <c r="H69" s="162">
        <v>0.54441245468116872</v>
      </c>
      <c r="I69" s="162">
        <v>0.53738540617879282</v>
      </c>
      <c r="J69" s="162">
        <v>0.51331751054852326</v>
      </c>
      <c r="K69" s="233">
        <f>AVERAGE(C69:J69)</f>
        <v>0.53604608313023183</v>
      </c>
    </row>
    <row r="70" spans="1:11" x14ac:dyDescent="0.5">
      <c r="C70" s="162"/>
      <c r="D70" s="162"/>
      <c r="E70" s="162"/>
      <c r="F70" s="162"/>
      <c r="G70" s="162"/>
      <c r="H70" s="162"/>
      <c r="I70" s="162"/>
      <c r="J70" s="162"/>
    </row>
    <row r="71" spans="1:11" ht="14.7" thickBot="1" x14ac:dyDescent="0.55000000000000004">
      <c r="A71" s="106" t="s">
        <v>228</v>
      </c>
      <c r="C71" s="162"/>
      <c r="D71" s="162"/>
      <c r="E71" s="162"/>
      <c r="F71" s="162"/>
      <c r="G71" s="162"/>
      <c r="H71" s="162"/>
      <c r="I71" s="162"/>
      <c r="J71" s="162"/>
    </row>
    <row r="72" spans="1:11" x14ac:dyDescent="0.5">
      <c r="A72" s="239" t="s">
        <v>88</v>
      </c>
      <c r="B72" s="82"/>
      <c r="C72" s="220"/>
      <c r="D72" s="220">
        <f>+D68*D40+D69*D62</f>
        <v>5.6252997682657907E-3</v>
      </c>
      <c r="E72" s="220">
        <f t="shared" ref="E72:J72" si="26">+E68*E40+E69*E62</f>
        <v>3.1781357297372588E-2</v>
      </c>
      <c r="F72" s="220">
        <f t="shared" si="26"/>
        <v>2.0384267729709877E-2</v>
      </c>
      <c r="G72" s="220">
        <f t="shared" si="26"/>
        <v>1.8345403855000782E-2</v>
      </c>
      <c r="H72" s="220">
        <f t="shared" si="26"/>
        <v>1.7317076885966169E-2</v>
      </c>
      <c r="I72" s="220">
        <f t="shared" si="26"/>
        <v>3.2929713463005827E-2</v>
      </c>
      <c r="J72" s="220">
        <f t="shared" si="26"/>
        <v>3.7426229060708782E-3</v>
      </c>
      <c r="K72" s="240">
        <f>SUM(D72:J72)</f>
        <v>0.13012574190539192</v>
      </c>
    </row>
    <row r="73" spans="1:11" x14ac:dyDescent="0.5">
      <c r="A73" s="238" t="s">
        <v>63</v>
      </c>
      <c r="B73" s="224"/>
      <c r="C73" s="82"/>
      <c r="D73" s="220">
        <f>SQRT(((D68*D41)^2)+((D69*D63)^2)+(2*D69*D68*D63*D41*$K$74))</f>
        <v>6.5130848960315693E-2</v>
      </c>
      <c r="E73" s="220">
        <f t="shared" ref="E73:K73" si="27">SQRT(((E68*E41)^2)+((E69*E63)^2)+(2*E69*E68*E63*E41*$K$74))</f>
        <v>5.1198449572731258E-2</v>
      </c>
      <c r="F73" s="220">
        <f t="shared" si="27"/>
        <v>2.330746460682858E-2</v>
      </c>
      <c r="G73" s="220">
        <f t="shared" si="27"/>
        <v>4.1168241238832094E-2</v>
      </c>
      <c r="H73" s="220">
        <f t="shared" si="27"/>
        <v>3.9055601228849268E-2</v>
      </c>
      <c r="I73" s="220">
        <f t="shared" si="27"/>
        <v>4.1078942150609213E-2</v>
      </c>
      <c r="J73" s="220">
        <f t="shared" si="27"/>
        <v>4.7691604865223051E-2</v>
      </c>
      <c r="K73" s="242">
        <f t="shared" si="27"/>
        <v>9.9814517906877245E-2</v>
      </c>
    </row>
    <row r="74" spans="1:11" ht="14.7" thickBot="1" x14ac:dyDescent="0.55000000000000004">
      <c r="A74" s="82" t="s">
        <v>55</v>
      </c>
      <c r="B74" s="82"/>
      <c r="C74" s="82"/>
      <c r="D74" s="82"/>
      <c r="E74" s="82"/>
      <c r="F74" s="82"/>
      <c r="G74" s="82"/>
      <c r="H74" s="82"/>
      <c r="I74" s="82"/>
      <c r="J74" s="82"/>
      <c r="K74" s="241">
        <f>CORREL(D40:J40,D62:J62)</f>
        <v>-0.52121416320238501</v>
      </c>
    </row>
    <row r="76" spans="1:11" x14ac:dyDescent="0.5">
      <c r="J76" t="s">
        <v>210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7D030-ACD4-45BC-9208-87E4054B0C29}">
  <dimension ref="A1:M39"/>
  <sheetViews>
    <sheetView showGridLines="0" workbookViewId="0">
      <selection activeCell="P21" sqref="P21"/>
    </sheetView>
  </sheetViews>
  <sheetFormatPr defaultRowHeight="14.35" x14ac:dyDescent="0.5"/>
  <cols>
    <col min="1" max="1" width="17.05859375" customWidth="1"/>
    <col min="2" max="12" width="10" customWidth="1"/>
  </cols>
  <sheetData>
    <row r="1" spans="1:13" ht="23.35" x14ac:dyDescent="0.8">
      <c r="A1" s="133" t="s">
        <v>111</v>
      </c>
    </row>
    <row r="3" spans="1:13" ht="17.7" x14ac:dyDescent="0.55000000000000004">
      <c r="A3" s="45" t="s">
        <v>188</v>
      </c>
      <c r="B3" s="134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5" spans="1:13" x14ac:dyDescent="0.5">
      <c r="A5" s="15" t="s">
        <v>189</v>
      </c>
      <c r="B5" s="137"/>
      <c r="F5" s="139">
        <v>0</v>
      </c>
      <c r="G5" s="139">
        <v>1</v>
      </c>
      <c r="H5" s="139">
        <v>2</v>
      </c>
      <c r="I5" s="139">
        <v>3</v>
      </c>
      <c r="J5" s="139">
        <v>4</v>
      </c>
      <c r="K5" s="139">
        <v>5</v>
      </c>
      <c r="L5" s="139">
        <v>6</v>
      </c>
      <c r="M5" s="139">
        <v>7</v>
      </c>
    </row>
    <row r="6" spans="1:13" ht="24.35" thickBot="1" x14ac:dyDescent="0.55000000000000004">
      <c r="A6" s="140" t="s">
        <v>114</v>
      </c>
      <c r="B6" s="141"/>
      <c r="C6" s="141"/>
      <c r="D6" s="141"/>
      <c r="E6" s="141"/>
      <c r="F6" s="142"/>
      <c r="G6" s="142" t="s">
        <v>118</v>
      </c>
      <c r="H6" s="142" t="s">
        <v>119</v>
      </c>
      <c r="I6" s="142" t="s">
        <v>120</v>
      </c>
      <c r="J6" s="142" t="s">
        <v>121</v>
      </c>
      <c r="K6" s="142" t="s">
        <v>122</v>
      </c>
      <c r="L6" s="142" t="s">
        <v>123</v>
      </c>
      <c r="M6" s="142" t="s">
        <v>204</v>
      </c>
    </row>
    <row r="7" spans="1:13" ht="14.7" thickTop="1" x14ac:dyDescent="0.5">
      <c r="A7" t="s">
        <v>37</v>
      </c>
      <c r="G7" s="169">
        <f>+'Fig. 2.10'!D40</f>
        <v>-1.0200703153502714E-2</v>
      </c>
      <c r="H7" s="169">
        <f>+'Fig. 2.10'!E40</f>
        <v>6.2376113738342842E-2</v>
      </c>
      <c r="I7" s="169">
        <f>+'Fig. 2.10'!F40</f>
        <v>3.4872518500371492E-2</v>
      </c>
      <c r="J7" s="169">
        <f>+'Fig. 2.10'!G40</f>
        <v>3.461452387768179E-2</v>
      </c>
      <c r="K7" s="169">
        <f>+'Fig. 2.10'!H40</f>
        <v>3.0315782279800266E-2</v>
      </c>
      <c r="L7" s="169">
        <f>+'Fig. 2.10'!I40</f>
        <v>7.2124281794627002E-2</v>
      </c>
      <c r="M7" s="169">
        <f>+'Fig. 2.10'!J40</f>
        <v>1.2337683761267929E-2</v>
      </c>
    </row>
    <row r="8" spans="1:13" x14ac:dyDescent="0.5">
      <c r="A8" t="s">
        <v>38</v>
      </c>
      <c r="G8" s="169">
        <f>+'Fig. 2.10'!D62</f>
        <v>1.9292083263697874E-2</v>
      </c>
      <c r="H8" s="169">
        <f>+'Fig. 2.10'!E62</f>
        <v>4.9186251947475612E-3</v>
      </c>
      <c r="I8" s="169">
        <f>+'Fig. 2.10'!F62</f>
        <v>7.8348012766351251E-3</v>
      </c>
      <c r="J8" s="169">
        <f>+'Fig. 2.10'!G62</f>
        <v>4.7310774761882279E-3</v>
      </c>
      <c r="K8" s="169">
        <f>+'Fig. 2.10'!H62</f>
        <v>6.4392061984417008E-3</v>
      </c>
      <c r="L8" s="169">
        <f>+'Fig. 2.10'!I62</f>
        <v>-8.1139506032055586E-4</v>
      </c>
      <c r="M8" s="169">
        <f>+'Fig. 2.10'!J62</f>
        <v>-4.4064573961465165E-3</v>
      </c>
    </row>
    <row r="10" spans="1:13" x14ac:dyDescent="0.5">
      <c r="A10" t="s">
        <v>194</v>
      </c>
      <c r="F10" s="58">
        <f>+G10*(1+G7)</f>
        <v>81757.421919520668</v>
      </c>
      <c r="G10" s="58">
        <v>82600</v>
      </c>
      <c r="H10" s="58">
        <v>82200</v>
      </c>
      <c r="I10" s="58">
        <v>84050</v>
      </c>
      <c r="J10" s="58">
        <v>85000</v>
      </c>
      <c r="K10" s="58">
        <v>85450</v>
      </c>
      <c r="L10" s="58">
        <v>87300</v>
      </c>
      <c r="M10" s="58">
        <v>92275</v>
      </c>
    </row>
    <row r="11" spans="1:13" x14ac:dyDescent="0.5">
      <c r="A11" t="s">
        <v>195</v>
      </c>
      <c r="F11" s="58">
        <f>+G11*(1+G8)</f>
        <v>97495.287764172695</v>
      </c>
      <c r="G11" s="58">
        <v>95650</v>
      </c>
      <c r="H11" s="58">
        <v>93620</v>
      </c>
      <c r="I11" s="58">
        <v>97035</v>
      </c>
      <c r="J11" s="58">
        <v>101575</v>
      </c>
      <c r="K11" s="58">
        <v>102110</v>
      </c>
      <c r="L11" s="58">
        <v>101410</v>
      </c>
      <c r="M11" s="58">
        <v>97325</v>
      </c>
    </row>
    <row r="12" spans="1:13" ht="14.7" thickBot="1" x14ac:dyDescent="0.55000000000000004">
      <c r="A12" t="s">
        <v>196</v>
      </c>
      <c r="F12" s="172">
        <f t="shared" ref="F12:M12" si="0">SUM(F10:F11)</f>
        <v>179252.70968369336</v>
      </c>
      <c r="G12" s="172">
        <f t="shared" si="0"/>
        <v>178250</v>
      </c>
      <c r="H12" s="172">
        <f t="shared" si="0"/>
        <v>175820</v>
      </c>
      <c r="I12" s="172">
        <f t="shared" si="0"/>
        <v>181085</v>
      </c>
      <c r="J12" s="172">
        <f t="shared" si="0"/>
        <v>186575</v>
      </c>
      <c r="K12" s="172">
        <f t="shared" si="0"/>
        <v>187560</v>
      </c>
      <c r="L12" s="172">
        <f t="shared" si="0"/>
        <v>188710</v>
      </c>
      <c r="M12" s="172">
        <f t="shared" si="0"/>
        <v>189600</v>
      </c>
    </row>
    <row r="13" spans="1:13" ht="14.7" thickTop="1" x14ac:dyDescent="0.5">
      <c r="A13" t="s">
        <v>202</v>
      </c>
      <c r="G13" s="162">
        <f t="shared" ref="G13:M13" si="1">+G12/F12-1</f>
        <v>-5.5938327820133082E-3</v>
      </c>
      <c r="H13" s="162">
        <f t="shared" si="1"/>
        <v>-1.3632538569424923E-2</v>
      </c>
      <c r="I13" s="162">
        <f t="shared" si="1"/>
        <v>2.9945398703219217E-2</v>
      </c>
      <c r="J13" s="162">
        <f t="shared" si="1"/>
        <v>3.031725432807808E-2</v>
      </c>
      <c r="K13" s="162">
        <f t="shared" si="1"/>
        <v>5.2793782661129107E-3</v>
      </c>
      <c r="L13" s="162">
        <f t="shared" si="1"/>
        <v>6.1313712945190169E-3</v>
      </c>
      <c r="M13" s="162">
        <f t="shared" si="1"/>
        <v>4.7162312543056473E-3</v>
      </c>
    </row>
    <row r="14" spans="1:13" x14ac:dyDescent="0.5">
      <c r="A14" t="s">
        <v>203</v>
      </c>
      <c r="G14" s="162">
        <f>+G13</f>
        <v>-5.5938327820133082E-3</v>
      </c>
      <c r="H14" s="162">
        <f t="shared" ref="H14:M14" si="2">+G14+H13</f>
        <v>-1.9226371351438232E-2</v>
      </c>
      <c r="I14" s="162">
        <f t="shared" si="2"/>
        <v>1.0719027351780985E-2</v>
      </c>
      <c r="J14" s="162">
        <f t="shared" si="2"/>
        <v>4.1036281679859066E-2</v>
      </c>
      <c r="K14" s="162">
        <f t="shared" si="2"/>
        <v>4.6315659945971976E-2</v>
      </c>
      <c r="L14" s="162">
        <f t="shared" si="2"/>
        <v>5.2447031240490993E-2</v>
      </c>
      <c r="M14" s="162">
        <f t="shared" si="2"/>
        <v>5.7163262494796641E-2</v>
      </c>
    </row>
    <row r="15" spans="1:13" x14ac:dyDescent="0.5">
      <c r="G15" s="58"/>
      <c r="H15" s="58"/>
      <c r="I15" s="58"/>
      <c r="J15" s="58"/>
      <c r="K15" s="58"/>
      <c r="L15" s="58"/>
      <c r="M15" s="58"/>
    </row>
    <row r="16" spans="1:13" x14ac:dyDescent="0.5">
      <c r="A16" t="s">
        <v>192</v>
      </c>
      <c r="F16" s="162">
        <f t="shared" ref="F16" si="3">+F10/F$12</f>
        <v>0.45610145622785053</v>
      </c>
      <c r="G16" s="162">
        <f t="shared" ref="G16:M17" si="4">+G10/G$12</f>
        <v>0.46339410939691444</v>
      </c>
      <c r="H16" s="162">
        <f t="shared" si="4"/>
        <v>0.46752360368558754</v>
      </c>
      <c r="I16" s="162">
        <f t="shared" si="4"/>
        <v>0.46414667145263272</v>
      </c>
      <c r="J16" s="162">
        <f t="shared" si="4"/>
        <v>0.45558086560364464</v>
      </c>
      <c r="K16" s="162">
        <f t="shared" si="4"/>
        <v>0.45558754531883133</v>
      </c>
      <c r="L16" s="162">
        <f t="shared" si="4"/>
        <v>0.46261459382120712</v>
      </c>
      <c r="M16" s="162">
        <f t="shared" si="4"/>
        <v>0.4866824894514768</v>
      </c>
    </row>
    <row r="17" spans="1:13" x14ac:dyDescent="0.5">
      <c r="A17" t="s">
        <v>193</v>
      </c>
      <c r="F17" s="162">
        <f t="shared" ref="F17" si="5">+F11/F$12</f>
        <v>0.54389854377214941</v>
      </c>
      <c r="G17" s="162">
        <f t="shared" si="4"/>
        <v>0.5366058906030855</v>
      </c>
      <c r="H17" s="162">
        <f t="shared" si="4"/>
        <v>0.53247639631441246</v>
      </c>
      <c r="I17" s="162">
        <f t="shared" si="4"/>
        <v>0.53585332854736722</v>
      </c>
      <c r="J17" s="162">
        <f t="shared" si="4"/>
        <v>0.54441913439635536</v>
      </c>
      <c r="K17" s="162">
        <f t="shared" si="4"/>
        <v>0.54441245468116872</v>
      </c>
      <c r="L17" s="162">
        <f t="shared" si="4"/>
        <v>0.53738540617879282</v>
      </c>
      <c r="M17" s="162">
        <f t="shared" si="4"/>
        <v>0.51331751054852326</v>
      </c>
    </row>
    <row r="19" spans="1:13" ht="14.7" thickBot="1" x14ac:dyDescent="0.55000000000000004">
      <c r="A19" s="178" t="s">
        <v>201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</row>
    <row r="20" spans="1:13" ht="14.7" thickBot="1" x14ac:dyDescent="0.55000000000000004">
      <c r="A20" s="174" t="s">
        <v>197</v>
      </c>
      <c r="B20" s="175"/>
      <c r="C20" s="175"/>
      <c r="D20" s="173"/>
      <c r="F20" s="176" t="s">
        <v>199</v>
      </c>
      <c r="G20" s="175"/>
      <c r="H20" s="175"/>
      <c r="I20" s="173"/>
      <c r="K20" s="176" t="s">
        <v>205</v>
      </c>
      <c r="L20" s="175"/>
      <c r="M20" s="175"/>
    </row>
    <row r="21" spans="1:13" ht="14.7" thickTop="1" x14ac:dyDescent="0.5">
      <c r="A21" t="s">
        <v>198</v>
      </c>
      <c r="C21" s="43">
        <f>AVERAGE(F7:M7)</f>
        <v>3.3777171542655512E-2</v>
      </c>
      <c r="D21" s="180"/>
      <c r="F21" s="180" t="s">
        <v>198</v>
      </c>
      <c r="G21" s="180"/>
      <c r="H21" s="43">
        <f>AVERAGE(F8:M8)</f>
        <v>5.4282772790347749E-3</v>
      </c>
      <c r="I21" s="180"/>
      <c r="K21" s="180" t="s">
        <v>198</v>
      </c>
      <c r="L21" s="180"/>
      <c r="M21" s="43">
        <f>+(C23*C21)+(H23*H21)</f>
        <v>1.8580857811568516E-2</v>
      </c>
    </row>
    <row r="22" spans="1:13" x14ac:dyDescent="0.5">
      <c r="A22" t="s">
        <v>63</v>
      </c>
      <c r="C22" s="170">
        <f>STDEV(F7:M7)</f>
        <v>2.7976143461969361E-2</v>
      </c>
      <c r="D22" s="180"/>
      <c r="F22" s="180" t="s">
        <v>63</v>
      </c>
      <c r="G22" s="180"/>
      <c r="H22" s="170">
        <f>STDEV(F8:M8)</f>
        <v>7.4768509554194087E-3</v>
      </c>
      <c r="I22" s="180"/>
      <c r="K22" s="180" t="s">
        <v>207</v>
      </c>
      <c r="L22" s="180"/>
      <c r="M22" s="170">
        <f>+((C23*C22)^2)+((H23*H22)^2)+(2*C23*C22*H22*H23*C25)</f>
        <v>1.3030587654364655E-4</v>
      </c>
    </row>
    <row r="23" spans="1:13" x14ac:dyDescent="0.5">
      <c r="A23" t="s">
        <v>200</v>
      </c>
      <c r="C23" s="43">
        <f>AVERAGE(F16:M16)</f>
        <v>0.46395391686976811</v>
      </c>
      <c r="D23" s="180"/>
      <c r="F23" s="180" t="s">
        <v>200</v>
      </c>
      <c r="G23" s="180"/>
      <c r="H23" s="170">
        <f>AVERAGE(F17:M17)</f>
        <v>0.53604608313023183</v>
      </c>
      <c r="I23" s="180"/>
      <c r="K23" s="180" t="s">
        <v>63</v>
      </c>
      <c r="L23" s="180"/>
      <c r="M23" s="170">
        <f>SQRT(M22)</f>
        <v>1.1415159943848643E-2</v>
      </c>
    </row>
    <row r="24" spans="1:13" x14ac:dyDescent="0.5">
      <c r="A24" t="s">
        <v>190</v>
      </c>
      <c r="C24" s="171">
        <f>COVAR(G7:M7,G8:M8)</f>
        <v>-9.3449286255156846E-5</v>
      </c>
      <c r="K24" s="180" t="s">
        <v>200</v>
      </c>
      <c r="L24" s="180"/>
      <c r="M24" s="170">
        <f>+H24+C24</f>
        <v>-9.3449286255156846E-5</v>
      </c>
    </row>
    <row r="25" spans="1:13" x14ac:dyDescent="0.5">
      <c r="A25" t="s">
        <v>191</v>
      </c>
      <c r="C25" s="171">
        <f>CORREL(G7:M7,G8:M8)</f>
        <v>-0.52121416320238501</v>
      </c>
    </row>
    <row r="26" spans="1:13" ht="14.7" thickBot="1" x14ac:dyDescent="0.55000000000000004"/>
    <row r="27" spans="1:13" x14ac:dyDescent="0.5">
      <c r="A27" s="181" t="s">
        <v>206</v>
      </c>
      <c r="B27" s="181"/>
      <c r="C27" s="181"/>
      <c r="D27" s="181"/>
      <c r="E27" s="181"/>
      <c r="F27" s="181"/>
      <c r="G27" s="186"/>
      <c r="H27" s="181"/>
      <c r="I27" s="181"/>
      <c r="J27" s="181"/>
      <c r="K27" s="181"/>
      <c r="L27" s="181"/>
      <c r="M27" s="181"/>
    </row>
    <row r="28" spans="1:13" ht="29" thickBot="1" x14ac:dyDescent="0.55000000000000004">
      <c r="B28" s="177"/>
      <c r="C28" s="177"/>
      <c r="D28" s="185"/>
      <c r="E28" s="185"/>
      <c r="F28" s="185"/>
      <c r="G28" s="187" t="s">
        <v>208</v>
      </c>
      <c r="H28" s="185"/>
      <c r="I28" s="185"/>
      <c r="J28" s="185"/>
      <c r="K28" s="177"/>
      <c r="L28" s="177"/>
      <c r="M28" s="177"/>
    </row>
    <row r="29" spans="1:13" x14ac:dyDescent="0.5">
      <c r="A29" t="s">
        <v>37</v>
      </c>
      <c r="B29" s="182">
        <v>0</v>
      </c>
      <c r="C29" s="182">
        <v>0.1</v>
      </c>
      <c r="D29" s="182">
        <v>0.2</v>
      </c>
      <c r="E29" s="182">
        <v>0.3</v>
      </c>
      <c r="F29" s="180">
        <v>0.4</v>
      </c>
      <c r="G29" s="188">
        <f>+C23</f>
        <v>0.46395391686976811</v>
      </c>
      <c r="H29" s="180">
        <v>0.5</v>
      </c>
      <c r="I29" s="180">
        <v>0.6</v>
      </c>
      <c r="J29" s="180">
        <v>0.7</v>
      </c>
      <c r="K29" s="180">
        <v>0.8</v>
      </c>
      <c r="L29" s="180">
        <v>0.9</v>
      </c>
      <c r="M29" s="180">
        <v>1</v>
      </c>
    </row>
    <row r="30" spans="1:13" x14ac:dyDescent="0.5">
      <c r="A30" t="s">
        <v>38</v>
      </c>
      <c r="B30" s="182">
        <f>1-B29</f>
        <v>1</v>
      </c>
      <c r="C30" s="182">
        <f>1-C29</f>
        <v>0.9</v>
      </c>
      <c r="D30" s="182">
        <f t="shared" ref="D30" si="6">1-D29</f>
        <v>0.8</v>
      </c>
      <c r="E30" s="182">
        <f t="shared" ref="E30" si="7">1-E29</f>
        <v>0.7</v>
      </c>
      <c r="F30" s="180">
        <f t="shared" ref="F30" si="8">1-F29</f>
        <v>0.6</v>
      </c>
      <c r="G30" s="188">
        <f>+H23</f>
        <v>0.53604608313023183</v>
      </c>
      <c r="H30" s="180">
        <f t="shared" ref="H30" si="9">1-H29</f>
        <v>0.5</v>
      </c>
      <c r="I30" s="180">
        <f t="shared" ref="I30" si="10">1-I29</f>
        <v>0.4</v>
      </c>
      <c r="J30" s="180">
        <f t="shared" ref="J30" si="11">1-J29</f>
        <v>0.30000000000000004</v>
      </c>
      <c r="K30" s="180">
        <f t="shared" ref="K30" si="12">1-K29</f>
        <v>0.19999999999999996</v>
      </c>
      <c r="L30" s="180">
        <f t="shared" ref="L30:M30" si="13">1-L29</f>
        <v>9.9999999999999978E-2</v>
      </c>
      <c r="M30" s="180">
        <f t="shared" si="13"/>
        <v>0</v>
      </c>
    </row>
    <row r="31" spans="1:13" x14ac:dyDescent="0.5">
      <c r="B31" s="182"/>
      <c r="C31" s="182"/>
      <c r="D31" s="182"/>
      <c r="E31" s="182"/>
      <c r="F31" s="180"/>
      <c r="G31" s="189"/>
      <c r="H31" s="180"/>
      <c r="I31" s="180"/>
      <c r="J31" s="180"/>
      <c r="K31" s="180"/>
      <c r="L31" s="180"/>
      <c r="M31" s="180"/>
    </row>
    <row r="32" spans="1:13" x14ac:dyDescent="0.5">
      <c r="A32" t="s">
        <v>88</v>
      </c>
      <c r="B32" s="183">
        <f t="shared" ref="B32:M32" si="14">+(B29*$C$21)+(B30*$H$21)</f>
        <v>5.4282772790347749E-3</v>
      </c>
      <c r="C32" s="183">
        <f t="shared" si="14"/>
        <v>8.2631667053968492E-3</v>
      </c>
      <c r="D32" s="183">
        <f t="shared" si="14"/>
        <v>1.1098056131758922E-2</v>
      </c>
      <c r="E32" s="183">
        <f t="shared" si="14"/>
        <v>1.3932945558120996E-2</v>
      </c>
      <c r="F32" s="170">
        <f t="shared" si="14"/>
        <v>1.676783498448307E-2</v>
      </c>
      <c r="G32" s="190">
        <f t="shared" si="14"/>
        <v>1.8580857811568516E-2</v>
      </c>
      <c r="H32" s="170">
        <f t="shared" si="14"/>
        <v>1.9602724410845145E-2</v>
      </c>
      <c r="I32" s="170">
        <f t="shared" si="14"/>
        <v>2.2437613837207215E-2</v>
      </c>
      <c r="J32" s="170">
        <f t="shared" si="14"/>
        <v>2.527250326356929E-2</v>
      </c>
      <c r="K32" s="170">
        <f t="shared" si="14"/>
        <v>2.8107392689931367E-2</v>
      </c>
      <c r="L32" s="170">
        <f t="shared" si="14"/>
        <v>3.0942282116293438E-2</v>
      </c>
      <c r="M32" s="170">
        <f t="shared" si="14"/>
        <v>3.3777171542655512E-2</v>
      </c>
    </row>
    <row r="33" spans="1:13" x14ac:dyDescent="0.5">
      <c r="A33" t="s">
        <v>63</v>
      </c>
      <c r="B33" s="183">
        <f t="shared" ref="B33:M33" si="15">SQRT(((B29*$C$22)^2)+((B30*$H$22)^2)+(2*B29*$C$22*B30*$H$22*$C$25))</f>
        <v>7.4768509554194087E-3</v>
      </c>
      <c r="C33" s="183">
        <f t="shared" si="15"/>
        <v>5.7865334256534317E-3</v>
      </c>
      <c r="D33" s="183">
        <f t="shared" si="15"/>
        <v>5.6742367521143318E-3</v>
      </c>
      <c r="E33" s="183">
        <f t="shared" si="15"/>
        <v>7.214033622605167E-3</v>
      </c>
      <c r="F33" s="170">
        <f t="shared" si="15"/>
        <v>9.6446837300817132E-3</v>
      </c>
      <c r="G33" s="190">
        <f t="shared" si="15"/>
        <v>1.1415159943848643E-2</v>
      </c>
      <c r="H33" s="170">
        <f t="shared" si="15"/>
        <v>1.2455115100018959E-2</v>
      </c>
      <c r="I33" s="170">
        <f t="shared" si="15"/>
        <v>1.5439306487414839E-2</v>
      </c>
      <c r="J33" s="170">
        <f t="shared" si="15"/>
        <v>1.8513422218113317E-2</v>
      </c>
      <c r="K33" s="170">
        <f t="shared" si="15"/>
        <v>2.1639171527489814E-2</v>
      </c>
      <c r="L33" s="170">
        <f t="shared" si="15"/>
        <v>2.4797036341512917E-2</v>
      </c>
      <c r="M33" s="170">
        <f t="shared" si="15"/>
        <v>2.7976143461969361E-2</v>
      </c>
    </row>
    <row r="34" spans="1:13" ht="14.7" thickBot="1" x14ac:dyDescent="0.55000000000000004">
      <c r="B34" s="184"/>
      <c r="C34" s="184"/>
      <c r="D34" s="184"/>
      <c r="E34" s="184"/>
      <c r="G34" s="191"/>
    </row>
    <row r="37" spans="1:13" ht="11.35" customHeight="1" x14ac:dyDescent="0.5">
      <c r="C37" s="252" t="s">
        <v>209</v>
      </c>
      <c r="D37" s="252"/>
    </row>
    <row r="38" spans="1:13" x14ac:dyDescent="0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x14ac:dyDescent="0.5">
      <c r="M39" s="132" t="s">
        <v>211</v>
      </c>
    </row>
  </sheetData>
  <mergeCells count="1">
    <mergeCell ref="C37:D37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32EAD-1697-4559-B084-EE7734D5098E}">
  <dimension ref="D3:E14"/>
  <sheetViews>
    <sheetView workbookViewId="0">
      <selection activeCell="E29" sqref="E29"/>
    </sheetView>
  </sheetViews>
  <sheetFormatPr defaultRowHeight="14.35" x14ac:dyDescent="0.5"/>
  <sheetData>
    <row r="3" spans="4:5" x14ac:dyDescent="0.5">
      <c r="D3" t="s">
        <v>69</v>
      </c>
      <c r="E3" t="s">
        <v>70</v>
      </c>
    </row>
    <row r="4" spans="4:5" x14ac:dyDescent="0.5">
      <c r="D4" s="118">
        <v>5.0968715895144943</v>
      </c>
      <c r="E4" s="118">
        <v>2.0833333333333335</v>
      </c>
    </row>
    <row r="5" spans="4:5" x14ac:dyDescent="0.5">
      <c r="D5" s="119">
        <v>3.4970082556720183</v>
      </c>
      <c r="E5" s="119">
        <v>3.0425000000000004</v>
      </c>
    </row>
    <row r="6" spans="4:5" x14ac:dyDescent="0.5">
      <c r="D6" s="131">
        <v>2.7292462908244652</v>
      </c>
      <c r="E6" s="131">
        <v>4.0016666666666669</v>
      </c>
    </row>
    <row r="7" spans="4:5" x14ac:dyDescent="0.5">
      <c r="D7" s="131">
        <v>3.4113422178407378</v>
      </c>
      <c r="E7" s="131">
        <v>4.9608333333333343</v>
      </c>
    </row>
    <row r="8" spans="4:5" x14ac:dyDescent="0.5">
      <c r="D8" s="119">
        <v>4.9794053835742931</v>
      </c>
      <c r="E8" s="119">
        <v>5.9200000000000008</v>
      </c>
    </row>
    <row r="9" spans="4:5" x14ac:dyDescent="0.5">
      <c r="D9" s="119">
        <v>6.8498505134212468</v>
      </c>
      <c r="E9" s="119">
        <v>6.8791666666666682</v>
      </c>
    </row>
    <row r="10" spans="4:5" x14ac:dyDescent="0.5">
      <c r="D10" s="119">
        <v>8.8326201080975189</v>
      </c>
      <c r="E10" s="119">
        <v>7.8383333333333347</v>
      </c>
    </row>
    <row r="11" spans="4:5" x14ac:dyDescent="0.5">
      <c r="D11" s="119">
        <v>10.866400311382908</v>
      </c>
      <c r="E11" s="119">
        <v>8.7975000000000012</v>
      </c>
    </row>
    <row r="12" spans="4:5" x14ac:dyDescent="0.5">
      <c r="D12" s="119">
        <v>12.927137553069475</v>
      </c>
      <c r="E12" s="119">
        <v>9.7566666666666677</v>
      </c>
    </row>
    <row r="13" spans="4:5" x14ac:dyDescent="0.5">
      <c r="D13" s="119">
        <v>15.00372842796877</v>
      </c>
      <c r="E13" s="119">
        <v>10.715833333333336</v>
      </c>
    </row>
    <row r="14" spans="4:5" x14ac:dyDescent="0.5">
      <c r="D14" s="119">
        <v>17.09039496325348</v>
      </c>
      <c r="E14" s="119">
        <v>11.675000000000002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CA9BC-6138-4D2B-A54F-47AE287DB3D4}">
  <dimension ref="A1:K12"/>
  <sheetViews>
    <sheetView workbookViewId="0">
      <selection activeCell="G18" sqref="G18"/>
    </sheetView>
  </sheetViews>
  <sheetFormatPr defaultRowHeight="14.35" x14ac:dyDescent="0.5"/>
  <cols>
    <col min="1" max="1" width="11.76171875" bestFit="1" customWidth="1"/>
    <col min="2" max="2" width="8.52734375" bestFit="1" customWidth="1"/>
  </cols>
  <sheetData>
    <row r="1" spans="1:11" x14ac:dyDescent="0.5">
      <c r="A1" t="s">
        <v>69</v>
      </c>
      <c r="B1" t="s">
        <v>70</v>
      </c>
      <c r="D1" s="87" t="s">
        <v>69</v>
      </c>
      <c r="E1" s="88" t="s">
        <v>70</v>
      </c>
      <c r="G1" t="s">
        <v>69</v>
      </c>
      <c r="H1" t="s">
        <v>70</v>
      </c>
      <c r="J1" t="s">
        <v>69</v>
      </c>
      <c r="K1" t="s">
        <v>70</v>
      </c>
    </row>
    <row r="2" spans="1:11" x14ac:dyDescent="0.5">
      <c r="A2">
        <v>7.0489360899358422</v>
      </c>
      <c r="B2">
        <v>4.25</v>
      </c>
      <c r="D2">
        <v>7.0489360899358422</v>
      </c>
      <c r="E2">
        <v>4.25</v>
      </c>
      <c r="G2">
        <v>7.0489360899358422</v>
      </c>
      <c r="H2">
        <v>4.25</v>
      </c>
      <c r="J2">
        <v>7.0489360899358422</v>
      </c>
      <c r="K2">
        <v>4.25</v>
      </c>
    </row>
    <row r="3" spans="1:11" x14ac:dyDescent="0.5">
      <c r="A3">
        <v>4.9062689490079929</v>
      </c>
      <c r="B3">
        <v>4.9950000000000001</v>
      </c>
      <c r="D3">
        <v>6.5170526313664219</v>
      </c>
      <c r="E3">
        <v>4.9950000000000001</v>
      </c>
      <c r="G3">
        <v>7.8357193896594239</v>
      </c>
      <c r="H3">
        <v>4.9950000000000001</v>
      </c>
      <c r="J3">
        <v>4.852365572225092</v>
      </c>
      <c r="K3">
        <v>4.9950000000000001</v>
      </c>
    </row>
    <row r="4" spans="1:11" x14ac:dyDescent="0.5">
      <c r="A4">
        <v>2.8263757711953303</v>
      </c>
      <c r="B4">
        <v>5.74</v>
      </c>
      <c r="D4">
        <v>6.3796865126744304</v>
      </c>
      <c r="E4">
        <v>5.74</v>
      </c>
      <c r="G4">
        <v>8.6225026893830048</v>
      </c>
      <c r="H4">
        <v>5.74</v>
      </c>
      <c r="J4">
        <v>2.6557950545143414</v>
      </c>
      <c r="K4">
        <v>5.74</v>
      </c>
    </row>
    <row r="5" spans="1:11" x14ac:dyDescent="0.5">
      <c r="A5">
        <v>1.1992810346203251</v>
      </c>
      <c r="B5">
        <v>6.4849999999999994</v>
      </c>
      <c r="D5">
        <v>6.6612892896195408</v>
      </c>
      <c r="E5">
        <v>6.4849999999999994</v>
      </c>
      <c r="G5">
        <v>9.4092859891065874</v>
      </c>
      <c r="H5">
        <v>6.4849999999999994</v>
      </c>
      <c r="J5">
        <v>0.45922453680359088</v>
      </c>
      <c r="K5">
        <v>6.4849999999999994</v>
      </c>
    </row>
    <row r="6" spans="1:11" x14ac:dyDescent="0.5">
      <c r="A6">
        <v>2.1026411962101386</v>
      </c>
      <c r="B6">
        <v>7.2299999999999995</v>
      </c>
      <c r="D6">
        <v>7.3136242725477771</v>
      </c>
      <c r="E6">
        <v>7.2299999999999995</v>
      </c>
      <c r="G6">
        <v>10.19606928883017</v>
      </c>
      <c r="H6">
        <v>7.2299999999999995</v>
      </c>
      <c r="J6">
        <v>1.7373459809071594</v>
      </c>
      <c r="K6">
        <v>7.2299999999999995</v>
      </c>
    </row>
    <row r="7" spans="1:11" x14ac:dyDescent="0.5">
      <c r="A7">
        <v>4.1154434754956846</v>
      </c>
      <c r="B7">
        <v>7.9749999999999996</v>
      </c>
      <c r="D7">
        <v>8.2492045071024869</v>
      </c>
      <c r="E7">
        <v>7.9749999999999996</v>
      </c>
      <c r="G7">
        <v>10.982852588553751</v>
      </c>
      <c r="H7">
        <v>7.9749999999999996</v>
      </c>
      <c r="J7">
        <v>3.9339164986179083</v>
      </c>
      <c r="K7">
        <v>7.9749999999999996</v>
      </c>
    </row>
    <row r="8" spans="1:11" x14ac:dyDescent="0.5">
      <c r="A8">
        <v>6.2438449692477151</v>
      </c>
      <c r="B8">
        <v>8.7199999999999989</v>
      </c>
      <c r="D8">
        <v>9.3836879743520889</v>
      </c>
      <c r="E8">
        <v>8.7199999999999989</v>
      </c>
      <c r="G8">
        <v>11.769635888277332</v>
      </c>
      <c r="H8">
        <v>8.7199999999999989</v>
      </c>
      <c r="J8">
        <v>6.130487016328658</v>
      </c>
      <c r="K8">
        <v>8.7199999999999989</v>
      </c>
    </row>
    <row r="9" spans="1:11" x14ac:dyDescent="0.5">
      <c r="A9">
        <v>8.4004330245529584</v>
      </c>
      <c r="B9">
        <v>9.4649999999999999</v>
      </c>
      <c r="D9">
        <v>10.653721180883231</v>
      </c>
      <c r="E9">
        <v>9.4649999999999999</v>
      </c>
      <c r="G9">
        <v>12.556419188000913</v>
      </c>
      <c r="H9">
        <v>9.4649999999999999</v>
      </c>
      <c r="J9">
        <v>8.3270575340394064</v>
      </c>
      <c r="K9">
        <v>9.4649999999999999</v>
      </c>
    </row>
    <row r="10" spans="1:11" x14ac:dyDescent="0.5">
      <c r="A10">
        <v>10.567965745591719</v>
      </c>
      <c r="B10">
        <v>10.209999999999999</v>
      </c>
      <c r="D10">
        <v>12.016401291568119</v>
      </c>
      <c r="E10">
        <v>10.209999999999999</v>
      </c>
      <c r="G10">
        <v>13.343202487724495</v>
      </c>
      <c r="H10">
        <v>10.209999999999999</v>
      </c>
      <c r="J10">
        <v>10.523628051750157</v>
      </c>
      <c r="K10">
        <v>10.209999999999999</v>
      </c>
    </row>
    <row r="11" spans="1:11" x14ac:dyDescent="0.5">
      <c r="A11">
        <v>12.740858487558832</v>
      </c>
      <c r="B11">
        <v>10.954999999999998</v>
      </c>
      <c r="D11">
        <v>13.443584901357225</v>
      </c>
      <c r="E11">
        <v>10.954999999999998</v>
      </c>
      <c r="G11">
        <v>14.129985787448076</v>
      </c>
      <c r="H11">
        <v>10.954999999999998</v>
      </c>
      <c r="J11">
        <v>12.720198569460905</v>
      </c>
      <c r="K11">
        <v>10.954999999999998</v>
      </c>
    </row>
    <row r="12" spans="1:11" x14ac:dyDescent="0.5">
      <c r="A12">
        <v>14.916769087171657</v>
      </c>
      <c r="B12">
        <v>11.699999999999998</v>
      </c>
      <c r="D12">
        <v>14.916769087171657</v>
      </c>
      <c r="E12">
        <v>11.699999999999998</v>
      </c>
      <c r="G12">
        <v>14.916769087171657</v>
      </c>
      <c r="H12">
        <v>11.699999999999998</v>
      </c>
      <c r="J12">
        <v>14.916769087171657</v>
      </c>
      <c r="K12">
        <v>11.699999999999998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93D8-4D4E-48F0-9352-F08BD3653FA3}">
  <dimension ref="A1"/>
  <sheetViews>
    <sheetView workbookViewId="0">
      <selection activeCell="E11" sqref="E11"/>
    </sheetView>
  </sheetViews>
  <sheetFormatPr defaultRowHeight="14.35" x14ac:dyDescent="0.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9AF3D-65B2-4A12-8034-5A93C7E8067D}">
  <dimension ref="A1"/>
  <sheetViews>
    <sheetView workbookViewId="0">
      <selection activeCell="B2" sqref="B2:C13"/>
    </sheetView>
  </sheetViews>
  <sheetFormatPr defaultRowHeight="14.35" x14ac:dyDescent="0.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08CE8-44FC-464F-BC54-677256C6A1E3}">
  <dimension ref="A4:O20"/>
  <sheetViews>
    <sheetView topLeftCell="A7" workbookViewId="0">
      <selection activeCell="D23" sqref="D23"/>
    </sheetView>
  </sheetViews>
  <sheetFormatPr defaultRowHeight="14.35" x14ac:dyDescent="0.5"/>
  <sheetData>
    <row r="4" spans="1:15" ht="17.7" x14ac:dyDescent="0.55000000000000004">
      <c r="A4" s="45" t="s">
        <v>39</v>
      </c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4.7" thickBot="1" x14ac:dyDescent="0.55000000000000004">
      <c r="A5" s="48"/>
      <c r="B5" s="43"/>
    </row>
    <row r="6" spans="1:15" ht="14.7" thickBot="1" x14ac:dyDescent="0.55000000000000004">
      <c r="A6" s="49" t="s">
        <v>40</v>
      </c>
      <c r="B6" s="50">
        <v>0.2</v>
      </c>
    </row>
    <row r="7" spans="1:15" ht="14.7" thickBot="1" x14ac:dyDescent="0.55000000000000004"/>
    <row r="8" spans="1:15" ht="29.25" customHeight="1" thickBot="1" x14ac:dyDescent="0.55000000000000004">
      <c r="A8" s="51"/>
      <c r="B8" s="52" t="s">
        <v>41</v>
      </c>
      <c r="C8" s="53"/>
      <c r="D8" s="52" t="s">
        <v>42</v>
      </c>
      <c r="E8" s="54" t="s">
        <v>43</v>
      </c>
      <c r="F8" s="52" t="s">
        <v>44</v>
      </c>
      <c r="G8" s="52" t="s">
        <v>45</v>
      </c>
      <c r="H8" s="55" t="s">
        <v>46</v>
      </c>
      <c r="I8" s="53"/>
      <c r="J8" s="53"/>
      <c r="K8" s="56" t="s">
        <v>47</v>
      </c>
    </row>
    <row r="9" spans="1:15" x14ac:dyDescent="0.5">
      <c r="A9" s="37" t="s">
        <v>48</v>
      </c>
      <c r="B9" s="57"/>
      <c r="E9" s="58"/>
    </row>
    <row r="10" spans="1:15" x14ac:dyDescent="0.5">
      <c r="A10" t="s">
        <v>49</v>
      </c>
      <c r="B10" s="59">
        <v>50</v>
      </c>
      <c r="D10" s="60"/>
      <c r="E10" s="61">
        <v>3</v>
      </c>
      <c r="F10" s="60">
        <v>0</v>
      </c>
      <c r="G10" s="60"/>
      <c r="H10" s="60"/>
    </row>
    <row r="11" spans="1:15" x14ac:dyDescent="0.5">
      <c r="B11" s="59"/>
      <c r="D11" s="60"/>
      <c r="E11" s="60"/>
      <c r="F11" s="60"/>
      <c r="G11" s="60"/>
      <c r="H11" s="60"/>
    </row>
    <row r="12" spans="1:15" x14ac:dyDescent="0.5">
      <c r="A12" s="37" t="s">
        <v>50</v>
      </c>
      <c r="B12" s="59"/>
      <c r="D12" s="60"/>
      <c r="E12" s="60"/>
      <c r="F12" s="60"/>
      <c r="G12" s="60"/>
      <c r="H12" s="60"/>
    </row>
    <row r="13" spans="1:15" x14ac:dyDescent="0.5">
      <c r="A13" t="s">
        <v>38</v>
      </c>
      <c r="B13" s="59">
        <v>20</v>
      </c>
      <c r="D13" s="62" t="e">
        <f>+B13/('Fig 2.3'!#REF!+'Fig 2.3'!#REF!)</f>
        <v>#REF!</v>
      </c>
      <c r="E13" s="63">
        <f>+'Fig 2.3'!N15</f>
        <v>4.25</v>
      </c>
      <c r="F13" s="60">
        <f>+'Fig 2.3'!B8</f>
        <v>7.0489360899358422</v>
      </c>
      <c r="G13" s="60" t="e">
        <f>+(D13*F13)^2</f>
        <v>#REF!</v>
      </c>
      <c r="H13" s="60"/>
    </row>
    <row r="14" spans="1:15" x14ac:dyDescent="0.5">
      <c r="A14" t="s">
        <v>37</v>
      </c>
      <c r="B14" s="59">
        <f>100-B13-B10</f>
        <v>30</v>
      </c>
      <c r="D14" s="62" t="e">
        <f>+B14/('Fig 2.3'!#REF!+'Fig 2.3'!#REF!)</f>
        <v>#REF!</v>
      </c>
      <c r="E14" s="63">
        <f>+'Fig 2.3'!M15</f>
        <v>7.0489360899358422</v>
      </c>
      <c r="F14" s="60">
        <f>+'Fig 2.3'!B7</f>
        <v>14.916769087171659</v>
      </c>
      <c r="G14" s="60" t="e">
        <f>+(D14*F14)^2</f>
        <v>#REF!</v>
      </c>
      <c r="H14" s="60"/>
    </row>
    <row r="15" spans="1:15" ht="14.7" thickBot="1" x14ac:dyDescent="0.55000000000000004">
      <c r="B15" s="64">
        <f>SUM(B10:B14)</f>
        <v>100</v>
      </c>
      <c r="D15" s="65"/>
      <c r="E15" s="66" t="e">
        <f>+(E13*D13)+(E14*D14)</f>
        <v>#REF!</v>
      </c>
      <c r="F15" s="67"/>
      <c r="G15" s="67" t="e">
        <f>+G14+G13</f>
        <v>#REF!</v>
      </c>
      <c r="H15" s="67" t="e">
        <f>2*D13*F13*D14*F14*'Fig 2.3'!#REF!</f>
        <v>#REF!</v>
      </c>
      <c r="K15" t="e">
        <f>+H15+G15</f>
        <v>#REF!</v>
      </c>
    </row>
    <row r="16" spans="1:15" ht="15" thickTop="1" thickBot="1" x14ac:dyDescent="0.55000000000000004"/>
    <row r="17" spans="1:11" ht="14.7" thickBot="1" x14ac:dyDescent="0.55000000000000004">
      <c r="K17" s="68" t="e">
        <f>SQRT(K15)</f>
        <v>#REF!</v>
      </c>
    </row>
    <row r="18" spans="1:11" ht="14.7" thickBot="1" x14ac:dyDescent="0.55000000000000004">
      <c r="A18" s="49" t="s">
        <v>51</v>
      </c>
      <c r="B18" s="69" t="e">
        <f>+(E15-E10)/K17</f>
        <v>#REF!</v>
      </c>
    </row>
    <row r="19" spans="1:11" ht="14.7" thickBot="1" x14ac:dyDescent="0.55000000000000004"/>
    <row r="20" spans="1:11" ht="14.7" thickBot="1" x14ac:dyDescent="0.55000000000000004">
      <c r="A20" s="49" t="s">
        <v>52</v>
      </c>
      <c r="B20" s="54"/>
      <c r="C20" s="54"/>
      <c r="D20" s="70">
        <f>+(B10/100*E10)+(B13/100*E13)+(B14/100*E14)</f>
        <v>4.4646808269807527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A0EC-4F2F-47CF-99DB-F115096679FA}">
  <dimension ref="B1:M133"/>
  <sheetViews>
    <sheetView workbookViewId="0">
      <selection sqref="A1:XFD1048576"/>
    </sheetView>
  </sheetViews>
  <sheetFormatPr defaultRowHeight="14.35" x14ac:dyDescent="0.5"/>
  <cols>
    <col min="1" max="1" width="3.9375" customWidth="1"/>
    <col min="3" max="3" width="19.8203125" customWidth="1"/>
    <col min="4" max="4" width="12.29296875" customWidth="1"/>
  </cols>
  <sheetData>
    <row r="1" spans="2:12" ht="23.35" x14ac:dyDescent="0.8">
      <c r="B1" s="133" t="s">
        <v>111</v>
      </c>
    </row>
    <row r="2" spans="2:12" ht="8.6999999999999993" customHeight="1" x14ac:dyDescent="0.5"/>
    <row r="3" spans="2:12" ht="18.350000000000001" customHeight="1" x14ac:dyDescent="0.55000000000000004">
      <c r="B3" s="45" t="s">
        <v>112</v>
      </c>
      <c r="C3" s="134"/>
      <c r="D3" s="135"/>
      <c r="E3" s="136"/>
      <c r="F3" s="136"/>
      <c r="G3" s="136"/>
      <c r="H3" s="136"/>
      <c r="I3" s="136"/>
      <c r="J3" s="136"/>
      <c r="K3" s="136"/>
      <c r="L3" s="136"/>
    </row>
    <row r="4" spans="2:12" ht="10.7" customHeight="1" x14ac:dyDescent="0.5">
      <c r="C4" s="137"/>
      <c r="D4" s="138"/>
    </row>
    <row r="5" spans="2:12" x14ac:dyDescent="0.5">
      <c r="B5" s="15" t="s">
        <v>113</v>
      </c>
      <c r="C5" s="137"/>
      <c r="E5" s="139">
        <v>0</v>
      </c>
      <c r="F5" s="139">
        <v>1</v>
      </c>
      <c r="G5" s="139">
        <v>2</v>
      </c>
      <c r="H5" s="139">
        <v>3</v>
      </c>
      <c r="I5" s="139">
        <v>4</v>
      </c>
      <c r="J5" s="139">
        <v>5</v>
      </c>
      <c r="K5" s="139">
        <v>6</v>
      </c>
      <c r="L5" s="139">
        <v>7</v>
      </c>
    </row>
    <row r="6" spans="2:12" ht="24.35" thickBot="1" x14ac:dyDescent="0.55000000000000004">
      <c r="B6" s="140" t="s">
        <v>114</v>
      </c>
      <c r="C6" s="141" t="s">
        <v>115</v>
      </c>
      <c r="D6" s="141" t="s">
        <v>116</v>
      </c>
      <c r="E6" s="142" t="s">
        <v>117</v>
      </c>
      <c r="F6" s="142" t="s">
        <v>118</v>
      </c>
      <c r="G6" s="142" t="s">
        <v>119</v>
      </c>
      <c r="H6" s="142" t="s">
        <v>120</v>
      </c>
      <c r="I6" s="142" t="s">
        <v>121</v>
      </c>
      <c r="J6" s="142" t="s">
        <v>122</v>
      </c>
      <c r="K6" s="142" t="s">
        <v>123</v>
      </c>
      <c r="L6" s="142" t="s">
        <v>124</v>
      </c>
    </row>
    <row r="7" spans="2:12" ht="14.7" thickTop="1" x14ac:dyDescent="0.5">
      <c r="B7" s="143" t="s">
        <v>125</v>
      </c>
      <c r="C7" s="143" t="s">
        <v>126</v>
      </c>
      <c r="D7" s="143" t="s">
        <v>127</v>
      </c>
      <c r="E7" s="143">
        <v>23</v>
      </c>
      <c r="F7" s="143">
        <v>24</v>
      </c>
      <c r="G7" s="143">
        <v>22.5</v>
      </c>
      <c r="H7" s="143">
        <v>25</v>
      </c>
      <c r="I7" s="143">
        <v>26</v>
      </c>
      <c r="J7" s="143">
        <v>27</v>
      </c>
      <c r="K7" s="143">
        <v>28</v>
      </c>
      <c r="L7" s="143">
        <v>31</v>
      </c>
    </row>
    <row r="8" spans="2:12" x14ac:dyDescent="0.5">
      <c r="B8" s="143" t="s">
        <v>128</v>
      </c>
      <c r="C8" s="143" t="s">
        <v>129</v>
      </c>
      <c r="D8" s="143" t="s">
        <v>130</v>
      </c>
      <c r="E8" s="143">
        <v>12</v>
      </c>
      <c r="F8" s="143">
        <v>10</v>
      </c>
      <c r="G8" s="143">
        <v>12</v>
      </c>
      <c r="H8" s="143">
        <v>12</v>
      </c>
      <c r="I8" s="143">
        <v>15</v>
      </c>
      <c r="J8" s="143">
        <v>18</v>
      </c>
      <c r="K8" s="143">
        <v>19.5</v>
      </c>
      <c r="L8" s="143">
        <v>22</v>
      </c>
    </row>
    <row r="9" spans="2:12" x14ac:dyDescent="0.5">
      <c r="B9" s="143" t="s">
        <v>131</v>
      </c>
      <c r="C9" s="143" t="s">
        <v>132</v>
      </c>
      <c r="D9" s="143" t="s">
        <v>133</v>
      </c>
      <c r="E9" s="143">
        <v>18</v>
      </c>
      <c r="F9" s="143">
        <v>19</v>
      </c>
      <c r="G9" s="143">
        <v>18</v>
      </c>
      <c r="H9" s="143">
        <v>19</v>
      </c>
      <c r="I9" s="143">
        <v>21</v>
      </c>
      <c r="J9" s="143">
        <v>20</v>
      </c>
      <c r="K9" s="143">
        <v>19</v>
      </c>
      <c r="L9" s="143">
        <v>21</v>
      </c>
    </row>
    <row r="10" spans="2:12" x14ac:dyDescent="0.5">
      <c r="B10" s="143" t="s">
        <v>134</v>
      </c>
      <c r="C10" s="143" t="s">
        <v>135</v>
      </c>
      <c r="D10" s="143" t="s">
        <v>136</v>
      </c>
      <c r="E10" s="143">
        <v>40</v>
      </c>
      <c r="F10" s="143">
        <v>42</v>
      </c>
      <c r="G10" s="143">
        <v>43</v>
      </c>
      <c r="H10" s="143">
        <v>45</v>
      </c>
      <c r="I10" s="143">
        <v>45</v>
      </c>
      <c r="J10" s="143">
        <v>45</v>
      </c>
      <c r="K10" s="143">
        <v>46</v>
      </c>
      <c r="L10" s="143">
        <v>48</v>
      </c>
    </row>
    <row r="11" spans="2:12" x14ac:dyDescent="0.5">
      <c r="B11" s="143" t="s">
        <v>137</v>
      </c>
      <c r="C11" s="143" t="s">
        <v>138</v>
      </c>
      <c r="D11" s="143" t="s">
        <v>139</v>
      </c>
      <c r="E11" s="143">
        <v>52</v>
      </c>
      <c r="F11" s="143">
        <v>60</v>
      </c>
      <c r="G11" s="143">
        <v>60</v>
      </c>
      <c r="H11" s="143">
        <v>60</v>
      </c>
      <c r="I11" s="143">
        <v>62</v>
      </c>
      <c r="J11" s="143">
        <v>62</v>
      </c>
      <c r="K11" s="143">
        <v>61</v>
      </c>
      <c r="L11" s="143">
        <v>63</v>
      </c>
    </row>
    <row r="12" spans="2:12" x14ac:dyDescent="0.5">
      <c r="B12" s="143" t="s">
        <v>140</v>
      </c>
      <c r="C12" s="143" t="s">
        <v>141</v>
      </c>
      <c r="D12" s="143" t="s">
        <v>142</v>
      </c>
      <c r="E12" s="143">
        <v>31</v>
      </c>
      <c r="F12" s="143">
        <v>20</v>
      </c>
      <c r="G12" s="143">
        <v>25</v>
      </c>
      <c r="H12" s="143">
        <v>26</v>
      </c>
      <c r="I12" s="143">
        <v>20</v>
      </c>
      <c r="J12" s="143">
        <v>22</v>
      </c>
      <c r="K12" s="143">
        <v>24</v>
      </c>
      <c r="L12" s="143">
        <v>25</v>
      </c>
    </row>
    <row r="13" spans="2:12" x14ac:dyDescent="0.5">
      <c r="B13" s="143" t="s">
        <v>143</v>
      </c>
      <c r="C13" s="143" t="s">
        <v>144</v>
      </c>
      <c r="D13" s="143" t="s">
        <v>145</v>
      </c>
      <c r="E13" s="143">
        <v>15</v>
      </c>
      <c r="F13" s="143">
        <v>16</v>
      </c>
      <c r="G13" s="143">
        <v>17</v>
      </c>
      <c r="H13" s="143">
        <v>18</v>
      </c>
      <c r="I13" s="143">
        <v>19</v>
      </c>
      <c r="J13" s="143">
        <v>19</v>
      </c>
      <c r="K13" s="143">
        <v>18</v>
      </c>
      <c r="L13" s="143">
        <v>20</v>
      </c>
    </row>
    <row r="14" spans="2:12" x14ac:dyDescent="0.5">
      <c r="B14" s="143" t="s">
        <v>146</v>
      </c>
      <c r="C14" s="143" t="s">
        <v>147</v>
      </c>
      <c r="D14" s="143" t="s">
        <v>148</v>
      </c>
      <c r="E14" s="143">
        <v>8</v>
      </c>
      <c r="F14" s="143">
        <v>9.5</v>
      </c>
      <c r="G14" s="143">
        <v>10.5</v>
      </c>
      <c r="H14" s="143">
        <v>11</v>
      </c>
      <c r="I14" s="143">
        <v>11.5</v>
      </c>
      <c r="J14" s="143">
        <v>12</v>
      </c>
      <c r="K14" s="143">
        <v>14</v>
      </c>
      <c r="L14" s="143">
        <v>14.5</v>
      </c>
    </row>
    <row r="15" spans="2:12" x14ac:dyDescent="0.5">
      <c r="B15" s="143" t="s">
        <v>149</v>
      </c>
      <c r="C15" s="143" t="s">
        <v>150</v>
      </c>
      <c r="D15" s="143" t="s">
        <v>151</v>
      </c>
      <c r="E15" s="143">
        <v>15</v>
      </c>
      <c r="F15" s="143">
        <v>13</v>
      </c>
      <c r="G15" s="143">
        <v>12</v>
      </c>
      <c r="H15" s="143">
        <v>14</v>
      </c>
      <c r="I15" s="143">
        <v>15</v>
      </c>
      <c r="J15" s="143">
        <v>18</v>
      </c>
      <c r="K15" s="143">
        <v>22</v>
      </c>
      <c r="L15" s="143">
        <v>20</v>
      </c>
    </row>
    <row r="16" spans="2:12" x14ac:dyDescent="0.5">
      <c r="B16" s="143" t="s">
        <v>152</v>
      </c>
      <c r="C16" s="143" t="s">
        <v>153</v>
      </c>
      <c r="D16" s="143" t="s">
        <v>154</v>
      </c>
      <c r="E16" s="143">
        <v>25</v>
      </c>
      <c r="F16" s="143">
        <v>26</v>
      </c>
      <c r="G16" s="143">
        <v>26</v>
      </c>
      <c r="H16" s="143">
        <v>26</v>
      </c>
      <c r="I16" s="143">
        <v>26</v>
      </c>
      <c r="J16" s="143">
        <v>26</v>
      </c>
      <c r="K16" s="143">
        <v>27</v>
      </c>
      <c r="L16" s="143">
        <v>20</v>
      </c>
    </row>
    <row r="17" spans="2:12" x14ac:dyDescent="0.5">
      <c r="B17" s="143" t="s">
        <v>155</v>
      </c>
      <c r="C17" s="143" t="s">
        <v>156</v>
      </c>
      <c r="D17" s="143" t="s">
        <v>136</v>
      </c>
      <c r="E17" s="143"/>
      <c r="F17" s="143">
        <v>30</v>
      </c>
      <c r="G17" s="143">
        <v>32</v>
      </c>
      <c r="H17" s="143">
        <v>33</v>
      </c>
      <c r="I17" s="143">
        <v>35</v>
      </c>
      <c r="J17" s="143">
        <v>32</v>
      </c>
      <c r="K17" s="143">
        <v>34</v>
      </c>
      <c r="L17" s="143">
        <v>35</v>
      </c>
    </row>
    <row r="18" spans="2:12" x14ac:dyDescent="0.5">
      <c r="B18" s="143" t="s">
        <v>157</v>
      </c>
      <c r="C18" s="143" t="s">
        <v>158</v>
      </c>
      <c r="D18" s="143" t="s">
        <v>139</v>
      </c>
      <c r="E18" s="143"/>
      <c r="F18" s="143">
        <v>20</v>
      </c>
      <c r="G18" s="143">
        <v>19</v>
      </c>
      <c r="H18" s="143">
        <v>18</v>
      </c>
      <c r="I18" s="143">
        <v>18</v>
      </c>
      <c r="J18" s="143">
        <v>16</v>
      </c>
      <c r="K18" s="143">
        <v>20</v>
      </c>
      <c r="L18" s="143">
        <v>18</v>
      </c>
    </row>
    <row r="19" spans="2:12" x14ac:dyDescent="0.5">
      <c r="B19" s="143" t="s">
        <v>159</v>
      </c>
      <c r="C19" s="143" t="s">
        <v>160</v>
      </c>
      <c r="D19" s="143" t="s">
        <v>142</v>
      </c>
      <c r="E19" s="143"/>
      <c r="F19" s="143">
        <v>52</v>
      </c>
      <c r="G19" s="143">
        <v>55</v>
      </c>
      <c r="H19" s="143">
        <v>56</v>
      </c>
      <c r="I19" s="143">
        <v>58</v>
      </c>
      <c r="J19" s="143">
        <v>59</v>
      </c>
      <c r="K19" s="143">
        <v>59</v>
      </c>
      <c r="L19" s="143">
        <v>61</v>
      </c>
    </row>
    <row r="20" spans="2:12" x14ac:dyDescent="0.5">
      <c r="B20" s="143" t="s">
        <v>161</v>
      </c>
      <c r="C20" s="143" t="s">
        <v>162</v>
      </c>
      <c r="D20" s="143" t="s">
        <v>148</v>
      </c>
      <c r="E20" s="143"/>
      <c r="F20" s="143"/>
      <c r="G20" s="143">
        <v>11</v>
      </c>
      <c r="H20" s="143">
        <v>11</v>
      </c>
      <c r="I20" s="143">
        <v>11</v>
      </c>
      <c r="J20" s="143">
        <v>11</v>
      </c>
      <c r="K20" s="143">
        <f>+J20+0.5</f>
        <v>11.5</v>
      </c>
      <c r="L20" s="143">
        <v>12</v>
      </c>
    </row>
    <row r="21" spans="2:12" x14ac:dyDescent="0.5">
      <c r="B21" s="143" t="s">
        <v>163</v>
      </c>
      <c r="C21" s="143" t="s">
        <v>164</v>
      </c>
      <c r="D21" s="143" t="s">
        <v>127</v>
      </c>
      <c r="E21" s="143"/>
      <c r="F21" s="143"/>
      <c r="G21" s="143"/>
      <c r="H21" s="143"/>
      <c r="I21" s="143">
        <v>20</v>
      </c>
      <c r="J21" s="143">
        <v>22</v>
      </c>
      <c r="K21" s="143">
        <v>26</v>
      </c>
      <c r="L21" s="143">
        <v>24</v>
      </c>
    </row>
    <row r="22" spans="2:12" x14ac:dyDescent="0.5">
      <c r="C22" s="137"/>
    </row>
    <row r="23" spans="2:12" x14ac:dyDescent="0.5">
      <c r="B23" s="144" t="s">
        <v>165</v>
      </c>
      <c r="C23" s="137"/>
      <c r="E23" s="139">
        <v>0</v>
      </c>
      <c r="F23" s="139">
        <v>1</v>
      </c>
      <c r="G23" s="139">
        <v>2</v>
      </c>
      <c r="H23" s="139">
        <v>3</v>
      </c>
      <c r="I23" s="139">
        <v>4</v>
      </c>
      <c r="J23" s="139">
        <v>5</v>
      </c>
      <c r="K23" s="139">
        <v>6</v>
      </c>
      <c r="L23" s="139">
        <v>7</v>
      </c>
    </row>
    <row r="24" spans="2:12" ht="29.45" customHeight="1" thickBot="1" x14ac:dyDescent="0.55000000000000004">
      <c r="B24" s="145" t="s">
        <v>114</v>
      </c>
      <c r="C24" s="146" t="s">
        <v>115</v>
      </c>
      <c r="D24" s="146" t="s">
        <v>116</v>
      </c>
      <c r="E24" s="147" t="str">
        <f t="shared" ref="E24:L24" si="0">+E6</f>
        <v>June 1
20x1</v>
      </c>
      <c r="F24" s="147" t="str">
        <f t="shared" si="0"/>
        <v>July 1
20x1</v>
      </c>
      <c r="G24" s="147" t="str">
        <f t="shared" si="0"/>
        <v>Aug 1
20x1</v>
      </c>
      <c r="H24" s="147" t="str">
        <f t="shared" si="0"/>
        <v>Sep 1
20x1</v>
      </c>
      <c r="I24" s="147" t="str">
        <f t="shared" si="0"/>
        <v>Oct 1
20x1</v>
      </c>
      <c r="J24" s="147" t="str">
        <f t="shared" si="0"/>
        <v>Nov 1
20x1</v>
      </c>
      <c r="K24" s="147" t="str">
        <f t="shared" si="0"/>
        <v>Dec 1
20x1</v>
      </c>
      <c r="L24" s="147" t="str">
        <f t="shared" si="0"/>
        <v>Jan 2
20x2</v>
      </c>
    </row>
    <row r="25" spans="2:12" ht="14.7" thickTop="1" x14ac:dyDescent="0.5">
      <c r="B25" s="148" t="str">
        <f t="shared" ref="B25:D39" si="1">+B7</f>
        <v>ABC</v>
      </c>
      <c r="C25" s="148" t="str">
        <f t="shared" si="1"/>
        <v>ABC Chem Inc</v>
      </c>
      <c r="D25" s="148" t="str">
        <f t="shared" si="1"/>
        <v>Chemicals</v>
      </c>
      <c r="E25" s="149">
        <v>400</v>
      </c>
      <c r="F25">
        <f t="shared" ref="F25:K39" si="2">+E25+F43</f>
        <v>400</v>
      </c>
      <c r="G25">
        <f t="shared" si="2"/>
        <v>100</v>
      </c>
      <c r="H25">
        <f t="shared" si="2"/>
        <v>100</v>
      </c>
      <c r="I25">
        <f t="shared" si="2"/>
        <v>100</v>
      </c>
      <c r="J25">
        <f t="shared" si="2"/>
        <v>100</v>
      </c>
      <c r="K25">
        <f t="shared" si="2"/>
        <v>100</v>
      </c>
      <c r="L25">
        <f t="shared" ref="L25:L39" si="3">+J25+L43</f>
        <v>0</v>
      </c>
    </row>
    <row r="26" spans="2:12" x14ac:dyDescent="0.5">
      <c r="B26" s="148" t="str">
        <f t="shared" si="1"/>
        <v>BCD</v>
      </c>
      <c r="C26" s="148" t="str">
        <f t="shared" si="1"/>
        <v>BCD  Precision Inc</v>
      </c>
      <c r="D26" s="148" t="str">
        <f t="shared" si="1"/>
        <v>Industrial</v>
      </c>
      <c r="E26" s="149">
        <v>350</v>
      </c>
      <c r="F26">
        <f t="shared" si="2"/>
        <v>350</v>
      </c>
      <c r="G26">
        <f t="shared" si="2"/>
        <v>50</v>
      </c>
      <c r="H26">
        <f t="shared" si="2"/>
        <v>50</v>
      </c>
      <c r="I26">
        <f t="shared" si="2"/>
        <v>50</v>
      </c>
      <c r="J26">
        <f t="shared" si="2"/>
        <v>50</v>
      </c>
      <c r="K26">
        <f t="shared" si="2"/>
        <v>50</v>
      </c>
      <c r="L26">
        <f t="shared" si="3"/>
        <v>0</v>
      </c>
    </row>
    <row r="27" spans="2:12" x14ac:dyDescent="0.5">
      <c r="B27" s="148" t="str">
        <f t="shared" si="1"/>
        <v>CDE</v>
      </c>
      <c r="C27" s="148" t="str">
        <f t="shared" si="1"/>
        <v>CDE Inc</v>
      </c>
      <c r="D27" s="148" t="str">
        <f t="shared" si="1"/>
        <v>Publishing</v>
      </c>
      <c r="E27" s="149">
        <v>300</v>
      </c>
      <c r="F27">
        <f t="shared" si="2"/>
        <v>300</v>
      </c>
      <c r="G27">
        <f t="shared" si="2"/>
        <v>200</v>
      </c>
      <c r="H27">
        <f t="shared" si="2"/>
        <v>200</v>
      </c>
      <c r="I27">
        <f t="shared" si="2"/>
        <v>200</v>
      </c>
      <c r="J27">
        <f t="shared" si="2"/>
        <v>200</v>
      </c>
      <c r="K27">
        <f t="shared" si="2"/>
        <v>200</v>
      </c>
      <c r="L27">
        <f t="shared" si="3"/>
        <v>0</v>
      </c>
    </row>
    <row r="28" spans="2:12" x14ac:dyDescent="0.5">
      <c r="B28" s="148" t="str">
        <f t="shared" si="1"/>
        <v>DEF</v>
      </c>
      <c r="C28" s="148" t="str">
        <f t="shared" si="1"/>
        <v>DEF Inc</v>
      </c>
      <c r="D28" s="148" t="str">
        <f t="shared" si="1"/>
        <v>Hospitality</v>
      </c>
      <c r="E28" s="149">
        <v>300</v>
      </c>
      <c r="F28">
        <f t="shared" si="2"/>
        <v>300</v>
      </c>
      <c r="G28">
        <f t="shared" si="2"/>
        <v>300</v>
      </c>
      <c r="H28">
        <f t="shared" si="2"/>
        <v>200</v>
      </c>
      <c r="I28">
        <f t="shared" si="2"/>
        <v>200</v>
      </c>
      <c r="J28">
        <f t="shared" si="2"/>
        <v>200</v>
      </c>
      <c r="K28">
        <f t="shared" si="2"/>
        <v>200</v>
      </c>
      <c r="L28">
        <f t="shared" si="3"/>
        <v>0</v>
      </c>
    </row>
    <row r="29" spans="2:12" x14ac:dyDescent="0.5">
      <c r="B29" s="148" t="str">
        <f t="shared" si="1"/>
        <v>EFG</v>
      </c>
      <c r="C29" s="148" t="str">
        <f t="shared" si="1"/>
        <v>Effective Inc</v>
      </c>
      <c r="D29" s="148" t="str">
        <f t="shared" si="1"/>
        <v>TV/Cable</v>
      </c>
      <c r="E29" s="149">
        <v>200</v>
      </c>
      <c r="F29">
        <f t="shared" si="2"/>
        <v>200</v>
      </c>
      <c r="G29">
        <f t="shared" si="2"/>
        <v>200</v>
      </c>
      <c r="H29">
        <f t="shared" si="2"/>
        <v>200</v>
      </c>
      <c r="I29">
        <f t="shared" si="2"/>
        <v>200</v>
      </c>
      <c r="J29">
        <f t="shared" si="2"/>
        <v>200</v>
      </c>
      <c r="K29">
        <f t="shared" si="2"/>
        <v>200</v>
      </c>
      <c r="L29">
        <f t="shared" si="3"/>
        <v>0</v>
      </c>
    </row>
    <row r="30" spans="2:12" x14ac:dyDescent="0.5">
      <c r="B30" s="148" t="str">
        <f t="shared" si="1"/>
        <v>FGH</v>
      </c>
      <c r="C30" s="148" t="str">
        <f t="shared" si="1"/>
        <v>FGH Inc</v>
      </c>
      <c r="D30" s="148" t="str">
        <f t="shared" si="1"/>
        <v>Techonlogy</v>
      </c>
      <c r="E30" s="149">
        <v>400</v>
      </c>
      <c r="F30">
        <f t="shared" si="2"/>
        <v>400</v>
      </c>
      <c r="G30">
        <f t="shared" si="2"/>
        <v>400</v>
      </c>
      <c r="H30">
        <f t="shared" si="2"/>
        <v>400</v>
      </c>
      <c r="I30">
        <f t="shared" si="2"/>
        <v>100</v>
      </c>
      <c r="J30">
        <f t="shared" si="2"/>
        <v>100</v>
      </c>
      <c r="K30">
        <f t="shared" si="2"/>
        <v>100</v>
      </c>
      <c r="L30">
        <f t="shared" si="3"/>
        <v>0</v>
      </c>
    </row>
    <row r="31" spans="2:12" x14ac:dyDescent="0.5">
      <c r="B31" s="148" t="str">
        <f t="shared" si="1"/>
        <v>GHI</v>
      </c>
      <c r="C31" s="148" t="str">
        <f t="shared" si="1"/>
        <v>General HI</v>
      </c>
      <c r="D31" s="148" t="str">
        <f t="shared" si="1"/>
        <v>Service</v>
      </c>
      <c r="E31" s="149">
        <v>600</v>
      </c>
      <c r="F31">
        <f t="shared" si="2"/>
        <v>600</v>
      </c>
      <c r="G31">
        <f t="shared" si="2"/>
        <v>600</v>
      </c>
      <c r="H31">
        <f t="shared" si="2"/>
        <v>600</v>
      </c>
      <c r="I31">
        <f t="shared" si="2"/>
        <v>600</v>
      </c>
      <c r="J31">
        <f t="shared" si="2"/>
        <v>600</v>
      </c>
      <c r="K31">
        <f t="shared" si="2"/>
        <v>600</v>
      </c>
      <c r="L31">
        <f t="shared" si="3"/>
        <v>0</v>
      </c>
    </row>
    <row r="32" spans="2:12" x14ac:dyDescent="0.5">
      <c r="B32" s="148" t="str">
        <f t="shared" si="1"/>
        <v>HIK</v>
      </c>
      <c r="C32" s="148" t="str">
        <f t="shared" si="1"/>
        <v>Hicks Kental Inc</v>
      </c>
      <c r="D32" s="148" t="str">
        <f t="shared" si="1"/>
        <v>Retail</v>
      </c>
      <c r="E32" s="149">
        <v>1000</v>
      </c>
      <c r="F32">
        <f t="shared" si="2"/>
        <v>1000</v>
      </c>
      <c r="G32">
        <f t="shared" si="2"/>
        <v>1000</v>
      </c>
      <c r="H32">
        <f t="shared" si="2"/>
        <v>1000</v>
      </c>
      <c r="I32">
        <f t="shared" si="2"/>
        <v>1000</v>
      </c>
      <c r="J32">
        <f t="shared" si="2"/>
        <v>1000</v>
      </c>
      <c r="K32">
        <f t="shared" si="2"/>
        <v>1000</v>
      </c>
      <c r="L32">
        <f t="shared" si="3"/>
        <v>0</v>
      </c>
    </row>
    <row r="33" spans="2:12" x14ac:dyDescent="0.5">
      <c r="B33" s="148" t="str">
        <f t="shared" si="1"/>
        <v>IKL</v>
      </c>
      <c r="C33" s="148" t="str">
        <f t="shared" si="1"/>
        <v>IKL Inc</v>
      </c>
      <c r="D33" s="148" t="str">
        <f t="shared" si="1"/>
        <v>Pharmaceutical</v>
      </c>
      <c r="E33" s="149">
        <v>300</v>
      </c>
      <c r="F33">
        <f t="shared" si="2"/>
        <v>300</v>
      </c>
      <c r="G33">
        <f t="shared" si="2"/>
        <v>300</v>
      </c>
      <c r="H33">
        <f t="shared" si="2"/>
        <v>300</v>
      </c>
      <c r="I33">
        <f t="shared" si="2"/>
        <v>300</v>
      </c>
      <c r="J33">
        <f t="shared" si="2"/>
        <v>300</v>
      </c>
      <c r="K33">
        <f t="shared" si="2"/>
        <v>300</v>
      </c>
      <c r="L33">
        <f t="shared" si="3"/>
        <v>0</v>
      </c>
    </row>
    <row r="34" spans="2:12" x14ac:dyDescent="0.5">
      <c r="B34" s="148" t="str">
        <f t="shared" si="1"/>
        <v>KLM</v>
      </c>
      <c r="C34" s="148" t="str">
        <f t="shared" si="1"/>
        <v>KLM Health</v>
      </c>
      <c r="D34" s="148" t="str">
        <f t="shared" si="1"/>
        <v>Healthcare</v>
      </c>
      <c r="E34" s="149">
        <v>300</v>
      </c>
      <c r="F34">
        <f t="shared" si="2"/>
        <v>300</v>
      </c>
      <c r="G34">
        <f t="shared" si="2"/>
        <v>300</v>
      </c>
      <c r="H34">
        <f t="shared" si="2"/>
        <v>300</v>
      </c>
      <c r="I34">
        <f t="shared" si="2"/>
        <v>300</v>
      </c>
      <c r="J34">
        <f t="shared" si="2"/>
        <v>300</v>
      </c>
      <c r="K34">
        <f t="shared" si="2"/>
        <v>300</v>
      </c>
      <c r="L34">
        <f t="shared" si="3"/>
        <v>0</v>
      </c>
    </row>
    <row r="35" spans="2:12" x14ac:dyDescent="0.5">
      <c r="B35" s="148" t="str">
        <f t="shared" si="1"/>
        <v>LMN</v>
      </c>
      <c r="C35" s="148" t="str">
        <f t="shared" si="1"/>
        <v>LMN Hotel &amp; Resorts</v>
      </c>
      <c r="D35" s="148" t="str">
        <f t="shared" si="1"/>
        <v>Hospitality</v>
      </c>
      <c r="E35" s="149"/>
      <c r="F35">
        <f t="shared" si="2"/>
        <v>0</v>
      </c>
      <c r="G35">
        <f t="shared" si="2"/>
        <v>100</v>
      </c>
      <c r="H35">
        <f t="shared" si="2"/>
        <v>100</v>
      </c>
      <c r="I35">
        <f t="shared" si="2"/>
        <v>100</v>
      </c>
      <c r="J35">
        <f t="shared" si="2"/>
        <v>100</v>
      </c>
      <c r="K35">
        <f t="shared" si="2"/>
        <v>100</v>
      </c>
      <c r="L35">
        <f t="shared" si="3"/>
        <v>0</v>
      </c>
    </row>
    <row r="36" spans="2:12" x14ac:dyDescent="0.5">
      <c r="B36" s="148" t="str">
        <f t="shared" si="1"/>
        <v>MNO</v>
      </c>
      <c r="C36" s="148" t="str">
        <f t="shared" si="1"/>
        <v>MNO Cable Inc</v>
      </c>
      <c r="D36" s="148" t="str">
        <f t="shared" si="1"/>
        <v>TV/Cable</v>
      </c>
      <c r="E36" s="149"/>
      <c r="F36">
        <f t="shared" si="2"/>
        <v>0</v>
      </c>
      <c r="G36">
        <f t="shared" si="2"/>
        <v>100</v>
      </c>
      <c r="H36">
        <f t="shared" si="2"/>
        <v>100</v>
      </c>
      <c r="I36">
        <f t="shared" si="2"/>
        <v>100</v>
      </c>
      <c r="J36">
        <f t="shared" si="2"/>
        <v>100</v>
      </c>
      <c r="K36">
        <f t="shared" si="2"/>
        <v>100</v>
      </c>
      <c r="L36">
        <f t="shared" si="3"/>
        <v>0</v>
      </c>
    </row>
    <row r="37" spans="2:12" x14ac:dyDescent="0.5">
      <c r="B37" s="148" t="str">
        <f t="shared" si="1"/>
        <v>NOP</v>
      </c>
      <c r="C37" s="148" t="str">
        <f t="shared" si="1"/>
        <v>Norton Optimum</v>
      </c>
      <c r="D37" s="148" t="str">
        <f t="shared" si="1"/>
        <v>Techonlogy</v>
      </c>
      <c r="E37" s="149"/>
      <c r="F37">
        <f t="shared" si="2"/>
        <v>0</v>
      </c>
      <c r="G37">
        <f t="shared" si="2"/>
        <v>100</v>
      </c>
      <c r="H37">
        <f t="shared" si="2"/>
        <v>100</v>
      </c>
      <c r="I37">
        <f t="shared" si="2"/>
        <v>100</v>
      </c>
      <c r="J37">
        <f t="shared" si="2"/>
        <v>100</v>
      </c>
      <c r="K37">
        <f t="shared" si="2"/>
        <v>100</v>
      </c>
      <c r="L37">
        <f t="shared" si="3"/>
        <v>0</v>
      </c>
    </row>
    <row r="38" spans="2:12" x14ac:dyDescent="0.5">
      <c r="B38" s="148" t="str">
        <f t="shared" si="1"/>
        <v>OPQ</v>
      </c>
      <c r="C38" s="148" t="str">
        <f t="shared" si="1"/>
        <v>Odyssea PQ Inc</v>
      </c>
      <c r="D38" s="148" t="str">
        <f t="shared" si="1"/>
        <v>Retail</v>
      </c>
      <c r="E38" s="149"/>
      <c r="F38">
        <f t="shared" si="2"/>
        <v>0</v>
      </c>
      <c r="G38">
        <f t="shared" si="2"/>
        <v>0</v>
      </c>
      <c r="H38">
        <f t="shared" si="2"/>
        <v>200</v>
      </c>
      <c r="I38">
        <f t="shared" si="2"/>
        <v>200</v>
      </c>
      <c r="J38">
        <f t="shared" si="2"/>
        <v>200</v>
      </c>
      <c r="K38">
        <f t="shared" si="2"/>
        <v>200</v>
      </c>
      <c r="L38">
        <f t="shared" si="3"/>
        <v>0</v>
      </c>
    </row>
    <row r="39" spans="2:12" x14ac:dyDescent="0.5">
      <c r="B39" s="148" t="str">
        <f t="shared" si="1"/>
        <v>PQR</v>
      </c>
      <c r="C39" s="148" t="str">
        <f t="shared" si="1"/>
        <v>PQR Chemicals</v>
      </c>
      <c r="D39" s="148" t="str">
        <f t="shared" si="1"/>
        <v>Chemicals</v>
      </c>
      <c r="E39" s="149"/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300</v>
      </c>
      <c r="J39">
        <f t="shared" si="2"/>
        <v>300</v>
      </c>
      <c r="K39">
        <f t="shared" si="2"/>
        <v>300</v>
      </c>
      <c r="L39">
        <f t="shared" si="3"/>
        <v>0</v>
      </c>
    </row>
    <row r="40" spans="2:12" x14ac:dyDescent="0.5">
      <c r="C40" s="137"/>
      <c r="D40" s="150"/>
    </row>
    <row r="41" spans="2:12" x14ac:dyDescent="0.5">
      <c r="B41" s="144" t="s">
        <v>166</v>
      </c>
      <c r="C41" s="137"/>
      <c r="E41" s="139">
        <v>0</v>
      </c>
      <c r="F41" s="139">
        <v>1</v>
      </c>
      <c r="G41" s="139">
        <v>2</v>
      </c>
      <c r="H41" s="139">
        <v>3</v>
      </c>
      <c r="I41" s="139">
        <v>4</v>
      </c>
      <c r="J41" s="139">
        <v>5</v>
      </c>
      <c r="K41" s="139">
        <v>6</v>
      </c>
      <c r="L41" s="139">
        <v>7</v>
      </c>
    </row>
    <row r="42" spans="2:12" ht="26.35" thickBot="1" x14ac:dyDescent="0.55000000000000004">
      <c r="B42" s="151" t="s">
        <v>114</v>
      </c>
      <c r="C42" s="151" t="s">
        <v>115</v>
      </c>
      <c r="D42" s="151" t="s">
        <v>116</v>
      </c>
      <c r="E42" s="147" t="str">
        <f t="shared" ref="E42:L42" si="4">+E24</f>
        <v>June 1
20x1</v>
      </c>
      <c r="F42" s="147" t="str">
        <f t="shared" si="4"/>
        <v>July 1
20x1</v>
      </c>
      <c r="G42" s="147" t="str">
        <f t="shared" si="4"/>
        <v>Aug 1
20x1</v>
      </c>
      <c r="H42" s="147" t="str">
        <f t="shared" si="4"/>
        <v>Sep 1
20x1</v>
      </c>
      <c r="I42" s="147" t="str">
        <f t="shared" si="4"/>
        <v>Oct 1
20x1</v>
      </c>
      <c r="J42" s="147" t="str">
        <f t="shared" si="4"/>
        <v>Nov 1
20x1</v>
      </c>
      <c r="K42" s="147" t="str">
        <f t="shared" si="4"/>
        <v>Dec 1
20x1</v>
      </c>
      <c r="L42" s="147" t="str">
        <f t="shared" si="4"/>
        <v>Jan 2
20x2</v>
      </c>
    </row>
    <row r="43" spans="2:12" ht="14.7" thickTop="1" x14ac:dyDescent="0.5">
      <c r="B43" s="42" t="str">
        <f>+B7</f>
        <v>ABC</v>
      </c>
      <c r="C43" s="152" t="str">
        <f t="shared" ref="C43:D57" si="5">+C25</f>
        <v>ABC Chem Inc</v>
      </c>
      <c r="D43" s="137" t="str">
        <f t="shared" si="5"/>
        <v>Chemicals</v>
      </c>
      <c r="E43" s="149"/>
      <c r="F43" s="149"/>
      <c r="G43" s="149">
        <v>-300</v>
      </c>
      <c r="H43" s="149"/>
      <c r="I43" s="149"/>
      <c r="J43" s="149"/>
      <c r="K43" s="149"/>
      <c r="L43">
        <f t="shared" ref="L43:L57" si="6">-J25</f>
        <v>-100</v>
      </c>
    </row>
    <row r="44" spans="2:12" x14ac:dyDescent="0.5">
      <c r="B44" s="21" t="str">
        <f t="shared" ref="B44:B57" si="7">+B26</f>
        <v>BCD</v>
      </c>
      <c r="C44" s="152" t="str">
        <f t="shared" si="5"/>
        <v>BCD  Precision Inc</v>
      </c>
      <c r="D44" s="137" t="str">
        <f t="shared" si="5"/>
        <v>Industrial</v>
      </c>
      <c r="E44" s="149"/>
      <c r="F44" s="149"/>
      <c r="G44" s="149">
        <v>-300</v>
      </c>
      <c r="H44" s="149"/>
      <c r="I44" s="149"/>
      <c r="J44" s="149"/>
      <c r="K44" s="149"/>
      <c r="L44">
        <f t="shared" si="6"/>
        <v>-50</v>
      </c>
    </row>
    <row r="45" spans="2:12" x14ac:dyDescent="0.5">
      <c r="B45" s="21" t="str">
        <f t="shared" si="7"/>
        <v>CDE</v>
      </c>
      <c r="C45" s="152" t="str">
        <f t="shared" si="5"/>
        <v>CDE Inc</v>
      </c>
      <c r="D45" s="137" t="str">
        <f t="shared" si="5"/>
        <v>Publishing</v>
      </c>
      <c r="E45" s="149"/>
      <c r="F45" s="149"/>
      <c r="G45" s="149">
        <v>-100</v>
      </c>
      <c r="H45" s="149"/>
      <c r="I45" s="149"/>
      <c r="J45" s="149"/>
      <c r="K45" s="149"/>
      <c r="L45">
        <f t="shared" si="6"/>
        <v>-200</v>
      </c>
    </row>
    <row r="46" spans="2:12" x14ac:dyDescent="0.5">
      <c r="B46" s="21" t="str">
        <f t="shared" si="7"/>
        <v>DEF</v>
      </c>
      <c r="C46" s="152" t="str">
        <f t="shared" si="5"/>
        <v>DEF Inc</v>
      </c>
      <c r="D46" s="137" t="str">
        <f t="shared" si="5"/>
        <v>Hospitality</v>
      </c>
      <c r="E46" s="149"/>
      <c r="F46" s="149"/>
      <c r="G46" s="149"/>
      <c r="H46" s="149">
        <v>-100</v>
      </c>
      <c r="I46" s="149"/>
      <c r="J46" s="149"/>
      <c r="K46" s="149"/>
      <c r="L46">
        <f t="shared" si="6"/>
        <v>-200</v>
      </c>
    </row>
    <row r="47" spans="2:12" x14ac:dyDescent="0.5">
      <c r="B47" s="21" t="str">
        <f t="shared" si="7"/>
        <v>EFG</v>
      </c>
      <c r="C47" s="152" t="str">
        <f t="shared" si="5"/>
        <v>Effective Inc</v>
      </c>
      <c r="D47" s="137" t="str">
        <f t="shared" si="5"/>
        <v>TV/Cable</v>
      </c>
      <c r="E47" s="149"/>
      <c r="F47" s="149"/>
      <c r="G47" s="149"/>
      <c r="H47" s="149"/>
      <c r="I47" s="149"/>
      <c r="J47" s="149"/>
      <c r="K47" s="149"/>
      <c r="L47">
        <f t="shared" si="6"/>
        <v>-200</v>
      </c>
    </row>
    <row r="48" spans="2:12" x14ac:dyDescent="0.5">
      <c r="B48" s="21" t="str">
        <f t="shared" si="7"/>
        <v>FGH</v>
      </c>
      <c r="C48" s="152" t="str">
        <f t="shared" si="5"/>
        <v>FGH Inc</v>
      </c>
      <c r="D48" s="137" t="str">
        <f t="shared" si="5"/>
        <v>Techonlogy</v>
      </c>
      <c r="E48" s="149"/>
      <c r="F48" s="149"/>
      <c r="G48" s="149"/>
      <c r="H48" s="149"/>
      <c r="I48" s="149">
        <v>-300</v>
      </c>
      <c r="J48" s="149"/>
      <c r="K48" s="149"/>
      <c r="L48">
        <f t="shared" si="6"/>
        <v>-100</v>
      </c>
    </row>
    <row r="49" spans="2:12" x14ac:dyDescent="0.5">
      <c r="B49" s="21" t="str">
        <f t="shared" si="7"/>
        <v>GHI</v>
      </c>
      <c r="C49" s="152" t="str">
        <f t="shared" si="5"/>
        <v>General HI</v>
      </c>
      <c r="D49" s="137" t="str">
        <f t="shared" si="5"/>
        <v>Service</v>
      </c>
      <c r="E49" s="149"/>
      <c r="F49" s="149"/>
      <c r="G49" s="149"/>
      <c r="H49" s="149"/>
      <c r="I49" s="149"/>
      <c r="J49" s="149"/>
      <c r="K49" s="149"/>
      <c r="L49">
        <f t="shared" si="6"/>
        <v>-600</v>
      </c>
    </row>
    <row r="50" spans="2:12" x14ac:dyDescent="0.5">
      <c r="B50" s="21" t="str">
        <f t="shared" si="7"/>
        <v>HIK</v>
      </c>
      <c r="C50" s="152" t="str">
        <f t="shared" si="5"/>
        <v>Hicks Kental Inc</v>
      </c>
      <c r="D50" s="137" t="str">
        <f t="shared" si="5"/>
        <v>Retail</v>
      </c>
      <c r="E50" s="149"/>
      <c r="F50" s="149"/>
      <c r="G50" s="149"/>
      <c r="H50" s="149"/>
      <c r="I50" s="149"/>
      <c r="J50" s="149"/>
      <c r="K50" s="149"/>
      <c r="L50">
        <f t="shared" si="6"/>
        <v>-1000</v>
      </c>
    </row>
    <row r="51" spans="2:12" x14ac:dyDescent="0.5">
      <c r="B51" s="21" t="str">
        <f t="shared" si="7"/>
        <v>IKL</v>
      </c>
      <c r="C51" s="152" t="str">
        <f t="shared" si="5"/>
        <v>IKL Inc</v>
      </c>
      <c r="D51" s="137" t="str">
        <f t="shared" si="5"/>
        <v>Pharmaceutical</v>
      </c>
      <c r="E51" s="149"/>
      <c r="F51" s="149"/>
      <c r="G51" s="149"/>
      <c r="H51" s="149"/>
      <c r="I51" s="149"/>
      <c r="J51" s="149"/>
      <c r="K51" s="149"/>
      <c r="L51">
        <f t="shared" si="6"/>
        <v>-300</v>
      </c>
    </row>
    <row r="52" spans="2:12" x14ac:dyDescent="0.5">
      <c r="B52" s="21" t="str">
        <f t="shared" si="7"/>
        <v>KLM</v>
      </c>
      <c r="C52" s="152" t="str">
        <f t="shared" si="5"/>
        <v>KLM Health</v>
      </c>
      <c r="D52" s="137" t="str">
        <f t="shared" si="5"/>
        <v>Healthcare</v>
      </c>
      <c r="E52" s="149"/>
      <c r="F52" s="149"/>
      <c r="G52" s="149"/>
      <c r="H52" s="149"/>
      <c r="I52" s="149"/>
      <c r="J52" s="149"/>
      <c r="K52" s="149"/>
      <c r="L52">
        <f t="shared" si="6"/>
        <v>-300</v>
      </c>
    </row>
    <row r="53" spans="2:12" x14ac:dyDescent="0.5">
      <c r="B53" s="21" t="str">
        <f t="shared" si="7"/>
        <v>LMN</v>
      </c>
      <c r="C53" s="152" t="str">
        <f t="shared" si="5"/>
        <v>LMN Hotel &amp; Resorts</v>
      </c>
      <c r="D53" s="137" t="str">
        <f t="shared" si="5"/>
        <v>Hospitality</v>
      </c>
      <c r="E53" s="149"/>
      <c r="F53" s="149"/>
      <c r="G53" s="149">
        <v>100</v>
      </c>
      <c r="H53" s="149"/>
      <c r="I53" s="149"/>
      <c r="J53" s="149"/>
      <c r="K53" s="149"/>
      <c r="L53">
        <f t="shared" si="6"/>
        <v>-100</v>
      </c>
    </row>
    <row r="54" spans="2:12" x14ac:dyDescent="0.5">
      <c r="B54" s="21" t="str">
        <f t="shared" si="7"/>
        <v>MNO</v>
      </c>
      <c r="C54" s="152" t="str">
        <f t="shared" si="5"/>
        <v>MNO Cable Inc</v>
      </c>
      <c r="D54" s="137" t="str">
        <f t="shared" si="5"/>
        <v>TV/Cable</v>
      </c>
      <c r="E54" s="149"/>
      <c r="F54" s="149"/>
      <c r="G54" s="149">
        <v>100</v>
      </c>
      <c r="H54" s="149"/>
      <c r="I54" s="149"/>
      <c r="J54" s="149"/>
      <c r="K54" s="149"/>
      <c r="L54">
        <f t="shared" si="6"/>
        <v>-100</v>
      </c>
    </row>
    <row r="55" spans="2:12" x14ac:dyDescent="0.5">
      <c r="B55" s="21" t="str">
        <f t="shared" si="7"/>
        <v>NOP</v>
      </c>
      <c r="C55" s="152" t="str">
        <f t="shared" si="5"/>
        <v>Norton Optimum</v>
      </c>
      <c r="D55" s="137" t="str">
        <f t="shared" si="5"/>
        <v>Techonlogy</v>
      </c>
      <c r="E55" s="149"/>
      <c r="F55" s="149"/>
      <c r="G55" s="149">
        <v>100</v>
      </c>
      <c r="H55" s="149"/>
      <c r="I55" s="149"/>
      <c r="J55" s="149"/>
      <c r="K55" s="149"/>
      <c r="L55">
        <f t="shared" si="6"/>
        <v>-100</v>
      </c>
    </row>
    <row r="56" spans="2:12" x14ac:dyDescent="0.5">
      <c r="B56" s="21" t="str">
        <f t="shared" si="7"/>
        <v>OPQ</v>
      </c>
      <c r="C56" s="152" t="str">
        <f t="shared" si="5"/>
        <v>Odyssea PQ Inc</v>
      </c>
      <c r="D56" s="137" t="str">
        <f t="shared" si="5"/>
        <v>Retail</v>
      </c>
      <c r="E56" s="149"/>
      <c r="F56" s="149"/>
      <c r="G56" s="149"/>
      <c r="H56" s="149">
        <v>200</v>
      </c>
      <c r="I56" s="149"/>
      <c r="J56" s="149"/>
      <c r="K56" s="149"/>
      <c r="L56">
        <f t="shared" si="6"/>
        <v>-200</v>
      </c>
    </row>
    <row r="57" spans="2:12" x14ac:dyDescent="0.5">
      <c r="B57" s="21" t="str">
        <f t="shared" si="7"/>
        <v>PQR</v>
      </c>
      <c r="C57" s="152" t="str">
        <f t="shared" si="5"/>
        <v>PQR Chemicals</v>
      </c>
      <c r="D57" s="137" t="str">
        <f t="shared" si="5"/>
        <v>Chemicals</v>
      </c>
      <c r="E57" s="149"/>
      <c r="F57" s="149"/>
      <c r="G57" s="149"/>
      <c r="H57" s="149"/>
      <c r="I57" s="149">
        <v>300</v>
      </c>
      <c r="J57" s="149"/>
      <c r="K57" s="149"/>
      <c r="L57">
        <f t="shared" si="6"/>
        <v>-300</v>
      </c>
    </row>
    <row r="58" spans="2:12" x14ac:dyDescent="0.5">
      <c r="B58" s="21"/>
      <c r="C58" s="137"/>
      <c r="D58" s="137"/>
    </row>
    <row r="59" spans="2:12" x14ac:dyDescent="0.5">
      <c r="B59" s="144" t="s">
        <v>167</v>
      </c>
      <c r="C59" s="137"/>
      <c r="E59" s="139">
        <v>0</v>
      </c>
      <c r="F59" s="139">
        <v>1</v>
      </c>
      <c r="G59" s="139">
        <v>2</v>
      </c>
      <c r="H59" s="139">
        <v>3</v>
      </c>
      <c r="I59" s="139">
        <v>4</v>
      </c>
      <c r="J59" s="139">
        <v>5</v>
      </c>
      <c r="K59" s="139">
        <v>6</v>
      </c>
      <c r="L59" s="139">
        <v>7</v>
      </c>
    </row>
    <row r="60" spans="2:12" ht="26.35" thickBot="1" x14ac:dyDescent="0.55000000000000004">
      <c r="B60" s="151" t="s">
        <v>114</v>
      </c>
      <c r="C60" s="151" t="s">
        <v>115</v>
      </c>
      <c r="D60" s="151" t="s">
        <v>116</v>
      </c>
      <c r="E60" s="147" t="str">
        <f>+E42</f>
        <v>June 1
20x1</v>
      </c>
      <c r="F60" s="147" t="str">
        <f t="shared" ref="F60:L60" si="8">+F42</f>
        <v>July 1
20x1</v>
      </c>
      <c r="G60" s="147" t="str">
        <f t="shared" si="8"/>
        <v>Aug 1
20x1</v>
      </c>
      <c r="H60" s="147" t="str">
        <f t="shared" si="8"/>
        <v>Sep 1
20x1</v>
      </c>
      <c r="I60" s="147" t="str">
        <f t="shared" si="8"/>
        <v>Oct 1
20x1</v>
      </c>
      <c r="J60" s="147" t="str">
        <f t="shared" si="8"/>
        <v>Nov 1
20x1</v>
      </c>
      <c r="K60" s="147" t="str">
        <f t="shared" si="8"/>
        <v>Dec 1
20x1</v>
      </c>
      <c r="L60" s="147" t="str">
        <f t="shared" si="8"/>
        <v>Jan 2
20x2</v>
      </c>
    </row>
    <row r="61" spans="2:12" ht="14.7" thickTop="1" x14ac:dyDescent="0.5">
      <c r="B61" s="137" t="str">
        <f t="shared" ref="B61:D75" si="9">+B43</f>
        <v>ABC</v>
      </c>
      <c r="C61" s="137" t="str">
        <f t="shared" si="9"/>
        <v>ABC Chem Inc</v>
      </c>
      <c r="D61" s="137" t="str">
        <f t="shared" si="9"/>
        <v>Chemicals</v>
      </c>
      <c r="E61" s="153">
        <f t="shared" ref="E61:L75" si="10">-E43*E7</f>
        <v>0</v>
      </c>
      <c r="F61" s="153">
        <f t="shared" si="10"/>
        <v>0</v>
      </c>
      <c r="G61" s="153">
        <f t="shared" si="10"/>
        <v>6750</v>
      </c>
      <c r="H61" s="153">
        <f t="shared" si="10"/>
        <v>0</v>
      </c>
      <c r="I61" s="153">
        <f t="shared" si="10"/>
        <v>0</v>
      </c>
      <c r="J61" s="153">
        <f t="shared" si="10"/>
        <v>0</v>
      </c>
      <c r="K61" s="153">
        <f t="shared" si="10"/>
        <v>0</v>
      </c>
      <c r="L61" s="153">
        <f t="shared" si="10"/>
        <v>3100</v>
      </c>
    </row>
    <row r="62" spans="2:12" x14ac:dyDescent="0.5">
      <c r="B62" s="137" t="str">
        <f t="shared" si="9"/>
        <v>BCD</v>
      </c>
      <c r="C62" s="137" t="str">
        <f t="shared" si="9"/>
        <v>BCD  Precision Inc</v>
      </c>
      <c r="D62" s="137" t="str">
        <f t="shared" si="9"/>
        <v>Industrial</v>
      </c>
      <c r="E62" s="153">
        <f t="shared" si="10"/>
        <v>0</v>
      </c>
      <c r="F62" s="153">
        <f t="shared" si="10"/>
        <v>0</v>
      </c>
      <c r="G62" s="153">
        <f t="shared" si="10"/>
        <v>3600</v>
      </c>
      <c r="H62" s="153">
        <f t="shared" si="10"/>
        <v>0</v>
      </c>
      <c r="I62" s="153">
        <f t="shared" si="10"/>
        <v>0</v>
      </c>
      <c r="J62" s="153">
        <f t="shared" si="10"/>
        <v>0</v>
      </c>
      <c r="K62" s="153">
        <f t="shared" si="10"/>
        <v>0</v>
      </c>
      <c r="L62" s="153">
        <f t="shared" si="10"/>
        <v>1100</v>
      </c>
    </row>
    <row r="63" spans="2:12" x14ac:dyDescent="0.5">
      <c r="B63" s="137" t="str">
        <f t="shared" si="9"/>
        <v>CDE</v>
      </c>
      <c r="C63" s="137" t="str">
        <f t="shared" si="9"/>
        <v>CDE Inc</v>
      </c>
      <c r="D63" s="137" t="str">
        <f t="shared" si="9"/>
        <v>Publishing</v>
      </c>
      <c r="E63" s="153">
        <f t="shared" si="10"/>
        <v>0</v>
      </c>
      <c r="F63" s="153">
        <f t="shared" si="10"/>
        <v>0</v>
      </c>
      <c r="G63" s="153">
        <f t="shared" si="10"/>
        <v>1800</v>
      </c>
      <c r="H63" s="153">
        <f t="shared" si="10"/>
        <v>0</v>
      </c>
      <c r="I63" s="153">
        <f t="shared" si="10"/>
        <v>0</v>
      </c>
      <c r="J63" s="153">
        <f t="shared" si="10"/>
        <v>0</v>
      </c>
      <c r="K63" s="153">
        <f t="shared" si="10"/>
        <v>0</v>
      </c>
      <c r="L63" s="153">
        <f t="shared" si="10"/>
        <v>4200</v>
      </c>
    </row>
    <row r="64" spans="2:12" x14ac:dyDescent="0.5">
      <c r="B64" s="137" t="str">
        <f t="shared" si="9"/>
        <v>DEF</v>
      </c>
      <c r="C64" s="137" t="str">
        <f t="shared" si="9"/>
        <v>DEF Inc</v>
      </c>
      <c r="D64" s="137" t="str">
        <f t="shared" si="9"/>
        <v>Hospitality</v>
      </c>
      <c r="E64" s="153">
        <f t="shared" si="10"/>
        <v>0</v>
      </c>
      <c r="F64" s="153">
        <f t="shared" si="10"/>
        <v>0</v>
      </c>
      <c r="G64" s="153">
        <f t="shared" si="10"/>
        <v>0</v>
      </c>
      <c r="H64" s="153">
        <f t="shared" si="10"/>
        <v>4500</v>
      </c>
      <c r="I64" s="153">
        <f t="shared" si="10"/>
        <v>0</v>
      </c>
      <c r="J64" s="153">
        <f t="shared" si="10"/>
        <v>0</v>
      </c>
      <c r="K64" s="153">
        <f t="shared" si="10"/>
        <v>0</v>
      </c>
      <c r="L64" s="153">
        <f t="shared" si="10"/>
        <v>9600</v>
      </c>
    </row>
    <row r="65" spans="2:12" x14ac:dyDescent="0.5">
      <c r="B65" s="137" t="str">
        <f t="shared" si="9"/>
        <v>EFG</v>
      </c>
      <c r="C65" s="137" t="str">
        <f t="shared" si="9"/>
        <v>Effective Inc</v>
      </c>
      <c r="D65" s="137" t="str">
        <f t="shared" si="9"/>
        <v>TV/Cable</v>
      </c>
      <c r="E65" s="153">
        <f t="shared" si="10"/>
        <v>0</v>
      </c>
      <c r="F65" s="153">
        <f t="shared" si="10"/>
        <v>0</v>
      </c>
      <c r="G65" s="153">
        <f t="shared" si="10"/>
        <v>0</v>
      </c>
      <c r="H65" s="153">
        <f t="shared" si="10"/>
        <v>0</v>
      </c>
      <c r="I65" s="153">
        <f t="shared" si="10"/>
        <v>0</v>
      </c>
      <c r="J65" s="153">
        <f t="shared" si="10"/>
        <v>0</v>
      </c>
      <c r="K65" s="153">
        <f t="shared" si="10"/>
        <v>0</v>
      </c>
      <c r="L65" s="153">
        <f t="shared" si="10"/>
        <v>12600</v>
      </c>
    </row>
    <row r="66" spans="2:12" x14ac:dyDescent="0.5">
      <c r="B66" s="137" t="str">
        <f t="shared" si="9"/>
        <v>FGH</v>
      </c>
      <c r="C66" s="137" t="str">
        <f t="shared" si="9"/>
        <v>FGH Inc</v>
      </c>
      <c r="D66" s="137" t="str">
        <f t="shared" si="9"/>
        <v>Techonlogy</v>
      </c>
      <c r="E66" s="153">
        <f t="shared" si="10"/>
        <v>0</v>
      </c>
      <c r="F66" s="153">
        <f t="shared" si="10"/>
        <v>0</v>
      </c>
      <c r="G66" s="153">
        <f t="shared" si="10"/>
        <v>0</v>
      </c>
      <c r="H66" s="153">
        <f t="shared" si="10"/>
        <v>0</v>
      </c>
      <c r="I66" s="153">
        <f t="shared" si="10"/>
        <v>6000</v>
      </c>
      <c r="J66" s="153">
        <f t="shared" si="10"/>
        <v>0</v>
      </c>
      <c r="K66" s="153">
        <f t="shared" si="10"/>
        <v>0</v>
      </c>
      <c r="L66" s="153">
        <f t="shared" si="10"/>
        <v>2500</v>
      </c>
    </row>
    <row r="67" spans="2:12" x14ac:dyDescent="0.5">
      <c r="B67" s="137" t="str">
        <f t="shared" si="9"/>
        <v>GHI</v>
      </c>
      <c r="C67" s="137" t="str">
        <f t="shared" si="9"/>
        <v>General HI</v>
      </c>
      <c r="D67" s="137" t="str">
        <f t="shared" si="9"/>
        <v>Service</v>
      </c>
      <c r="E67" s="153">
        <f t="shared" si="10"/>
        <v>0</v>
      </c>
      <c r="F67" s="153">
        <f t="shared" si="10"/>
        <v>0</v>
      </c>
      <c r="G67" s="153">
        <f t="shared" si="10"/>
        <v>0</v>
      </c>
      <c r="H67" s="153">
        <f t="shared" si="10"/>
        <v>0</v>
      </c>
      <c r="I67" s="153">
        <f t="shared" si="10"/>
        <v>0</v>
      </c>
      <c r="J67" s="153">
        <f t="shared" si="10"/>
        <v>0</v>
      </c>
      <c r="K67" s="153">
        <f t="shared" si="10"/>
        <v>0</v>
      </c>
      <c r="L67" s="153">
        <f t="shared" si="10"/>
        <v>12000</v>
      </c>
    </row>
    <row r="68" spans="2:12" x14ac:dyDescent="0.5">
      <c r="B68" s="137" t="str">
        <f t="shared" si="9"/>
        <v>HIK</v>
      </c>
      <c r="C68" s="137" t="str">
        <f t="shared" si="9"/>
        <v>Hicks Kental Inc</v>
      </c>
      <c r="D68" s="137" t="str">
        <f t="shared" si="9"/>
        <v>Retail</v>
      </c>
      <c r="E68" s="153">
        <f t="shared" si="10"/>
        <v>0</v>
      </c>
      <c r="F68" s="153">
        <f t="shared" si="10"/>
        <v>0</v>
      </c>
      <c r="G68" s="153">
        <f t="shared" si="10"/>
        <v>0</v>
      </c>
      <c r="H68" s="153">
        <f t="shared" si="10"/>
        <v>0</v>
      </c>
      <c r="I68" s="153">
        <f t="shared" si="10"/>
        <v>0</v>
      </c>
      <c r="J68" s="153">
        <f t="shared" si="10"/>
        <v>0</v>
      </c>
      <c r="K68" s="153">
        <f t="shared" si="10"/>
        <v>0</v>
      </c>
      <c r="L68" s="153">
        <f t="shared" si="10"/>
        <v>14500</v>
      </c>
    </row>
    <row r="69" spans="2:12" x14ac:dyDescent="0.5">
      <c r="B69" s="137" t="str">
        <f t="shared" si="9"/>
        <v>IKL</v>
      </c>
      <c r="C69" s="137" t="str">
        <f t="shared" si="9"/>
        <v>IKL Inc</v>
      </c>
      <c r="D69" s="137" t="str">
        <f t="shared" si="9"/>
        <v>Pharmaceutical</v>
      </c>
      <c r="E69" s="153">
        <f t="shared" si="10"/>
        <v>0</v>
      </c>
      <c r="F69" s="153">
        <f t="shared" si="10"/>
        <v>0</v>
      </c>
      <c r="G69" s="153">
        <f t="shared" si="10"/>
        <v>0</v>
      </c>
      <c r="H69" s="153">
        <f t="shared" si="10"/>
        <v>0</v>
      </c>
      <c r="I69" s="153">
        <f t="shared" si="10"/>
        <v>0</v>
      </c>
      <c r="J69" s="153">
        <f t="shared" si="10"/>
        <v>0</v>
      </c>
      <c r="K69" s="153">
        <f t="shared" si="10"/>
        <v>0</v>
      </c>
      <c r="L69" s="153">
        <f t="shared" si="10"/>
        <v>6000</v>
      </c>
    </row>
    <row r="70" spans="2:12" x14ac:dyDescent="0.5">
      <c r="B70" s="137" t="str">
        <f t="shared" si="9"/>
        <v>KLM</v>
      </c>
      <c r="C70" s="137" t="str">
        <f t="shared" si="9"/>
        <v>KLM Health</v>
      </c>
      <c r="D70" s="137" t="str">
        <f t="shared" si="9"/>
        <v>Healthcare</v>
      </c>
      <c r="E70" s="153">
        <f t="shared" si="10"/>
        <v>0</v>
      </c>
      <c r="F70" s="153">
        <f t="shared" si="10"/>
        <v>0</v>
      </c>
      <c r="G70" s="153">
        <f t="shared" si="10"/>
        <v>0</v>
      </c>
      <c r="H70" s="153">
        <f t="shared" si="10"/>
        <v>0</v>
      </c>
      <c r="I70" s="153">
        <f t="shared" si="10"/>
        <v>0</v>
      </c>
      <c r="J70" s="153">
        <f t="shared" si="10"/>
        <v>0</v>
      </c>
      <c r="K70" s="153">
        <f t="shared" si="10"/>
        <v>0</v>
      </c>
      <c r="L70" s="153">
        <f t="shared" si="10"/>
        <v>6000</v>
      </c>
    </row>
    <row r="71" spans="2:12" x14ac:dyDescent="0.5">
      <c r="B71" s="137" t="str">
        <f t="shared" si="9"/>
        <v>LMN</v>
      </c>
      <c r="C71" s="137" t="str">
        <f t="shared" si="9"/>
        <v>LMN Hotel &amp; Resorts</v>
      </c>
      <c r="D71" s="137" t="str">
        <f t="shared" si="9"/>
        <v>Hospitality</v>
      </c>
      <c r="E71" s="153">
        <f t="shared" si="10"/>
        <v>0</v>
      </c>
      <c r="F71" s="153">
        <f t="shared" si="10"/>
        <v>0</v>
      </c>
      <c r="G71" s="153">
        <f t="shared" si="10"/>
        <v>-3200</v>
      </c>
      <c r="H71" s="153">
        <f t="shared" si="10"/>
        <v>0</v>
      </c>
      <c r="I71" s="153">
        <f t="shared" si="10"/>
        <v>0</v>
      </c>
      <c r="J71" s="153">
        <f t="shared" si="10"/>
        <v>0</v>
      </c>
      <c r="K71" s="153">
        <f t="shared" si="10"/>
        <v>0</v>
      </c>
      <c r="L71" s="153">
        <f t="shared" si="10"/>
        <v>3500</v>
      </c>
    </row>
    <row r="72" spans="2:12" x14ac:dyDescent="0.5">
      <c r="B72" s="137" t="str">
        <f t="shared" si="9"/>
        <v>MNO</v>
      </c>
      <c r="C72" s="137" t="str">
        <f t="shared" si="9"/>
        <v>MNO Cable Inc</v>
      </c>
      <c r="D72" s="137" t="str">
        <f t="shared" si="9"/>
        <v>TV/Cable</v>
      </c>
      <c r="E72" s="153">
        <f t="shared" si="10"/>
        <v>0</v>
      </c>
      <c r="F72" s="153">
        <f t="shared" si="10"/>
        <v>0</v>
      </c>
      <c r="G72" s="153">
        <f t="shared" si="10"/>
        <v>-1900</v>
      </c>
      <c r="H72" s="153">
        <f t="shared" si="10"/>
        <v>0</v>
      </c>
      <c r="I72" s="153">
        <f t="shared" si="10"/>
        <v>0</v>
      </c>
      <c r="J72" s="153">
        <f t="shared" si="10"/>
        <v>0</v>
      </c>
      <c r="K72" s="153">
        <f t="shared" si="10"/>
        <v>0</v>
      </c>
      <c r="L72" s="153">
        <f t="shared" si="10"/>
        <v>1800</v>
      </c>
    </row>
    <row r="73" spans="2:12" x14ac:dyDescent="0.5">
      <c r="B73" s="137" t="str">
        <f t="shared" si="9"/>
        <v>NOP</v>
      </c>
      <c r="C73" s="137" t="str">
        <f t="shared" si="9"/>
        <v>Norton Optimum</v>
      </c>
      <c r="D73" s="137" t="str">
        <f t="shared" si="9"/>
        <v>Techonlogy</v>
      </c>
      <c r="E73" s="153">
        <f t="shared" si="10"/>
        <v>0</v>
      </c>
      <c r="F73" s="153">
        <f t="shared" si="10"/>
        <v>0</v>
      </c>
      <c r="G73" s="153">
        <f t="shared" si="10"/>
        <v>-5500</v>
      </c>
      <c r="H73" s="153">
        <f t="shared" si="10"/>
        <v>0</v>
      </c>
      <c r="I73" s="153">
        <f t="shared" si="10"/>
        <v>0</v>
      </c>
      <c r="J73" s="153">
        <f t="shared" si="10"/>
        <v>0</v>
      </c>
      <c r="K73" s="153">
        <f t="shared" si="10"/>
        <v>0</v>
      </c>
      <c r="L73" s="153">
        <f t="shared" si="10"/>
        <v>6100</v>
      </c>
    </row>
    <row r="74" spans="2:12" x14ac:dyDescent="0.5">
      <c r="B74" s="137" t="str">
        <f t="shared" si="9"/>
        <v>OPQ</v>
      </c>
      <c r="C74" s="137" t="str">
        <f t="shared" si="9"/>
        <v>Odyssea PQ Inc</v>
      </c>
      <c r="D74" s="137" t="str">
        <f t="shared" si="9"/>
        <v>Retail</v>
      </c>
      <c r="E74" s="153">
        <f t="shared" si="10"/>
        <v>0</v>
      </c>
      <c r="F74" s="153">
        <f t="shared" si="10"/>
        <v>0</v>
      </c>
      <c r="G74" s="153">
        <f t="shared" si="10"/>
        <v>0</v>
      </c>
      <c r="H74" s="153">
        <f t="shared" si="10"/>
        <v>-2200</v>
      </c>
      <c r="I74" s="153">
        <f t="shared" si="10"/>
        <v>0</v>
      </c>
      <c r="J74" s="153">
        <f t="shared" si="10"/>
        <v>0</v>
      </c>
      <c r="K74" s="153">
        <f t="shared" si="10"/>
        <v>0</v>
      </c>
      <c r="L74" s="153">
        <f t="shared" si="10"/>
        <v>2400</v>
      </c>
    </row>
    <row r="75" spans="2:12" x14ac:dyDescent="0.5">
      <c r="B75" s="137" t="str">
        <f t="shared" si="9"/>
        <v>PQR</v>
      </c>
      <c r="C75" s="137" t="str">
        <f t="shared" si="9"/>
        <v>PQR Chemicals</v>
      </c>
      <c r="D75" s="137" t="str">
        <f t="shared" si="9"/>
        <v>Chemicals</v>
      </c>
      <c r="E75" s="153">
        <f t="shared" si="10"/>
        <v>0</v>
      </c>
      <c r="F75" s="153">
        <f t="shared" si="10"/>
        <v>0</v>
      </c>
      <c r="G75" s="153">
        <f t="shared" si="10"/>
        <v>0</v>
      </c>
      <c r="H75" s="153">
        <f t="shared" si="10"/>
        <v>0</v>
      </c>
      <c r="I75" s="153">
        <f t="shared" si="10"/>
        <v>-6000</v>
      </c>
      <c r="J75" s="153">
        <f t="shared" si="10"/>
        <v>0</v>
      </c>
      <c r="K75" s="153">
        <f t="shared" si="10"/>
        <v>0</v>
      </c>
      <c r="L75" s="153">
        <f t="shared" si="10"/>
        <v>7200</v>
      </c>
    </row>
    <row r="76" spans="2:12" ht="14.7" thickBot="1" x14ac:dyDescent="0.55000000000000004">
      <c r="B76" s="154" t="s">
        <v>168</v>
      </c>
      <c r="C76" s="154"/>
      <c r="D76" s="154"/>
      <c r="E76" s="155">
        <f t="shared" ref="E76:L76" si="11">SUM(E61:E75)</f>
        <v>0</v>
      </c>
      <c r="F76" s="155">
        <f t="shared" si="11"/>
        <v>0</v>
      </c>
      <c r="G76" s="155">
        <f t="shared" si="11"/>
        <v>1550</v>
      </c>
      <c r="H76" s="155">
        <f t="shared" si="11"/>
        <v>2300</v>
      </c>
      <c r="I76" s="155">
        <f t="shared" si="11"/>
        <v>0</v>
      </c>
      <c r="J76" s="155">
        <f t="shared" si="11"/>
        <v>0</v>
      </c>
      <c r="K76" s="155">
        <f t="shared" si="11"/>
        <v>0</v>
      </c>
      <c r="L76" s="155">
        <f t="shared" si="11"/>
        <v>92600</v>
      </c>
    </row>
    <row r="77" spans="2:12" ht="14.7" thickTop="1" x14ac:dyDescent="0.5">
      <c r="B77" s="21"/>
      <c r="C77" s="137"/>
      <c r="D77" s="137"/>
    </row>
    <row r="78" spans="2:12" x14ac:dyDescent="0.5">
      <c r="B78" s="144" t="s">
        <v>169</v>
      </c>
      <c r="C78" s="137"/>
      <c r="E78" s="139">
        <v>0</v>
      </c>
      <c r="F78" s="139">
        <v>1</v>
      </c>
      <c r="G78" s="139">
        <v>2</v>
      </c>
      <c r="H78" s="139">
        <v>3</v>
      </c>
      <c r="I78" s="139">
        <v>4</v>
      </c>
      <c r="J78" s="139">
        <v>5</v>
      </c>
      <c r="K78" s="139">
        <v>6</v>
      </c>
      <c r="L78" s="139">
        <v>7</v>
      </c>
    </row>
    <row r="79" spans="2:12" ht="26.35" thickBot="1" x14ac:dyDescent="0.55000000000000004">
      <c r="B79" s="151" t="s">
        <v>114</v>
      </c>
      <c r="C79" s="151" t="s">
        <v>115</v>
      </c>
      <c r="D79" s="151" t="s">
        <v>116</v>
      </c>
      <c r="E79" s="147" t="str">
        <f>+E60</f>
        <v>June 1
20x1</v>
      </c>
      <c r="F79" s="147" t="str">
        <f t="shared" ref="F79:L79" si="12">+F60</f>
        <v>July 1
20x1</v>
      </c>
      <c r="G79" s="147" t="str">
        <f t="shared" si="12"/>
        <v>Aug 1
20x1</v>
      </c>
      <c r="H79" s="147" t="str">
        <f t="shared" si="12"/>
        <v>Sep 1
20x1</v>
      </c>
      <c r="I79" s="147" t="str">
        <f t="shared" si="12"/>
        <v>Oct 1
20x1</v>
      </c>
      <c r="J79" s="147" t="str">
        <f t="shared" si="12"/>
        <v>Nov 1
20x1</v>
      </c>
      <c r="K79" s="147" t="str">
        <f t="shared" si="12"/>
        <v>Dec 1
20x1</v>
      </c>
      <c r="L79" s="147" t="str">
        <f t="shared" si="12"/>
        <v>Jan 2
20x2</v>
      </c>
    </row>
    <row r="80" spans="2:12" ht="14.7" thickTop="1" x14ac:dyDescent="0.5">
      <c r="B80" s="137" t="str">
        <f t="shared" ref="B80:D94" si="13">+B61</f>
        <v>ABC</v>
      </c>
      <c r="C80" s="137" t="str">
        <f t="shared" si="13"/>
        <v>ABC Chem Inc</v>
      </c>
      <c r="D80" s="137" t="str">
        <f t="shared" si="13"/>
        <v>Chemicals</v>
      </c>
      <c r="E80" s="156">
        <f t="shared" ref="E80:L94" si="14">+E7*E25</f>
        <v>9200</v>
      </c>
      <c r="F80" s="153">
        <f t="shared" si="14"/>
        <v>9600</v>
      </c>
      <c r="G80" s="153">
        <f t="shared" si="14"/>
        <v>2250</v>
      </c>
      <c r="H80" s="153">
        <f t="shared" si="14"/>
        <v>2500</v>
      </c>
      <c r="I80" s="153">
        <f t="shared" si="14"/>
        <v>2600</v>
      </c>
      <c r="J80" s="153">
        <f t="shared" si="14"/>
        <v>2700</v>
      </c>
      <c r="K80" s="153">
        <f t="shared" si="14"/>
        <v>2800</v>
      </c>
      <c r="L80" s="153">
        <f t="shared" si="14"/>
        <v>0</v>
      </c>
    </row>
    <row r="81" spans="2:12" x14ac:dyDescent="0.5">
      <c r="B81" s="137" t="str">
        <f t="shared" si="13"/>
        <v>BCD</v>
      </c>
      <c r="C81" s="137" t="str">
        <f t="shared" si="13"/>
        <v>BCD  Precision Inc</v>
      </c>
      <c r="D81" s="137" t="str">
        <f t="shared" si="13"/>
        <v>Industrial</v>
      </c>
      <c r="E81" s="156">
        <f t="shared" si="14"/>
        <v>4200</v>
      </c>
      <c r="F81" s="153">
        <f t="shared" si="14"/>
        <v>3500</v>
      </c>
      <c r="G81" s="153">
        <f t="shared" si="14"/>
        <v>600</v>
      </c>
      <c r="H81" s="153">
        <f t="shared" si="14"/>
        <v>600</v>
      </c>
      <c r="I81" s="153">
        <f t="shared" si="14"/>
        <v>750</v>
      </c>
      <c r="J81" s="153">
        <f t="shared" si="14"/>
        <v>900</v>
      </c>
      <c r="K81" s="153">
        <f t="shared" si="14"/>
        <v>975</v>
      </c>
      <c r="L81" s="153">
        <f t="shared" si="14"/>
        <v>0</v>
      </c>
    </row>
    <row r="82" spans="2:12" x14ac:dyDescent="0.5">
      <c r="B82" s="137" t="str">
        <f t="shared" si="13"/>
        <v>CDE</v>
      </c>
      <c r="C82" s="137" t="str">
        <f t="shared" si="13"/>
        <v>CDE Inc</v>
      </c>
      <c r="D82" s="137" t="str">
        <f t="shared" si="13"/>
        <v>Publishing</v>
      </c>
      <c r="E82" s="156">
        <f t="shared" si="14"/>
        <v>5400</v>
      </c>
      <c r="F82" s="153">
        <f t="shared" si="14"/>
        <v>5700</v>
      </c>
      <c r="G82" s="153">
        <f t="shared" si="14"/>
        <v>3600</v>
      </c>
      <c r="H82" s="153">
        <f t="shared" si="14"/>
        <v>3800</v>
      </c>
      <c r="I82" s="153">
        <f t="shared" si="14"/>
        <v>4200</v>
      </c>
      <c r="J82" s="153">
        <f t="shared" si="14"/>
        <v>4000</v>
      </c>
      <c r="K82" s="153">
        <f t="shared" si="14"/>
        <v>3800</v>
      </c>
      <c r="L82" s="153">
        <f t="shared" si="14"/>
        <v>0</v>
      </c>
    </row>
    <row r="83" spans="2:12" x14ac:dyDescent="0.5">
      <c r="B83" s="137" t="str">
        <f t="shared" si="13"/>
        <v>DEF</v>
      </c>
      <c r="C83" s="137" t="str">
        <f t="shared" si="13"/>
        <v>DEF Inc</v>
      </c>
      <c r="D83" s="137" t="str">
        <f t="shared" si="13"/>
        <v>Hospitality</v>
      </c>
      <c r="E83" s="156">
        <f t="shared" si="14"/>
        <v>12000</v>
      </c>
      <c r="F83" s="153">
        <f t="shared" si="14"/>
        <v>12600</v>
      </c>
      <c r="G83" s="153">
        <f t="shared" si="14"/>
        <v>12900</v>
      </c>
      <c r="H83" s="153">
        <f t="shared" si="14"/>
        <v>9000</v>
      </c>
      <c r="I83" s="153">
        <f t="shared" si="14"/>
        <v>9000</v>
      </c>
      <c r="J83" s="153">
        <f t="shared" si="14"/>
        <v>9000</v>
      </c>
      <c r="K83" s="153">
        <f t="shared" si="14"/>
        <v>9200</v>
      </c>
      <c r="L83" s="153">
        <f t="shared" si="14"/>
        <v>0</v>
      </c>
    </row>
    <row r="84" spans="2:12" x14ac:dyDescent="0.5">
      <c r="B84" s="137" t="str">
        <f t="shared" si="13"/>
        <v>EFG</v>
      </c>
      <c r="C84" s="137" t="str">
        <f t="shared" si="13"/>
        <v>Effective Inc</v>
      </c>
      <c r="D84" s="137" t="str">
        <f t="shared" si="13"/>
        <v>TV/Cable</v>
      </c>
      <c r="E84" s="156">
        <f t="shared" si="14"/>
        <v>10400</v>
      </c>
      <c r="F84" s="153">
        <f t="shared" si="14"/>
        <v>12000</v>
      </c>
      <c r="G84" s="153">
        <f t="shared" si="14"/>
        <v>12000</v>
      </c>
      <c r="H84" s="153">
        <f t="shared" si="14"/>
        <v>12000</v>
      </c>
      <c r="I84" s="153">
        <f t="shared" si="14"/>
        <v>12400</v>
      </c>
      <c r="J84" s="153">
        <f t="shared" si="14"/>
        <v>12400</v>
      </c>
      <c r="K84" s="153">
        <f t="shared" si="14"/>
        <v>12200</v>
      </c>
      <c r="L84" s="153">
        <f t="shared" si="14"/>
        <v>0</v>
      </c>
    </row>
    <row r="85" spans="2:12" x14ac:dyDescent="0.5">
      <c r="B85" s="137" t="str">
        <f t="shared" si="13"/>
        <v>FGH</v>
      </c>
      <c r="C85" s="137" t="str">
        <f t="shared" si="13"/>
        <v>FGH Inc</v>
      </c>
      <c r="D85" s="137" t="str">
        <f t="shared" si="13"/>
        <v>Techonlogy</v>
      </c>
      <c r="E85" s="156">
        <f t="shared" si="14"/>
        <v>12400</v>
      </c>
      <c r="F85" s="153">
        <f t="shared" si="14"/>
        <v>8000</v>
      </c>
      <c r="G85" s="153">
        <f t="shared" si="14"/>
        <v>10000</v>
      </c>
      <c r="H85" s="153">
        <f t="shared" si="14"/>
        <v>10400</v>
      </c>
      <c r="I85" s="153">
        <f t="shared" si="14"/>
        <v>2000</v>
      </c>
      <c r="J85" s="153">
        <f t="shared" si="14"/>
        <v>2200</v>
      </c>
      <c r="K85" s="153">
        <f t="shared" si="14"/>
        <v>2400</v>
      </c>
      <c r="L85" s="153">
        <f t="shared" si="14"/>
        <v>0</v>
      </c>
    </row>
    <row r="86" spans="2:12" x14ac:dyDescent="0.5">
      <c r="B86" s="137" t="str">
        <f t="shared" si="13"/>
        <v>GHI</v>
      </c>
      <c r="C86" s="137" t="str">
        <f t="shared" si="13"/>
        <v>General HI</v>
      </c>
      <c r="D86" s="137" t="str">
        <f t="shared" si="13"/>
        <v>Service</v>
      </c>
      <c r="E86" s="156">
        <f t="shared" si="14"/>
        <v>9000</v>
      </c>
      <c r="F86" s="153">
        <f t="shared" si="14"/>
        <v>9600</v>
      </c>
      <c r="G86" s="153">
        <f t="shared" si="14"/>
        <v>10200</v>
      </c>
      <c r="H86" s="153">
        <f t="shared" si="14"/>
        <v>10800</v>
      </c>
      <c r="I86" s="153">
        <f t="shared" si="14"/>
        <v>11400</v>
      </c>
      <c r="J86" s="153">
        <f t="shared" si="14"/>
        <v>11400</v>
      </c>
      <c r="K86" s="153">
        <f t="shared" si="14"/>
        <v>10800</v>
      </c>
      <c r="L86" s="153">
        <f t="shared" si="14"/>
        <v>0</v>
      </c>
    </row>
    <row r="87" spans="2:12" x14ac:dyDescent="0.5">
      <c r="B87" s="137" t="str">
        <f t="shared" si="13"/>
        <v>HIK</v>
      </c>
      <c r="C87" s="137" t="str">
        <f t="shared" si="13"/>
        <v>Hicks Kental Inc</v>
      </c>
      <c r="D87" s="137" t="str">
        <f t="shared" si="13"/>
        <v>Retail</v>
      </c>
      <c r="E87" s="156">
        <f t="shared" si="14"/>
        <v>8000</v>
      </c>
      <c r="F87" s="153">
        <f t="shared" si="14"/>
        <v>9500</v>
      </c>
      <c r="G87" s="153">
        <f t="shared" si="14"/>
        <v>10500</v>
      </c>
      <c r="H87" s="153">
        <f t="shared" si="14"/>
        <v>11000</v>
      </c>
      <c r="I87" s="153">
        <f t="shared" si="14"/>
        <v>11500</v>
      </c>
      <c r="J87" s="153">
        <f t="shared" si="14"/>
        <v>12000</v>
      </c>
      <c r="K87" s="153">
        <f t="shared" si="14"/>
        <v>14000</v>
      </c>
      <c r="L87" s="153">
        <f t="shared" si="14"/>
        <v>0</v>
      </c>
    </row>
    <row r="88" spans="2:12" x14ac:dyDescent="0.5">
      <c r="B88" s="137" t="str">
        <f t="shared" si="13"/>
        <v>IKL</v>
      </c>
      <c r="C88" s="137" t="str">
        <f t="shared" si="13"/>
        <v>IKL Inc</v>
      </c>
      <c r="D88" s="137" t="str">
        <f t="shared" si="13"/>
        <v>Pharmaceutical</v>
      </c>
      <c r="E88" s="156">
        <f t="shared" si="14"/>
        <v>4500</v>
      </c>
      <c r="F88" s="153">
        <f t="shared" si="14"/>
        <v>3900</v>
      </c>
      <c r="G88" s="153">
        <f t="shared" si="14"/>
        <v>3600</v>
      </c>
      <c r="H88" s="153">
        <f t="shared" si="14"/>
        <v>4200</v>
      </c>
      <c r="I88" s="153">
        <f t="shared" si="14"/>
        <v>4500</v>
      </c>
      <c r="J88" s="153">
        <f t="shared" si="14"/>
        <v>5400</v>
      </c>
      <c r="K88" s="153">
        <f t="shared" si="14"/>
        <v>6600</v>
      </c>
      <c r="L88" s="153">
        <f t="shared" si="14"/>
        <v>0</v>
      </c>
    </row>
    <row r="89" spans="2:12" x14ac:dyDescent="0.5">
      <c r="B89" s="137" t="str">
        <f t="shared" si="13"/>
        <v>KLM</v>
      </c>
      <c r="C89" s="137" t="str">
        <f t="shared" si="13"/>
        <v>KLM Health</v>
      </c>
      <c r="D89" s="137" t="str">
        <f t="shared" si="13"/>
        <v>Healthcare</v>
      </c>
      <c r="E89" s="156">
        <f t="shared" si="14"/>
        <v>7500</v>
      </c>
      <c r="F89" s="153">
        <f t="shared" si="14"/>
        <v>7800</v>
      </c>
      <c r="G89" s="153">
        <f t="shared" si="14"/>
        <v>7800</v>
      </c>
      <c r="H89" s="153">
        <f t="shared" si="14"/>
        <v>7800</v>
      </c>
      <c r="I89" s="153">
        <f t="shared" si="14"/>
        <v>7800</v>
      </c>
      <c r="J89" s="153">
        <f t="shared" si="14"/>
        <v>7800</v>
      </c>
      <c r="K89" s="153">
        <f t="shared" si="14"/>
        <v>8100</v>
      </c>
      <c r="L89" s="153">
        <f t="shared" si="14"/>
        <v>0</v>
      </c>
    </row>
    <row r="90" spans="2:12" x14ac:dyDescent="0.5">
      <c r="B90" s="137" t="str">
        <f t="shared" si="13"/>
        <v>LMN</v>
      </c>
      <c r="C90" s="137" t="str">
        <f t="shared" si="13"/>
        <v>LMN Hotel &amp; Resorts</v>
      </c>
      <c r="D90" s="137" t="str">
        <f t="shared" si="13"/>
        <v>Hospitality</v>
      </c>
      <c r="E90" s="156">
        <f t="shared" si="14"/>
        <v>0</v>
      </c>
      <c r="F90" s="153">
        <f t="shared" si="14"/>
        <v>0</v>
      </c>
      <c r="G90" s="153">
        <f t="shared" si="14"/>
        <v>3200</v>
      </c>
      <c r="H90" s="153">
        <f t="shared" si="14"/>
        <v>3300</v>
      </c>
      <c r="I90" s="153">
        <f t="shared" si="14"/>
        <v>3500</v>
      </c>
      <c r="J90" s="153">
        <f t="shared" si="14"/>
        <v>3200</v>
      </c>
      <c r="K90" s="153">
        <f t="shared" si="14"/>
        <v>3400</v>
      </c>
      <c r="L90" s="153">
        <f t="shared" si="14"/>
        <v>0</v>
      </c>
    </row>
    <row r="91" spans="2:12" x14ac:dyDescent="0.5">
      <c r="B91" s="137" t="str">
        <f t="shared" si="13"/>
        <v>MNO</v>
      </c>
      <c r="C91" s="137" t="str">
        <f t="shared" si="13"/>
        <v>MNO Cable Inc</v>
      </c>
      <c r="D91" s="137" t="str">
        <f t="shared" si="13"/>
        <v>TV/Cable</v>
      </c>
      <c r="E91" s="156">
        <f t="shared" si="14"/>
        <v>0</v>
      </c>
      <c r="F91" s="153">
        <f t="shared" si="14"/>
        <v>0</v>
      </c>
      <c r="G91" s="153">
        <f t="shared" si="14"/>
        <v>1900</v>
      </c>
      <c r="H91" s="153">
        <f t="shared" si="14"/>
        <v>1800</v>
      </c>
      <c r="I91" s="153">
        <f t="shared" si="14"/>
        <v>1800</v>
      </c>
      <c r="J91" s="153">
        <f t="shared" si="14"/>
        <v>1600</v>
      </c>
      <c r="K91" s="153">
        <f t="shared" si="14"/>
        <v>2000</v>
      </c>
      <c r="L91" s="153">
        <f t="shared" si="14"/>
        <v>0</v>
      </c>
    </row>
    <row r="92" spans="2:12" x14ac:dyDescent="0.5">
      <c r="B92" s="137" t="str">
        <f t="shared" si="13"/>
        <v>NOP</v>
      </c>
      <c r="C92" s="137" t="str">
        <f t="shared" si="13"/>
        <v>Norton Optimum</v>
      </c>
      <c r="D92" s="137" t="str">
        <f t="shared" si="13"/>
        <v>Techonlogy</v>
      </c>
      <c r="E92" s="156">
        <f t="shared" si="14"/>
        <v>0</v>
      </c>
      <c r="F92" s="153">
        <f t="shared" si="14"/>
        <v>0</v>
      </c>
      <c r="G92" s="153">
        <f t="shared" si="14"/>
        <v>5500</v>
      </c>
      <c r="H92" s="153">
        <f t="shared" si="14"/>
        <v>5600</v>
      </c>
      <c r="I92" s="153">
        <f t="shared" si="14"/>
        <v>5800</v>
      </c>
      <c r="J92" s="153">
        <f t="shared" si="14"/>
        <v>5900</v>
      </c>
      <c r="K92" s="153">
        <f t="shared" si="14"/>
        <v>5900</v>
      </c>
      <c r="L92" s="153">
        <f t="shared" si="14"/>
        <v>0</v>
      </c>
    </row>
    <row r="93" spans="2:12" x14ac:dyDescent="0.5">
      <c r="B93" s="137" t="str">
        <f t="shared" si="13"/>
        <v>OPQ</v>
      </c>
      <c r="C93" s="137" t="str">
        <f t="shared" si="13"/>
        <v>Odyssea PQ Inc</v>
      </c>
      <c r="D93" s="137" t="str">
        <f t="shared" si="13"/>
        <v>Retail</v>
      </c>
      <c r="E93" s="156">
        <f t="shared" si="14"/>
        <v>0</v>
      </c>
      <c r="F93" s="153">
        <f t="shared" si="14"/>
        <v>0</v>
      </c>
      <c r="G93" s="153">
        <f t="shared" si="14"/>
        <v>0</v>
      </c>
      <c r="H93" s="153">
        <f t="shared" si="14"/>
        <v>2200</v>
      </c>
      <c r="I93" s="153">
        <f t="shared" si="14"/>
        <v>2200</v>
      </c>
      <c r="J93" s="153">
        <f t="shared" si="14"/>
        <v>2200</v>
      </c>
      <c r="K93" s="153">
        <f t="shared" si="14"/>
        <v>2300</v>
      </c>
      <c r="L93" s="153">
        <f t="shared" si="14"/>
        <v>0</v>
      </c>
    </row>
    <row r="94" spans="2:12" x14ac:dyDescent="0.5">
      <c r="B94" s="137" t="str">
        <f t="shared" si="13"/>
        <v>PQR</v>
      </c>
      <c r="C94" s="137" t="str">
        <f t="shared" si="13"/>
        <v>PQR Chemicals</v>
      </c>
      <c r="D94" s="137" t="str">
        <f t="shared" si="13"/>
        <v>Chemicals</v>
      </c>
      <c r="E94" s="156">
        <f t="shared" si="14"/>
        <v>0</v>
      </c>
      <c r="F94" s="153">
        <f t="shared" si="14"/>
        <v>0</v>
      </c>
      <c r="G94" s="153">
        <f t="shared" si="14"/>
        <v>0</v>
      </c>
      <c r="H94" s="153">
        <f t="shared" si="14"/>
        <v>0</v>
      </c>
      <c r="I94" s="153">
        <f t="shared" si="14"/>
        <v>6000</v>
      </c>
      <c r="J94" s="153">
        <f t="shared" si="14"/>
        <v>6600</v>
      </c>
      <c r="K94" s="153">
        <f t="shared" si="14"/>
        <v>7800</v>
      </c>
      <c r="L94" s="153">
        <f t="shared" si="14"/>
        <v>0</v>
      </c>
    </row>
    <row r="95" spans="2:12" ht="14.7" thickBot="1" x14ac:dyDescent="0.55000000000000004">
      <c r="B95" s="157" t="s">
        <v>170</v>
      </c>
      <c r="C95" s="154"/>
      <c r="D95" s="158"/>
      <c r="E95" s="159">
        <f t="shared" ref="E95:L95" si="15">SUM(E80:E94)</f>
        <v>82600</v>
      </c>
      <c r="F95" s="159">
        <f t="shared" si="15"/>
        <v>82200</v>
      </c>
      <c r="G95" s="159">
        <f t="shared" si="15"/>
        <v>84050</v>
      </c>
      <c r="H95" s="159">
        <f t="shared" si="15"/>
        <v>85000</v>
      </c>
      <c r="I95" s="159">
        <f t="shared" si="15"/>
        <v>85450</v>
      </c>
      <c r="J95" s="159">
        <f t="shared" si="15"/>
        <v>87300</v>
      </c>
      <c r="K95" s="159">
        <f t="shared" si="15"/>
        <v>92275</v>
      </c>
      <c r="L95" s="159">
        <f t="shared" si="15"/>
        <v>0</v>
      </c>
    </row>
    <row r="96" spans="2:12" ht="8.4499999999999993" customHeight="1" thickTop="1" x14ac:dyDescent="0.5">
      <c r="C96" s="137"/>
      <c r="D96" s="150"/>
    </row>
    <row r="97" spans="12:12" x14ac:dyDescent="0.5">
      <c r="L97" t="s">
        <v>171</v>
      </c>
    </row>
    <row r="116" spans="13:13" x14ac:dyDescent="0.5">
      <c r="M116" s="160"/>
    </row>
    <row r="133" spans="2:12" x14ac:dyDescent="0.5">
      <c r="B133" s="21"/>
      <c r="C133" s="137"/>
      <c r="D133" s="137"/>
      <c r="E133" s="161"/>
      <c r="F133" s="161"/>
      <c r="G133" s="161"/>
      <c r="H133" s="161"/>
      <c r="I133" s="161"/>
      <c r="J133" s="161"/>
      <c r="K133" s="161"/>
      <c r="L133" s="1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6D25-998E-4248-8AA6-29E2BF14A77F}">
  <dimension ref="A2:P28"/>
  <sheetViews>
    <sheetView showGridLines="0" workbookViewId="0">
      <selection activeCell="H9" sqref="H9"/>
    </sheetView>
  </sheetViews>
  <sheetFormatPr defaultRowHeight="14.35" x14ac:dyDescent="0.5"/>
  <cols>
    <col min="1" max="1" width="14" customWidth="1"/>
    <col min="2" max="2" width="9" customWidth="1"/>
    <col min="3" max="3" width="8.234375" customWidth="1"/>
    <col min="4" max="4" width="2.46875" customWidth="1"/>
    <col min="5" max="5" width="10.234375" customWidth="1"/>
    <col min="6" max="6" width="9.1171875" customWidth="1"/>
    <col min="14" max="14" width="3.703125" customWidth="1"/>
  </cols>
  <sheetData>
    <row r="2" spans="1:16" ht="17.7" x14ac:dyDescent="0.55000000000000004">
      <c r="A2" s="35" t="s">
        <v>54</v>
      </c>
      <c r="B2" s="36"/>
      <c r="C2" s="36"/>
      <c r="D2" s="36"/>
      <c r="E2" s="36"/>
      <c r="F2" s="36"/>
      <c r="G2" s="105"/>
      <c r="H2" s="105"/>
      <c r="I2" s="105"/>
      <c r="J2" s="105"/>
      <c r="K2" s="105"/>
      <c r="L2" s="105"/>
      <c r="M2" s="105"/>
      <c r="N2" s="105"/>
    </row>
    <row r="3" spans="1:16" ht="11.45" customHeight="1" x14ac:dyDescent="0.5"/>
    <row r="4" spans="1:16" x14ac:dyDescent="0.5">
      <c r="A4" s="103" t="s">
        <v>65</v>
      </c>
      <c r="B4" s="104"/>
    </row>
    <row r="5" spans="1:16" x14ac:dyDescent="0.5">
      <c r="A5" s="16" t="s">
        <v>33</v>
      </c>
      <c r="B5" s="97">
        <f>+'Fig. 2.1'!F11</f>
        <v>11.7</v>
      </c>
      <c r="C5" s="38"/>
    </row>
    <row r="6" spans="1:16" x14ac:dyDescent="0.5">
      <c r="A6" s="16" t="s">
        <v>34</v>
      </c>
      <c r="B6" s="97">
        <f>+'Fig. 2.1'!L11</f>
        <v>4.25</v>
      </c>
      <c r="C6" s="38"/>
    </row>
    <row r="7" spans="1:16" x14ac:dyDescent="0.5">
      <c r="A7" s="16" t="s">
        <v>35</v>
      </c>
      <c r="B7" s="97">
        <f>+'Fig. 2.1'!I12</f>
        <v>14.916769087171659</v>
      </c>
      <c r="C7" s="38"/>
    </row>
    <row r="8" spans="1:16" x14ac:dyDescent="0.5">
      <c r="A8" s="16" t="s">
        <v>66</v>
      </c>
      <c r="B8" s="97">
        <f>+'Fig. 2.1'!O12</f>
        <v>7.0489360899358422</v>
      </c>
      <c r="C8" s="38"/>
    </row>
    <row r="9" spans="1:16" x14ac:dyDescent="0.5">
      <c r="A9" s="16" t="s">
        <v>53</v>
      </c>
      <c r="B9" s="97">
        <f>+E12</f>
        <v>-0.97220707978637788</v>
      </c>
      <c r="C9" s="38"/>
    </row>
    <row r="10" spans="1:16" ht="10.7" customHeight="1" thickBot="1" x14ac:dyDescent="0.55000000000000004">
      <c r="A10" s="16"/>
      <c r="B10" s="71"/>
      <c r="C10" s="38"/>
    </row>
    <row r="11" spans="1:16" ht="17.45" customHeight="1" thickBot="1" x14ac:dyDescent="0.55000000000000004">
      <c r="A11" s="72"/>
      <c r="B11" s="71"/>
      <c r="C11" s="38"/>
      <c r="D11" s="74"/>
      <c r="E11" s="75" t="s">
        <v>68</v>
      </c>
      <c r="F11" s="76"/>
    </row>
    <row r="12" spans="1:16" ht="12.7" customHeight="1" thickBot="1" x14ac:dyDescent="0.55000000000000004">
      <c r="A12" s="90" t="s">
        <v>59</v>
      </c>
      <c r="B12" s="91"/>
      <c r="C12" s="92"/>
      <c r="D12" s="94"/>
      <c r="E12" s="95">
        <f>+'Fig. 2.1'!O28</f>
        <v>-0.97220707978637788</v>
      </c>
      <c r="F12" s="96"/>
      <c r="O12" t="s">
        <v>69</v>
      </c>
      <c r="P12" t="s">
        <v>70</v>
      </c>
    </row>
    <row r="13" spans="1:16" x14ac:dyDescent="0.5">
      <c r="A13" s="244" t="s">
        <v>36</v>
      </c>
      <c r="B13" s="244"/>
      <c r="C13" s="39"/>
      <c r="D13" s="89"/>
      <c r="E13" s="87" t="s">
        <v>69</v>
      </c>
      <c r="F13" s="88" t="s">
        <v>70</v>
      </c>
      <c r="O13">
        <v>7.0489360899358422</v>
      </c>
      <c r="P13">
        <v>4.25</v>
      </c>
    </row>
    <row r="14" spans="1:16" ht="15.35" x14ac:dyDescent="0.5">
      <c r="A14" s="40" t="s">
        <v>60</v>
      </c>
      <c r="B14" s="40" t="s">
        <v>61</v>
      </c>
      <c r="C14" s="82"/>
      <c r="D14" s="82"/>
      <c r="E14" s="85" t="s">
        <v>64</v>
      </c>
      <c r="F14" s="86" t="s">
        <v>62</v>
      </c>
      <c r="O14">
        <v>4.9062689490079929</v>
      </c>
      <c r="P14">
        <v>4.9950000000000001</v>
      </c>
    </row>
    <row r="15" spans="1:16" x14ac:dyDescent="0.5">
      <c r="A15" s="77">
        <v>0</v>
      </c>
      <c r="B15" s="78">
        <f t="shared" ref="B15:B25" si="0">1-A15</f>
        <v>1</v>
      </c>
      <c r="C15" s="44"/>
      <c r="D15" s="44"/>
      <c r="E15" s="79">
        <f t="shared" ref="E15:E25" si="1">SQRT((A15*$B$7)^2+(B15*$B$8)^2+2*$B$7*A15*$B$8*B15*$E$12)</f>
        <v>7.0489360899358422</v>
      </c>
      <c r="F15" s="80">
        <f>+A15*$B$5+B15*$B$6</f>
        <v>4.25</v>
      </c>
      <c r="O15">
        <v>2.8263757711953303</v>
      </c>
      <c r="P15">
        <v>5.74</v>
      </c>
    </row>
    <row r="16" spans="1:16" x14ac:dyDescent="0.5">
      <c r="A16" s="81">
        <f t="shared" ref="A16:A25" si="2">+A15+0.1</f>
        <v>0.1</v>
      </c>
      <c r="B16" s="81">
        <f t="shared" si="0"/>
        <v>0.9</v>
      </c>
      <c r="C16" s="102"/>
      <c r="D16" s="82"/>
      <c r="E16" s="83">
        <f t="shared" si="1"/>
        <v>4.9062689490079929</v>
      </c>
      <c r="F16" s="84">
        <f t="shared" ref="F16:F25" si="3">+A16*$B$5+B16*$B$6</f>
        <v>4.9950000000000001</v>
      </c>
      <c r="O16">
        <v>1.1992810346203251</v>
      </c>
      <c r="P16">
        <v>6.4849999999999994</v>
      </c>
    </row>
    <row r="17" spans="1:16" x14ac:dyDescent="0.5">
      <c r="A17" s="81">
        <f t="shared" si="2"/>
        <v>0.2</v>
      </c>
      <c r="B17" s="81">
        <f t="shared" si="0"/>
        <v>0.8</v>
      </c>
      <c r="C17" s="82"/>
      <c r="D17" s="82"/>
      <c r="E17" s="100">
        <f t="shared" si="1"/>
        <v>2.8263757711953303</v>
      </c>
      <c r="F17" s="101">
        <f t="shared" si="3"/>
        <v>5.74</v>
      </c>
      <c r="O17">
        <v>2.1026411962101386</v>
      </c>
      <c r="P17">
        <v>7.2299999999999995</v>
      </c>
    </row>
    <row r="18" spans="1:16" x14ac:dyDescent="0.5">
      <c r="A18" s="81">
        <f t="shared" si="2"/>
        <v>0.30000000000000004</v>
      </c>
      <c r="B18" s="81">
        <f t="shared" si="0"/>
        <v>0.7</v>
      </c>
      <c r="C18" s="102" t="s">
        <v>67</v>
      </c>
      <c r="D18" s="82"/>
      <c r="E18" s="100">
        <f t="shared" si="1"/>
        <v>1.1992810346203251</v>
      </c>
      <c r="F18" s="101">
        <f t="shared" si="3"/>
        <v>6.4849999999999994</v>
      </c>
      <c r="O18">
        <v>4.1154434754956846</v>
      </c>
      <c r="P18">
        <v>7.9749999999999996</v>
      </c>
    </row>
    <row r="19" spans="1:16" x14ac:dyDescent="0.5">
      <c r="A19" s="81">
        <f t="shared" si="2"/>
        <v>0.4</v>
      </c>
      <c r="B19" s="81">
        <f t="shared" si="0"/>
        <v>0.6</v>
      </c>
      <c r="C19" s="82"/>
      <c r="D19" s="82"/>
      <c r="E19" s="100">
        <f t="shared" si="1"/>
        <v>2.1026411962101386</v>
      </c>
      <c r="F19" s="101">
        <f t="shared" si="3"/>
        <v>7.2299999999999995</v>
      </c>
      <c r="O19">
        <v>6.2438449692477151</v>
      </c>
      <c r="P19">
        <v>8.7199999999999989</v>
      </c>
    </row>
    <row r="20" spans="1:16" x14ac:dyDescent="0.5">
      <c r="A20" s="81">
        <f t="shared" si="2"/>
        <v>0.5</v>
      </c>
      <c r="B20" s="81">
        <f t="shared" si="0"/>
        <v>0.5</v>
      </c>
      <c r="C20" s="82"/>
      <c r="D20" s="82"/>
      <c r="E20" s="83">
        <f t="shared" si="1"/>
        <v>4.1154434754956846</v>
      </c>
      <c r="F20" s="84">
        <f t="shared" si="3"/>
        <v>7.9749999999999996</v>
      </c>
      <c r="O20">
        <v>8.4004330245529584</v>
      </c>
      <c r="P20">
        <v>9.4649999999999999</v>
      </c>
    </row>
    <row r="21" spans="1:16" x14ac:dyDescent="0.5">
      <c r="A21" s="81">
        <f t="shared" si="2"/>
        <v>0.6</v>
      </c>
      <c r="B21" s="81">
        <f t="shared" si="0"/>
        <v>0.4</v>
      </c>
      <c r="C21" s="82"/>
      <c r="D21" s="82"/>
      <c r="E21" s="83">
        <f t="shared" si="1"/>
        <v>6.2438449692477151</v>
      </c>
      <c r="F21" s="84">
        <f t="shared" si="3"/>
        <v>8.7199999999999989</v>
      </c>
      <c r="O21">
        <v>10.567965745591719</v>
      </c>
      <c r="P21">
        <v>10.209999999999999</v>
      </c>
    </row>
    <row r="22" spans="1:16" x14ac:dyDescent="0.5">
      <c r="A22" s="81">
        <f t="shared" si="2"/>
        <v>0.7</v>
      </c>
      <c r="B22" s="81">
        <f t="shared" si="0"/>
        <v>0.30000000000000004</v>
      </c>
      <c r="C22" s="82"/>
      <c r="D22" s="82"/>
      <c r="E22" s="83">
        <f t="shared" si="1"/>
        <v>8.4004330245529584</v>
      </c>
      <c r="F22" s="84">
        <f t="shared" si="3"/>
        <v>9.4649999999999999</v>
      </c>
      <c r="O22">
        <v>12.740858487558832</v>
      </c>
      <c r="P22">
        <v>10.954999999999998</v>
      </c>
    </row>
    <row r="23" spans="1:16" x14ac:dyDescent="0.5">
      <c r="A23" s="81">
        <f t="shared" si="2"/>
        <v>0.79999999999999993</v>
      </c>
      <c r="B23" s="81">
        <f t="shared" si="0"/>
        <v>0.20000000000000007</v>
      </c>
      <c r="C23" s="82"/>
      <c r="D23" s="82"/>
      <c r="E23" s="83">
        <f t="shared" si="1"/>
        <v>10.567965745591719</v>
      </c>
      <c r="F23" s="84">
        <f t="shared" si="3"/>
        <v>10.209999999999999</v>
      </c>
      <c r="O23">
        <v>14.916769087171657</v>
      </c>
      <c r="P23">
        <v>11.699999999999998</v>
      </c>
    </row>
    <row r="24" spans="1:16" x14ac:dyDescent="0.5">
      <c r="A24" s="81">
        <f t="shared" si="2"/>
        <v>0.89999999999999991</v>
      </c>
      <c r="B24" s="81">
        <f t="shared" si="0"/>
        <v>0.10000000000000009</v>
      </c>
      <c r="C24" s="82"/>
      <c r="D24" s="82"/>
      <c r="E24" s="83">
        <f t="shared" si="1"/>
        <v>12.740858487558832</v>
      </c>
      <c r="F24" s="84">
        <f t="shared" si="3"/>
        <v>10.954999999999998</v>
      </c>
    </row>
    <row r="25" spans="1:16" x14ac:dyDescent="0.5">
      <c r="A25" s="81">
        <f t="shared" si="2"/>
        <v>0.99999999999999989</v>
      </c>
      <c r="B25" s="81">
        <f t="shared" si="0"/>
        <v>0</v>
      </c>
      <c r="C25" s="82"/>
      <c r="D25" s="82"/>
      <c r="E25" s="83">
        <f t="shared" si="1"/>
        <v>14.916769087171657</v>
      </c>
      <c r="F25" s="84">
        <f t="shared" si="3"/>
        <v>11.699999999999998</v>
      </c>
    </row>
    <row r="26" spans="1:16" x14ac:dyDescent="0.5">
      <c r="A26" s="41"/>
    </row>
    <row r="27" spans="1:16" x14ac:dyDescent="0.5">
      <c r="M27" t="s">
        <v>71</v>
      </c>
    </row>
    <row r="28" spans="1:16" x14ac:dyDescent="0.5">
      <c r="A28" s="72"/>
    </row>
  </sheetData>
  <mergeCells count="1">
    <mergeCell ref="A13:B13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C7A3C-03ED-493B-8D18-C5F8EFAA5D7C}">
  <dimension ref="A2:N28"/>
  <sheetViews>
    <sheetView showGridLines="0" workbookViewId="0">
      <selection activeCell="A2" sqref="A2:XFD2"/>
    </sheetView>
  </sheetViews>
  <sheetFormatPr defaultRowHeight="14.35" x14ac:dyDescent="0.5"/>
  <cols>
    <col min="1" max="1" width="14" customWidth="1"/>
    <col min="2" max="2" width="9" customWidth="1"/>
    <col min="3" max="3" width="8.234375" customWidth="1"/>
    <col min="4" max="5" width="10.234375" customWidth="1"/>
    <col min="6" max="6" width="3.05859375" customWidth="1"/>
    <col min="7" max="8" width="9.64453125" customWidth="1"/>
    <col min="9" max="9" width="2.52734375" customWidth="1"/>
    <col min="10" max="10" width="10.1171875" customWidth="1"/>
    <col min="11" max="11" width="9" customWidth="1"/>
    <col min="12" max="12" width="2.46875" customWidth="1"/>
    <col min="13" max="13" width="10.234375" customWidth="1"/>
    <col min="14" max="14" width="9.1171875" customWidth="1"/>
  </cols>
  <sheetData>
    <row r="2" spans="1:14" ht="17.7" x14ac:dyDescent="0.55000000000000004">
      <c r="A2" s="35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1.45" customHeight="1" x14ac:dyDescent="0.5"/>
    <row r="4" spans="1:14" x14ac:dyDescent="0.5">
      <c r="A4" s="103" t="s">
        <v>65</v>
      </c>
      <c r="B4" s="104"/>
    </row>
    <row r="5" spans="1:14" x14ac:dyDescent="0.5">
      <c r="A5" s="16" t="s">
        <v>33</v>
      </c>
      <c r="B5" s="97">
        <f>+'Fig. 2.1'!F11</f>
        <v>11.7</v>
      </c>
      <c r="C5" s="38"/>
      <c r="D5" s="38"/>
      <c r="E5" s="38"/>
      <c r="F5" s="38"/>
    </row>
    <row r="6" spans="1:14" x14ac:dyDescent="0.5">
      <c r="A6" s="16" t="s">
        <v>34</v>
      </c>
      <c r="B6" s="97">
        <f>+'Fig. 2.1'!L11</f>
        <v>4.25</v>
      </c>
      <c r="C6" s="38"/>
      <c r="D6" s="38"/>
      <c r="E6" s="38"/>
      <c r="F6" s="38"/>
    </row>
    <row r="7" spans="1:14" x14ac:dyDescent="0.5">
      <c r="A7" s="16" t="s">
        <v>35</v>
      </c>
      <c r="B7" s="97">
        <f>+'Fig. 2.1'!I12</f>
        <v>14.916769087171659</v>
      </c>
      <c r="C7" s="38"/>
      <c r="D7" s="38"/>
      <c r="E7" s="38"/>
      <c r="F7" s="38"/>
    </row>
    <row r="8" spans="1:14" x14ac:dyDescent="0.5">
      <c r="A8" s="16" t="s">
        <v>66</v>
      </c>
      <c r="B8" s="97">
        <f>+'Fig. 2.1'!O12</f>
        <v>7.0489360899358422</v>
      </c>
      <c r="C8" s="38"/>
      <c r="D8" s="38"/>
      <c r="E8" s="38"/>
      <c r="F8" s="38"/>
    </row>
    <row r="9" spans="1:14" x14ac:dyDescent="0.5">
      <c r="A9" s="16" t="s">
        <v>53</v>
      </c>
      <c r="B9" s="97">
        <f>+M12</f>
        <v>-0.97220707978637788</v>
      </c>
      <c r="C9" s="38"/>
      <c r="D9" s="38"/>
      <c r="E9" s="38"/>
      <c r="F9" s="38"/>
    </row>
    <row r="10" spans="1:14" ht="10.7" customHeight="1" thickBot="1" x14ac:dyDescent="0.55000000000000004">
      <c r="A10" s="16"/>
      <c r="B10" s="71"/>
      <c r="C10" s="38"/>
      <c r="D10" s="38"/>
      <c r="E10" s="38"/>
      <c r="F10" s="38"/>
    </row>
    <row r="11" spans="1:14" ht="17.45" customHeight="1" thickBot="1" x14ac:dyDescent="0.55000000000000004">
      <c r="A11" s="72"/>
      <c r="B11" s="71"/>
      <c r="C11" s="38"/>
      <c r="D11" s="75" t="s">
        <v>56</v>
      </c>
      <c r="E11" s="76"/>
      <c r="F11" s="73"/>
      <c r="G11" s="75" t="s">
        <v>57</v>
      </c>
      <c r="H11" s="76"/>
      <c r="I11" s="74"/>
      <c r="J11" s="75" t="s">
        <v>58</v>
      </c>
      <c r="K11" s="76"/>
      <c r="L11" s="74"/>
      <c r="M11" s="75" t="s">
        <v>68</v>
      </c>
      <c r="N11" s="76"/>
    </row>
    <row r="12" spans="1:14" ht="12.7" customHeight="1" thickBot="1" x14ac:dyDescent="0.55000000000000004">
      <c r="A12" s="90" t="s">
        <v>59</v>
      </c>
      <c r="B12" s="91"/>
      <c r="C12" s="92"/>
      <c r="D12" s="95">
        <v>0</v>
      </c>
      <c r="E12" s="96"/>
      <c r="F12" s="93"/>
      <c r="G12" s="95">
        <v>1</v>
      </c>
      <c r="H12" s="96"/>
      <c r="I12" s="94"/>
      <c r="J12" s="95">
        <v>-1</v>
      </c>
      <c r="K12" s="96"/>
      <c r="L12" s="94"/>
      <c r="M12" s="95">
        <f>+'Fig. 2.1'!O28</f>
        <v>-0.97220707978637788</v>
      </c>
      <c r="N12" s="96"/>
    </row>
    <row r="13" spans="1:14" x14ac:dyDescent="0.5">
      <c r="A13" s="244" t="s">
        <v>36</v>
      </c>
      <c r="B13" s="244"/>
      <c r="C13" s="39"/>
      <c r="D13" s="87" t="s">
        <v>69</v>
      </c>
      <c r="E13" s="88" t="s">
        <v>70</v>
      </c>
      <c r="F13" s="89"/>
      <c r="G13" s="87" t="s">
        <v>69</v>
      </c>
      <c r="H13" s="88" t="s">
        <v>70</v>
      </c>
      <c r="I13" s="89"/>
      <c r="J13" s="87" t="s">
        <v>69</v>
      </c>
      <c r="K13" s="88" t="s">
        <v>70</v>
      </c>
      <c r="L13" s="89"/>
      <c r="M13" s="87" t="s">
        <v>69</v>
      </c>
      <c r="N13" s="88" t="s">
        <v>70</v>
      </c>
    </row>
    <row r="14" spans="1:14" ht="15.35" x14ac:dyDescent="0.5">
      <c r="A14" s="40" t="s">
        <v>60</v>
      </c>
      <c r="B14" s="40" t="s">
        <v>61</v>
      </c>
      <c r="C14" s="82"/>
      <c r="D14" s="85" t="s">
        <v>64</v>
      </c>
      <c r="E14" s="86" t="s">
        <v>62</v>
      </c>
      <c r="F14" s="82"/>
      <c r="G14" s="85" t="s">
        <v>64</v>
      </c>
      <c r="H14" s="86" t="s">
        <v>62</v>
      </c>
      <c r="I14" s="82"/>
      <c r="J14" s="85" t="s">
        <v>64</v>
      </c>
      <c r="K14" s="86" t="s">
        <v>62</v>
      </c>
      <c r="L14" s="82"/>
      <c r="M14" s="85" t="s">
        <v>64</v>
      </c>
      <c r="N14" s="86" t="s">
        <v>62</v>
      </c>
    </row>
    <row r="15" spans="1:14" x14ac:dyDescent="0.5">
      <c r="A15" s="77">
        <v>0</v>
      </c>
      <c r="B15" s="78">
        <f t="shared" ref="B15:B25" si="0">1-A15</f>
        <v>1</v>
      </c>
      <c r="C15" s="44"/>
      <c r="D15" s="98">
        <f>SQRT((A15*$B$7)^2+(B15*$B$8)^2+2*$B$7*A15*$B$8*B15*$D$12)</f>
        <v>7.0489360899358422</v>
      </c>
      <c r="E15" s="99">
        <f>+A15*$B$5+B15*$B$6</f>
        <v>4.25</v>
      </c>
      <c r="F15" s="44"/>
      <c r="G15" s="79">
        <f>SQRT((A15*$B$7)^2+(B15*$B$8)^2+2*$B$7*A15*$B$8*B15*$G$12)</f>
        <v>7.0489360899358422</v>
      </c>
      <c r="H15" s="80">
        <f>+A15*$B$5+B15*$B$6</f>
        <v>4.25</v>
      </c>
      <c r="I15" s="44"/>
      <c r="J15" s="79">
        <f>SQRT((A15*$B$7)^2+(B15*$B$8)^2+2*$B$7*A15*$B$8*B15*$J$12)</f>
        <v>7.0489360899358422</v>
      </c>
      <c r="K15" s="80">
        <f>+A15*$B$5+B15*$B$6</f>
        <v>4.25</v>
      </c>
      <c r="L15" s="44"/>
      <c r="M15" s="79">
        <f>SQRT((A15*$B$7)^2+(B15*$B$8)^2+2*$B$7*A15*$B$8*B15*$M$12)</f>
        <v>7.0489360899358422</v>
      </c>
      <c r="N15" s="80">
        <f>+A15*$B$5+B15*$B$6</f>
        <v>4.25</v>
      </c>
    </row>
    <row r="16" spans="1:14" x14ac:dyDescent="0.5">
      <c r="A16" s="81">
        <f t="shared" ref="A16:A25" si="1">+A15+0.1</f>
        <v>0.1</v>
      </c>
      <c r="B16" s="81">
        <f t="shared" si="0"/>
        <v>0.9</v>
      </c>
      <c r="C16" s="102" t="s">
        <v>67</v>
      </c>
      <c r="D16" s="100">
        <f t="shared" ref="D16:D25" si="2">SQRT((A16*$B$7)^2+(B16*$B$8)^2+2*$B$7*A16*$B$8*B16*$D$12)</f>
        <v>6.5170526313664219</v>
      </c>
      <c r="E16" s="101">
        <f t="shared" ref="E16:E25" si="3">+A16*$B$5+B16*$B$6</f>
        <v>4.9950000000000001</v>
      </c>
      <c r="F16" s="82"/>
      <c r="G16" s="83">
        <f t="shared" ref="G16:G25" si="4">SQRT((A16*$B$7)^2+(B16*$B$8)^2+2*$B$7*A16*$B$8*B16*$G$12)</f>
        <v>7.8357193896594239</v>
      </c>
      <c r="H16" s="84">
        <f t="shared" ref="H16:H25" si="5">+A16*$B$5+B16*$B$6</f>
        <v>4.9950000000000001</v>
      </c>
      <c r="I16" s="82"/>
      <c r="J16" s="83">
        <f t="shared" ref="J16:J25" si="6">SQRT((A16*$B$7)^2+(B16*$B$8)^2+2*$B$7*A16*$B$8*B16*$J$12)</f>
        <v>4.852365572225092</v>
      </c>
      <c r="K16" s="84">
        <f t="shared" ref="K16:K25" si="7">+A16*$B$5+B16*$B$6</f>
        <v>4.9950000000000001</v>
      </c>
      <c r="L16" s="82"/>
      <c r="M16" s="83">
        <f t="shared" ref="M16:M25" si="8">SQRT((A16*$B$7)^2+(B16*$B$8)^2+2*$B$7*A16*$B$8*B16*$M$12)</f>
        <v>4.9062689490079929</v>
      </c>
      <c r="N16" s="84">
        <f t="shared" ref="N16:N25" si="9">+A16*$B$5+B16*$B$6</f>
        <v>4.9950000000000001</v>
      </c>
    </row>
    <row r="17" spans="1:14" x14ac:dyDescent="0.5">
      <c r="A17" s="81">
        <f t="shared" si="1"/>
        <v>0.2</v>
      </c>
      <c r="B17" s="81">
        <f t="shared" si="0"/>
        <v>0.8</v>
      </c>
      <c r="C17" s="82"/>
      <c r="D17" s="100">
        <f t="shared" si="2"/>
        <v>6.3796865126744278</v>
      </c>
      <c r="E17" s="101">
        <f t="shared" si="3"/>
        <v>5.74</v>
      </c>
      <c r="F17" s="82"/>
      <c r="G17" s="83">
        <f t="shared" si="4"/>
        <v>8.6225026893830048</v>
      </c>
      <c r="H17" s="84">
        <f t="shared" si="5"/>
        <v>5.74</v>
      </c>
      <c r="I17" s="82"/>
      <c r="J17" s="100">
        <f t="shared" si="6"/>
        <v>2.6557950545143414</v>
      </c>
      <c r="K17" s="101">
        <f t="shared" si="7"/>
        <v>5.74</v>
      </c>
      <c r="L17" s="82"/>
      <c r="M17" s="100">
        <f t="shared" si="8"/>
        <v>2.8263757711953303</v>
      </c>
      <c r="N17" s="101">
        <f t="shared" si="9"/>
        <v>5.74</v>
      </c>
    </row>
    <row r="18" spans="1:14" x14ac:dyDescent="0.5">
      <c r="A18" s="81">
        <f t="shared" si="1"/>
        <v>0.30000000000000004</v>
      </c>
      <c r="B18" s="81">
        <f t="shared" si="0"/>
        <v>0.7</v>
      </c>
      <c r="C18" s="82"/>
      <c r="D18" s="83">
        <f t="shared" si="2"/>
        <v>6.6612892896195408</v>
      </c>
      <c r="E18" s="84">
        <f t="shared" si="3"/>
        <v>6.4849999999999994</v>
      </c>
      <c r="F18" s="82"/>
      <c r="G18" s="83">
        <f t="shared" si="4"/>
        <v>9.4092859891065874</v>
      </c>
      <c r="H18" s="84">
        <f t="shared" si="5"/>
        <v>6.4849999999999994</v>
      </c>
      <c r="I18" s="82"/>
      <c r="J18" s="100">
        <f t="shared" si="6"/>
        <v>0.45922453680359088</v>
      </c>
      <c r="K18" s="101">
        <f t="shared" si="7"/>
        <v>6.4849999999999994</v>
      </c>
      <c r="L18" s="82"/>
      <c r="M18" s="100">
        <f t="shared" si="8"/>
        <v>1.1992810346203251</v>
      </c>
      <c r="N18" s="101">
        <f t="shared" si="9"/>
        <v>6.4849999999999994</v>
      </c>
    </row>
    <row r="19" spans="1:14" x14ac:dyDescent="0.5">
      <c r="A19" s="81">
        <f t="shared" si="1"/>
        <v>0.4</v>
      </c>
      <c r="B19" s="81">
        <f t="shared" si="0"/>
        <v>0.6</v>
      </c>
      <c r="C19" s="82"/>
      <c r="D19" s="83">
        <f t="shared" si="2"/>
        <v>7.3136242725477771</v>
      </c>
      <c r="E19" s="84">
        <f t="shared" si="3"/>
        <v>7.2299999999999995</v>
      </c>
      <c r="F19" s="82"/>
      <c r="G19" s="83">
        <f t="shared" si="4"/>
        <v>10.19606928883017</v>
      </c>
      <c r="H19" s="84">
        <f t="shared" si="5"/>
        <v>7.2299999999999995</v>
      </c>
      <c r="I19" s="82"/>
      <c r="J19" s="100">
        <f t="shared" si="6"/>
        <v>1.7373459809071594</v>
      </c>
      <c r="K19" s="101">
        <f t="shared" si="7"/>
        <v>7.2299999999999995</v>
      </c>
      <c r="L19" s="82"/>
      <c r="M19" s="100">
        <f t="shared" si="8"/>
        <v>2.1026411962101386</v>
      </c>
      <c r="N19" s="101">
        <f t="shared" si="9"/>
        <v>7.2299999999999995</v>
      </c>
    </row>
    <row r="20" spans="1:14" x14ac:dyDescent="0.5">
      <c r="A20" s="81">
        <f t="shared" si="1"/>
        <v>0.5</v>
      </c>
      <c r="B20" s="81">
        <f t="shared" si="0"/>
        <v>0.5</v>
      </c>
      <c r="C20" s="82"/>
      <c r="D20" s="83">
        <f t="shared" si="2"/>
        <v>8.2492045071024869</v>
      </c>
      <c r="E20" s="84">
        <f t="shared" si="3"/>
        <v>7.9749999999999996</v>
      </c>
      <c r="F20" s="82"/>
      <c r="G20" s="83">
        <f t="shared" si="4"/>
        <v>10.982852588553751</v>
      </c>
      <c r="H20" s="84">
        <f t="shared" si="5"/>
        <v>7.9749999999999996</v>
      </c>
      <c r="I20" s="82"/>
      <c r="J20" s="83">
        <f t="shared" si="6"/>
        <v>3.9339164986179083</v>
      </c>
      <c r="K20" s="84">
        <f t="shared" si="7"/>
        <v>7.9749999999999996</v>
      </c>
      <c r="L20" s="82"/>
      <c r="M20" s="83">
        <f t="shared" si="8"/>
        <v>4.1154434754956846</v>
      </c>
      <c r="N20" s="84">
        <f t="shared" si="9"/>
        <v>7.9749999999999996</v>
      </c>
    </row>
    <row r="21" spans="1:14" x14ac:dyDescent="0.5">
      <c r="A21" s="81">
        <f t="shared" si="1"/>
        <v>0.6</v>
      </c>
      <c r="B21" s="81">
        <f t="shared" si="0"/>
        <v>0.4</v>
      </c>
      <c r="C21" s="82"/>
      <c r="D21" s="83">
        <f t="shared" si="2"/>
        <v>9.3836879743520889</v>
      </c>
      <c r="E21" s="84">
        <f t="shared" si="3"/>
        <v>8.7199999999999989</v>
      </c>
      <c r="F21" s="82"/>
      <c r="G21" s="83">
        <f t="shared" si="4"/>
        <v>11.769635888277332</v>
      </c>
      <c r="H21" s="84">
        <f t="shared" si="5"/>
        <v>8.7199999999999989</v>
      </c>
      <c r="I21" s="82"/>
      <c r="J21" s="83">
        <f t="shared" si="6"/>
        <v>6.130487016328658</v>
      </c>
      <c r="K21" s="84">
        <f t="shared" si="7"/>
        <v>8.7199999999999989</v>
      </c>
      <c r="L21" s="82"/>
      <c r="M21" s="83">
        <f t="shared" si="8"/>
        <v>6.2438449692477151</v>
      </c>
      <c r="N21" s="84">
        <f t="shared" si="9"/>
        <v>8.7199999999999989</v>
      </c>
    </row>
    <row r="22" spans="1:14" x14ac:dyDescent="0.5">
      <c r="A22" s="81">
        <f t="shared" si="1"/>
        <v>0.7</v>
      </c>
      <c r="B22" s="81">
        <f t="shared" si="0"/>
        <v>0.30000000000000004</v>
      </c>
      <c r="C22" s="82"/>
      <c r="D22" s="83">
        <f t="shared" si="2"/>
        <v>10.653721180883231</v>
      </c>
      <c r="E22" s="84">
        <f t="shared" si="3"/>
        <v>9.4649999999999999</v>
      </c>
      <c r="F22" s="82"/>
      <c r="G22" s="83">
        <f t="shared" si="4"/>
        <v>12.556419188000913</v>
      </c>
      <c r="H22" s="84">
        <f t="shared" si="5"/>
        <v>9.4649999999999999</v>
      </c>
      <c r="I22" s="82"/>
      <c r="J22" s="83">
        <f t="shared" si="6"/>
        <v>8.3270575340394064</v>
      </c>
      <c r="K22" s="84">
        <f t="shared" si="7"/>
        <v>9.4649999999999999</v>
      </c>
      <c r="L22" s="82"/>
      <c r="M22" s="83">
        <f t="shared" si="8"/>
        <v>8.4004330245529584</v>
      </c>
      <c r="N22" s="84">
        <f t="shared" si="9"/>
        <v>9.4649999999999999</v>
      </c>
    </row>
    <row r="23" spans="1:14" x14ac:dyDescent="0.5">
      <c r="A23" s="81">
        <f t="shared" si="1"/>
        <v>0.79999999999999993</v>
      </c>
      <c r="B23" s="81">
        <f t="shared" si="0"/>
        <v>0.20000000000000007</v>
      </c>
      <c r="C23" s="82"/>
      <c r="D23" s="83">
        <f t="shared" si="2"/>
        <v>12.016401291568119</v>
      </c>
      <c r="E23" s="84">
        <f t="shared" si="3"/>
        <v>10.209999999999999</v>
      </c>
      <c r="F23" s="82"/>
      <c r="G23" s="83">
        <f t="shared" si="4"/>
        <v>13.343202487724495</v>
      </c>
      <c r="H23" s="84">
        <f t="shared" si="5"/>
        <v>10.209999999999999</v>
      </c>
      <c r="I23" s="82"/>
      <c r="J23" s="83">
        <f t="shared" si="6"/>
        <v>10.523628051750157</v>
      </c>
      <c r="K23" s="84">
        <f t="shared" si="7"/>
        <v>10.209999999999999</v>
      </c>
      <c r="L23" s="82"/>
      <c r="M23" s="83">
        <f t="shared" si="8"/>
        <v>10.567965745591719</v>
      </c>
      <c r="N23" s="84">
        <f t="shared" si="9"/>
        <v>10.209999999999999</v>
      </c>
    </row>
    <row r="24" spans="1:14" x14ac:dyDescent="0.5">
      <c r="A24" s="81">
        <f t="shared" si="1"/>
        <v>0.89999999999999991</v>
      </c>
      <c r="B24" s="81">
        <f t="shared" si="0"/>
        <v>0.10000000000000009</v>
      </c>
      <c r="C24" s="82"/>
      <c r="D24" s="83">
        <f t="shared" si="2"/>
        <v>13.443584901357225</v>
      </c>
      <c r="E24" s="84">
        <f t="shared" si="3"/>
        <v>10.954999999999998</v>
      </c>
      <c r="F24" s="82"/>
      <c r="G24" s="83">
        <f t="shared" si="4"/>
        <v>14.129985787448076</v>
      </c>
      <c r="H24" s="84">
        <f t="shared" si="5"/>
        <v>10.954999999999998</v>
      </c>
      <c r="I24" s="82"/>
      <c r="J24" s="83">
        <f t="shared" si="6"/>
        <v>12.720198569460905</v>
      </c>
      <c r="K24" s="84">
        <f t="shared" si="7"/>
        <v>10.954999999999998</v>
      </c>
      <c r="L24" s="82"/>
      <c r="M24" s="83">
        <f t="shared" si="8"/>
        <v>12.740858487558832</v>
      </c>
      <c r="N24" s="84">
        <f t="shared" si="9"/>
        <v>10.954999999999998</v>
      </c>
    </row>
    <row r="25" spans="1:14" x14ac:dyDescent="0.5">
      <c r="A25" s="81">
        <f t="shared" si="1"/>
        <v>0.99999999999999989</v>
      </c>
      <c r="B25" s="81">
        <f t="shared" si="0"/>
        <v>0</v>
      </c>
      <c r="C25" s="82"/>
      <c r="D25" s="83">
        <f t="shared" si="2"/>
        <v>14.916769087171657</v>
      </c>
      <c r="E25" s="84">
        <f t="shared" si="3"/>
        <v>11.699999999999998</v>
      </c>
      <c r="F25" s="82"/>
      <c r="G25" s="83">
        <f t="shared" si="4"/>
        <v>14.916769087171657</v>
      </c>
      <c r="H25" s="84">
        <f t="shared" si="5"/>
        <v>11.699999999999998</v>
      </c>
      <c r="I25" s="82"/>
      <c r="J25" s="83">
        <f t="shared" si="6"/>
        <v>14.916769087171657</v>
      </c>
      <c r="K25" s="84">
        <f t="shared" si="7"/>
        <v>11.699999999999998</v>
      </c>
      <c r="L25" s="82"/>
      <c r="M25" s="83">
        <f t="shared" si="8"/>
        <v>14.916769087171657</v>
      </c>
      <c r="N25" s="84">
        <f t="shared" si="9"/>
        <v>11.699999999999998</v>
      </c>
    </row>
    <row r="26" spans="1:14" x14ac:dyDescent="0.5">
      <c r="A26" s="41"/>
    </row>
    <row r="27" spans="1:14" x14ac:dyDescent="0.5">
      <c r="N27" t="s">
        <v>72</v>
      </c>
    </row>
    <row r="28" spans="1:14" x14ac:dyDescent="0.5">
      <c r="A28" s="72"/>
    </row>
  </sheetData>
  <mergeCells count="1">
    <mergeCell ref="A13:B1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4D003-DF97-41BB-B44B-02759DE585FB}">
  <dimension ref="A2:N28"/>
  <sheetViews>
    <sheetView showGridLines="0" workbookViewId="0">
      <selection activeCell="A2" sqref="A2:XFD2"/>
    </sheetView>
  </sheetViews>
  <sheetFormatPr defaultRowHeight="14.35" x14ac:dyDescent="0.5"/>
  <cols>
    <col min="1" max="1" width="14" customWidth="1"/>
    <col min="2" max="2" width="9" customWidth="1"/>
    <col min="3" max="3" width="8.234375" customWidth="1"/>
    <col min="4" max="5" width="10.234375" customWidth="1"/>
    <col min="6" max="6" width="3.05859375" customWidth="1"/>
  </cols>
  <sheetData>
    <row r="2" spans="1:14" ht="17.7" x14ac:dyDescent="0.55000000000000004">
      <c r="A2" s="35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1.45" customHeight="1" x14ac:dyDescent="0.5"/>
    <row r="4" spans="1:14" x14ac:dyDescent="0.5">
      <c r="A4" s="103" t="s">
        <v>65</v>
      </c>
      <c r="B4" s="104"/>
    </row>
    <row r="5" spans="1:14" x14ac:dyDescent="0.5">
      <c r="A5" s="16" t="s">
        <v>33</v>
      </c>
      <c r="B5" s="97">
        <f>+'Fig. 2.1'!F11</f>
        <v>11.7</v>
      </c>
      <c r="C5" s="38"/>
      <c r="D5" s="38"/>
      <c r="E5" s="38"/>
      <c r="F5" s="38"/>
    </row>
    <row r="6" spans="1:14" x14ac:dyDescent="0.5">
      <c r="A6" s="16" t="s">
        <v>34</v>
      </c>
      <c r="B6" s="97">
        <f>+'Fig. 2.1'!L11</f>
        <v>4.25</v>
      </c>
      <c r="C6" s="38"/>
      <c r="D6" s="38"/>
      <c r="E6" s="38"/>
      <c r="F6" s="38"/>
    </row>
    <row r="7" spans="1:14" x14ac:dyDescent="0.5">
      <c r="A7" s="16" t="s">
        <v>35</v>
      </c>
      <c r="B7" s="97">
        <f>+'Fig. 2.1'!I12</f>
        <v>14.916769087171659</v>
      </c>
      <c r="C7" s="38"/>
      <c r="D7" s="38"/>
      <c r="E7" s="38"/>
      <c r="F7" s="38"/>
    </row>
    <row r="8" spans="1:14" x14ac:dyDescent="0.5">
      <c r="A8" s="16" t="s">
        <v>66</v>
      </c>
      <c r="B8" s="97">
        <f>+'Fig. 2.1'!O12</f>
        <v>7.0489360899358422</v>
      </c>
      <c r="C8" s="38"/>
      <c r="D8" s="38"/>
      <c r="E8" s="38"/>
      <c r="F8" s="38"/>
    </row>
    <row r="9" spans="1:14" x14ac:dyDescent="0.5">
      <c r="A9" s="16" t="s">
        <v>53</v>
      </c>
      <c r="B9" s="97">
        <f>+D12</f>
        <v>0</v>
      </c>
      <c r="C9" s="38"/>
      <c r="D9" s="38"/>
      <c r="E9" s="38"/>
      <c r="F9" s="38"/>
    </row>
    <row r="10" spans="1:14" ht="10.7" customHeight="1" thickBot="1" x14ac:dyDescent="0.55000000000000004">
      <c r="A10" s="16"/>
      <c r="B10" s="71"/>
      <c r="C10" s="38"/>
      <c r="D10" s="38"/>
      <c r="E10" s="38"/>
      <c r="F10" s="38"/>
    </row>
    <row r="11" spans="1:14" ht="17.45" customHeight="1" thickBot="1" x14ac:dyDescent="0.55000000000000004">
      <c r="A11" s="72"/>
      <c r="B11" s="71"/>
      <c r="C11" s="38"/>
      <c r="D11" s="75" t="s">
        <v>56</v>
      </c>
      <c r="E11" s="76"/>
      <c r="F11" s="38"/>
    </row>
    <row r="12" spans="1:14" ht="12.7" customHeight="1" thickBot="1" x14ac:dyDescent="0.55000000000000004">
      <c r="A12" s="90" t="s">
        <v>59</v>
      </c>
      <c r="B12" s="91"/>
      <c r="C12" s="92"/>
      <c r="D12" s="95">
        <v>0</v>
      </c>
      <c r="E12" s="96"/>
      <c r="F12" s="38"/>
    </row>
    <row r="13" spans="1:14" x14ac:dyDescent="0.5">
      <c r="A13" s="244" t="s">
        <v>36</v>
      </c>
      <c r="B13" s="244"/>
      <c r="C13" s="39"/>
      <c r="D13" s="87" t="s">
        <v>69</v>
      </c>
      <c r="E13" s="88" t="s">
        <v>70</v>
      </c>
      <c r="F13" s="38"/>
    </row>
    <row r="14" spans="1:14" ht="15.35" x14ac:dyDescent="0.5">
      <c r="A14" s="40" t="s">
        <v>60</v>
      </c>
      <c r="B14" s="40" t="s">
        <v>61</v>
      </c>
      <c r="C14" s="82"/>
      <c r="D14" s="85" t="s">
        <v>64</v>
      </c>
      <c r="E14" s="86" t="s">
        <v>62</v>
      </c>
      <c r="F14" s="38"/>
    </row>
    <row r="15" spans="1:14" ht="14.35" customHeight="1" x14ac:dyDescent="0.5">
      <c r="A15" s="77">
        <v>0</v>
      </c>
      <c r="B15" s="78">
        <f t="shared" ref="B15:B25" si="0">1-A15</f>
        <v>1</v>
      </c>
      <c r="C15" s="102"/>
      <c r="D15" s="83">
        <f>SQRT((A15*$B$7)^2+(B15*$B$8)^2+2*$B$7*A15*$B$8*B15*$D$12)</f>
        <v>7.0489360899358422</v>
      </c>
      <c r="E15" s="84">
        <f>+A15*$B$5+B15*$B$6</f>
        <v>4.25</v>
      </c>
      <c r="F15" s="38"/>
    </row>
    <row r="16" spans="1:14" x14ac:dyDescent="0.5">
      <c r="A16" s="81">
        <f t="shared" ref="A16:A25" si="1">+A15+0.1</f>
        <v>0.1</v>
      </c>
      <c r="B16" s="81">
        <f t="shared" si="0"/>
        <v>0.9</v>
      </c>
      <c r="D16" s="100">
        <f t="shared" ref="D16:D25" si="2">SQRT((A16*$B$7)^2+(B16*$B$8)^2+2*$B$7*A16*$B$8*B16*$D$12)</f>
        <v>6.5170526313664219</v>
      </c>
      <c r="E16" s="101">
        <f t="shared" ref="E16:E25" si="3">+A16*$B$5+B16*$B$6</f>
        <v>4.9950000000000001</v>
      </c>
      <c r="F16" s="38"/>
    </row>
    <row r="17" spans="1:13" x14ac:dyDescent="0.5">
      <c r="A17" s="81">
        <f t="shared" si="1"/>
        <v>0.2</v>
      </c>
      <c r="B17" s="81">
        <f t="shared" si="0"/>
        <v>0.8</v>
      </c>
      <c r="C17" s="102" t="s">
        <v>67</v>
      </c>
      <c r="D17" s="100">
        <f t="shared" si="2"/>
        <v>6.3796865126744278</v>
      </c>
      <c r="E17" s="101">
        <f t="shared" si="3"/>
        <v>5.74</v>
      </c>
      <c r="F17" s="38"/>
    </row>
    <row r="18" spans="1:13" x14ac:dyDescent="0.5">
      <c r="A18" s="81">
        <f t="shared" si="1"/>
        <v>0.30000000000000004</v>
      </c>
      <c r="B18" s="81">
        <f t="shared" si="0"/>
        <v>0.7</v>
      </c>
      <c r="C18" s="82"/>
      <c r="D18" s="100">
        <f t="shared" si="2"/>
        <v>6.6612892896195408</v>
      </c>
      <c r="E18" s="101">
        <f t="shared" si="3"/>
        <v>6.4849999999999994</v>
      </c>
      <c r="F18" s="38"/>
    </row>
    <row r="19" spans="1:13" x14ac:dyDescent="0.5">
      <c r="A19" s="81">
        <f t="shared" si="1"/>
        <v>0.4</v>
      </c>
      <c r="B19" s="81">
        <f t="shared" si="0"/>
        <v>0.6</v>
      </c>
      <c r="C19" s="82"/>
      <c r="D19" s="83">
        <f t="shared" si="2"/>
        <v>7.3136242725477771</v>
      </c>
      <c r="E19" s="84">
        <f t="shared" si="3"/>
        <v>7.2299999999999995</v>
      </c>
      <c r="F19" s="38"/>
    </row>
    <row r="20" spans="1:13" x14ac:dyDescent="0.5">
      <c r="A20" s="81">
        <f t="shared" si="1"/>
        <v>0.5</v>
      </c>
      <c r="B20" s="81">
        <f t="shared" si="0"/>
        <v>0.5</v>
      </c>
      <c r="C20" s="82"/>
      <c r="D20" s="83">
        <f t="shared" si="2"/>
        <v>8.2492045071024869</v>
      </c>
      <c r="E20" s="84">
        <f t="shared" si="3"/>
        <v>7.9749999999999996</v>
      </c>
      <c r="F20" s="38"/>
    </row>
    <row r="21" spans="1:13" x14ac:dyDescent="0.5">
      <c r="A21" s="81">
        <f t="shared" si="1"/>
        <v>0.6</v>
      </c>
      <c r="B21" s="81">
        <f t="shared" si="0"/>
        <v>0.4</v>
      </c>
      <c r="C21" s="82"/>
      <c r="D21" s="83">
        <f t="shared" si="2"/>
        <v>9.3836879743520889</v>
      </c>
      <c r="E21" s="84">
        <f t="shared" si="3"/>
        <v>8.7199999999999989</v>
      </c>
      <c r="F21" s="38"/>
    </row>
    <row r="22" spans="1:13" x14ac:dyDescent="0.5">
      <c r="A22" s="81">
        <f t="shared" si="1"/>
        <v>0.7</v>
      </c>
      <c r="B22" s="81">
        <f t="shared" si="0"/>
        <v>0.30000000000000004</v>
      </c>
      <c r="C22" s="82"/>
      <c r="D22" s="83">
        <f t="shared" si="2"/>
        <v>10.653721180883231</v>
      </c>
      <c r="E22" s="84">
        <f t="shared" si="3"/>
        <v>9.4649999999999999</v>
      </c>
      <c r="F22" s="38"/>
    </row>
    <row r="23" spans="1:13" x14ac:dyDescent="0.5">
      <c r="A23" s="81">
        <f t="shared" si="1"/>
        <v>0.79999999999999993</v>
      </c>
      <c r="B23" s="81">
        <f t="shared" si="0"/>
        <v>0.20000000000000007</v>
      </c>
      <c r="C23" s="82"/>
      <c r="D23" s="83">
        <f t="shared" si="2"/>
        <v>12.016401291568119</v>
      </c>
      <c r="E23" s="84">
        <f t="shared" si="3"/>
        <v>10.209999999999999</v>
      </c>
      <c r="F23" s="38"/>
    </row>
    <row r="24" spans="1:13" x14ac:dyDescent="0.5">
      <c r="A24" s="81">
        <f t="shared" si="1"/>
        <v>0.89999999999999991</v>
      </c>
      <c r="B24" s="81">
        <f t="shared" si="0"/>
        <v>0.10000000000000009</v>
      </c>
      <c r="C24" s="82"/>
      <c r="D24" s="83">
        <f t="shared" si="2"/>
        <v>13.443584901357225</v>
      </c>
      <c r="E24" s="84">
        <f t="shared" si="3"/>
        <v>10.954999999999998</v>
      </c>
      <c r="F24" s="38"/>
    </row>
    <row r="25" spans="1:13" x14ac:dyDescent="0.5">
      <c r="A25" s="81">
        <f t="shared" si="1"/>
        <v>0.99999999999999989</v>
      </c>
      <c r="B25" s="81">
        <f t="shared" si="0"/>
        <v>0</v>
      </c>
      <c r="C25" s="82"/>
      <c r="D25" s="83">
        <f t="shared" si="2"/>
        <v>14.916769087171657</v>
      </c>
      <c r="E25" s="84">
        <f t="shared" si="3"/>
        <v>11.699999999999998</v>
      </c>
      <c r="F25" s="38"/>
    </row>
    <row r="26" spans="1:13" x14ac:dyDescent="0.5">
      <c r="A26" s="41"/>
      <c r="F26" s="38"/>
    </row>
    <row r="27" spans="1:13" x14ac:dyDescent="0.5">
      <c r="M27" t="s">
        <v>74</v>
      </c>
    </row>
    <row r="28" spans="1:13" x14ac:dyDescent="0.5">
      <c r="A28" s="72"/>
    </row>
  </sheetData>
  <mergeCells count="1">
    <mergeCell ref="A13:B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AB878-03F8-4A3A-AB84-3E17725852BB}">
  <dimension ref="A1:N28"/>
  <sheetViews>
    <sheetView showGridLines="0" workbookViewId="0">
      <selection activeCell="A2" sqref="A2:XFD2"/>
    </sheetView>
  </sheetViews>
  <sheetFormatPr defaultRowHeight="14.35" x14ac:dyDescent="0.5"/>
  <cols>
    <col min="1" max="1" width="14" customWidth="1"/>
    <col min="2" max="2" width="9" customWidth="1"/>
    <col min="3" max="3" width="4.703125" customWidth="1"/>
    <col min="4" max="5" width="9.64453125" customWidth="1"/>
    <col min="6" max="6" width="2.52734375" customWidth="1"/>
    <col min="14" max="14" width="5.76171875" customWidth="1"/>
  </cols>
  <sheetData>
    <row r="1" spans="1:14" ht="11.45" customHeight="1" x14ac:dyDescent="0.5"/>
    <row r="2" spans="1:14" ht="17.7" x14ac:dyDescent="0.55000000000000004">
      <c r="A2" s="35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0.7" customHeight="1" x14ac:dyDescent="0.5">
      <c r="A3" s="16"/>
      <c r="B3" s="71"/>
      <c r="C3" s="38"/>
    </row>
    <row r="4" spans="1:14" x14ac:dyDescent="0.5">
      <c r="A4" s="103" t="s">
        <v>65</v>
      </c>
      <c r="B4" s="104"/>
    </row>
    <row r="5" spans="1:14" x14ac:dyDescent="0.5">
      <c r="A5" s="16" t="s">
        <v>33</v>
      </c>
      <c r="B5" s="97">
        <f>+'Fig. 2.1'!F11</f>
        <v>11.7</v>
      </c>
      <c r="C5" s="38"/>
    </row>
    <row r="6" spans="1:14" x14ac:dyDescent="0.5">
      <c r="A6" s="16" t="s">
        <v>34</v>
      </c>
      <c r="B6" s="97">
        <f>+'Fig. 2.1'!L11</f>
        <v>4.25</v>
      </c>
      <c r="C6" s="38"/>
    </row>
    <row r="7" spans="1:14" x14ac:dyDescent="0.5">
      <c r="A7" s="16" t="s">
        <v>35</v>
      </c>
      <c r="B7" s="97">
        <f>+'Fig. 2.1'!I12</f>
        <v>14.916769087171659</v>
      </c>
      <c r="C7" s="38"/>
    </row>
    <row r="8" spans="1:14" x14ac:dyDescent="0.5">
      <c r="A8" s="16" t="s">
        <v>66</v>
      </c>
      <c r="B8" s="97">
        <f>+'Fig. 2.1'!O12</f>
        <v>7.0489360899358422</v>
      </c>
      <c r="C8" s="38"/>
    </row>
    <row r="9" spans="1:14" x14ac:dyDescent="0.5">
      <c r="A9" s="16" t="s">
        <v>53</v>
      </c>
      <c r="B9" s="97">
        <f>+D12</f>
        <v>1</v>
      </c>
      <c r="C9" s="38"/>
    </row>
    <row r="10" spans="1:14" ht="10.7" customHeight="1" thickBot="1" x14ac:dyDescent="0.55000000000000004">
      <c r="A10" s="16"/>
      <c r="B10" s="71"/>
      <c r="C10" s="38"/>
    </row>
    <row r="11" spans="1:14" ht="17.45" customHeight="1" thickBot="1" x14ac:dyDescent="0.55000000000000004">
      <c r="A11" s="72"/>
      <c r="B11" s="71"/>
      <c r="C11" s="38"/>
      <c r="D11" s="75" t="s">
        <v>57</v>
      </c>
      <c r="E11" s="76"/>
    </row>
    <row r="12" spans="1:14" ht="12.7" customHeight="1" thickBot="1" x14ac:dyDescent="0.55000000000000004">
      <c r="A12" s="90" t="s">
        <v>59</v>
      </c>
      <c r="B12" s="91"/>
      <c r="C12" s="92"/>
      <c r="D12" s="95">
        <v>1</v>
      </c>
      <c r="E12" s="96"/>
    </row>
    <row r="13" spans="1:14" x14ac:dyDescent="0.5">
      <c r="A13" s="244" t="s">
        <v>36</v>
      </c>
      <c r="B13" s="244"/>
      <c r="C13" s="39"/>
      <c r="D13" s="87" t="s">
        <v>69</v>
      </c>
      <c r="E13" s="88" t="s">
        <v>70</v>
      </c>
    </row>
    <row r="14" spans="1:14" ht="15.35" x14ac:dyDescent="0.5">
      <c r="A14" s="40" t="s">
        <v>60</v>
      </c>
      <c r="B14" s="40" t="s">
        <v>61</v>
      </c>
      <c r="C14" s="82"/>
      <c r="D14" s="85" t="s">
        <v>64</v>
      </c>
      <c r="E14" s="86" t="s">
        <v>62</v>
      </c>
      <c r="I14" t="s">
        <v>73</v>
      </c>
    </row>
    <row r="15" spans="1:14" x14ac:dyDescent="0.5">
      <c r="A15" s="77">
        <v>0</v>
      </c>
      <c r="B15" s="78">
        <f t="shared" ref="B15:B25" si="0">1-A15</f>
        <v>1</v>
      </c>
      <c r="C15" s="44"/>
      <c r="D15" s="79">
        <f t="shared" ref="D15:D25" si="1">SQRT((A15*$B$7)^2+(B15*$B$8)^2+2*$B$7*A15*$B$8*B15*$D$12)</f>
        <v>7.0489360899358422</v>
      </c>
      <c r="E15" s="80">
        <f t="shared" ref="E15:E25" si="2">+A15*$B$5+B15*$B$6</f>
        <v>4.25</v>
      </c>
    </row>
    <row r="16" spans="1:14" x14ac:dyDescent="0.5">
      <c r="A16" s="81">
        <f t="shared" ref="A16:A25" si="3">+A15+0.1</f>
        <v>0.1</v>
      </c>
      <c r="B16" s="81">
        <f t="shared" si="0"/>
        <v>0.9</v>
      </c>
      <c r="C16" s="102"/>
      <c r="D16" s="83">
        <f t="shared" si="1"/>
        <v>7.8357193896594239</v>
      </c>
      <c r="E16" s="84">
        <f t="shared" si="2"/>
        <v>4.9950000000000001</v>
      </c>
    </row>
    <row r="17" spans="1:12" x14ac:dyDescent="0.5">
      <c r="A17" s="81">
        <f t="shared" si="3"/>
        <v>0.2</v>
      </c>
      <c r="B17" s="81">
        <f t="shared" si="0"/>
        <v>0.8</v>
      </c>
      <c r="C17" s="82"/>
      <c r="D17" s="83">
        <f t="shared" si="1"/>
        <v>8.6225026893830048</v>
      </c>
      <c r="E17" s="84">
        <f t="shared" si="2"/>
        <v>5.74</v>
      </c>
    </row>
    <row r="18" spans="1:12" x14ac:dyDescent="0.5">
      <c r="A18" s="81">
        <f t="shared" si="3"/>
        <v>0.30000000000000004</v>
      </c>
      <c r="B18" s="81">
        <f t="shared" si="0"/>
        <v>0.7</v>
      </c>
      <c r="C18" s="82"/>
      <c r="D18" s="83">
        <f t="shared" si="1"/>
        <v>9.4092859891065874</v>
      </c>
      <c r="E18" s="84">
        <f t="shared" si="2"/>
        <v>6.4849999999999994</v>
      </c>
    </row>
    <row r="19" spans="1:12" x14ac:dyDescent="0.5">
      <c r="A19" s="81">
        <f t="shared" si="3"/>
        <v>0.4</v>
      </c>
      <c r="B19" s="81">
        <f t="shared" si="0"/>
        <v>0.6</v>
      </c>
      <c r="C19" s="82"/>
      <c r="D19" s="83">
        <f t="shared" si="1"/>
        <v>10.19606928883017</v>
      </c>
      <c r="E19" s="84">
        <f t="shared" si="2"/>
        <v>7.2299999999999995</v>
      </c>
    </row>
    <row r="20" spans="1:12" x14ac:dyDescent="0.5">
      <c r="A20" s="81">
        <f t="shared" si="3"/>
        <v>0.5</v>
      </c>
      <c r="B20" s="81">
        <f t="shared" si="0"/>
        <v>0.5</v>
      </c>
      <c r="C20" s="82"/>
      <c r="D20" s="83">
        <f t="shared" si="1"/>
        <v>10.982852588553751</v>
      </c>
      <c r="E20" s="84">
        <f t="shared" si="2"/>
        <v>7.9749999999999996</v>
      </c>
    </row>
    <row r="21" spans="1:12" x14ac:dyDescent="0.5">
      <c r="A21" s="81">
        <f t="shared" si="3"/>
        <v>0.6</v>
      </c>
      <c r="B21" s="81">
        <f t="shared" si="0"/>
        <v>0.4</v>
      </c>
      <c r="C21" s="82"/>
      <c r="D21" s="83">
        <f t="shared" si="1"/>
        <v>11.769635888277332</v>
      </c>
      <c r="E21" s="84">
        <f t="shared" si="2"/>
        <v>8.7199999999999989</v>
      </c>
    </row>
    <row r="22" spans="1:12" x14ac:dyDescent="0.5">
      <c r="A22" s="81">
        <f t="shared" si="3"/>
        <v>0.7</v>
      </c>
      <c r="B22" s="81">
        <f t="shared" si="0"/>
        <v>0.30000000000000004</v>
      </c>
      <c r="C22" s="82"/>
      <c r="D22" s="83">
        <f t="shared" si="1"/>
        <v>12.556419188000913</v>
      </c>
      <c r="E22" s="84">
        <f t="shared" si="2"/>
        <v>9.4649999999999999</v>
      </c>
    </row>
    <row r="23" spans="1:12" x14ac:dyDescent="0.5">
      <c r="A23" s="81">
        <f t="shared" si="3"/>
        <v>0.79999999999999993</v>
      </c>
      <c r="B23" s="81">
        <f t="shared" si="0"/>
        <v>0.20000000000000007</v>
      </c>
      <c r="C23" s="82"/>
      <c r="D23" s="83">
        <f t="shared" si="1"/>
        <v>13.343202487724495</v>
      </c>
      <c r="E23" s="84">
        <f t="shared" si="2"/>
        <v>10.209999999999999</v>
      </c>
    </row>
    <row r="24" spans="1:12" x14ac:dyDescent="0.5">
      <c r="A24" s="81">
        <f t="shared" si="3"/>
        <v>0.89999999999999991</v>
      </c>
      <c r="B24" s="81">
        <f t="shared" si="0"/>
        <v>0.10000000000000009</v>
      </c>
      <c r="C24" s="82"/>
      <c r="D24" s="83">
        <f t="shared" si="1"/>
        <v>14.129985787448076</v>
      </c>
      <c r="E24" s="84">
        <f t="shared" si="2"/>
        <v>10.954999999999998</v>
      </c>
    </row>
    <row r="25" spans="1:12" x14ac:dyDescent="0.5">
      <c r="A25" s="81">
        <f t="shared" si="3"/>
        <v>0.99999999999999989</v>
      </c>
      <c r="B25" s="81">
        <f t="shared" si="0"/>
        <v>0</v>
      </c>
      <c r="C25" s="82"/>
      <c r="D25" s="83">
        <f t="shared" si="1"/>
        <v>14.916769087171657</v>
      </c>
      <c r="E25" s="84">
        <f t="shared" si="2"/>
        <v>11.699999999999998</v>
      </c>
    </row>
    <row r="26" spans="1:12" x14ac:dyDescent="0.5">
      <c r="A26" s="41"/>
      <c r="L26" t="s">
        <v>75</v>
      </c>
    </row>
    <row r="28" spans="1:12" x14ac:dyDescent="0.5">
      <c r="A28" s="72"/>
    </row>
  </sheetData>
  <mergeCells count="1">
    <mergeCell ref="A13:B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211C3-707B-4E67-9797-1EBC38234D2B}">
  <dimension ref="A1:N28"/>
  <sheetViews>
    <sheetView showGridLines="0" workbookViewId="0">
      <selection activeCell="C6" sqref="C6"/>
    </sheetView>
  </sheetViews>
  <sheetFormatPr defaultRowHeight="14.35" x14ac:dyDescent="0.5"/>
  <cols>
    <col min="1" max="1" width="14" customWidth="1"/>
    <col min="2" max="2" width="9" customWidth="1"/>
    <col min="3" max="3" width="8.234375" customWidth="1"/>
    <col min="4" max="4" width="10.1171875" customWidth="1"/>
    <col min="5" max="5" width="9" customWidth="1"/>
    <col min="13" max="13" width="5.52734375" customWidth="1"/>
    <col min="14" max="14" width="2.05859375" customWidth="1"/>
  </cols>
  <sheetData>
    <row r="1" spans="1:14" ht="11.45" customHeight="1" x14ac:dyDescent="0.5"/>
    <row r="2" spans="1:14" ht="17.7" x14ac:dyDescent="0.55000000000000004">
      <c r="A2" s="35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0.7" customHeight="1" x14ac:dyDescent="0.5">
      <c r="A3" s="16"/>
      <c r="B3" s="71"/>
      <c r="C3" s="38"/>
    </row>
    <row r="4" spans="1:14" x14ac:dyDescent="0.5">
      <c r="A4" s="103" t="s">
        <v>65</v>
      </c>
      <c r="B4" s="104"/>
    </row>
    <row r="5" spans="1:14" x14ac:dyDescent="0.5">
      <c r="A5" s="16" t="s">
        <v>33</v>
      </c>
      <c r="B5" s="97">
        <f>+'Fig. 2.1'!F11</f>
        <v>11.7</v>
      </c>
      <c r="C5" s="38"/>
    </row>
    <row r="6" spans="1:14" x14ac:dyDescent="0.5">
      <c r="A6" s="16" t="s">
        <v>34</v>
      </c>
      <c r="B6" s="97">
        <f>+'Fig. 2.1'!L11</f>
        <v>4.25</v>
      </c>
      <c r="C6" s="38"/>
    </row>
    <row r="7" spans="1:14" x14ac:dyDescent="0.5">
      <c r="A7" s="16" t="s">
        <v>35</v>
      </c>
      <c r="B7" s="97">
        <f>+'Fig. 2.1'!I12</f>
        <v>14.916769087171659</v>
      </c>
      <c r="C7" s="38"/>
    </row>
    <row r="8" spans="1:14" x14ac:dyDescent="0.5">
      <c r="A8" s="16" t="s">
        <v>66</v>
      </c>
      <c r="B8" s="97">
        <f>+'Fig. 2.1'!O12</f>
        <v>7.0489360899358422</v>
      </c>
      <c r="C8" s="38"/>
    </row>
    <row r="9" spans="1:14" x14ac:dyDescent="0.5">
      <c r="A9" s="16" t="s">
        <v>53</v>
      </c>
      <c r="B9" s="97">
        <f>+D12</f>
        <v>-1</v>
      </c>
      <c r="C9" s="38"/>
    </row>
    <row r="10" spans="1:14" ht="10.7" customHeight="1" thickBot="1" x14ac:dyDescent="0.55000000000000004">
      <c r="A10" s="16"/>
      <c r="B10" s="71"/>
      <c r="C10" s="38"/>
    </row>
    <row r="11" spans="1:14" ht="17.45" customHeight="1" thickBot="1" x14ac:dyDescent="0.55000000000000004">
      <c r="A11" s="72"/>
      <c r="B11" s="71"/>
      <c r="C11" s="38"/>
      <c r="D11" s="75" t="s">
        <v>58</v>
      </c>
      <c r="E11" s="76"/>
    </row>
    <row r="12" spans="1:14" ht="12.7" customHeight="1" thickBot="1" x14ac:dyDescent="0.55000000000000004">
      <c r="A12" s="90" t="s">
        <v>59</v>
      </c>
      <c r="B12" s="91"/>
      <c r="C12" s="92"/>
      <c r="D12" s="95">
        <v>-1</v>
      </c>
      <c r="E12" s="96"/>
    </row>
    <row r="13" spans="1:14" x14ac:dyDescent="0.5">
      <c r="A13" s="244" t="s">
        <v>36</v>
      </c>
      <c r="B13" s="244"/>
      <c r="C13" s="39"/>
      <c r="D13" s="87" t="s">
        <v>69</v>
      </c>
      <c r="E13" s="88" t="s">
        <v>70</v>
      </c>
    </row>
    <row r="14" spans="1:14" ht="15.35" x14ac:dyDescent="0.5">
      <c r="A14" s="40" t="s">
        <v>60</v>
      </c>
      <c r="B14" s="40" t="s">
        <v>61</v>
      </c>
      <c r="C14" s="82"/>
      <c r="D14" s="85" t="s">
        <v>64</v>
      </c>
      <c r="E14" s="86" t="s">
        <v>62</v>
      </c>
    </row>
    <row r="15" spans="1:14" x14ac:dyDescent="0.5">
      <c r="A15" s="77">
        <v>0</v>
      </c>
      <c r="B15" s="78">
        <f t="shared" ref="B15:B25" si="0">1-A15</f>
        <v>1</v>
      </c>
      <c r="C15" s="44"/>
      <c r="D15" s="79">
        <f t="shared" ref="D15:D25" si="1">SQRT((A15*$B$7)^2+(B15*$B$8)^2+2*$B$7*A15*$B$8*B15*$D$12)</f>
        <v>7.0489360899358422</v>
      </c>
      <c r="E15" s="80">
        <f t="shared" ref="E15:E25" si="2">+A15*$B$5+B15*$B$6</f>
        <v>4.25</v>
      </c>
    </row>
    <row r="16" spans="1:14" x14ac:dyDescent="0.5">
      <c r="A16" s="81">
        <f t="shared" ref="A16:A25" si="3">+A15+0.1</f>
        <v>0.1</v>
      </c>
      <c r="B16" s="81">
        <f t="shared" si="0"/>
        <v>0.9</v>
      </c>
      <c r="C16" s="102"/>
      <c r="D16" s="83">
        <f t="shared" si="1"/>
        <v>4.852365572225092</v>
      </c>
      <c r="E16" s="84">
        <f t="shared" si="2"/>
        <v>4.9950000000000001</v>
      </c>
    </row>
    <row r="17" spans="1:11" x14ac:dyDescent="0.5">
      <c r="A17" s="81">
        <f t="shared" si="3"/>
        <v>0.2</v>
      </c>
      <c r="B17" s="81">
        <f t="shared" si="0"/>
        <v>0.8</v>
      </c>
      <c r="C17" s="82"/>
      <c r="D17" s="100">
        <f t="shared" si="1"/>
        <v>2.6557950545143414</v>
      </c>
      <c r="E17" s="101">
        <f t="shared" si="2"/>
        <v>5.74</v>
      </c>
    </row>
    <row r="18" spans="1:11" x14ac:dyDescent="0.5">
      <c r="A18" s="81">
        <f t="shared" si="3"/>
        <v>0.30000000000000004</v>
      </c>
      <c r="B18" s="81">
        <f t="shared" si="0"/>
        <v>0.7</v>
      </c>
      <c r="C18" s="102" t="s">
        <v>67</v>
      </c>
      <c r="D18" s="100">
        <f t="shared" si="1"/>
        <v>0.45922453680359088</v>
      </c>
      <c r="E18" s="101">
        <f t="shared" si="2"/>
        <v>6.4849999999999994</v>
      </c>
    </row>
    <row r="19" spans="1:11" x14ac:dyDescent="0.5">
      <c r="A19" s="81">
        <f t="shared" si="3"/>
        <v>0.4</v>
      </c>
      <c r="B19" s="81">
        <f t="shared" si="0"/>
        <v>0.6</v>
      </c>
      <c r="C19" s="82"/>
      <c r="D19" s="100">
        <f t="shared" si="1"/>
        <v>1.7373459809071594</v>
      </c>
      <c r="E19" s="101">
        <f t="shared" si="2"/>
        <v>7.2299999999999995</v>
      </c>
    </row>
    <row r="20" spans="1:11" x14ac:dyDescent="0.5">
      <c r="A20" s="81">
        <f t="shared" si="3"/>
        <v>0.5</v>
      </c>
      <c r="B20" s="81">
        <f t="shared" si="0"/>
        <v>0.5</v>
      </c>
      <c r="C20" s="82"/>
      <c r="D20" s="83">
        <f t="shared" si="1"/>
        <v>3.9339164986179083</v>
      </c>
      <c r="E20" s="84">
        <f t="shared" si="2"/>
        <v>7.9749999999999996</v>
      </c>
    </row>
    <row r="21" spans="1:11" x14ac:dyDescent="0.5">
      <c r="A21" s="81">
        <f t="shared" si="3"/>
        <v>0.6</v>
      </c>
      <c r="B21" s="81">
        <f t="shared" si="0"/>
        <v>0.4</v>
      </c>
      <c r="C21" s="82"/>
      <c r="D21" s="83">
        <f t="shared" si="1"/>
        <v>6.130487016328658</v>
      </c>
      <c r="E21" s="84">
        <f t="shared" si="2"/>
        <v>8.7199999999999989</v>
      </c>
    </row>
    <row r="22" spans="1:11" x14ac:dyDescent="0.5">
      <c r="A22" s="81">
        <f t="shared" si="3"/>
        <v>0.7</v>
      </c>
      <c r="B22" s="81">
        <f t="shared" si="0"/>
        <v>0.30000000000000004</v>
      </c>
      <c r="C22" s="82"/>
      <c r="D22" s="83">
        <f t="shared" si="1"/>
        <v>8.3270575340394064</v>
      </c>
      <c r="E22" s="84">
        <f t="shared" si="2"/>
        <v>9.4649999999999999</v>
      </c>
    </row>
    <row r="23" spans="1:11" x14ac:dyDescent="0.5">
      <c r="A23" s="81">
        <f t="shared" si="3"/>
        <v>0.79999999999999993</v>
      </c>
      <c r="B23" s="81">
        <f t="shared" si="0"/>
        <v>0.20000000000000007</v>
      </c>
      <c r="C23" s="82"/>
      <c r="D23" s="83">
        <f t="shared" si="1"/>
        <v>10.523628051750157</v>
      </c>
      <c r="E23" s="84">
        <f t="shared" si="2"/>
        <v>10.209999999999999</v>
      </c>
    </row>
    <row r="24" spans="1:11" x14ac:dyDescent="0.5">
      <c r="A24" s="81">
        <f t="shared" si="3"/>
        <v>0.89999999999999991</v>
      </c>
      <c r="B24" s="81">
        <f t="shared" si="0"/>
        <v>0.10000000000000009</v>
      </c>
      <c r="C24" s="82"/>
      <c r="D24" s="83">
        <f t="shared" si="1"/>
        <v>12.720198569460905</v>
      </c>
      <c r="E24" s="84">
        <f t="shared" si="2"/>
        <v>10.954999999999998</v>
      </c>
    </row>
    <row r="25" spans="1:11" x14ac:dyDescent="0.5">
      <c r="A25" s="81">
        <f t="shared" si="3"/>
        <v>0.99999999999999989</v>
      </c>
      <c r="B25" s="81">
        <f t="shared" si="0"/>
        <v>0</v>
      </c>
      <c r="C25" s="82"/>
      <c r="D25" s="83">
        <f t="shared" si="1"/>
        <v>14.916769087171657</v>
      </c>
      <c r="E25" s="84">
        <f t="shared" si="2"/>
        <v>11.699999999999998</v>
      </c>
    </row>
    <row r="26" spans="1:11" x14ac:dyDescent="0.5">
      <c r="A26" s="41"/>
    </row>
    <row r="27" spans="1:11" x14ac:dyDescent="0.5">
      <c r="K27" t="s">
        <v>76</v>
      </c>
    </row>
    <row r="28" spans="1:11" x14ac:dyDescent="0.5">
      <c r="A28" s="72"/>
    </row>
  </sheetData>
  <mergeCells count="1">
    <mergeCell ref="A13:B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1DF6B-5B18-434D-B5C3-C44067662599}">
  <dimension ref="A1:K28"/>
  <sheetViews>
    <sheetView showGridLines="0" workbookViewId="0">
      <selection activeCell="N23" sqref="N23"/>
    </sheetView>
  </sheetViews>
  <sheetFormatPr defaultRowHeight="14.35" x14ac:dyDescent="0.5"/>
  <cols>
    <col min="1" max="1" width="16.3515625" customWidth="1"/>
    <col min="4" max="4" width="3.5859375" customWidth="1"/>
    <col min="5" max="6" width="9.05859375" customWidth="1"/>
    <col min="7" max="7" width="7.5859375" customWidth="1"/>
    <col min="10" max="10" width="7.9375" customWidth="1"/>
    <col min="12" max="12" width="3.3515625" customWidth="1"/>
  </cols>
  <sheetData>
    <row r="1" spans="1:11" x14ac:dyDescent="0.5">
      <c r="A1" s="106" t="s">
        <v>77</v>
      </c>
    </row>
    <row r="3" spans="1:11" ht="40.35" customHeight="1" x14ac:dyDescent="0.5">
      <c r="B3" s="245" t="s">
        <v>79</v>
      </c>
      <c r="C3" s="245"/>
      <c r="D3" s="116"/>
      <c r="E3" s="246" t="s">
        <v>84</v>
      </c>
      <c r="F3" s="245"/>
      <c r="G3" s="116"/>
      <c r="H3" s="245" t="s">
        <v>63</v>
      </c>
      <c r="I3" s="245"/>
      <c r="J3" s="116"/>
      <c r="K3" s="117" t="s">
        <v>87</v>
      </c>
    </row>
    <row r="4" spans="1:11" ht="30" customHeight="1" x14ac:dyDescent="0.5">
      <c r="B4" s="114" t="s">
        <v>108</v>
      </c>
      <c r="C4" s="114" t="s">
        <v>109</v>
      </c>
      <c r="D4" s="107"/>
      <c r="E4" s="114" t="s">
        <v>85</v>
      </c>
      <c r="F4" s="114" t="s">
        <v>86</v>
      </c>
      <c r="G4" s="107"/>
      <c r="H4" s="113" t="s">
        <v>37</v>
      </c>
      <c r="I4" s="113" t="s">
        <v>38</v>
      </c>
      <c r="J4" s="107"/>
      <c r="K4" s="113" t="s">
        <v>80</v>
      </c>
    </row>
    <row r="5" spans="1:11" x14ac:dyDescent="0.5">
      <c r="A5" s="21" t="s">
        <v>96</v>
      </c>
      <c r="B5" s="109">
        <v>-6.5</v>
      </c>
      <c r="C5" s="109">
        <v>3.1</v>
      </c>
      <c r="D5" s="44"/>
      <c r="E5" s="110">
        <f t="shared" ref="E5:E6" si="0">+B5-$B$18</f>
        <v>-18.175000000000004</v>
      </c>
      <c r="F5" s="110">
        <f t="shared" ref="F5:F6" si="1">+C5-$C$18</f>
        <v>1.0166666666666666</v>
      </c>
      <c r="G5" s="110"/>
      <c r="H5" s="110">
        <f t="shared" ref="H5:H6" si="2">+E5^2</f>
        <v>330.33062500000017</v>
      </c>
      <c r="I5" s="110">
        <f t="shared" ref="I5:I6" si="3">+F5^2</f>
        <v>1.033611111111111</v>
      </c>
      <c r="J5" s="110"/>
      <c r="K5" s="110">
        <f>+F5*E5</f>
        <v>-18.477916666666669</v>
      </c>
    </row>
    <row r="6" spans="1:11" x14ac:dyDescent="0.5">
      <c r="A6" s="21" t="s">
        <v>97</v>
      </c>
      <c r="B6" s="111">
        <v>-13.2</v>
      </c>
      <c r="C6" s="111">
        <v>5.2</v>
      </c>
      <c r="D6" s="82"/>
      <c r="E6" s="112">
        <f t="shared" si="0"/>
        <v>-24.875</v>
      </c>
      <c r="F6" s="112">
        <f t="shared" si="1"/>
        <v>3.1166666666666667</v>
      </c>
      <c r="G6" s="112"/>
      <c r="H6" s="112">
        <f t="shared" si="2"/>
        <v>618.765625</v>
      </c>
      <c r="I6" s="112">
        <f t="shared" si="3"/>
        <v>9.7136111111111116</v>
      </c>
      <c r="J6" s="112"/>
      <c r="K6" s="112">
        <f t="shared" ref="K6" si="4">+F6*E6</f>
        <v>-77.527083333333337</v>
      </c>
    </row>
    <row r="7" spans="1:11" x14ac:dyDescent="0.5">
      <c r="A7" s="21" t="s">
        <v>98</v>
      </c>
      <c r="B7" s="111">
        <v>-8.9</v>
      </c>
      <c r="C7" s="111">
        <v>7.9</v>
      </c>
      <c r="D7" s="82"/>
      <c r="E7" s="112">
        <f>+B7-$B$18</f>
        <v>-20.575000000000003</v>
      </c>
      <c r="F7" s="112">
        <f>+C7-$C$18</f>
        <v>5.8166666666666664</v>
      </c>
      <c r="G7" s="112"/>
      <c r="H7" s="112">
        <f>+E7^2</f>
        <v>423.33062500000011</v>
      </c>
      <c r="I7" s="112">
        <f>+F7^2</f>
        <v>33.833611111111111</v>
      </c>
      <c r="J7" s="112"/>
      <c r="K7" s="112">
        <f t="shared" ref="K7:K16" si="5">+F7*E7</f>
        <v>-119.67791666666668</v>
      </c>
    </row>
    <row r="8" spans="1:11" x14ac:dyDescent="0.5">
      <c r="A8" s="21" t="s">
        <v>99</v>
      </c>
      <c r="B8" s="111">
        <v>25</v>
      </c>
      <c r="C8" s="111">
        <v>6.1</v>
      </c>
      <c r="D8" s="82"/>
      <c r="E8" s="112">
        <f t="shared" ref="E8:E16" si="6">+B8-$B$18</f>
        <v>13.324999999999998</v>
      </c>
      <c r="F8" s="112">
        <f t="shared" ref="F8:F16" si="7">+C8-$C$18</f>
        <v>4.0166666666666657</v>
      </c>
      <c r="G8" s="112"/>
      <c r="H8" s="112">
        <f t="shared" ref="H8:I16" si="8">+E8^2</f>
        <v>177.55562499999994</v>
      </c>
      <c r="I8" s="112">
        <f t="shared" si="8"/>
        <v>16.133611111111104</v>
      </c>
      <c r="J8" s="112"/>
      <c r="K8" s="112">
        <f t="shared" si="5"/>
        <v>53.522083333333313</v>
      </c>
    </row>
    <row r="9" spans="1:11" x14ac:dyDescent="0.5">
      <c r="A9" s="21" t="s">
        <v>100</v>
      </c>
      <c r="B9" s="111">
        <v>48.5</v>
      </c>
      <c r="C9" s="111">
        <v>-9.5</v>
      </c>
      <c r="D9" s="82"/>
      <c r="E9" s="112">
        <f t="shared" si="6"/>
        <v>36.824999999999996</v>
      </c>
      <c r="F9" s="112">
        <f t="shared" si="7"/>
        <v>-11.583333333333334</v>
      </c>
      <c r="G9" s="112"/>
      <c r="H9" s="112">
        <f t="shared" si="8"/>
        <v>1356.0806249999996</v>
      </c>
      <c r="I9" s="112">
        <f t="shared" si="8"/>
        <v>134.17361111111111</v>
      </c>
      <c r="J9" s="112"/>
      <c r="K9" s="112">
        <f t="shared" si="5"/>
        <v>-426.55624999999998</v>
      </c>
    </row>
    <row r="10" spans="1:11" x14ac:dyDescent="0.5">
      <c r="A10" s="21" t="s">
        <v>101</v>
      </c>
      <c r="B10" s="111">
        <v>37.6</v>
      </c>
      <c r="C10" s="111">
        <v>-2.5</v>
      </c>
      <c r="D10" s="82"/>
      <c r="E10" s="112">
        <f t="shared" si="6"/>
        <v>25.924999999999997</v>
      </c>
      <c r="F10" s="112">
        <f t="shared" si="7"/>
        <v>-4.5833333333333339</v>
      </c>
      <c r="G10" s="112"/>
      <c r="H10" s="112">
        <f t="shared" si="8"/>
        <v>672.1056249999998</v>
      </c>
      <c r="I10" s="112">
        <f t="shared" si="8"/>
        <v>21.00694444444445</v>
      </c>
      <c r="J10" s="112"/>
      <c r="K10" s="112">
        <f t="shared" si="5"/>
        <v>-118.82291666666667</v>
      </c>
    </row>
    <row r="11" spans="1:11" x14ac:dyDescent="0.5">
      <c r="A11" s="21" t="s">
        <v>102</v>
      </c>
      <c r="B11" s="111">
        <v>10.5</v>
      </c>
      <c r="C11" s="111">
        <v>2.5</v>
      </c>
      <c r="D11" s="82"/>
      <c r="E11" s="112">
        <f t="shared" si="6"/>
        <v>-1.1750000000000025</v>
      </c>
      <c r="F11" s="112">
        <f t="shared" si="7"/>
        <v>0.41666666666666652</v>
      </c>
      <c r="G11" s="112"/>
      <c r="H11" s="112">
        <f t="shared" si="8"/>
        <v>1.3806250000000058</v>
      </c>
      <c r="I11" s="112">
        <f t="shared" si="8"/>
        <v>0.17361111111111099</v>
      </c>
      <c r="J11" s="112"/>
      <c r="K11" s="112">
        <f t="shared" si="5"/>
        <v>-0.4895833333333342</v>
      </c>
    </row>
    <row r="12" spans="1:11" x14ac:dyDescent="0.5">
      <c r="A12" s="21" t="s">
        <v>103</v>
      </c>
      <c r="B12" s="111">
        <v>7.2</v>
      </c>
      <c r="C12" s="111">
        <v>1.5</v>
      </c>
      <c r="D12" s="82"/>
      <c r="E12" s="112">
        <f t="shared" si="6"/>
        <v>-4.4750000000000023</v>
      </c>
      <c r="F12" s="112">
        <f t="shared" si="7"/>
        <v>-0.58333333333333348</v>
      </c>
      <c r="G12" s="112"/>
      <c r="H12" s="112">
        <f t="shared" si="8"/>
        <v>20.025625000000019</v>
      </c>
      <c r="I12" s="112">
        <f t="shared" si="8"/>
        <v>0.34027777777777796</v>
      </c>
      <c r="J12" s="112"/>
      <c r="K12" s="112">
        <f t="shared" si="5"/>
        <v>2.6104166666666688</v>
      </c>
    </row>
    <row r="13" spans="1:11" x14ac:dyDescent="0.5">
      <c r="A13" s="21" t="s">
        <v>104</v>
      </c>
      <c r="B13" s="111">
        <v>-5.6</v>
      </c>
      <c r="C13" s="111">
        <v>3.4</v>
      </c>
      <c r="D13" s="82"/>
      <c r="E13" s="112">
        <f t="shared" si="6"/>
        <v>-17.275000000000002</v>
      </c>
      <c r="F13" s="112">
        <f t="shared" si="7"/>
        <v>1.3166666666666664</v>
      </c>
      <c r="G13" s="112"/>
      <c r="H13" s="112">
        <f t="shared" si="8"/>
        <v>298.42562500000008</v>
      </c>
      <c r="I13" s="112">
        <f t="shared" si="8"/>
        <v>1.7336111111111105</v>
      </c>
      <c r="J13" s="112"/>
      <c r="K13" s="112">
        <f t="shared" si="5"/>
        <v>-22.745416666666664</v>
      </c>
    </row>
    <row r="14" spans="1:11" x14ac:dyDescent="0.5">
      <c r="A14" s="21" t="s">
        <v>105</v>
      </c>
      <c r="B14" s="111">
        <v>17.5</v>
      </c>
      <c r="C14" s="111">
        <v>-3.2</v>
      </c>
      <c r="D14" s="82"/>
      <c r="E14" s="112">
        <f t="shared" si="6"/>
        <v>5.8249999999999975</v>
      </c>
      <c r="F14" s="112">
        <f t="shared" si="7"/>
        <v>-5.2833333333333332</v>
      </c>
      <c r="G14" s="112"/>
      <c r="H14" s="112">
        <f t="shared" si="8"/>
        <v>33.930624999999971</v>
      </c>
      <c r="I14" s="112">
        <f t="shared" si="8"/>
        <v>27.913611111111109</v>
      </c>
      <c r="J14" s="112"/>
      <c r="K14" s="112">
        <f t="shared" si="5"/>
        <v>-30.775416666666654</v>
      </c>
    </row>
    <row r="15" spans="1:11" x14ac:dyDescent="0.5">
      <c r="A15" s="21" t="s">
        <v>106</v>
      </c>
      <c r="B15" s="111">
        <v>21.5</v>
      </c>
      <c r="C15" s="111">
        <v>3.5</v>
      </c>
      <c r="D15" s="82"/>
      <c r="E15" s="112">
        <f t="shared" si="6"/>
        <v>9.8249999999999975</v>
      </c>
      <c r="F15" s="112">
        <f t="shared" si="7"/>
        <v>1.4166666666666665</v>
      </c>
      <c r="G15" s="112"/>
      <c r="H15" s="112">
        <f t="shared" si="8"/>
        <v>96.530624999999958</v>
      </c>
      <c r="I15" s="112">
        <f t="shared" si="8"/>
        <v>2.0069444444444442</v>
      </c>
      <c r="J15" s="112"/>
      <c r="K15" s="112">
        <f t="shared" si="5"/>
        <v>13.918749999999996</v>
      </c>
    </row>
    <row r="16" spans="1:11" x14ac:dyDescent="0.5">
      <c r="A16" s="21" t="s">
        <v>107</v>
      </c>
      <c r="B16" s="111">
        <v>6.5</v>
      </c>
      <c r="C16" s="111">
        <v>7</v>
      </c>
      <c r="D16" s="82"/>
      <c r="E16" s="112">
        <f t="shared" si="6"/>
        <v>-5.1750000000000025</v>
      </c>
      <c r="F16" s="112">
        <f t="shared" si="7"/>
        <v>4.9166666666666661</v>
      </c>
      <c r="G16" s="112"/>
      <c r="H16" s="112">
        <f t="shared" si="8"/>
        <v>26.780625000000025</v>
      </c>
      <c r="I16" s="112">
        <f t="shared" si="8"/>
        <v>24.173611111111104</v>
      </c>
      <c r="J16" s="112"/>
      <c r="K16" s="112">
        <f t="shared" si="5"/>
        <v>-25.443750000000009</v>
      </c>
    </row>
    <row r="17" spans="1:11" x14ac:dyDescent="0.5">
      <c r="B17" s="42"/>
      <c r="C17" s="42"/>
      <c r="E17" s="12"/>
      <c r="F17" s="12"/>
      <c r="G17" s="12"/>
      <c r="H17" s="12"/>
      <c r="I17" s="12"/>
      <c r="J17" s="12"/>
      <c r="K17" s="12"/>
    </row>
    <row r="18" spans="1:11" x14ac:dyDescent="0.5">
      <c r="A18" s="122" t="s">
        <v>88</v>
      </c>
      <c r="B18" s="123">
        <f>AVERAGE(B5:B16)</f>
        <v>11.675000000000002</v>
      </c>
      <c r="C18" s="123">
        <f>AVERAGE(C5:C16)</f>
        <v>2.0833333333333335</v>
      </c>
      <c r="E18" s="12"/>
      <c r="F18" s="12"/>
      <c r="G18" s="120" t="s">
        <v>81</v>
      </c>
      <c r="H18" s="121">
        <f>SUM(H5:H16)</f>
        <v>4055.2424999999994</v>
      </c>
      <c r="I18" s="121">
        <f>SUM(I5:I16)</f>
        <v>272.23666666666668</v>
      </c>
      <c r="J18" s="121"/>
      <c r="K18" s="121">
        <f>SUM(K5:K16)</f>
        <v>-770.46499999999992</v>
      </c>
    </row>
    <row r="19" spans="1:11" x14ac:dyDescent="0.5">
      <c r="A19" s="82" t="s">
        <v>63</v>
      </c>
      <c r="B19" s="119">
        <f>STDEV(B5:B16)</f>
        <v>19.200479397424147</v>
      </c>
      <c r="C19" s="119">
        <f>STDEV(C5:C16)</f>
        <v>4.974815361276022</v>
      </c>
      <c r="E19" s="12"/>
      <c r="F19" s="112"/>
      <c r="G19" s="115" t="s">
        <v>110</v>
      </c>
      <c r="H19" s="112">
        <f>+H18/11</f>
        <v>368.65840909090906</v>
      </c>
      <c r="I19" s="112">
        <f>+I18/11</f>
        <v>24.74878787878788</v>
      </c>
      <c r="J19" s="115" t="s">
        <v>82</v>
      </c>
      <c r="K19" s="112">
        <f>+K18/(COUNT(K5:K16)-1)</f>
        <v>-70.042272727272717</v>
      </c>
    </row>
    <row r="20" spans="1:11" x14ac:dyDescent="0.5">
      <c r="A20" s="82" t="s">
        <v>78</v>
      </c>
      <c r="B20" s="119">
        <f>+K19</f>
        <v>-70.042272727272717</v>
      </c>
      <c r="C20" s="42"/>
      <c r="E20" s="12"/>
      <c r="F20" s="112"/>
      <c r="G20" s="115" t="s">
        <v>63</v>
      </c>
      <c r="H20" s="112">
        <f>SQRT(H19)</f>
        <v>19.200479397424147</v>
      </c>
      <c r="I20" s="112">
        <f>SQRT(I19)</f>
        <v>4.974815361276022</v>
      </c>
      <c r="J20" s="115" t="s">
        <v>83</v>
      </c>
      <c r="K20" s="112">
        <f>+K19/(H20*I20)</f>
        <v>-0.73328228061752865</v>
      </c>
    </row>
    <row r="21" spans="1:11" x14ac:dyDescent="0.5">
      <c r="A21" s="82" t="s">
        <v>55</v>
      </c>
      <c r="B21" s="119">
        <f>CORREL(B5:B16,C5:C16)</f>
        <v>-0.73328228061752887</v>
      </c>
      <c r="C21" s="42"/>
    </row>
    <row r="23" spans="1:11" x14ac:dyDescent="0.5">
      <c r="F23" s="122" t="s">
        <v>225</v>
      </c>
      <c r="G23" s="44"/>
      <c r="H23" s="44"/>
      <c r="I23" s="44"/>
      <c r="J23" s="44"/>
    </row>
    <row r="24" spans="1:11" ht="17" customHeight="1" x14ac:dyDescent="0.5">
      <c r="F24" s="193" t="s">
        <v>88</v>
      </c>
      <c r="G24" s="213"/>
      <c r="H24" s="82"/>
      <c r="I24" s="82"/>
      <c r="J24" s="82"/>
      <c r="K24" s="213">
        <f>+(B18*0.3)+(C18*0.7)</f>
        <v>4.9608333333333343</v>
      </c>
    </row>
    <row r="25" spans="1:11" ht="17" customHeight="1" x14ac:dyDescent="0.5">
      <c r="F25" s="193" t="s">
        <v>63</v>
      </c>
      <c r="G25" s="213"/>
      <c r="H25" s="193"/>
      <c r="I25" s="193"/>
      <c r="J25" s="193"/>
      <c r="K25" s="213">
        <f>SQRT(((B19*0.3)^2)+((C19*0.7)^2)+(2*B19*C19*0.3*0.7*B21))</f>
        <v>3.986026634799789</v>
      </c>
    </row>
    <row r="26" spans="1:11" x14ac:dyDescent="0.5">
      <c r="G26" s="12"/>
      <c r="K26" s="12"/>
    </row>
    <row r="27" spans="1:11" x14ac:dyDescent="0.5">
      <c r="G27" s="12"/>
      <c r="K27" s="12"/>
    </row>
    <row r="28" spans="1:11" x14ac:dyDescent="0.5">
      <c r="G28" s="12"/>
      <c r="K28" t="s">
        <v>94</v>
      </c>
    </row>
  </sheetData>
  <mergeCells count="3">
    <mergeCell ref="B3:C3"/>
    <mergeCell ref="E3:F3"/>
    <mergeCell ref="H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E2CD2-081C-4FEB-B95C-D8E43A124E59}">
  <dimension ref="A1:N17"/>
  <sheetViews>
    <sheetView showGridLines="0" workbookViewId="0">
      <selection activeCell="F18" sqref="F18"/>
    </sheetView>
  </sheetViews>
  <sheetFormatPr defaultRowHeight="14.35" x14ac:dyDescent="0.5"/>
  <cols>
    <col min="1" max="1" width="8.64453125" customWidth="1"/>
    <col min="7" max="7" width="2.87890625" customWidth="1"/>
    <col min="8" max="14" width="7" customWidth="1"/>
    <col min="15" max="15" width="3.41015625" customWidth="1"/>
  </cols>
  <sheetData>
    <row r="1" spans="1:6" x14ac:dyDescent="0.5">
      <c r="A1" s="106" t="s">
        <v>77</v>
      </c>
    </row>
    <row r="3" spans="1:6" x14ac:dyDescent="0.5">
      <c r="B3" s="247" t="s">
        <v>89</v>
      </c>
      <c r="C3" s="248"/>
      <c r="D3" s="248"/>
      <c r="E3" s="248"/>
      <c r="F3" s="248"/>
    </row>
    <row r="4" spans="1:6" ht="43" x14ac:dyDescent="0.5">
      <c r="B4" s="124" t="s">
        <v>91</v>
      </c>
      <c r="C4" s="125" t="s">
        <v>90</v>
      </c>
      <c r="D4" s="106"/>
      <c r="E4" s="126" t="s">
        <v>93</v>
      </c>
      <c r="F4" s="126" t="s">
        <v>92</v>
      </c>
    </row>
    <row r="5" spans="1:6" x14ac:dyDescent="0.5">
      <c r="B5" s="127">
        <v>0</v>
      </c>
      <c r="C5" s="127">
        <f t="shared" ref="C5:C15" si="0">1-B5</f>
        <v>1</v>
      </c>
      <c r="D5" s="44"/>
      <c r="E5" s="118">
        <f>SQRT(((B5*'Fig. 2.7'!$B$19)^2)+((C5*'Fig. 2.7'!$C$19)^2)+(2*B5*C5*'Fig. 2.7'!$B$19*'Fig. 2.7'!$C$19*'Fig. 2.7'!$B$21))</f>
        <v>4.974815361276022</v>
      </c>
      <c r="F5" s="118">
        <f>+(B5*'Fig. 2.7'!$B$18)+(C5*'Fig. 2.7'!$C$18)</f>
        <v>2.0833333333333335</v>
      </c>
    </row>
    <row r="6" spans="1:6" x14ac:dyDescent="0.5">
      <c r="A6" s="249" t="s">
        <v>67</v>
      </c>
      <c r="B6" s="129">
        <v>0.1</v>
      </c>
      <c r="C6" s="129">
        <f t="shared" si="0"/>
        <v>0.9</v>
      </c>
      <c r="D6" s="130"/>
      <c r="E6" s="131">
        <f>SQRT(((B6*'Fig. 2.7'!$B$19)^2)+((C6*'Fig. 2.7'!$C$19)^2)+(2*B6*C6*'Fig. 2.7'!$B$19*'Fig. 2.7'!$C$19*'Fig. 2.7'!$B$21))</f>
        <v>3.335489946292475</v>
      </c>
      <c r="F6" s="131">
        <f>+(B6*'Fig. 2.7'!$B$18)+(C6*'Fig. 2.7'!$C$18)</f>
        <v>3.0425000000000004</v>
      </c>
    </row>
    <row r="7" spans="1:6" x14ac:dyDescent="0.5">
      <c r="A7" s="249"/>
      <c r="B7" s="129">
        <v>0.2</v>
      </c>
      <c r="C7" s="129">
        <f t="shared" si="0"/>
        <v>0.8</v>
      </c>
      <c r="D7" s="130"/>
      <c r="E7" s="131">
        <f>SQRT(((B7*'Fig. 2.7'!$B$19)^2)+((C7*'Fig. 2.7'!$C$19)^2)+(2*B7*C7*'Fig. 2.7'!$B$19*'Fig. 2.7'!$C$19*'Fig. 2.7'!$B$21))</f>
        <v>2.8586768501062396</v>
      </c>
      <c r="F7" s="131">
        <f>+(B7*'Fig. 2.7'!$B$18)+(C7*'Fig. 2.7'!$C$18)</f>
        <v>4.0016666666666669</v>
      </c>
    </row>
    <row r="8" spans="1:6" x14ac:dyDescent="0.5">
      <c r="A8" s="249"/>
      <c r="B8" s="129">
        <v>0.3</v>
      </c>
      <c r="C8" s="129">
        <f t="shared" si="0"/>
        <v>0.7</v>
      </c>
      <c r="D8" s="130"/>
      <c r="E8" s="131">
        <f>SQRT(((B8*'Fig. 2.7'!$B$19)^2)+((C8*'Fig. 2.7'!$C$19)^2)+(2*B8*C8*'Fig. 2.7'!$B$19*'Fig. 2.7'!$C$19*'Fig. 2.7'!$B$21))</f>
        <v>3.986026634799789</v>
      </c>
      <c r="F8" s="131">
        <f>+(B8*'Fig. 2.7'!$B$18)+(C8*'Fig. 2.7'!$C$18)</f>
        <v>4.9608333333333343</v>
      </c>
    </row>
    <row r="9" spans="1:6" x14ac:dyDescent="0.5">
      <c r="B9" s="128">
        <v>0.4</v>
      </c>
      <c r="C9" s="128">
        <f t="shared" si="0"/>
        <v>0.6</v>
      </c>
      <c r="D9" s="82"/>
      <c r="E9" s="119">
        <f>SQRT(((B9*'Fig. 2.7'!$B$19)^2)+((C9*'Fig. 2.7'!$C$19)^2)+(2*B9*C9*'Fig. 2.7'!$B$19*'Fig. 2.7'!$C$19*'Fig. 2.7'!$B$21))</f>
        <v>5.8544528507639537</v>
      </c>
      <c r="F9" s="119">
        <f>+(B9*'Fig. 2.7'!$B$18)+(C9*'Fig. 2.7'!$C$18)</f>
        <v>5.9200000000000008</v>
      </c>
    </row>
    <row r="10" spans="1:6" x14ac:dyDescent="0.5">
      <c r="B10" s="128">
        <v>0.5</v>
      </c>
      <c r="C10" s="128">
        <f t="shared" si="0"/>
        <v>0.5</v>
      </c>
      <c r="D10" s="82"/>
      <c r="E10" s="119">
        <f>SQRT(((B10*'Fig. 2.7'!$B$19)^2)+((C10*'Fig. 2.7'!$C$19)^2)+(2*B10*C10*'Fig. 2.7'!$B$19*'Fig. 2.7'!$C$19*'Fig. 2.7'!$B$21))</f>
        <v>7.9580564762250763</v>
      </c>
      <c r="F10" s="119">
        <f>+(B10*'Fig. 2.7'!$B$18)+(C10*'Fig. 2.7'!$C$18)</f>
        <v>6.8791666666666682</v>
      </c>
    </row>
    <row r="11" spans="1:6" x14ac:dyDescent="0.5">
      <c r="B11" s="128">
        <v>0.6</v>
      </c>
      <c r="C11" s="128">
        <f t="shared" si="0"/>
        <v>0.4</v>
      </c>
      <c r="D11" s="82"/>
      <c r="E11" s="119">
        <f>SQRT(((B11*'Fig. 2.7'!$B$19)^2)+((C11*'Fig. 2.7'!$C$19)^2)+(2*B11*C11*'Fig. 2.7'!$B$19*'Fig. 2.7'!$C$19*'Fig. 2.7'!$B$21))</f>
        <v>10.15167682820146</v>
      </c>
      <c r="F11" s="119">
        <f>+(B11*'Fig. 2.7'!$B$18)+(C11*'Fig. 2.7'!$C$18)</f>
        <v>7.8383333333333347</v>
      </c>
    </row>
    <row r="12" spans="1:6" x14ac:dyDescent="0.5">
      <c r="B12" s="128">
        <v>0.7</v>
      </c>
      <c r="C12" s="128">
        <f t="shared" si="0"/>
        <v>0.30000000000000004</v>
      </c>
      <c r="D12" s="82"/>
      <c r="E12" s="119">
        <f>SQRT(((B12*'Fig. 2.7'!$B$19)^2)+((C12*'Fig. 2.7'!$C$19)^2)+(2*B12*C12*'Fig. 2.7'!$B$19*'Fig. 2.7'!$C$19*'Fig. 2.7'!$B$21))</f>
        <v>12.387584785509311</v>
      </c>
      <c r="F12" s="119">
        <f>+(B12*'Fig. 2.7'!$B$18)+(C12*'Fig. 2.7'!$C$18)</f>
        <v>8.7975000000000012</v>
      </c>
    </row>
    <row r="13" spans="1:6" x14ac:dyDescent="0.5">
      <c r="B13" s="128">
        <v>0.8</v>
      </c>
      <c r="C13" s="128">
        <f t="shared" si="0"/>
        <v>0.19999999999999996</v>
      </c>
      <c r="D13" s="82"/>
      <c r="E13" s="119">
        <f>SQRT(((B13*'Fig. 2.7'!$B$19)^2)+((C13*'Fig. 2.7'!$C$19)^2)+(2*B13*C13*'Fig. 2.7'!$B$19*'Fig. 2.7'!$C$19*'Fig. 2.7'!$B$21))</f>
        <v>14.646426392147886</v>
      </c>
      <c r="F13" s="119">
        <f>+(B13*'Fig. 2.7'!$B$18)+(C13*'Fig. 2.7'!$C$18)</f>
        <v>9.7566666666666677</v>
      </c>
    </row>
    <row r="14" spans="1:6" x14ac:dyDescent="0.5">
      <c r="B14" s="128">
        <v>0.9</v>
      </c>
      <c r="C14" s="128">
        <f t="shared" si="0"/>
        <v>9.9999999999999978E-2</v>
      </c>
      <c r="D14" s="82"/>
      <c r="E14" s="119">
        <f>SQRT(((B14*'Fig. 2.7'!$B$19)^2)+((C14*'Fig. 2.7'!$C$19)^2)+(2*B14*C14*'Fig. 2.7'!$B$19*'Fig. 2.7'!$C$19*'Fig. 2.7'!$B$21))</f>
        <v>16.919018593036512</v>
      </c>
      <c r="F14" s="119">
        <f>+(B14*'Fig. 2.7'!$B$18)+(C14*'Fig. 2.7'!$C$18)</f>
        <v>10.715833333333336</v>
      </c>
    </row>
    <row r="15" spans="1:6" x14ac:dyDescent="0.5">
      <c r="B15" s="128">
        <v>1</v>
      </c>
      <c r="C15" s="128">
        <f t="shared" si="0"/>
        <v>0</v>
      </c>
      <c r="D15" s="82"/>
      <c r="E15" s="119">
        <f>SQRT(((B15*'Fig. 2.7'!$B$19)^2)+((C15*'Fig. 2.7'!$C$19)^2)+(2*B15*C15*'Fig. 2.7'!$B$19*'Fig. 2.7'!$C$19*'Fig. 2.7'!$B$21))</f>
        <v>19.200479397424147</v>
      </c>
      <c r="F15" s="119">
        <f>+(B15*'Fig. 2.7'!$B$18)+(C15*'Fig. 2.7'!$C$18)</f>
        <v>11.675000000000002</v>
      </c>
    </row>
    <row r="17" spans="14:14" x14ac:dyDescent="0.5">
      <c r="N17" s="132" t="s">
        <v>95</v>
      </c>
    </row>
  </sheetData>
  <mergeCells count="2">
    <mergeCell ref="B3:F3"/>
    <mergeCell ref="A6:A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DC6B3-9BB4-4568-AF99-0C9036E99E65}">
  <dimension ref="A1:N35"/>
  <sheetViews>
    <sheetView showGridLines="0" workbookViewId="0">
      <selection activeCell="M7" sqref="M7"/>
    </sheetView>
  </sheetViews>
  <sheetFormatPr defaultRowHeight="14.35" x14ac:dyDescent="0.5"/>
  <cols>
    <col min="1" max="1" width="16.3515625" customWidth="1"/>
    <col min="2" max="2" width="18.5859375" customWidth="1"/>
    <col min="5" max="5" width="11.46875" customWidth="1"/>
    <col min="6" max="6" width="3.17578125" customWidth="1"/>
    <col min="7" max="7" width="9.05859375" customWidth="1"/>
    <col min="8" max="8" width="7.5859375" customWidth="1"/>
    <col min="11" max="11" width="7.9375" customWidth="1"/>
    <col min="13" max="13" width="3.3515625" customWidth="1"/>
  </cols>
  <sheetData>
    <row r="1" spans="1:14" ht="15.7" x14ac:dyDescent="0.55000000000000004">
      <c r="A1" s="215" t="s">
        <v>217</v>
      </c>
      <c r="B1" s="106"/>
      <c r="F1" s="150"/>
      <c r="G1" s="150"/>
      <c r="H1" s="150"/>
      <c r="I1" s="150"/>
      <c r="J1" s="150"/>
      <c r="K1" s="150"/>
      <c r="L1" s="150"/>
      <c r="M1" s="150"/>
      <c r="N1" s="150"/>
    </row>
    <row r="2" spans="1:14" x14ac:dyDescent="0.5">
      <c r="A2" t="s">
        <v>224</v>
      </c>
      <c r="F2" s="150"/>
      <c r="G2" s="150"/>
      <c r="H2" s="150"/>
      <c r="I2" s="150"/>
      <c r="J2" s="150"/>
      <c r="K2" s="150"/>
      <c r="L2" s="150"/>
      <c r="M2" s="150"/>
      <c r="N2" s="150"/>
    </row>
    <row r="3" spans="1:14" ht="40.35" customHeight="1" x14ac:dyDescent="0.5">
      <c r="C3" s="250" t="s">
        <v>79</v>
      </c>
      <c r="D3" s="250"/>
      <c r="E3" s="251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41" customHeight="1" x14ac:dyDescent="0.5">
      <c r="C4" s="114" t="s">
        <v>214</v>
      </c>
      <c r="D4" s="114" t="s">
        <v>109</v>
      </c>
      <c r="E4" s="114" t="s">
        <v>215</v>
      </c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5">
      <c r="B5" s="21" t="s">
        <v>96</v>
      </c>
      <c r="C5" s="109">
        <v>-6.5</v>
      </c>
      <c r="D5" s="109">
        <v>3.1</v>
      </c>
      <c r="E5" s="109">
        <v>-7.8</v>
      </c>
      <c r="F5" s="150"/>
      <c r="G5" s="150"/>
      <c r="H5" s="150"/>
      <c r="I5" s="150"/>
      <c r="J5" s="150"/>
      <c r="K5" s="150"/>
      <c r="L5" s="150"/>
      <c r="M5" s="150"/>
      <c r="N5" s="150"/>
    </row>
    <row r="6" spans="1:14" x14ac:dyDescent="0.5">
      <c r="B6" s="21" t="s">
        <v>97</v>
      </c>
      <c r="C6" s="111">
        <v>-13.2</v>
      </c>
      <c r="D6" s="111">
        <v>5.2</v>
      </c>
      <c r="E6" s="111">
        <v>-16</v>
      </c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5">
      <c r="B7" s="21" t="s">
        <v>98</v>
      </c>
      <c r="C7" s="111">
        <v>-8.9</v>
      </c>
      <c r="D7" s="111">
        <v>7.9</v>
      </c>
      <c r="E7" s="111">
        <v>-11</v>
      </c>
      <c r="F7" s="150"/>
      <c r="G7" s="150"/>
      <c r="H7" s="150"/>
      <c r="I7" s="150"/>
      <c r="J7" s="150"/>
      <c r="K7" s="150"/>
      <c r="L7" s="150"/>
      <c r="M7" s="150"/>
      <c r="N7" s="150"/>
    </row>
    <row r="8" spans="1:14" x14ac:dyDescent="0.5">
      <c r="B8" s="21" t="s">
        <v>99</v>
      </c>
      <c r="C8" s="111">
        <v>25</v>
      </c>
      <c r="D8" s="111">
        <v>6.1</v>
      </c>
      <c r="E8" s="111">
        <v>21</v>
      </c>
      <c r="F8" s="150"/>
      <c r="G8" s="150"/>
      <c r="H8" s="150"/>
      <c r="I8" s="150"/>
      <c r="J8" s="150"/>
      <c r="K8" s="150"/>
      <c r="L8" s="150"/>
      <c r="M8" s="150"/>
      <c r="N8" s="150"/>
    </row>
    <row r="9" spans="1:14" x14ac:dyDescent="0.5">
      <c r="B9" s="21" t="s">
        <v>100</v>
      </c>
      <c r="C9" s="111">
        <v>48.5</v>
      </c>
      <c r="D9" s="111">
        <v>-9.5</v>
      </c>
      <c r="E9" s="111">
        <v>57</v>
      </c>
      <c r="F9" s="150"/>
      <c r="G9" s="150"/>
      <c r="H9" s="150"/>
      <c r="I9" s="150"/>
      <c r="J9" s="150"/>
      <c r="K9" s="150"/>
      <c r="L9" s="150"/>
      <c r="M9" s="150"/>
      <c r="N9" s="150"/>
    </row>
    <row r="10" spans="1:14" x14ac:dyDescent="0.5">
      <c r="B10" s="21" t="s">
        <v>101</v>
      </c>
      <c r="C10" s="111">
        <v>37.6</v>
      </c>
      <c r="D10" s="111">
        <v>-2.5</v>
      </c>
      <c r="E10" s="111">
        <v>49</v>
      </c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x14ac:dyDescent="0.5">
      <c r="B11" s="21" t="s">
        <v>102</v>
      </c>
      <c r="C11" s="111">
        <v>10.5</v>
      </c>
      <c r="D11" s="111">
        <v>2.5</v>
      </c>
      <c r="E11" s="111">
        <v>16.5</v>
      </c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x14ac:dyDescent="0.5">
      <c r="B12" s="21" t="s">
        <v>103</v>
      </c>
      <c r="C12" s="111">
        <v>7.2</v>
      </c>
      <c r="D12" s="111">
        <v>1.5</v>
      </c>
      <c r="E12" s="111">
        <v>9</v>
      </c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x14ac:dyDescent="0.5">
      <c r="B13" s="21" t="s">
        <v>104</v>
      </c>
      <c r="C13" s="111">
        <v>-5.6</v>
      </c>
      <c r="D13" s="111">
        <v>3.4</v>
      </c>
      <c r="E13" s="111">
        <v>-9.6</v>
      </c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x14ac:dyDescent="0.5">
      <c r="B14" s="21" t="s">
        <v>105</v>
      </c>
      <c r="C14" s="111">
        <v>17.5</v>
      </c>
      <c r="D14" s="111">
        <v>-3.2</v>
      </c>
      <c r="E14" s="111">
        <v>15</v>
      </c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x14ac:dyDescent="0.5">
      <c r="B15" s="21" t="s">
        <v>106</v>
      </c>
      <c r="C15" s="111">
        <v>21.5</v>
      </c>
      <c r="D15" s="111">
        <v>3.5</v>
      </c>
      <c r="E15" s="111">
        <v>27</v>
      </c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x14ac:dyDescent="0.5">
      <c r="B16" s="21" t="s">
        <v>107</v>
      </c>
      <c r="C16" s="111">
        <v>6.5</v>
      </c>
      <c r="D16" s="111">
        <v>7</v>
      </c>
      <c r="E16" s="111">
        <v>7.8</v>
      </c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x14ac:dyDescent="0.5">
      <c r="C17" s="42"/>
      <c r="D17" s="42"/>
      <c r="E17" s="42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x14ac:dyDescent="0.5">
      <c r="A18" s="122" t="s">
        <v>88</v>
      </c>
      <c r="B18" s="122"/>
      <c r="C18" s="123">
        <f>AVERAGE(C5:C16)</f>
        <v>11.675000000000002</v>
      </c>
      <c r="D18" s="123">
        <f>AVERAGE(D5:D16)</f>
        <v>2.0833333333333335</v>
      </c>
      <c r="E18" s="123">
        <f>AVERAGE(E5:E16)</f>
        <v>13.158333333333337</v>
      </c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x14ac:dyDescent="0.5">
      <c r="A19" s="193" t="s">
        <v>63</v>
      </c>
      <c r="B19" s="193"/>
      <c r="C19" s="214">
        <f>_xlfn.STDEV.S(C5:C16)</f>
        <v>19.200479397424147</v>
      </c>
      <c r="D19" s="214">
        <f>_xlfn.STDEV.S(D5:D16)</f>
        <v>4.974815361276022</v>
      </c>
      <c r="E19" s="214">
        <f>_xlfn.STDEV.S(E5:E16)</f>
        <v>23.181868241181839</v>
      </c>
      <c r="F19" s="150"/>
      <c r="G19" s="150"/>
      <c r="H19" s="150"/>
      <c r="I19" s="150"/>
      <c r="J19" s="150"/>
      <c r="L19" s="150"/>
      <c r="M19" s="150"/>
      <c r="N19" s="150"/>
    </row>
    <row r="20" spans="1:14" x14ac:dyDescent="0.5">
      <c r="A20" s="82" t="s">
        <v>218</v>
      </c>
      <c r="B20" s="82"/>
      <c r="C20" s="210">
        <v>0.3</v>
      </c>
      <c r="D20" s="210">
        <f>1-C20</f>
        <v>0.7</v>
      </c>
      <c r="E20" s="82"/>
      <c r="F20" s="150"/>
      <c r="G20" s="150"/>
      <c r="H20" s="150"/>
      <c r="I20" s="150"/>
      <c r="J20" s="150"/>
      <c r="K20" s="150"/>
      <c r="L20" s="150"/>
      <c r="M20" s="150"/>
      <c r="N20" s="150"/>
    </row>
    <row r="21" spans="1:14" x14ac:dyDescent="0.5">
      <c r="A21" s="195" t="s">
        <v>219</v>
      </c>
      <c r="B21" s="82"/>
      <c r="C21" s="210">
        <v>0.1</v>
      </c>
      <c r="D21" s="210">
        <v>0.5</v>
      </c>
      <c r="E21" s="210">
        <f>+(1-C21-D21)</f>
        <v>0.4</v>
      </c>
      <c r="F21" s="150"/>
      <c r="G21" s="150"/>
      <c r="H21" s="150"/>
      <c r="I21" s="150"/>
      <c r="J21" s="150"/>
      <c r="K21" s="150"/>
      <c r="L21" s="150"/>
      <c r="M21" s="150"/>
      <c r="N21" s="150"/>
    </row>
    <row r="22" spans="1:14" x14ac:dyDescent="0.5">
      <c r="A22" s="173"/>
      <c r="B22" s="173"/>
      <c r="C22" s="192"/>
      <c r="D22" s="192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x14ac:dyDescent="0.5">
      <c r="A23" s="196" t="s">
        <v>55</v>
      </c>
      <c r="B23" s="173"/>
      <c r="C23" s="192"/>
      <c r="D23" s="192"/>
      <c r="E23" s="173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 x14ac:dyDescent="0.5">
      <c r="A24" s="82" t="s">
        <v>212</v>
      </c>
      <c r="B24" s="82"/>
      <c r="C24" s="82"/>
      <c r="D24" s="119"/>
      <c r="E24" s="194">
        <f>CORREL(C5:C16,D5:D16)</f>
        <v>-0.73328228061752887</v>
      </c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14" x14ac:dyDescent="0.5">
      <c r="A25" s="195" t="s">
        <v>216</v>
      </c>
      <c r="B25" s="82"/>
      <c r="C25" s="82"/>
      <c r="D25" s="82"/>
      <c r="E25" s="194">
        <f>CORREL(C5:C16,E5:E16)</f>
        <v>0.98725416130446331</v>
      </c>
    </row>
    <row r="26" spans="1:14" x14ac:dyDescent="0.5">
      <c r="A26" s="195" t="s">
        <v>213</v>
      </c>
      <c r="B26" s="82"/>
      <c r="C26" s="82"/>
      <c r="D26" s="82"/>
      <c r="E26" s="194">
        <f>CORREL(D5:D16,E5:E16)</f>
        <v>-0.73777597705062803</v>
      </c>
      <c r="J26" s="108"/>
    </row>
    <row r="27" spans="1:14" ht="23.7" customHeight="1" x14ac:dyDescent="0.5">
      <c r="H27" s="24"/>
      <c r="L27" s="24"/>
    </row>
    <row r="28" spans="1:14" ht="13.7" customHeight="1" x14ac:dyDescent="0.5">
      <c r="A28" s="106" t="s">
        <v>220</v>
      </c>
      <c r="H28" s="24"/>
      <c r="L28" s="24"/>
    </row>
    <row r="29" spans="1:14" x14ac:dyDescent="0.5">
      <c r="A29" s="82" t="s">
        <v>222</v>
      </c>
      <c r="B29" s="82"/>
      <c r="C29" s="119"/>
      <c r="D29" s="119"/>
      <c r="E29" s="119">
        <f>+(C18*C20)+(D18*D20)</f>
        <v>4.9608333333333343</v>
      </c>
      <c r="H29" s="24"/>
      <c r="L29" s="24"/>
    </row>
    <row r="30" spans="1:14" x14ac:dyDescent="0.5">
      <c r="A30" s="212" t="s">
        <v>221</v>
      </c>
      <c r="B30" s="193"/>
      <c r="C30" s="193"/>
      <c r="D30" s="193"/>
      <c r="E30" s="214">
        <f>SQRT(((C19*C20)^2)+((D19*D20)^2)+(2*C19*C20*D19*D20*E24))</f>
        <v>3.9860266347997899</v>
      </c>
      <c r="H30" s="12"/>
      <c r="L30" s="12"/>
    </row>
    <row r="31" spans="1:14" x14ac:dyDescent="0.5">
      <c r="E31" s="42"/>
      <c r="H31" s="12"/>
      <c r="L31" s="12"/>
    </row>
    <row r="32" spans="1:14" x14ac:dyDescent="0.5">
      <c r="A32" s="211" t="s">
        <v>222</v>
      </c>
      <c r="B32" s="44"/>
      <c r="C32" s="44"/>
      <c r="D32" s="44"/>
      <c r="E32" s="118">
        <f>+(C18*C21)+(D18*D21)+(E18*E21)</f>
        <v>7.4725000000000019</v>
      </c>
      <c r="H32" s="12"/>
      <c r="L32" s="12"/>
    </row>
    <row r="33" spans="1:5" x14ac:dyDescent="0.5">
      <c r="A33" s="212" t="s">
        <v>223</v>
      </c>
      <c r="B33" s="193"/>
      <c r="C33" s="193"/>
      <c r="D33" s="193"/>
      <c r="E33" s="214">
        <f>SQRT(((C19*C21)^2)+((D19*D21)^2)+(2*C19*C21*D19*D21*E24)+(2*C19*C21*E19*E21*E25)+(2*D19*D21*E19*E21*E26))</f>
        <v>1.9975429983614976</v>
      </c>
    </row>
    <row r="35" spans="1:5" x14ac:dyDescent="0.5">
      <c r="E35" t="s">
        <v>187</v>
      </c>
    </row>
  </sheetData>
  <mergeCells count="1">
    <mergeCell ref="C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E D A A B Q S w M E F A A C A A g A q Y q T T c H S d h i n A A A A + A A A A B I A H A B D b 2 5 m a W c v U G F j a 2 F n Z S 5 4 b W w g o h g A K K A U A A A A A A A A A A A A A A A A A A A A A A A A A A A A h Y 9 B D o I w F E S v Q r q n r V U M I Z + y c C u J C d G 4 b U q F R i i G F s v d X H g k r y C J o u 5 c z u R N 8 u Z x u 0 M 2 t k 1 w V b 3 V n U n R A l M U K C O 7 U p s q R Y M 7 h T H K O O y E P I t K B R N s b D J a n a L a u U t C i P c e + y X u + o o w S h f k m G 8 L W a t W h N p Y J 4 x U 6 L M q / 6 8 Q h 8 N L h j O 8 X u G I x R G O Y g Z k r i H X 5 o u w y R h T I D 8 l b I b G D b 3 i y o T 7 A s g c g b x f 8 C d Q S w M E F A A C A A g A q Y q T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m K k 0 2 k 8 3 p 1 q A A A A O 4 A A A A T A B w A R m 9 y b X V s Y X M v U 2 V j d G l v b j E u b S C i G A A o o B Q A A A A A A A A A A A A A A A A A A A A A A A A A A A B t j T E L g z A Q h X c h / y G k i 0 I Q n K V T 6 N q h C h 3 E I d p r F f V S L g m 0 i P + 9 s d l K b 3 n w v X f v W e j d a J B X U Y u S J S y x g y a 4 8 V p 3 M x T 8 y G d w L O H h K u O p h 0 B O r x 7 m X H k i Q H c 1 N H X G T G m 2 N m e 9 w F H E T 9 F u j T L o Q q S V s e A g 1 K D x s Z e / n y B C 0 z e a 1 6 T R 3 g 0 t y s x + w d 2 0 a V y T 6 y o u o 5 2 E 5 C 5 g j n 7 p g D b J A w b n C X + M L W P J i H / n y g 9 Q S w E C L Q A U A A I A C A C p i p N N w d J 2 G K c A A A D 4 A A A A E g A A A A A A A A A A A A A A A A A A A A A A Q 2 9 u Z m l n L 1 B h Y 2 t h Z 2 U u e G 1 s U E s B A i 0 A F A A C A A g A q Y q T T Q / K 6 a u k A A A A 6 Q A A A B M A A A A A A A A A A A A A A A A A 8 w A A A F t D b 2 5 0 Z W 5 0 X 1 R 5 c G V z X S 5 4 b W x Q S w E C L Q A U A A I A C A C p i p N N p P N 6 d a g A A A D u A A A A E w A A A A A A A A A A A A A A A A D k A Q A A R m 9 y b X V s Y X M v U 2 V j d G l v b j E u b V B L B Q Y A A A A A A w A D A M I A A A D Z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M C A A A A A A A A C o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h Y m x l M V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E 5 V D I y O j I x O j E 5 L j Q 4 M T Y 0 M D J a I i A v P j x F b n R y e S B U e X B l P S J G a W x s Q 2 9 s d W 1 u V H l w Z X M i I F Z h b H V l P S J z Q l F V P S I g L z 4 8 R W 5 0 c n k g V H l w Z T 0 i R m l s b E N v b H V t b k 5 h b W V z I i B W Y W x 1 Z T 0 i c 1 s m c X V v d D t S a X N r J n F 1 b 3 Q 7 L C Z x d W 9 0 O 1 J l d H V y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D a G F u Z 2 V k I F R 5 c G U u e 1 J p c 2 s s M H 0 m c X V v d D s s J n F 1 b 3 Q 7 U 2 V j d G l v b j E v V G F i b G U x L 0 N o Y W 5 n Z W Q g V H l w Z S 5 7 U m V 0 d X J u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S 9 D a G F u Z 2 V k I F R 5 c G U u e 1 J p c 2 s s M H 0 m c X V v d D s s J n F 1 b 3 Q 7 U 2 V j d G l v b j E v V G F i b G U x L 0 N o Y W 5 n Z W Q g V H l w Z S 5 7 U m V 0 d X J u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m h g E a 4 8 0 N O s P c j l Y A P H x g A A A A A A g A A A A A A E G Y A A A A B A A A g A A A A B K G 8 x T J e O s 6 w 1 R J k S 0 b U i q C G G z R c p U f 3 P v 4 h z I 5 T A l c A A A A A D o A A A A A C A A A g A A A A A D T o K 8 Q x f 9 X i T B X y J K w E N r X S h W M 4 u D 1 z K d O 3 i r k i u a N Q A A A A Z j b z D R d A L h G w V e H n W Z O W b l L j Z Z 5 A A t k E r Q L 3 2 1 Q U x J L H e H H Y h V 1 4 2 Z C M O M W E i r S c s 1 B J q E F W w a w c 5 P l I 4 l P v 2 e t K X g 8 O X k b f v 6 4 f y Y s f P k x A A A A A s k g X q R K y O X a i r B L / Q 1 L R k 1 U J p 2 b c N M G g s n o U t W P 5 a C + e R a v U I 3 k U w N 0 z D b g m 3 w w g g A S x J E d W r 6 6 J K 5 u u 4 A l 1 g w = = < / D a t a M a s h u p > 
</file>

<file path=customXml/itemProps1.xml><?xml version="1.0" encoding="utf-8"?>
<ds:datastoreItem xmlns:ds="http://schemas.openxmlformats.org/officeDocument/2006/customXml" ds:itemID="{2668E565-6DE6-4E58-82DA-E6AFD052C2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Fig. 2.1</vt:lpstr>
      <vt:lpstr>Fig 2.2</vt:lpstr>
      <vt:lpstr>Fig 2.3</vt:lpstr>
      <vt:lpstr>Fig. 2.4</vt:lpstr>
      <vt:lpstr>Fig. 2.5</vt:lpstr>
      <vt:lpstr>Fig. 2.6</vt:lpstr>
      <vt:lpstr>Fig. 2.7</vt:lpstr>
      <vt:lpstr>Fig. 2.8</vt:lpstr>
      <vt:lpstr>Fig. 2.9</vt:lpstr>
      <vt:lpstr>Fig. 2.10</vt:lpstr>
      <vt:lpstr>Fig. 2.11</vt:lpstr>
      <vt:lpstr>Sheet14</vt:lpstr>
      <vt:lpstr>Sheet5</vt:lpstr>
      <vt:lpstr>Sheet9</vt:lpstr>
      <vt:lpstr>Sheet10</vt:lpstr>
      <vt:lpstr>Sheet2</vt:lpstr>
      <vt:lpstr>Sheet11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2018-12-13T20:08:54Z</dcterms:created>
  <dcterms:modified xsi:type="dcterms:W3CDTF">2019-02-06T19:19:01Z</dcterms:modified>
</cp:coreProperties>
</file>