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 DCF-Private" sheetId="1" r:id="rId1"/>
  </sheets>
  <definedNames>
    <definedName name="_xlnm.Print_Area" localSheetId="0">' DCF-Private'!$B$7:$N$170</definedName>
    <definedName name="_xlnm.Print_Titles" localSheetId="0">' DCF-Private'!$1:$6</definedName>
  </definedNames>
  <calcPr fullCalcOnLoad="1"/>
</workbook>
</file>

<file path=xl/sharedStrings.xml><?xml version="1.0" encoding="utf-8"?>
<sst xmlns="http://schemas.openxmlformats.org/spreadsheetml/2006/main" count="174" uniqueCount="142">
  <si>
    <t xml:space="preserve">  Average Daily Rate (ADR)</t>
  </si>
  <si>
    <t xml:space="preserve">  Available Rooms</t>
  </si>
  <si>
    <t>REVPAR (OR*ADR)</t>
  </si>
  <si>
    <t>Total Rooms Revenues</t>
  </si>
  <si>
    <t>Revenue Assumptions</t>
  </si>
  <si>
    <t>Cost of Room Assumptions</t>
  </si>
  <si>
    <t xml:space="preserve">  % as of Revenue</t>
  </si>
  <si>
    <t xml:space="preserve">  Cost of Room</t>
  </si>
  <si>
    <t>Operating Expense Assumptions</t>
  </si>
  <si>
    <t xml:space="preserve">  Operating Expenses</t>
  </si>
  <si>
    <t>EBITDA</t>
  </si>
  <si>
    <t>Less Taxes</t>
  </si>
  <si>
    <t>Less Taxes (Adjusted for Depreciation)</t>
  </si>
  <si>
    <t>Less Capital Expenditures</t>
  </si>
  <si>
    <t xml:space="preserve">  Free Cash Flow before financing</t>
  </si>
  <si>
    <t>Price Increase</t>
  </si>
  <si>
    <t>Revenues</t>
  </si>
  <si>
    <t>Cost of Rooms</t>
  </si>
  <si>
    <t>Operating Costs</t>
  </si>
  <si>
    <t xml:space="preserve"> EBITDA</t>
  </si>
  <si>
    <t>Less Capex</t>
  </si>
  <si>
    <t>Terminal Value</t>
  </si>
  <si>
    <t xml:space="preserve">  EBITDA Multiple Method</t>
  </si>
  <si>
    <t xml:space="preserve">Transaction Sources &amp; Uses </t>
  </si>
  <si>
    <t>Sources:</t>
  </si>
  <si>
    <t>Bank Loan</t>
  </si>
  <si>
    <t>Corporate Bonds</t>
  </si>
  <si>
    <t>Equity</t>
  </si>
  <si>
    <t xml:space="preserve">  Total Sources</t>
  </si>
  <si>
    <t>Bank Loan Information</t>
  </si>
  <si>
    <t>Interest rate</t>
  </si>
  <si>
    <t>Schedule Payments</t>
  </si>
  <si>
    <t>Amount Outstanding</t>
  </si>
  <si>
    <t>Corporate Bond Information</t>
  </si>
  <si>
    <t>Uses:</t>
  </si>
  <si>
    <t>Fees</t>
  </si>
  <si>
    <t xml:space="preserve">  Total Uses</t>
  </si>
  <si>
    <t xml:space="preserve">  Total Financing Payment</t>
  </si>
  <si>
    <t>Financing Expenses</t>
  </si>
  <si>
    <t>Interest</t>
  </si>
  <si>
    <t>Principal Payments</t>
  </si>
  <si>
    <t>Net Cash Flow</t>
  </si>
  <si>
    <t>Average</t>
  </si>
  <si>
    <t>Debt Outstanding</t>
  </si>
  <si>
    <t>Cash Flow</t>
  </si>
  <si>
    <t>Less Financing</t>
  </si>
  <si>
    <t>Equity Cash Flows</t>
  </si>
  <si>
    <t>IRR=</t>
  </si>
  <si>
    <t>Amount</t>
  </si>
  <si>
    <t>Interest Rate</t>
  </si>
  <si>
    <t>Maturity</t>
  </si>
  <si>
    <t>Interest Payment</t>
  </si>
  <si>
    <t>Term (Years)</t>
  </si>
  <si>
    <t>% Capital</t>
  </si>
  <si>
    <t>WACC</t>
  </si>
  <si>
    <t xml:space="preserve">  Perpetuity Method  (using WACC)</t>
  </si>
  <si>
    <t>Exit Year</t>
  </si>
  <si>
    <t>EBIT</t>
  </si>
  <si>
    <t>EBITDA Multiple</t>
  </si>
  <si>
    <t>Company</t>
  </si>
  <si>
    <t>NPV=</t>
  </si>
  <si>
    <t>at IRR</t>
  </si>
  <si>
    <t>at Expected Equity Return</t>
  </si>
  <si>
    <t>Less Depreciation</t>
  </si>
  <si>
    <t>Plus Depreciation</t>
  </si>
  <si>
    <t xml:space="preserve">  Room Revenue Growth</t>
  </si>
  <si>
    <t>Less Working Capital</t>
  </si>
  <si>
    <t>Available Rooms per Year</t>
  </si>
  <si>
    <t xml:space="preserve">  Assumed Occupancy Rate (OR)</t>
  </si>
  <si>
    <t>Beta</t>
  </si>
  <si>
    <t>Choice Hotels International</t>
  </si>
  <si>
    <t>Felcor Lodging LP</t>
  </si>
  <si>
    <t>Gaylord Entertainment</t>
  </si>
  <si>
    <t>Marcus Corporation</t>
  </si>
  <si>
    <t>Marriott International</t>
  </si>
  <si>
    <t>Orient Express Hotels Ltd</t>
  </si>
  <si>
    <t>Starwood Hotels &amp; Resorts</t>
  </si>
  <si>
    <t>Wyndham International</t>
  </si>
  <si>
    <t>Discout Cash Flow Valuation Analysis</t>
  </si>
  <si>
    <t>EV =</t>
  </si>
  <si>
    <t>PV of Equity + PV of Debt</t>
  </si>
  <si>
    <t>Enteprise Value =</t>
  </si>
  <si>
    <t>Total Debt Outstanding</t>
  </si>
  <si>
    <t>Total Financing</t>
  </si>
  <si>
    <t>PV (1) =</t>
  </si>
  <si>
    <t>PV (2) =</t>
  </si>
  <si>
    <t>PV (3) =</t>
  </si>
  <si>
    <t>PV (4) =</t>
  </si>
  <si>
    <t>PV (5) =</t>
  </si>
  <si>
    <t>PV (6) =</t>
  </si>
  <si>
    <t>Year 1</t>
  </si>
  <si>
    <t>Year 2</t>
  </si>
  <si>
    <t>Year 3</t>
  </si>
  <si>
    <t>Year 4</t>
  </si>
  <si>
    <t>Year 5</t>
  </si>
  <si>
    <t>Entry Year</t>
  </si>
  <si>
    <t>x</t>
  </si>
  <si>
    <t>=</t>
  </si>
  <si>
    <t xml:space="preserve">PV of Equity = </t>
  </si>
  <si>
    <t xml:space="preserve">+ PV of Debt = </t>
  </si>
  <si>
    <t>CORPORATE VALUATIONS - Private Companies</t>
  </si>
  <si>
    <t>Equity Value (TV - Debt)</t>
  </si>
  <si>
    <t>Alpha (Riskless Rate)</t>
  </si>
  <si>
    <t>Beta (Volatility)</t>
  </si>
  <si>
    <t>Equity Premium</t>
  </si>
  <si>
    <t>Cost of Equity</t>
  </si>
  <si>
    <t>Decile</t>
  </si>
  <si>
    <t>Mkt Cap $MM</t>
  </si>
  <si>
    <t>Risk Prem.</t>
  </si>
  <si>
    <t>PV=</t>
  </si>
  <si>
    <t>Initial Investment</t>
  </si>
  <si>
    <t>positive</t>
  </si>
  <si>
    <t>Refinance Debt</t>
  </si>
  <si>
    <t>HISTORICAL PERFORMANCE</t>
  </si>
  <si>
    <t>Year -3</t>
  </si>
  <si>
    <t>Year -2</t>
  </si>
  <si>
    <t>Year -1</t>
  </si>
  <si>
    <t>Purcahse Price of Property</t>
  </si>
  <si>
    <t>Renovation</t>
  </si>
  <si>
    <t>Equity Analysis (DCF)</t>
  </si>
  <si>
    <t>PV Table (using approx. 17.0%)</t>
  </si>
  <si>
    <t xml:space="preserve"> - PV of Cash</t>
  </si>
  <si>
    <t>Cost of Equity Calculation</t>
  </si>
  <si>
    <t>Present Value Tables</t>
  </si>
  <si>
    <t>Years</t>
  </si>
  <si>
    <t>PROJECTIONS</t>
  </si>
  <si>
    <t>Terms</t>
  </si>
  <si>
    <t>Alpha + (Beta * Premium)</t>
  </si>
  <si>
    <t>Cost of Eq =</t>
  </si>
  <si>
    <t>Host Hotels &amp; Resorts</t>
  </si>
  <si>
    <t>Intercontinental Hotels Group</t>
  </si>
  <si>
    <t>LaSalle Hotel Properties</t>
  </si>
  <si>
    <t>Vail Resorts</t>
  </si>
  <si>
    <t>Strategic Hotels &amp; Resorts</t>
  </si>
  <si>
    <t>Hotel &amp; REIT Sector Beta Calculation</t>
  </si>
  <si>
    <t>Red Lion Resort</t>
  </si>
  <si>
    <t>Approx.</t>
  </si>
  <si>
    <t>Equity Risk Premiums (1926-2007)</t>
  </si>
  <si>
    <t>Interest /Return</t>
  </si>
  <si>
    <t>After Tax Interest</t>
  </si>
  <si>
    <t>Tax rate=</t>
  </si>
  <si>
    <t>STANLEY HOTEL RESORT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</si>
</sst>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0.0\x"/>
    <numFmt numFmtId="183" formatCode="_(&quot;$&quot;* #,##0.0_);_(&quot;$&quot;* \(#,##0.0\);_(&quot;$&quot;* &quot;-&quot;??_);_(@_)"/>
    <numFmt numFmtId="184" formatCode="0.000%"/>
    <numFmt numFmtId="185" formatCode="0.0000%"/>
    <numFmt numFmtId="186" formatCode="&quot;$&quot;#,##0.0_);[Red]\(&quot;$&quot;#,##0.0\)"/>
    <numFmt numFmtId="187" formatCode="_(* #,##0.0000000_);_(* \(#,##0.0000000\);_(* &quot;-&quot;???????_);_(@_)"/>
    <numFmt numFmtId="188" formatCode="0.00\x"/>
    <numFmt numFmtId="189" formatCode="General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\x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8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22" applyNumberFormat="1" applyAlignment="1">
      <alignment/>
    </xf>
    <xf numFmtId="175" fontId="0" fillId="0" borderId="0" xfId="15" applyNumberFormat="1" applyAlignment="1">
      <alignment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22" applyNumberFormat="1" applyBorder="1" applyAlignment="1">
      <alignment/>
    </xf>
    <xf numFmtId="175" fontId="0" fillId="0" borderId="2" xfId="15" applyNumberFormat="1" applyBorder="1" applyAlignment="1">
      <alignment/>
    </xf>
    <xf numFmtId="44" fontId="0" fillId="0" borderId="2" xfId="0" applyNumberForma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5" fontId="0" fillId="0" borderId="5" xfId="0" applyNumberFormat="1" applyBorder="1" applyAlignment="1">
      <alignment/>
    </xf>
    <xf numFmtId="175" fontId="0" fillId="0" borderId="6" xfId="15" applyNumberFormat="1" applyFont="1" applyBorder="1" applyAlignment="1">
      <alignment/>
    </xf>
    <xf numFmtId="175" fontId="0" fillId="0" borderId="5" xfId="15" applyNumberFormat="1" applyFont="1" applyBorder="1" applyAlignment="1">
      <alignment/>
    </xf>
    <xf numFmtId="175" fontId="0" fillId="0" borderId="6" xfId="15" applyNumberFormat="1" applyBorder="1" applyAlignment="1">
      <alignment/>
    </xf>
    <xf numFmtId="175" fontId="0" fillId="0" borderId="5" xfId="15" applyNumberFormat="1" applyBorder="1" applyAlignment="1">
      <alignment/>
    </xf>
    <xf numFmtId="17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2" fontId="0" fillId="0" borderId="0" xfId="22" applyNumberFormat="1" applyBorder="1" applyAlignment="1">
      <alignment/>
    </xf>
    <xf numFmtId="175" fontId="0" fillId="0" borderId="0" xfId="0" applyNumberFormat="1" applyBorder="1" applyAlignment="1">
      <alignment/>
    </xf>
    <xf numFmtId="44" fontId="0" fillId="0" borderId="2" xfId="17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0" fontId="2" fillId="0" borderId="0" xfId="22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10" fontId="0" fillId="0" borderId="0" xfId="0" applyNumberFormat="1" applyBorder="1" applyAlignment="1">
      <alignment/>
    </xf>
    <xf numFmtId="184" fontId="0" fillId="0" borderId="0" xfId="22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 horizontal="right"/>
    </xf>
    <xf numFmtId="6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79" fontId="2" fillId="0" borderId="0" xfId="15" applyNumberFormat="1" applyFont="1" applyBorder="1" applyAlignment="1">
      <alignment horizontal="center"/>
    </xf>
    <xf numFmtId="175" fontId="2" fillId="0" borderId="5" xfId="0" applyNumberFormat="1" applyFont="1" applyBorder="1" applyAlignment="1">
      <alignment/>
    </xf>
    <xf numFmtId="175" fontId="2" fillId="0" borderId="6" xfId="0" applyNumberFormat="1" applyFont="1" applyBorder="1" applyAlignment="1">
      <alignment/>
    </xf>
    <xf numFmtId="6" fontId="2" fillId="0" borderId="5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6" fontId="2" fillId="0" borderId="13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75" fontId="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75" fontId="2" fillId="0" borderId="0" xfId="0" applyNumberFormat="1" applyFont="1" applyBorder="1" applyAlignment="1">
      <alignment/>
    </xf>
    <xf numFmtId="175" fontId="2" fillId="0" borderId="5" xfId="15" applyNumberFormat="1" applyFont="1" applyBorder="1" applyAlignment="1">
      <alignment/>
    </xf>
    <xf numFmtId="175" fontId="0" fillId="0" borderId="14" xfId="0" applyNumberFormat="1" applyBorder="1" applyAlignment="1">
      <alignment/>
    </xf>
    <xf numFmtId="175" fontId="8" fillId="0" borderId="0" xfId="15" applyNumberFormat="1" applyFont="1" applyBorder="1" applyAlignment="1">
      <alignment/>
    </xf>
    <xf numFmtId="175" fontId="0" fillId="0" borderId="1" xfId="15" applyNumberFormat="1" applyBorder="1" applyAlignment="1">
      <alignment/>
    </xf>
    <xf numFmtId="172" fontId="0" fillId="0" borderId="1" xfId="22" applyNumberFormat="1" applyBorder="1" applyAlignment="1">
      <alignment/>
    </xf>
    <xf numFmtId="10" fontId="0" fillId="0" borderId="1" xfId="0" applyNumberFormat="1" applyBorder="1" applyAlignment="1">
      <alignment/>
    </xf>
    <xf numFmtId="184" fontId="0" fillId="0" borderId="1" xfId="22" applyNumberFormat="1" applyBorder="1" applyAlignment="1">
      <alignment/>
    </xf>
    <xf numFmtId="10" fontId="0" fillId="0" borderId="8" xfId="0" applyNumberFormat="1" applyBorder="1" applyAlignment="1">
      <alignment/>
    </xf>
    <xf numFmtId="188" fontId="0" fillId="0" borderId="8" xfId="0" applyNumberFormat="1" applyBorder="1" applyAlignment="1">
      <alignment/>
    </xf>
    <xf numFmtId="184" fontId="0" fillId="0" borderId="5" xfId="22" applyNumberFormat="1" applyFont="1" applyBorder="1" applyAlignment="1">
      <alignment/>
    </xf>
    <xf numFmtId="0" fontId="13" fillId="0" borderId="0" xfId="0" applyFont="1" applyAlignment="1">
      <alignment/>
    </xf>
    <xf numFmtId="175" fontId="7" fillId="0" borderId="0" xfId="15" applyNumberFormat="1" applyFont="1" applyBorder="1" applyAlignment="1">
      <alignment/>
    </xf>
    <xf numFmtId="179" fontId="2" fillId="0" borderId="15" xfId="15" applyNumberFormat="1" applyFont="1" applyBorder="1" applyAlignment="1">
      <alignment horizontal="center"/>
    </xf>
    <xf numFmtId="189" fontId="8" fillId="0" borderId="0" xfId="21" applyFont="1" applyBorder="1">
      <alignment/>
      <protection/>
    </xf>
    <xf numFmtId="10" fontId="8" fillId="0" borderId="0" xfId="22" applyNumberFormat="1" applyFont="1" applyBorder="1" applyAlignment="1">
      <alignment/>
    </xf>
    <xf numFmtId="172" fontId="2" fillId="0" borderId="16" xfId="22" applyNumberFormat="1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172" fontId="14" fillId="0" borderId="2" xfId="22" applyNumberFormat="1" applyFont="1" applyBorder="1" applyAlignment="1">
      <alignment/>
    </xf>
    <xf numFmtId="175" fontId="0" fillId="0" borderId="0" xfId="15" applyNumberFormat="1" applyFont="1" applyAlignment="1">
      <alignment/>
    </xf>
    <xf numFmtId="9" fontId="0" fillId="0" borderId="0" xfId="22" applyFont="1" applyAlignment="1">
      <alignment/>
    </xf>
    <xf numFmtId="9" fontId="15" fillId="0" borderId="0" xfId="22" applyFont="1" applyAlignment="1">
      <alignment/>
    </xf>
    <xf numFmtId="10" fontId="15" fillId="0" borderId="0" xfId="22" applyNumberFormat="1" applyFont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" fillId="2" borderId="2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21" xfId="0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189" fontId="9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75" fontId="8" fillId="0" borderId="0" xfId="15" applyNumberFormat="1" applyFont="1" applyFill="1" applyBorder="1" applyAlignment="1">
      <alignment/>
    </xf>
    <xf numFmtId="175" fontId="9" fillId="0" borderId="0" xfId="15" applyNumberFormat="1" applyFont="1" applyFill="1" applyBorder="1" applyAlignment="1">
      <alignment/>
    </xf>
    <xf numFmtId="188" fontId="9" fillId="0" borderId="0" xfId="15" applyNumberFormat="1" applyFont="1" applyFill="1" applyBorder="1" applyAlignment="1">
      <alignment/>
    </xf>
    <xf numFmtId="175" fontId="0" fillId="0" borderId="0" xfId="15" applyNumberForma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4" fontId="8" fillId="0" borderId="9" xfId="17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2" xfId="0" applyFont="1" applyBorder="1" applyAlignment="1">
      <alignment/>
    </xf>
    <xf numFmtId="44" fontId="8" fillId="0" borderId="22" xfId="17" applyFont="1" applyBorder="1" applyAlignment="1">
      <alignment/>
    </xf>
    <xf numFmtId="44" fontId="8" fillId="0" borderId="22" xfId="17" applyFont="1" applyFill="1" applyBorder="1" applyAlignment="1">
      <alignment/>
    </xf>
    <xf numFmtId="0" fontId="6" fillId="0" borderId="20" xfId="0" applyFont="1" applyBorder="1" applyAlignment="1">
      <alignment horizontal="left" vertical="center"/>
    </xf>
    <xf numFmtId="188" fontId="8" fillId="0" borderId="26" xfId="15" applyNumberFormat="1" applyFont="1" applyBorder="1" applyAlignment="1">
      <alignment horizontal="center"/>
    </xf>
    <xf numFmtId="188" fontId="8" fillId="0" borderId="27" xfId="15" applyNumberFormat="1" applyFont="1" applyBorder="1" applyAlignment="1">
      <alignment horizontal="center"/>
    </xf>
    <xf numFmtId="188" fontId="8" fillId="0" borderId="10" xfId="15" applyNumberFormat="1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73" fontId="2" fillId="2" borderId="13" xfId="15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 quotePrefix="1">
      <alignment horizontal="center"/>
    </xf>
    <xf numFmtId="0" fontId="2" fillId="2" borderId="9" xfId="0" applyFont="1" applyFill="1" applyBorder="1" applyAlignment="1">
      <alignment horizontal="center" wrapText="1"/>
    </xf>
    <xf numFmtId="175" fontId="2" fillId="0" borderId="0" xfId="15" applyNumberFormat="1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175" fontId="0" fillId="0" borderId="8" xfId="15" applyNumberFormat="1" applyBorder="1" applyAlignment="1">
      <alignment/>
    </xf>
    <xf numFmtId="189" fontId="8" fillId="0" borderId="7" xfId="21" applyFont="1" applyBorder="1">
      <alignment/>
      <protection/>
    </xf>
    <xf numFmtId="175" fontId="0" fillId="0" borderId="7" xfId="15" applyNumberFormat="1" applyBorder="1" applyAlignment="1">
      <alignment/>
    </xf>
    <xf numFmtId="10" fontId="8" fillId="0" borderId="8" xfId="22" applyNumberFormat="1" applyFont="1" applyBorder="1" applyAlignment="1">
      <alignment/>
    </xf>
    <xf numFmtId="189" fontId="8" fillId="0" borderId="20" xfId="21" applyFont="1" applyBorder="1">
      <alignment/>
      <protection/>
    </xf>
    <xf numFmtId="175" fontId="8" fillId="0" borderId="9" xfId="15" applyNumberFormat="1" applyFont="1" applyBorder="1" applyAlignment="1">
      <alignment/>
    </xf>
    <xf numFmtId="10" fontId="8" fillId="0" borderId="9" xfId="22" applyNumberFormat="1" applyFont="1" applyBorder="1" applyAlignment="1">
      <alignment/>
    </xf>
    <xf numFmtId="175" fontId="0" fillId="0" borderId="9" xfId="15" applyNumberFormat="1" applyBorder="1" applyAlignment="1">
      <alignment/>
    </xf>
    <xf numFmtId="0" fontId="4" fillId="0" borderId="7" xfId="0" applyFont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175" fontId="0" fillId="0" borderId="7" xfId="15" applyNumberFormat="1" applyFont="1" applyBorder="1" applyAlignment="1">
      <alignment/>
    </xf>
    <xf numFmtId="175" fontId="0" fillId="0" borderId="20" xfId="15" applyNumberFormat="1" applyBorder="1" applyAlignment="1">
      <alignment/>
    </xf>
    <xf numFmtId="0" fontId="2" fillId="3" borderId="0" xfId="0" applyFont="1" applyFill="1" applyAlignment="1">
      <alignment horizontal="centerContinuous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5" fontId="9" fillId="0" borderId="0" xfId="15" applyNumberFormat="1" applyFont="1" applyBorder="1" applyAlignment="1">
      <alignment/>
    </xf>
    <xf numFmtId="188" fontId="9" fillId="0" borderId="0" xfId="15" applyNumberFormat="1" applyFon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0" fontId="0" fillId="0" borderId="29" xfId="15" applyNumberFormat="1" applyBorder="1" applyAlignment="1">
      <alignment horizontal="center"/>
    </xf>
    <xf numFmtId="194" fontId="0" fillId="0" borderId="30" xfId="15" applyNumberFormat="1" applyBorder="1" applyAlignment="1">
      <alignment horizontal="center"/>
    </xf>
    <xf numFmtId="194" fontId="0" fillId="0" borderId="31" xfId="15" applyNumberFormat="1" applyBorder="1" applyAlignment="1">
      <alignment horizontal="center"/>
    </xf>
    <xf numFmtId="194" fontId="0" fillId="0" borderId="27" xfId="15" applyNumberFormat="1" applyBorder="1" applyAlignment="1">
      <alignment horizontal="center"/>
    </xf>
    <xf numFmtId="194" fontId="0" fillId="0" borderId="32" xfId="15" applyNumberFormat="1" applyBorder="1" applyAlignment="1">
      <alignment horizontal="center"/>
    </xf>
    <xf numFmtId="0" fontId="2" fillId="3" borderId="0" xfId="0" applyFont="1" applyFill="1" applyAlignment="1">
      <alignment horizontal="centerContinuous" vertical="center"/>
    </xf>
    <xf numFmtId="175" fontId="0" fillId="0" borderId="4" xfId="15" applyNumberFormat="1" applyBorder="1" applyAlignment="1">
      <alignment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wrapText="1"/>
    </xf>
    <xf numFmtId="9" fontId="2" fillId="2" borderId="34" xfId="0" applyNumberFormat="1" applyFont="1" applyFill="1" applyBorder="1" applyAlignment="1">
      <alignment horizontal="center"/>
    </xf>
    <xf numFmtId="9" fontId="2" fillId="2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Continuous" vertical="distributed"/>
    </xf>
    <xf numFmtId="0" fontId="2" fillId="4" borderId="9" xfId="0" applyFont="1" applyFill="1" applyBorder="1" applyAlignment="1">
      <alignment horizontal="centerContinuous" vertical="distributed"/>
    </xf>
    <xf numFmtId="175" fontId="2" fillId="4" borderId="10" xfId="15" applyNumberFormat="1" applyFont="1" applyFill="1" applyBorder="1" applyAlignment="1">
      <alignment horizontal="centerContinuous" vertical="distributed"/>
    </xf>
    <xf numFmtId="0" fontId="2" fillId="4" borderId="0" xfId="0" applyFont="1" applyFill="1" applyBorder="1" applyAlignment="1" quotePrefix="1">
      <alignment horizontal="centerContinuous" vertical="distributed"/>
    </xf>
    <xf numFmtId="0" fontId="2" fillId="4" borderId="7" xfId="0" applyFont="1" applyFill="1" applyBorder="1" applyAlignment="1">
      <alignment horizontal="centerContinuous" vertical="distributed"/>
    </xf>
    <xf numFmtId="175" fontId="2" fillId="4" borderId="8" xfId="15" applyNumberFormat="1" applyFont="1" applyFill="1" applyBorder="1" applyAlignment="1">
      <alignment horizontal="centerContinuous" vertical="distributed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175" fontId="0" fillId="4" borderId="37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3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89" fontId="9" fillId="2" borderId="35" xfId="21" applyFont="1" applyFill="1" applyBorder="1" applyAlignment="1">
      <alignment horizontal="center"/>
      <protection/>
    </xf>
    <xf numFmtId="189" fontId="9" fillId="2" borderId="36" xfId="21" applyFont="1" applyFill="1" applyBorder="1" applyAlignment="1">
      <alignment horizontal="center"/>
      <protection/>
    </xf>
    <xf numFmtId="175" fontId="0" fillId="2" borderId="37" xfId="15" applyNumberFormat="1" applyFill="1" applyBorder="1" applyAlignment="1">
      <alignment/>
    </xf>
    <xf numFmtId="0" fontId="2" fillId="2" borderId="20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189" fontId="9" fillId="2" borderId="35" xfId="21" applyFont="1" applyFill="1" applyBorder="1" applyAlignment="1">
      <alignment horizontal="centerContinuous"/>
      <protection/>
    </xf>
    <xf numFmtId="189" fontId="9" fillId="2" borderId="36" xfId="21" applyFont="1" applyFill="1" applyBorder="1" applyAlignment="1">
      <alignment horizontal="centerContinuous"/>
      <protection/>
    </xf>
    <xf numFmtId="189" fontId="9" fillId="2" borderId="37" xfId="21" applyFont="1" applyFill="1" applyBorder="1" applyAlignment="1">
      <alignment horizontal="centerContinuous"/>
      <protection/>
    </xf>
    <xf numFmtId="172" fontId="8" fillId="2" borderId="10" xfId="21" applyNumberFormat="1" applyFont="1" applyFill="1" applyBorder="1" applyAlignment="1" applyProtection="1">
      <alignment horizontal="center"/>
      <protection/>
    </xf>
    <xf numFmtId="10" fontId="9" fillId="3" borderId="10" xfId="22" applyNumberFormat="1" applyFont="1" applyFill="1" applyBorder="1" applyAlignment="1">
      <alignment/>
    </xf>
    <xf numFmtId="44" fontId="8" fillId="0" borderId="1" xfId="17" applyFont="1" applyFill="1" applyBorder="1" applyAlignment="1">
      <alignment/>
    </xf>
    <xf numFmtId="175" fontId="0" fillId="0" borderId="0" xfId="15" applyNumberFormat="1" applyFont="1" applyBorder="1" applyAlignment="1">
      <alignment horizontal="right"/>
    </xf>
    <xf numFmtId="175" fontId="2" fillId="3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6" fontId="2" fillId="3" borderId="5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6" fontId="2" fillId="0" borderId="22" xfId="15" applyNumberFormat="1" applyFont="1" applyBorder="1" applyAlignment="1">
      <alignment horizontal="center"/>
    </xf>
    <xf numFmtId="195" fontId="0" fillId="0" borderId="8" xfId="0" applyNumberFormat="1" applyBorder="1" applyAlignment="1">
      <alignment horizontal="center"/>
    </xf>
    <xf numFmtId="195" fontId="0" fillId="0" borderId="26" xfId="0" applyNumberFormat="1" applyBorder="1" applyAlignment="1">
      <alignment horizont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0" fillId="3" borderId="11" xfId="0" applyFill="1" applyBorder="1" applyAlignment="1">
      <alignment horizontal="centerContinuous" vertical="center"/>
    </xf>
    <xf numFmtId="0" fontId="0" fillId="3" borderId="13" xfId="0" applyFill="1" applyBorder="1" applyAlignment="1">
      <alignment horizontal="centerContinuous" vertical="center"/>
    </xf>
    <xf numFmtId="0" fontId="2" fillId="3" borderId="35" xfId="0" applyFont="1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0" fontId="0" fillId="3" borderId="37" xfId="0" applyFill="1" applyBorder="1" applyAlignment="1">
      <alignment horizontal="centerContinuous" vertical="center"/>
    </xf>
    <xf numFmtId="175" fontId="2" fillId="3" borderId="12" xfId="15" applyNumberFormat="1" applyFont="1" applyFill="1" applyBorder="1" applyAlignment="1">
      <alignment horizontal="centerContinuous" vertical="center"/>
    </xf>
    <xf numFmtId="175" fontId="0" fillId="3" borderId="11" xfId="15" applyNumberFormat="1" applyFill="1" applyBorder="1" applyAlignment="1">
      <alignment horizontal="centerContinuous" vertical="center"/>
    </xf>
    <xf numFmtId="175" fontId="0" fillId="3" borderId="36" xfId="15" applyNumberFormat="1" applyFill="1" applyBorder="1" applyAlignment="1">
      <alignment horizontal="centerContinuous" vertical="center"/>
    </xf>
    <xf numFmtId="175" fontId="0" fillId="3" borderId="37" xfId="15" applyNumberForma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10" fontId="8" fillId="3" borderId="11" xfId="22" applyNumberFormat="1" applyFont="1" applyFill="1" applyBorder="1" applyAlignment="1">
      <alignment horizontal="centerContinuous" vertical="center"/>
    </xf>
    <xf numFmtId="175" fontId="9" fillId="3" borderId="20" xfId="15" applyNumberFormat="1" applyFont="1" applyFill="1" applyBorder="1" applyAlignment="1">
      <alignment/>
    </xf>
    <xf numFmtId="175" fontId="2" fillId="3" borderId="9" xfId="15" applyNumberFormat="1" applyFont="1" applyFill="1" applyBorder="1" applyAlignment="1">
      <alignment/>
    </xf>
    <xf numFmtId="188" fontId="9" fillId="3" borderId="10" xfId="15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0" fontId="0" fillId="3" borderId="9" xfId="0" applyFill="1" applyBorder="1" applyAlignment="1">
      <alignment/>
    </xf>
    <xf numFmtId="194" fontId="0" fillId="4" borderId="30" xfId="15" applyNumberFormat="1" applyFill="1" applyBorder="1" applyAlignment="1">
      <alignment horizontal="center"/>
    </xf>
    <xf numFmtId="194" fontId="0" fillId="4" borderId="31" xfId="15" applyNumberFormat="1" applyFill="1" applyBorder="1" applyAlignment="1">
      <alignment horizontal="center"/>
    </xf>
    <xf numFmtId="172" fontId="0" fillId="4" borderId="2" xfId="0" applyNumberFormat="1" applyFill="1" applyBorder="1" applyAlignment="1">
      <alignment/>
    </xf>
    <xf numFmtId="10" fontId="2" fillId="4" borderId="0" xfId="22" applyNumberFormat="1" applyFont="1" applyFill="1" applyBorder="1" applyAlignment="1">
      <alignment/>
    </xf>
    <xf numFmtId="195" fontId="0" fillId="4" borderId="2" xfId="0" applyNumberFormat="1" applyFill="1" applyBorder="1" applyAlignment="1">
      <alignment/>
    </xf>
    <xf numFmtId="195" fontId="2" fillId="4" borderId="39" xfId="0" applyNumberFormat="1" applyFont="1" applyFill="1" applyBorder="1" applyAlignment="1">
      <alignment horizontal="center"/>
    </xf>
    <xf numFmtId="172" fontId="2" fillId="4" borderId="16" xfId="22" applyNumberFormat="1" applyFont="1" applyFill="1" applyBorder="1" applyAlignment="1">
      <alignment horizontal="center"/>
    </xf>
    <xf numFmtId="9" fontId="2" fillId="4" borderId="34" xfId="0" applyNumberFormat="1" applyFont="1" applyFill="1" applyBorder="1" applyAlignment="1">
      <alignment horizontal="center"/>
    </xf>
    <xf numFmtId="172" fontId="2" fillId="0" borderId="5" xfId="22" applyNumberFormat="1" applyFont="1" applyBorder="1" applyAlignment="1">
      <alignment/>
    </xf>
    <xf numFmtId="10" fontId="8" fillId="0" borderId="19" xfId="22" applyNumberFormat="1" applyFont="1" applyBorder="1" applyAlignment="1">
      <alignment/>
    </xf>
    <xf numFmtId="10" fontId="8" fillId="0" borderId="26" xfId="22" applyNumberFormat="1" applyFont="1" applyBorder="1" applyAlignment="1">
      <alignment/>
    </xf>
    <xf numFmtId="10" fontId="8" fillId="0" borderId="27" xfId="22" applyNumberFormat="1" applyFont="1" applyBorder="1" applyAlignment="1">
      <alignment/>
    </xf>
    <xf numFmtId="0" fontId="8" fillId="0" borderId="17" xfId="21" applyNumberFormat="1" applyFont="1" applyBorder="1" applyAlignment="1">
      <alignment horizontal="center"/>
      <protection/>
    </xf>
    <xf numFmtId="0" fontId="8" fillId="0" borderId="24" xfId="21" applyNumberFormat="1" applyFont="1" applyBorder="1" applyAlignment="1">
      <alignment horizontal="center"/>
      <protection/>
    </xf>
    <xf numFmtId="0" fontId="8" fillId="0" borderId="25" xfId="21" applyNumberFormat="1" applyFont="1" applyBorder="1" applyAlignment="1">
      <alignment horizontal="center"/>
      <protection/>
    </xf>
    <xf numFmtId="0" fontId="9" fillId="3" borderId="20" xfId="21" applyNumberFormat="1" applyFont="1" applyFill="1" applyBorder="1" applyAlignment="1">
      <alignment horizontal="center"/>
      <protection/>
    </xf>
    <xf numFmtId="189" fontId="8" fillId="2" borderId="20" xfId="21" applyFont="1" applyFill="1" applyBorder="1" applyAlignment="1">
      <alignment horizontal="center"/>
      <protection/>
    </xf>
    <xf numFmtId="189" fontId="8" fillId="2" borderId="9" xfId="21" applyFont="1" applyFill="1" applyBorder="1" applyAlignment="1">
      <alignment horizontal="center"/>
      <protection/>
    </xf>
    <xf numFmtId="175" fontId="8" fillId="0" borderId="18" xfId="15" applyNumberFormat="1" applyFont="1" applyBorder="1" applyAlignment="1">
      <alignment horizontal="center"/>
    </xf>
    <xf numFmtId="175" fontId="8" fillId="0" borderId="1" xfId="15" applyNumberFormat="1" applyFont="1" applyBorder="1" applyAlignment="1">
      <alignment horizontal="center"/>
    </xf>
    <xf numFmtId="175" fontId="8" fillId="0" borderId="22" xfId="15" applyNumberFormat="1" applyFont="1" applyBorder="1" applyAlignment="1">
      <alignment horizontal="center"/>
    </xf>
    <xf numFmtId="175" fontId="9" fillId="3" borderId="9" xfId="15" applyNumberFormat="1" applyFont="1" applyFill="1" applyBorder="1" applyAlignment="1">
      <alignment horizontal="center"/>
    </xf>
    <xf numFmtId="10" fontId="14" fillId="0" borderId="8" xfId="0" applyNumberFormat="1" applyFont="1" applyBorder="1" applyAlignment="1">
      <alignment/>
    </xf>
    <xf numFmtId="9" fontId="2" fillId="0" borderId="0" xfId="22" applyFont="1" applyBorder="1" applyAlignment="1">
      <alignment horizontal="center"/>
    </xf>
    <xf numFmtId="175" fontId="2" fillId="0" borderId="0" xfId="15" applyNumberFormat="1" applyFont="1" applyBorder="1" applyAlignment="1">
      <alignment horizontal="right"/>
    </xf>
    <xf numFmtId="175" fontId="14" fillId="0" borderId="0" xfId="15" applyNumberFormat="1" applyFont="1" applyAlignment="1">
      <alignment/>
    </xf>
    <xf numFmtId="175" fontId="14" fillId="0" borderId="2" xfId="15" applyNumberFormat="1" applyFont="1" applyBorder="1" applyAlignment="1">
      <alignment/>
    </xf>
    <xf numFmtId="10" fontId="2" fillId="3" borderId="16" xfId="22" applyNumberFormat="1" applyFont="1" applyFill="1" applyBorder="1" applyAlignment="1">
      <alignment/>
    </xf>
    <xf numFmtId="175" fontId="14" fillId="0" borderId="0" xfId="15" applyNumberFormat="1" applyFont="1" applyBorder="1" applyAlignment="1">
      <alignment/>
    </xf>
    <xf numFmtId="175" fontId="0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stens Mgt C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149</xdr:row>
      <xdr:rowOff>9525</xdr:rowOff>
    </xdr:from>
    <xdr:to>
      <xdr:col>8</xdr:col>
      <xdr:colOff>400050</xdr:colOff>
      <xdr:row>151</xdr:row>
      <xdr:rowOff>95250</xdr:rowOff>
    </xdr:to>
    <xdr:sp>
      <xdr:nvSpPr>
        <xdr:cNvPr id="1" name="Line 2"/>
        <xdr:cNvSpPr>
          <a:spLocks/>
        </xdr:cNvSpPr>
      </xdr:nvSpPr>
      <xdr:spPr>
        <a:xfrm>
          <a:off x="7896225" y="24507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149</xdr:row>
      <xdr:rowOff>19050</xdr:rowOff>
    </xdr:from>
    <xdr:to>
      <xdr:col>9</xdr:col>
      <xdr:colOff>352425</xdr:colOff>
      <xdr:row>152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8639175" y="24517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149</xdr:row>
      <xdr:rowOff>19050</xdr:rowOff>
    </xdr:from>
    <xdr:to>
      <xdr:col>10</xdr:col>
      <xdr:colOff>400050</xdr:colOff>
      <xdr:row>153</xdr:row>
      <xdr:rowOff>76200</xdr:rowOff>
    </xdr:to>
    <xdr:sp>
      <xdr:nvSpPr>
        <xdr:cNvPr id="3" name="Line 5"/>
        <xdr:cNvSpPr>
          <a:spLocks/>
        </xdr:cNvSpPr>
      </xdr:nvSpPr>
      <xdr:spPr>
        <a:xfrm>
          <a:off x="9477375" y="245173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149</xdr:row>
      <xdr:rowOff>38100</xdr:rowOff>
    </xdr:from>
    <xdr:to>
      <xdr:col>11</xdr:col>
      <xdr:colOff>400050</xdr:colOff>
      <xdr:row>154</xdr:row>
      <xdr:rowOff>95250</xdr:rowOff>
    </xdr:to>
    <xdr:sp>
      <xdr:nvSpPr>
        <xdr:cNvPr id="4" name="Line 6"/>
        <xdr:cNvSpPr>
          <a:spLocks/>
        </xdr:cNvSpPr>
      </xdr:nvSpPr>
      <xdr:spPr>
        <a:xfrm>
          <a:off x="10248900" y="24536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149</xdr:row>
      <xdr:rowOff>66675</xdr:rowOff>
    </xdr:from>
    <xdr:to>
      <xdr:col>12</xdr:col>
      <xdr:colOff>457200</xdr:colOff>
      <xdr:row>155</xdr:row>
      <xdr:rowOff>95250</xdr:rowOff>
    </xdr:to>
    <xdr:sp>
      <xdr:nvSpPr>
        <xdr:cNvPr id="5" name="Line 7"/>
        <xdr:cNvSpPr>
          <a:spLocks/>
        </xdr:cNvSpPr>
      </xdr:nvSpPr>
      <xdr:spPr>
        <a:xfrm>
          <a:off x="11077575" y="24564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150</xdr:row>
      <xdr:rowOff>57150</xdr:rowOff>
    </xdr:from>
    <xdr:to>
      <xdr:col>7</xdr:col>
      <xdr:colOff>476250</xdr:colOff>
      <xdr:row>150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6629400" y="24717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151</xdr:row>
      <xdr:rowOff>95250</xdr:rowOff>
    </xdr:from>
    <xdr:to>
      <xdr:col>8</xdr:col>
      <xdr:colOff>400050</xdr:colOff>
      <xdr:row>151</xdr:row>
      <xdr:rowOff>95250</xdr:rowOff>
    </xdr:to>
    <xdr:sp>
      <xdr:nvSpPr>
        <xdr:cNvPr id="7" name="Line 9"/>
        <xdr:cNvSpPr>
          <a:spLocks/>
        </xdr:cNvSpPr>
      </xdr:nvSpPr>
      <xdr:spPr>
        <a:xfrm flipH="1">
          <a:off x="6629400" y="24917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95250</xdr:rowOff>
    </xdr:from>
    <xdr:to>
      <xdr:col>9</xdr:col>
      <xdr:colOff>352425</xdr:colOff>
      <xdr:row>152</xdr:row>
      <xdr:rowOff>95250</xdr:rowOff>
    </xdr:to>
    <xdr:sp>
      <xdr:nvSpPr>
        <xdr:cNvPr id="8" name="Line 10"/>
        <xdr:cNvSpPr>
          <a:spLocks/>
        </xdr:cNvSpPr>
      </xdr:nvSpPr>
      <xdr:spPr>
        <a:xfrm flipH="1">
          <a:off x="6629400" y="250793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153</xdr:row>
      <xdr:rowOff>66675</xdr:rowOff>
    </xdr:from>
    <xdr:to>
      <xdr:col>10</xdr:col>
      <xdr:colOff>400050</xdr:colOff>
      <xdr:row>153</xdr:row>
      <xdr:rowOff>66675</xdr:rowOff>
    </xdr:to>
    <xdr:sp>
      <xdr:nvSpPr>
        <xdr:cNvPr id="9" name="Line 11"/>
        <xdr:cNvSpPr>
          <a:spLocks/>
        </xdr:cNvSpPr>
      </xdr:nvSpPr>
      <xdr:spPr>
        <a:xfrm flipH="1">
          <a:off x="6629400" y="252126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154</xdr:row>
      <xdr:rowOff>85725</xdr:rowOff>
    </xdr:from>
    <xdr:to>
      <xdr:col>11</xdr:col>
      <xdr:colOff>409575</xdr:colOff>
      <xdr:row>154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6629400" y="253936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149</xdr:row>
      <xdr:rowOff>0</xdr:rowOff>
    </xdr:from>
    <xdr:to>
      <xdr:col>7</xdr:col>
      <xdr:colOff>466725</xdr:colOff>
      <xdr:row>150</xdr:row>
      <xdr:rowOff>57150</xdr:rowOff>
    </xdr:to>
    <xdr:sp>
      <xdr:nvSpPr>
        <xdr:cNvPr id="11" name="Line 16"/>
        <xdr:cNvSpPr>
          <a:spLocks/>
        </xdr:cNvSpPr>
      </xdr:nvSpPr>
      <xdr:spPr>
        <a:xfrm>
          <a:off x="7096125" y="24498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155</xdr:row>
      <xdr:rowOff>85725</xdr:rowOff>
    </xdr:from>
    <xdr:to>
      <xdr:col>12</xdr:col>
      <xdr:colOff>466725</xdr:colOff>
      <xdr:row>155</xdr:row>
      <xdr:rowOff>85725</xdr:rowOff>
    </xdr:to>
    <xdr:sp>
      <xdr:nvSpPr>
        <xdr:cNvPr id="12" name="Line 17"/>
        <xdr:cNvSpPr>
          <a:spLocks/>
        </xdr:cNvSpPr>
      </xdr:nvSpPr>
      <xdr:spPr>
        <a:xfrm flipH="1">
          <a:off x="6638925" y="2555557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12</xdr:col>
      <xdr:colOff>295275</xdr:colOff>
      <xdr:row>35</xdr:row>
      <xdr:rowOff>76200</xdr:rowOff>
    </xdr:to>
    <xdr:sp>
      <xdr:nvSpPr>
        <xdr:cNvPr id="13" name="Line 18"/>
        <xdr:cNvSpPr>
          <a:spLocks/>
        </xdr:cNvSpPr>
      </xdr:nvSpPr>
      <xdr:spPr>
        <a:xfrm flipV="1">
          <a:off x="8353425" y="5295900"/>
          <a:ext cx="25622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13</xdr:row>
      <xdr:rowOff>0</xdr:rowOff>
    </xdr:from>
    <xdr:to>
      <xdr:col>7</xdr:col>
      <xdr:colOff>457200</xdr:colOff>
      <xdr:row>15</xdr:row>
      <xdr:rowOff>161925</xdr:rowOff>
    </xdr:to>
    <xdr:sp>
      <xdr:nvSpPr>
        <xdr:cNvPr id="14" name="Line 19"/>
        <xdr:cNvSpPr>
          <a:spLocks/>
        </xdr:cNvSpPr>
      </xdr:nvSpPr>
      <xdr:spPr>
        <a:xfrm>
          <a:off x="7086600" y="26670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38.421875" style="0" customWidth="1"/>
    <col min="4" max="7" width="13.28125" style="0" customWidth="1"/>
    <col min="8" max="8" width="13.00390625" style="0" customWidth="1"/>
    <col min="9" max="10" width="11.8515625" style="0" customWidth="1"/>
    <col min="11" max="12" width="11.57421875" style="0" customWidth="1"/>
    <col min="13" max="13" width="12.8515625" style="0" customWidth="1"/>
    <col min="14" max="14" width="13.28125" style="0" customWidth="1"/>
    <col min="15" max="15" width="10.421875" style="0" customWidth="1"/>
  </cols>
  <sheetData>
    <row r="1" spans="3:6" ht="12.75">
      <c r="C1" s="2" t="s">
        <v>100</v>
      </c>
      <c r="D1" s="2"/>
      <c r="E1" s="2"/>
      <c r="F1" s="2"/>
    </row>
    <row r="2" spans="3:6" ht="12.75">
      <c r="C2" s="2"/>
      <c r="D2" s="2"/>
      <c r="E2" s="2"/>
      <c r="F2" s="2"/>
    </row>
    <row r="3" spans="3:6" ht="23.25">
      <c r="C3" s="78" t="s">
        <v>141</v>
      </c>
      <c r="D3" s="78"/>
      <c r="E3" s="78"/>
      <c r="F3" s="78"/>
    </row>
    <row r="4" spans="3:6" ht="20.25">
      <c r="C4" s="45" t="s">
        <v>119</v>
      </c>
      <c r="D4" s="45"/>
      <c r="E4" s="45"/>
      <c r="F4" s="45"/>
    </row>
    <row r="5" spans="3:6" ht="11.25" customHeight="1">
      <c r="C5" s="78"/>
      <c r="D5" s="78"/>
      <c r="E5" s="78"/>
      <c r="F5" s="78"/>
    </row>
    <row r="7" spans="3:11" ht="11.25" customHeight="1" thickBot="1">
      <c r="C7" s="1"/>
      <c r="D7" s="1"/>
      <c r="E7" s="1"/>
      <c r="F7" s="1"/>
      <c r="G7" s="64"/>
      <c r="H7" s="64"/>
      <c r="I7" s="65"/>
      <c r="J7" s="64"/>
      <c r="K7" s="66"/>
    </row>
    <row r="8" spans="2:9" ht="22.5" customHeight="1" thickBot="1">
      <c r="B8" s="26"/>
      <c r="C8" s="198" t="s">
        <v>23</v>
      </c>
      <c r="D8" s="199"/>
      <c r="E8" s="199"/>
      <c r="F8" s="199"/>
      <c r="G8" s="199"/>
      <c r="H8" s="200"/>
      <c r="I8" s="201"/>
    </row>
    <row r="9" spans="2:22" ht="31.5" customHeight="1" thickBot="1">
      <c r="B9" s="26"/>
      <c r="C9" s="142" t="s">
        <v>24</v>
      </c>
      <c r="D9" s="127" t="s">
        <v>48</v>
      </c>
      <c r="E9" s="128" t="s">
        <v>53</v>
      </c>
      <c r="F9" s="129" t="s">
        <v>138</v>
      </c>
      <c r="G9" s="129" t="s">
        <v>139</v>
      </c>
      <c r="H9" s="129" t="s">
        <v>54</v>
      </c>
      <c r="I9" s="143" t="s">
        <v>58</v>
      </c>
      <c r="O9" s="103"/>
      <c r="P9" s="103"/>
      <c r="Q9" s="103"/>
      <c r="R9" s="104"/>
      <c r="S9" s="103"/>
      <c r="T9" s="103"/>
      <c r="U9" s="103"/>
      <c r="V9" s="105"/>
    </row>
    <row r="10" spans="1:22" ht="12.75">
      <c r="A10">
        <v>5</v>
      </c>
      <c r="B10" s="26"/>
      <c r="C10" s="37" t="s">
        <v>25</v>
      </c>
      <c r="D10" s="27">
        <v>60000000</v>
      </c>
      <c r="E10" s="28">
        <f>+D10/$D$13</f>
        <v>0.5</v>
      </c>
      <c r="F10" s="38">
        <v>0.06</v>
      </c>
      <c r="G10" s="38">
        <f>+F10*(1-$H$19)</f>
        <v>0.036</v>
      </c>
      <c r="H10" s="39">
        <f>+E10*G10</f>
        <v>0.018</v>
      </c>
      <c r="I10" s="196">
        <f>+D10/$F$106</f>
        <v>3</v>
      </c>
      <c r="N10" s="106"/>
      <c r="O10" s="106"/>
      <c r="P10" s="106"/>
      <c r="Q10" s="107"/>
      <c r="R10" s="104"/>
      <c r="S10" s="106"/>
      <c r="T10" s="106"/>
      <c r="U10" s="106"/>
      <c r="V10" s="108"/>
    </row>
    <row r="11" spans="1:22" ht="12.75">
      <c r="A11">
        <f aca="true" t="shared" si="0" ref="A11:A39">+A10+1</f>
        <v>6</v>
      </c>
      <c r="B11" s="26"/>
      <c r="C11" s="37" t="s">
        <v>26</v>
      </c>
      <c r="D11" s="27">
        <v>24000000</v>
      </c>
      <c r="E11" s="28">
        <f>+D11/$D$13</f>
        <v>0.2</v>
      </c>
      <c r="F11" s="38">
        <v>0.09</v>
      </c>
      <c r="G11" s="38">
        <f>+F11*(1-$H$19)</f>
        <v>0.054</v>
      </c>
      <c r="H11" s="39">
        <f>+E11*G11</f>
        <v>0.0108</v>
      </c>
      <c r="I11" s="196">
        <f>+D11/$F$106</f>
        <v>1.2</v>
      </c>
      <c r="N11" s="106"/>
      <c r="O11" s="106"/>
      <c r="P11" s="106"/>
      <c r="Q11" s="107"/>
      <c r="R11" s="104"/>
      <c r="S11" s="106"/>
      <c r="T11" s="106"/>
      <c r="U11" s="106"/>
      <c r="V11" s="108"/>
    </row>
    <row r="12" spans="1:22" ht="12.75">
      <c r="A12">
        <f t="shared" si="0"/>
        <v>7</v>
      </c>
      <c r="B12" s="26"/>
      <c r="C12" s="37" t="s">
        <v>27</v>
      </c>
      <c r="D12" s="71">
        <v>36000000</v>
      </c>
      <c r="E12" s="72">
        <f>+D12/$D$13</f>
        <v>0.3</v>
      </c>
      <c r="F12" s="73">
        <f>+M30</f>
        <v>0.16999999999999987</v>
      </c>
      <c r="G12" s="73">
        <f>+F12</f>
        <v>0.16999999999999987</v>
      </c>
      <c r="H12" s="74">
        <f>+E12*G12</f>
        <v>0.05099999999999996</v>
      </c>
      <c r="I12" s="197">
        <f>+D12/$F$106</f>
        <v>1.8</v>
      </c>
      <c r="N12" s="106"/>
      <c r="O12" s="106"/>
      <c r="P12" s="106"/>
      <c r="Q12" s="107"/>
      <c r="R12" s="104"/>
      <c r="S12" s="106"/>
      <c r="T12" s="106"/>
      <c r="U12" s="106"/>
      <c r="V12" s="108"/>
    </row>
    <row r="13" spans="1:22" ht="13.5" thickBot="1">
      <c r="A13">
        <f t="shared" si="0"/>
        <v>8</v>
      </c>
      <c r="B13" s="26"/>
      <c r="C13" s="37" t="s">
        <v>28</v>
      </c>
      <c r="D13" s="68">
        <f>+D12+D11+D10</f>
        <v>120000000</v>
      </c>
      <c r="E13" s="224">
        <f>+D13/$D$13</f>
        <v>1</v>
      </c>
      <c r="F13" s="26"/>
      <c r="G13" s="26"/>
      <c r="H13" s="77">
        <f>SUM(H10:H12)</f>
        <v>0.07979999999999995</v>
      </c>
      <c r="I13" s="221">
        <f>+D13/$F$106</f>
        <v>6</v>
      </c>
      <c r="N13" s="106"/>
      <c r="O13" s="106"/>
      <c r="P13" s="106"/>
      <c r="Q13" s="107"/>
      <c r="R13" s="104"/>
      <c r="S13" s="106"/>
      <c r="T13" s="106"/>
      <c r="U13" s="106"/>
      <c r="V13" s="108"/>
    </row>
    <row r="14" spans="1:22" ht="12" customHeight="1" thickTop="1">
      <c r="A14">
        <f t="shared" si="0"/>
        <v>9</v>
      </c>
      <c r="B14" s="26"/>
      <c r="C14" s="37"/>
      <c r="D14" s="27"/>
      <c r="E14" s="27"/>
      <c r="F14" s="27"/>
      <c r="G14" s="27"/>
      <c r="H14" s="27"/>
      <c r="I14" s="134"/>
      <c r="N14" s="106"/>
      <c r="O14" s="106"/>
      <c r="P14" s="106"/>
      <c r="Q14" s="107"/>
      <c r="R14" s="104"/>
      <c r="S14" s="106"/>
      <c r="T14" s="106"/>
      <c r="U14" s="106"/>
      <c r="V14" s="108"/>
    </row>
    <row r="15" spans="1:22" ht="12.75">
      <c r="A15">
        <f t="shared" si="0"/>
        <v>10</v>
      </c>
      <c r="B15" s="26"/>
      <c r="C15" s="142" t="s">
        <v>34</v>
      </c>
      <c r="D15" s="26"/>
      <c r="E15" s="26"/>
      <c r="F15" s="27"/>
      <c r="G15" s="27"/>
      <c r="I15" s="134"/>
      <c r="N15" s="106"/>
      <c r="O15" s="106"/>
      <c r="P15" s="106"/>
      <c r="Q15" s="107"/>
      <c r="R15" s="104"/>
      <c r="S15" s="106"/>
      <c r="T15" s="106"/>
      <c r="U15" s="106"/>
      <c r="V15" s="108"/>
    </row>
    <row r="16" spans="1:22" ht="13.5" thickBot="1">
      <c r="A16">
        <f t="shared" si="0"/>
        <v>11</v>
      </c>
      <c r="B16" s="26"/>
      <c r="C16" s="144" t="s">
        <v>117</v>
      </c>
      <c r="D16" s="244">
        <v>100000000</v>
      </c>
      <c r="E16" s="26"/>
      <c r="F16" s="27"/>
      <c r="G16" s="27"/>
      <c r="H16" s="27"/>
      <c r="I16" s="134"/>
      <c r="N16" s="106"/>
      <c r="O16" s="106"/>
      <c r="P16" s="106"/>
      <c r="Q16" s="107"/>
      <c r="R16" s="104"/>
      <c r="S16" s="106"/>
      <c r="T16" s="106"/>
      <c r="U16" s="106"/>
      <c r="V16" s="108"/>
    </row>
    <row r="17" spans="2:22" ht="13.5" thickBot="1">
      <c r="B17" s="26"/>
      <c r="C17" s="144" t="s">
        <v>118</v>
      </c>
      <c r="D17" s="244">
        <v>15000000</v>
      </c>
      <c r="E17" s="26"/>
      <c r="F17" s="190"/>
      <c r="G17" s="190" t="s">
        <v>136</v>
      </c>
      <c r="H17" s="222">
        <f>+H13</f>
        <v>0.07979999999999995</v>
      </c>
      <c r="I17" s="134"/>
      <c r="N17" s="106"/>
      <c r="O17" s="106"/>
      <c r="P17" s="106"/>
      <c r="Q17" s="107"/>
      <c r="R17" s="104"/>
      <c r="S17" s="106"/>
      <c r="T17" s="106"/>
      <c r="U17" s="106"/>
      <c r="V17" s="108"/>
    </row>
    <row r="18" spans="1:22" ht="12.75">
      <c r="A18">
        <f>+A16+1</f>
        <v>12</v>
      </c>
      <c r="B18" s="26"/>
      <c r="C18" s="144" t="s">
        <v>112</v>
      </c>
      <c r="D18" s="244">
        <v>5000000</v>
      </c>
      <c r="E18" s="26"/>
      <c r="F18" s="27"/>
      <c r="G18" s="27"/>
      <c r="H18" s="27"/>
      <c r="I18" s="134"/>
      <c r="N18" s="106"/>
      <c r="O18" s="106"/>
      <c r="P18" s="106"/>
      <c r="Q18" s="107"/>
      <c r="R18" s="104"/>
      <c r="S18" s="106"/>
      <c r="T18" s="106"/>
      <c r="U18" s="106"/>
      <c r="V18" s="108"/>
    </row>
    <row r="19" spans="1:22" ht="12.75">
      <c r="A19">
        <f t="shared" si="0"/>
        <v>13</v>
      </c>
      <c r="B19" s="26"/>
      <c r="C19" s="136" t="s">
        <v>35</v>
      </c>
      <c r="D19" s="244">
        <v>0</v>
      </c>
      <c r="E19" s="26"/>
      <c r="G19" s="240" t="s">
        <v>140</v>
      </c>
      <c r="H19" s="239">
        <f>+G111</f>
        <v>0.4</v>
      </c>
      <c r="I19" s="134"/>
      <c r="N19" s="106"/>
      <c r="O19" s="106"/>
      <c r="P19" s="106"/>
      <c r="Q19" s="107"/>
      <c r="R19" s="104"/>
      <c r="S19" s="106"/>
      <c r="T19" s="106"/>
      <c r="U19" s="106"/>
      <c r="V19" s="108"/>
    </row>
    <row r="20" spans="1:22" ht="12.75" customHeight="1" thickBot="1">
      <c r="A20">
        <f t="shared" si="0"/>
        <v>14</v>
      </c>
      <c r="B20" s="26"/>
      <c r="C20" s="136" t="s">
        <v>36</v>
      </c>
      <c r="D20" s="68">
        <f>SUM(D16:D19)</f>
        <v>120000000</v>
      </c>
      <c r="E20" s="26"/>
      <c r="F20" s="27"/>
      <c r="G20" s="27"/>
      <c r="H20" s="27"/>
      <c r="I20" s="134"/>
      <c r="N20" s="106"/>
      <c r="O20" s="106"/>
      <c r="P20" s="106"/>
      <c r="Q20" s="107"/>
      <c r="R20" s="104"/>
      <c r="S20" s="106"/>
      <c r="T20" s="106"/>
      <c r="U20" s="106"/>
      <c r="V20" s="108"/>
    </row>
    <row r="21" spans="1:22" ht="12.75" customHeight="1" thickBot="1" thickTop="1">
      <c r="A21">
        <f t="shared" si="0"/>
        <v>15</v>
      </c>
      <c r="B21" s="26"/>
      <c r="C21" s="145"/>
      <c r="D21" s="141"/>
      <c r="E21" s="141"/>
      <c r="F21" s="141"/>
      <c r="G21" s="141"/>
      <c r="H21" s="141"/>
      <c r="I21" s="42"/>
      <c r="J21" s="27"/>
      <c r="N21" s="106"/>
      <c r="O21" s="106"/>
      <c r="P21" s="106"/>
      <c r="Q21" s="107"/>
      <c r="R21" s="104"/>
      <c r="S21" s="106"/>
      <c r="T21" s="106"/>
      <c r="U21" s="106"/>
      <c r="V21" s="108"/>
    </row>
    <row r="22" spans="2:22" ht="12.75" customHeight="1">
      <c r="B22" s="26"/>
      <c r="C22" s="27"/>
      <c r="D22" s="27"/>
      <c r="E22" s="27"/>
      <c r="F22" s="27"/>
      <c r="G22" s="27"/>
      <c r="H22" s="26"/>
      <c r="I22" s="27"/>
      <c r="J22" s="27"/>
      <c r="N22" s="106"/>
      <c r="O22" s="106"/>
      <c r="P22" s="106"/>
      <c r="Q22" s="107"/>
      <c r="R22" s="104"/>
      <c r="S22" s="106"/>
      <c r="T22" s="106"/>
      <c r="U22" s="106"/>
      <c r="V22" s="108"/>
    </row>
    <row r="23" spans="2:22" ht="16.5" customHeight="1" thickBot="1">
      <c r="B23" s="26"/>
      <c r="G23" s="79"/>
      <c r="H23" s="79"/>
      <c r="I23" s="79"/>
      <c r="J23" s="27"/>
      <c r="K23" s="26"/>
      <c r="L23" s="27"/>
      <c r="M23" s="27"/>
      <c r="O23" s="109"/>
      <c r="P23" s="109"/>
      <c r="Q23" s="109"/>
      <c r="R23" s="104"/>
      <c r="S23" s="109"/>
      <c r="T23" s="109"/>
      <c r="U23" s="104"/>
      <c r="V23" s="110"/>
    </row>
    <row r="24" spans="1:22" ht="17.25" customHeight="1" thickBot="1">
      <c r="A24">
        <f>+A21+1</f>
        <v>16</v>
      </c>
      <c r="B24" s="26"/>
      <c r="C24" s="202" t="s">
        <v>134</v>
      </c>
      <c r="D24" s="203"/>
      <c r="E24" s="204"/>
      <c r="G24" s="205" t="s">
        <v>122</v>
      </c>
      <c r="H24" s="206"/>
      <c r="I24" s="206"/>
      <c r="J24" s="206"/>
      <c r="K24" s="203"/>
      <c r="L24" s="207"/>
      <c r="M24" s="208"/>
      <c r="O24" s="104"/>
      <c r="P24" s="104"/>
      <c r="Q24" s="104"/>
      <c r="R24" s="104"/>
      <c r="S24" s="104"/>
      <c r="T24" s="104"/>
      <c r="U24" s="111"/>
      <c r="V24" s="112"/>
    </row>
    <row r="25" spans="1:22" ht="12.75" customHeight="1" thickBot="1">
      <c r="A25">
        <f t="shared" si="0"/>
        <v>17</v>
      </c>
      <c r="B25" s="26"/>
      <c r="C25" s="124" t="s">
        <v>59</v>
      </c>
      <c r="D25" s="125"/>
      <c r="E25" s="126" t="s">
        <v>69</v>
      </c>
      <c r="G25" s="184" t="s">
        <v>137</v>
      </c>
      <c r="H25" s="185"/>
      <c r="I25" s="186"/>
      <c r="J25" s="102"/>
      <c r="K25" s="178"/>
      <c r="L25" s="179"/>
      <c r="M25" s="180"/>
      <c r="O25" s="104"/>
      <c r="P25" s="104"/>
      <c r="Q25" s="104"/>
      <c r="R25" s="104"/>
      <c r="S25" s="104"/>
      <c r="T25" s="104"/>
      <c r="U25" s="104"/>
      <c r="V25" s="104"/>
    </row>
    <row r="26" spans="1:13" ht="12.75" customHeight="1" thickBot="1">
      <c r="A26">
        <f t="shared" si="0"/>
        <v>18</v>
      </c>
      <c r="B26" s="26"/>
      <c r="C26" s="113" t="s">
        <v>70</v>
      </c>
      <c r="D26" s="116"/>
      <c r="E26" s="121">
        <v>1</v>
      </c>
      <c r="G26" s="232" t="s">
        <v>106</v>
      </c>
      <c r="H26" s="233" t="s">
        <v>107</v>
      </c>
      <c r="I26" s="187" t="s">
        <v>108</v>
      </c>
      <c r="J26" s="26"/>
      <c r="K26" s="181" t="s">
        <v>122</v>
      </c>
      <c r="L26" s="182"/>
      <c r="M26" s="183"/>
    </row>
    <row r="27" spans="1:13" ht="12.75" customHeight="1">
      <c r="A27">
        <f t="shared" si="0"/>
        <v>19</v>
      </c>
      <c r="B27" s="26"/>
      <c r="C27" s="114" t="s">
        <v>71</v>
      </c>
      <c r="D27" s="117"/>
      <c r="E27" s="122">
        <v>1.1</v>
      </c>
      <c r="G27" s="228">
        <v>1</v>
      </c>
      <c r="H27" s="234">
        <v>524351</v>
      </c>
      <c r="I27" s="225">
        <v>0.0703</v>
      </c>
      <c r="J27" s="26"/>
      <c r="K27" s="37" t="s">
        <v>102</v>
      </c>
      <c r="L27" s="26"/>
      <c r="M27" s="238">
        <v>0.015</v>
      </c>
    </row>
    <row r="28" spans="1:13" ht="12.75" customHeight="1">
      <c r="A28">
        <f t="shared" si="0"/>
        <v>20</v>
      </c>
      <c r="B28" s="26"/>
      <c r="C28" s="114" t="s">
        <v>72</v>
      </c>
      <c r="D28" s="117"/>
      <c r="E28" s="122">
        <v>2.1</v>
      </c>
      <c r="G28" s="229">
        <v>2</v>
      </c>
      <c r="H28" s="235">
        <v>10343.765</v>
      </c>
      <c r="I28" s="226">
        <v>0.0805</v>
      </c>
      <c r="J28" s="26"/>
      <c r="K28" s="37" t="s">
        <v>103</v>
      </c>
      <c r="L28" s="26"/>
      <c r="M28" s="76">
        <v>1.4027149321266956</v>
      </c>
    </row>
    <row r="29" spans="1:13" ht="12.75" customHeight="1" thickBot="1">
      <c r="A29">
        <f t="shared" si="0"/>
        <v>21</v>
      </c>
      <c r="B29" s="26"/>
      <c r="C29" s="114" t="s">
        <v>129</v>
      </c>
      <c r="D29" s="117"/>
      <c r="E29" s="122">
        <v>1.5</v>
      </c>
      <c r="G29" s="230">
        <v>3</v>
      </c>
      <c r="H29" s="236">
        <v>4143.902</v>
      </c>
      <c r="I29" s="227">
        <v>0.0847</v>
      </c>
      <c r="J29" s="26"/>
      <c r="K29" s="37" t="s">
        <v>104</v>
      </c>
      <c r="L29" s="26"/>
      <c r="M29" s="75">
        <f>+I36</f>
        <v>0.1105</v>
      </c>
    </row>
    <row r="30" spans="1:13" ht="12.75" customHeight="1" thickBot="1">
      <c r="A30">
        <f t="shared" si="0"/>
        <v>22</v>
      </c>
      <c r="B30" s="26"/>
      <c r="C30" s="114" t="s">
        <v>130</v>
      </c>
      <c r="D30" s="117"/>
      <c r="E30" s="122">
        <v>2.1</v>
      </c>
      <c r="G30" s="230">
        <v>4</v>
      </c>
      <c r="H30" s="236">
        <v>2177.448</v>
      </c>
      <c r="I30" s="227">
        <v>0.0875</v>
      </c>
      <c r="J30" s="26"/>
      <c r="K30" s="214" t="s">
        <v>105</v>
      </c>
      <c r="L30" s="215"/>
      <c r="M30" s="243">
        <f>+M27+(M28*M29)</f>
        <v>0.16999999999999987</v>
      </c>
    </row>
    <row r="31" spans="1:13" ht="12.75" customHeight="1">
      <c r="A31">
        <f t="shared" si="0"/>
        <v>23</v>
      </c>
      <c r="B31" s="26"/>
      <c r="C31" s="114" t="s">
        <v>131</v>
      </c>
      <c r="D31" s="117"/>
      <c r="E31" s="122">
        <v>1.13</v>
      </c>
      <c r="G31" s="230">
        <v>5</v>
      </c>
      <c r="H31" s="236">
        <v>1327.582</v>
      </c>
      <c r="I31" s="227">
        <v>0.0903</v>
      </c>
      <c r="J31" s="26"/>
      <c r="K31" s="26"/>
      <c r="L31" s="26"/>
      <c r="M31" s="134"/>
    </row>
    <row r="32" spans="1:13" ht="12.75" customHeight="1">
      <c r="A32">
        <f t="shared" si="0"/>
        <v>24</v>
      </c>
      <c r="B32" s="26"/>
      <c r="C32" s="114" t="s">
        <v>73</v>
      </c>
      <c r="D32" s="118"/>
      <c r="E32" s="122">
        <v>1.4</v>
      </c>
      <c r="G32" s="230">
        <v>6</v>
      </c>
      <c r="H32" s="236">
        <v>840</v>
      </c>
      <c r="I32" s="227">
        <v>0.0918</v>
      </c>
      <c r="J32" s="26"/>
      <c r="K32" s="26"/>
      <c r="L32" s="26"/>
      <c r="M32" s="134"/>
    </row>
    <row r="33" spans="1:13" ht="12.75" customHeight="1" thickBot="1">
      <c r="A33">
        <f t="shared" si="0"/>
        <v>25</v>
      </c>
      <c r="B33" s="26"/>
      <c r="C33" s="114" t="s">
        <v>74</v>
      </c>
      <c r="D33" s="118"/>
      <c r="E33" s="122">
        <v>1.1</v>
      </c>
      <c r="G33" s="230">
        <v>7</v>
      </c>
      <c r="H33" s="236">
        <v>537.693</v>
      </c>
      <c r="I33" s="227">
        <v>0.0958</v>
      </c>
      <c r="J33" s="26"/>
      <c r="K33" s="26"/>
      <c r="L33" s="26"/>
      <c r="M33" s="134"/>
    </row>
    <row r="34" spans="1:13" ht="12.75" customHeight="1">
      <c r="A34">
        <f t="shared" si="0"/>
        <v>26</v>
      </c>
      <c r="B34" s="26"/>
      <c r="C34" s="113" t="s">
        <v>75</v>
      </c>
      <c r="D34" s="189"/>
      <c r="E34" s="121">
        <v>1.2</v>
      </c>
      <c r="G34" s="230">
        <v>8</v>
      </c>
      <c r="H34" s="236">
        <v>333.442</v>
      </c>
      <c r="I34" s="227">
        <v>0.0991</v>
      </c>
      <c r="J34" s="26"/>
      <c r="K34" s="171"/>
      <c r="L34" s="172"/>
      <c r="M34" s="173"/>
    </row>
    <row r="35" spans="1:13" ht="12.75" customHeight="1">
      <c r="A35">
        <f t="shared" si="0"/>
        <v>27</v>
      </c>
      <c r="B35" s="26"/>
      <c r="C35" s="114" t="s">
        <v>135</v>
      </c>
      <c r="D35" s="118"/>
      <c r="E35" s="122">
        <v>1.56</v>
      </c>
      <c r="G35" s="230">
        <v>9</v>
      </c>
      <c r="H35" s="236">
        <v>192.598</v>
      </c>
      <c r="I35" s="227">
        <v>0.1043</v>
      </c>
      <c r="J35" s="26"/>
      <c r="K35" s="169" t="s">
        <v>128</v>
      </c>
      <c r="L35" s="168" t="s">
        <v>127</v>
      </c>
      <c r="M35" s="170"/>
    </row>
    <row r="36" spans="1:13" ht="12.75" customHeight="1" thickBot="1">
      <c r="A36">
        <f t="shared" si="0"/>
        <v>28</v>
      </c>
      <c r="B36" s="26"/>
      <c r="C36" s="114" t="s">
        <v>76</v>
      </c>
      <c r="D36" s="119"/>
      <c r="E36" s="122">
        <v>1.6</v>
      </c>
      <c r="G36" s="231">
        <v>10</v>
      </c>
      <c r="H36" s="237">
        <v>84.521</v>
      </c>
      <c r="I36" s="188">
        <v>0.1105</v>
      </c>
      <c r="J36" s="26"/>
      <c r="K36" s="165"/>
      <c r="L36" s="166"/>
      <c r="M36" s="167"/>
    </row>
    <row r="37" spans="1:13" ht="12.75" customHeight="1">
      <c r="A37">
        <f t="shared" si="0"/>
        <v>29</v>
      </c>
      <c r="B37" s="26"/>
      <c r="C37" s="114" t="s">
        <v>133</v>
      </c>
      <c r="D37" s="117"/>
      <c r="E37" s="122">
        <v>1.42</v>
      </c>
      <c r="G37" s="136"/>
      <c r="H37" s="27"/>
      <c r="I37" s="27"/>
      <c r="J37" s="81"/>
      <c r="K37" s="70"/>
      <c r="L37" s="82"/>
      <c r="M37" s="134"/>
    </row>
    <row r="38" spans="1:14" ht="12.75" customHeight="1">
      <c r="A38">
        <f t="shared" si="0"/>
        <v>30</v>
      </c>
      <c r="B38" s="26"/>
      <c r="C38" s="114" t="s">
        <v>132</v>
      </c>
      <c r="D38" s="117"/>
      <c r="E38" s="122">
        <v>1.15</v>
      </c>
      <c r="G38" s="37"/>
      <c r="H38" s="27"/>
      <c r="I38" s="27"/>
      <c r="J38" s="27"/>
      <c r="K38" s="81"/>
      <c r="L38" s="70"/>
      <c r="M38" s="137"/>
      <c r="N38" s="27"/>
    </row>
    <row r="39" spans="1:13" ht="12.75" customHeight="1" thickBot="1">
      <c r="A39">
        <f t="shared" si="0"/>
        <v>31</v>
      </c>
      <c r="B39" s="26"/>
      <c r="C39" s="120" t="s">
        <v>77</v>
      </c>
      <c r="D39" s="115"/>
      <c r="E39" s="123">
        <v>1.2</v>
      </c>
      <c r="F39" s="27"/>
      <c r="G39" s="135"/>
      <c r="H39" s="70"/>
      <c r="I39" s="82"/>
      <c r="J39" s="27"/>
      <c r="K39" s="27"/>
      <c r="L39" s="26"/>
      <c r="M39" s="40"/>
    </row>
    <row r="40" spans="2:13" ht="12.75" customHeight="1" thickBot="1">
      <c r="B40" s="26"/>
      <c r="C40" s="211" t="s">
        <v>42</v>
      </c>
      <c r="D40" s="212"/>
      <c r="E40" s="213">
        <f>AVERAGE(E26:E39)</f>
        <v>1.397142857142857</v>
      </c>
      <c r="F40" s="27"/>
      <c r="G40" s="138"/>
      <c r="H40" s="139"/>
      <c r="I40" s="140"/>
      <c r="J40" s="141"/>
      <c r="K40" s="141"/>
      <c r="L40" s="41"/>
      <c r="M40" s="42"/>
    </row>
    <row r="41" spans="2:13" ht="12.75" customHeight="1">
      <c r="B41" s="26"/>
      <c r="C41" s="150"/>
      <c r="D41" s="130"/>
      <c r="E41" s="151"/>
      <c r="F41" s="27"/>
      <c r="G41" s="81"/>
      <c r="H41" s="70"/>
      <c r="I41" s="82"/>
      <c r="J41" s="27"/>
      <c r="K41" s="27"/>
      <c r="L41" s="26"/>
      <c r="M41" s="26"/>
    </row>
    <row r="42" spans="2:11" ht="12.75" customHeight="1" thickBot="1">
      <c r="B42" s="26"/>
      <c r="C42" s="27"/>
      <c r="D42" s="27"/>
      <c r="E42" s="27"/>
      <c r="F42" s="27"/>
      <c r="G42" s="81"/>
      <c r="H42" s="70"/>
      <c r="I42" s="82"/>
      <c r="J42" s="27"/>
      <c r="K42" s="27"/>
    </row>
    <row r="43" spans="2:14" ht="23.25" customHeight="1" thickBot="1">
      <c r="B43" s="26"/>
      <c r="C43" s="198" t="s">
        <v>123</v>
      </c>
      <c r="D43" s="200"/>
      <c r="E43" s="209"/>
      <c r="F43" s="209"/>
      <c r="G43" s="209"/>
      <c r="H43" s="209"/>
      <c r="I43" s="210"/>
      <c r="J43" s="206"/>
      <c r="K43" s="206"/>
      <c r="L43" s="200"/>
      <c r="M43" s="201"/>
      <c r="N43" s="201"/>
    </row>
    <row r="44" spans="2:14" ht="12.75" customHeight="1">
      <c r="B44" s="26"/>
      <c r="C44" s="162" t="s">
        <v>124</v>
      </c>
      <c r="D44" s="163">
        <v>0.08</v>
      </c>
      <c r="E44" s="223">
        <v>0.09</v>
      </c>
      <c r="F44" s="163">
        <v>0.1</v>
      </c>
      <c r="G44" s="163">
        <v>0.11</v>
      </c>
      <c r="H44" s="163">
        <v>0.12</v>
      </c>
      <c r="I44" s="163">
        <v>0.13</v>
      </c>
      <c r="J44" s="163">
        <v>0.14</v>
      </c>
      <c r="K44" s="163">
        <v>0.15</v>
      </c>
      <c r="L44" s="163">
        <v>0.16</v>
      </c>
      <c r="M44" s="223">
        <v>0.17</v>
      </c>
      <c r="N44" s="164">
        <v>0.18</v>
      </c>
    </row>
    <row r="45" spans="2:14" ht="12.75" customHeight="1">
      <c r="B45" s="26"/>
      <c r="C45" s="152">
        <v>1</v>
      </c>
      <c r="D45" s="154">
        <f aca="true" t="shared" si="1" ref="D45:N50">1/(1+D$44)^$C45</f>
        <v>0.9259259259259258</v>
      </c>
      <c r="E45" s="216">
        <f t="shared" si="1"/>
        <v>0.9174311926605504</v>
      </c>
      <c r="F45" s="154">
        <f t="shared" si="1"/>
        <v>0.9090909090909091</v>
      </c>
      <c r="G45" s="154">
        <f t="shared" si="1"/>
        <v>0.9009009009009008</v>
      </c>
      <c r="H45" s="154">
        <f t="shared" si="1"/>
        <v>0.8928571428571428</v>
      </c>
      <c r="I45" s="154">
        <f t="shared" si="1"/>
        <v>0.8849557522123894</v>
      </c>
      <c r="J45" s="154">
        <f t="shared" si="1"/>
        <v>0.8771929824561403</v>
      </c>
      <c r="K45" s="154">
        <f t="shared" si="1"/>
        <v>0.8695652173913044</v>
      </c>
      <c r="L45" s="154">
        <f t="shared" si="1"/>
        <v>0.8620689655172414</v>
      </c>
      <c r="M45" s="216">
        <f t="shared" si="1"/>
        <v>0.8547008547008548</v>
      </c>
      <c r="N45" s="156">
        <f t="shared" si="1"/>
        <v>0.8474576271186441</v>
      </c>
    </row>
    <row r="46" spans="2:14" ht="12.75" customHeight="1">
      <c r="B46" s="26"/>
      <c r="C46" s="152">
        <v>2</v>
      </c>
      <c r="D46" s="154">
        <f t="shared" si="1"/>
        <v>0.8573388203017832</v>
      </c>
      <c r="E46" s="216">
        <f t="shared" si="1"/>
        <v>0.84167999326656</v>
      </c>
      <c r="F46" s="154">
        <f t="shared" si="1"/>
        <v>0.8264462809917354</v>
      </c>
      <c r="G46" s="154">
        <f t="shared" si="1"/>
        <v>0.8116224332440547</v>
      </c>
      <c r="H46" s="154">
        <f t="shared" si="1"/>
        <v>0.7971938775510203</v>
      </c>
      <c r="I46" s="154">
        <f t="shared" si="1"/>
        <v>0.7831466833737961</v>
      </c>
      <c r="J46" s="154">
        <f t="shared" si="1"/>
        <v>0.7694675284702984</v>
      </c>
      <c r="K46" s="154">
        <f t="shared" si="1"/>
        <v>0.7561436672967865</v>
      </c>
      <c r="L46" s="154">
        <f t="shared" si="1"/>
        <v>0.7431629013079668</v>
      </c>
      <c r="M46" s="216">
        <f t="shared" si="1"/>
        <v>0.7305135510263716</v>
      </c>
      <c r="N46" s="156">
        <f t="shared" si="1"/>
        <v>0.7181844297615628</v>
      </c>
    </row>
    <row r="47" spans="2:14" ht="12.75" customHeight="1">
      <c r="B47" s="26"/>
      <c r="C47" s="152">
        <v>3</v>
      </c>
      <c r="D47" s="154">
        <f t="shared" si="1"/>
        <v>0.7938322410201696</v>
      </c>
      <c r="E47" s="216">
        <f t="shared" si="1"/>
        <v>0.7721834800610642</v>
      </c>
      <c r="F47" s="154">
        <f t="shared" si="1"/>
        <v>0.7513148009015775</v>
      </c>
      <c r="G47" s="154">
        <f t="shared" si="1"/>
        <v>0.7311913813009502</v>
      </c>
      <c r="H47" s="154">
        <f t="shared" si="1"/>
        <v>0.7117802478134109</v>
      </c>
      <c r="I47" s="154">
        <f t="shared" si="1"/>
        <v>0.6930501622776958</v>
      </c>
      <c r="J47" s="154">
        <f t="shared" si="1"/>
        <v>0.6749715162020161</v>
      </c>
      <c r="K47" s="154">
        <f t="shared" si="1"/>
        <v>0.6575162324319883</v>
      </c>
      <c r="L47" s="154">
        <f t="shared" si="1"/>
        <v>0.6406576735413507</v>
      </c>
      <c r="M47" s="216">
        <f t="shared" si="1"/>
        <v>0.6243705564327963</v>
      </c>
      <c r="N47" s="156">
        <f t="shared" si="1"/>
        <v>0.6086308726792905</v>
      </c>
    </row>
    <row r="48" spans="2:14" ht="12.75" customHeight="1">
      <c r="B48" s="26"/>
      <c r="C48" s="152">
        <v>4</v>
      </c>
      <c r="D48" s="154">
        <f t="shared" si="1"/>
        <v>0.7350298527964533</v>
      </c>
      <c r="E48" s="216">
        <f t="shared" si="1"/>
        <v>0.7084252110651964</v>
      </c>
      <c r="F48" s="154">
        <f t="shared" si="1"/>
        <v>0.6830134553650705</v>
      </c>
      <c r="G48" s="154">
        <f t="shared" si="1"/>
        <v>0.6587309741450001</v>
      </c>
      <c r="H48" s="154">
        <f t="shared" si="1"/>
        <v>0.6355180784048312</v>
      </c>
      <c r="I48" s="154">
        <f t="shared" si="1"/>
        <v>0.6133187276793768</v>
      </c>
      <c r="J48" s="154">
        <f t="shared" si="1"/>
        <v>0.5920802773701894</v>
      </c>
      <c r="K48" s="154">
        <f t="shared" si="1"/>
        <v>0.5717532455930334</v>
      </c>
      <c r="L48" s="154">
        <f t="shared" si="1"/>
        <v>0.5522910978804747</v>
      </c>
      <c r="M48" s="216">
        <f t="shared" si="1"/>
        <v>0.5336500482331593</v>
      </c>
      <c r="N48" s="156">
        <f t="shared" si="1"/>
        <v>0.5157888751519412</v>
      </c>
    </row>
    <row r="49" spans="2:14" ht="12.75" customHeight="1">
      <c r="B49" s="26"/>
      <c r="C49" s="152">
        <v>5</v>
      </c>
      <c r="D49" s="154">
        <f t="shared" si="1"/>
        <v>0.680583197033753</v>
      </c>
      <c r="E49" s="216">
        <f t="shared" si="1"/>
        <v>0.6499313862983452</v>
      </c>
      <c r="F49" s="154">
        <f t="shared" si="1"/>
        <v>0.6209213230591549</v>
      </c>
      <c r="G49" s="154">
        <f t="shared" si="1"/>
        <v>0.5934513280585586</v>
      </c>
      <c r="H49" s="154">
        <f t="shared" si="1"/>
        <v>0.5674268557185992</v>
      </c>
      <c r="I49" s="154">
        <f t="shared" si="1"/>
        <v>0.5427599359994486</v>
      </c>
      <c r="J49" s="154">
        <f t="shared" si="1"/>
        <v>0.5193686643598152</v>
      </c>
      <c r="K49" s="154">
        <f t="shared" si="1"/>
        <v>0.4971767352982899</v>
      </c>
      <c r="L49" s="154">
        <f t="shared" si="1"/>
        <v>0.47611301541420237</v>
      </c>
      <c r="M49" s="216">
        <f t="shared" si="1"/>
        <v>0.4561111523360336</v>
      </c>
      <c r="N49" s="156">
        <f t="shared" si="1"/>
        <v>0.43710921623045873</v>
      </c>
    </row>
    <row r="50" spans="2:14" ht="12.75" customHeight="1" thickBot="1">
      <c r="B50" s="26"/>
      <c r="C50" s="153">
        <v>6</v>
      </c>
      <c r="D50" s="155">
        <f t="shared" si="1"/>
        <v>0.6301696268831045</v>
      </c>
      <c r="E50" s="217">
        <f t="shared" si="1"/>
        <v>0.5962673268792158</v>
      </c>
      <c r="F50" s="155">
        <f t="shared" si="1"/>
        <v>0.5644739300537772</v>
      </c>
      <c r="G50" s="155">
        <f t="shared" si="1"/>
        <v>0.5346408360887915</v>
      </c>
      <c r="H50" s="155">
        <f t="shared" si="1"/>
        <v>0.5066311211773207</v>
      </c>
      <c r="I50" s="155">
        <f t="shared" si="1"/>
        <v>0.48031852743314046</v>
      </c>
      <c r="J50" s="155">
        <f t="shared" si="1"/>
        <v>0.45558654768404844</v>
      </c>
      <c r="K50" s="155">
        <f t="shared" si="1"/>
        <v>0.43232759591155645</v>
      </c>
      <c r="L50" s="155">
        <f t="shared" si="1"/>
        <v>0.41044225466741585</v>
      </c>
      <c r="M50" s="217">
        <f t="shared" si="1"/>
        <v>0.3898385917401997</v>
      </c>
      <c r="N50" s="157">
        <f t="shared" si="1"/>
        <v>0.3704315391783548</v>
      </c>
    </row>
    <row r="51" spans="2:11" ht="12.75" customHeight="1">
      <c r="B51" s="26"/>
      <c r="C51" s="27"/>
      <c r="D51" s="27"/>
      <c r="E51" s="27"/>
      <c r="F51" s="27"/>
      <c r="G51" s="81"/>
      <c r="H51" s="70"/>
      <c r="I51" s="82"/>
      <c r="J51" s="27"/>
      <c r="K51" s="27"/>
    </row>
    <row r="52" spans="1:11" ht="12.75" customHeight="1" thickBot="1">
      <c r="A52">
        <f>+A36+1</f>
        <v>29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4" ht="12.75" customHeight="1">
      <c r="A53">
        <f>+A52+1</f>
        <v>30</v>
      </c>
      <c r="G53" s="174"/>
      <c r="H53" s="132"/>
      <c r="I53" s="132"/>
      <c r="J53" s="132"/>
      <c r="K53" s="132"/>
      <c r="L53" s="132"/>
      <c r="M53" s="175" t="s">
        <v>56</v>
      </c>
      <c r="N53" s="132"/>
    </row>
    <row r="54" spans="1:14" ht="12.75">
      <c r="A54">
        <f aca="true" t="shared" si="2" ref="A54:A77">+A53+1</f>
        <v>31</v>
      </c>
      <c r="C54" s="7" t="s">
        <v>29</v>
      </c>
      <c r="D54" s="7"/>
      <c r="E54" s="7"/>
      <c r="F54" s="7"/>
      <c r="G54" s="161" t="s">
        <v>126</v>
      </c>
      <c r="H54" s="100">
        <f aca="true" t="shared" si="3" ref="H54:M54">+H82</f>
        <v>2012</v>
      </c>
      <c r="I54" s="100">
        <f t="shared" si="3"/>
        <v>2013</v>
      </c>
      <c r="J54" s="100">
        <f t="shared" si="3"/>
        <v>2014</v>
      </c>
      <c r="K54" s="100">
        <f t="shared" si="3"/>
        <v>2015</v>
      </c>
      <c r="L54" s="100">
        <f t="shared" si="3"/>
        <v>2016</v>
      </c>
      <c r="M54" s="101">
        <f t="shared" si="3"/>
        <v>2017</v>
      </c>
      <c r="N54" s="100">
        <f>+M54+1</f>
        <v>2018</v>
      </c>
    </row>
    <row r="55" spans="1:13" ht="12.75">
      <c r="A55">
        <f t="shared" si="2"/>
        <v>32</v>
      </c>
      <c r="C55" s="8" t="s">
        <v>48</v>
      </c>
      <c r="D55" s="8"/>
      <c r="E55" s="8"/>
      <c r="F55" s="8"/>
      <c r="G55" s="33">
        <f>+D10</f>
        <v>60000000</v>
      </c>
      <c r="H55" s="32"/>
      <c r="I55" s="32"/>
      <c r="J55" s="32"/>
      <c r="K55" s="32"/>
      <c r="L55" s="32"/>
      <c r="M55" s="48"/>
    </row>
    <row r="56" spans="1:13" ht="12.75">
      <c r="A56">
        <f t="shared" si="2"/>
        <v>33</v>
      </c>
      <c r="C56" s="8" t="s">
        <v>49</v>
      </c>
      <c r="D56" s="8"/>
      <c r="E56" s="8"/>
      <c r="F56" s="8"/>
      <c r="G56" s="34">
        <f>+F10</f>
        <v>0.06</v>
      </c>
      <c r="H56" s="32"/>
      <c r="I56" s="32"/>
      <c r="J56" s="32"/>
      <c r="K56" s="32"/>
      <c r="L56" s="32"/>
      <c r="M56" s="48"/>
    </row>
    <row r="57" spans="1:13" ht="12.75">
      <c r="A57">
        <f t="shared" si="2"/>
        <v>34</v>
      </c>
      <c r="C57" s="8" t="s">
        <v>50</v>
      </c>
      <c r="D57" s="8"/>
      <c r="E57" s="8"/>
      <c r="F57" s="8"/>
      <c r="G57" s="35">
        <v>2011</v>
      </c>
      <c r="H57" s="32"/>
      <c r="I57" s="32"/>
      <c r="J57" s="32"/>
      <c r="K57" s="32"/>
      <c r="L57" s="32"/>
      <c r="M57" s="48"/>
    </row>
    <row r="58" spans="1:13" ht="12.75" customHeight="1">
      <c r="A58">
        <f t="shared" si="2"/>
        <v>35</v>
      </c>
      <c r="C58" s="8" t="s">
        <v>52</v>
      </c>
      <c r="D58" s="8"/>
      <c r="E58" s="8"/>
      <c r="F58" s="8"/>
      <c r="G58" s="35">
        <v>7</v>
      </c>
      <c r="H58" s="32"/>
      <c r="I58" s="32"/>
      <c r="J58" s="32"/>
      <c r="K58" s="32"/>
      <c r="L58" s="32"/>
      <c r="M58" s="48"/>
    </row>
    <row r="59" spans="1:13" ht="12.75" customHeight="1">
      <c r="A59">
        <f t="shared" si="2"/>
        <v>36</v>
      </c>
      <c r="C59" s="8"/>
      <c r="D59" s="8"/>
      <c r="E59" s="8"/>
      <c r="F59" s="8"/>
      <c r="G59" s="32"/>
      <c r="H59" s="32"/>
      <c r="I59" s="32"/>
      <c r="J59" s="32"/>
      <c r="K59" s="32"/>
      <c r="L59" s="32"/>
      <c r="M59" s="48"/>
    </row>
    <row r="60" spans="1:18" ht="12.75" customHeight="1">
      <c r="A60">
        <f t="shared" si="2"/>
        <v>37</v>
      </c>
      <c r="C60" t="s">
        <v>32</v>
      </c>
      <c r="G60" s="6">
        <f>+D10</f>
        <v>60000000</v>
      </c>
      <c r="H60" s="4">
        <f aca="true" t="shared" si="4" ref="H60:N60">+G60-H61</f>
        <v>60000000</v>
      </c>
      <c r="I60" s="4">
        <f t="shared" si="4"/>
        <v>56000000</v>
      </c>
      <c r="J60" s="4">
        <f t="shared" si="4"/>
        <v>52000000</v>
      </c>
      <c r="K60" s="4">
        <f t="shared" si="4"/>
        <v>47000000</v>
      </c>
      <c r="L60" s="4">
        <f t="shared" si="4"/>
        <v>40000000</v>
      </c>
      <c r="M60" s="13">
        <f t="shared" si="4"/>
        <v>32000000</v>
      </c>
      <c r="N60" s="4">
        <f t="shared" si="4"/>
        <v>0</v>
      </c>
      <c r="P60" s="8"/>
      <c r="Q60" s="8"/>
      <c r="R60" s="8"/>
    </row>
    <row r="61" spans="1:14" ht="12.75">
      <c r="A61">
        <f t="shared" si="2"/>
        <v>38</v>
      </c>
      <c r="C61" t="s">
        <v>31</v>
      </c>
      <c r="H61" s="241">
        <v>0</v>
      </c>
      <c r="I61" s="241">
        <v>4000000</v>
      </c>
      <c r="J61" s="241">
        <v>4000000</v>
      </c>
      <c r="K61" s="241">
        <v>5000000</v>
      </c>
      <c r="L61" s="241">
        <v>7000000</v>
      </c>
      <c r="M61" s="242">
        <v>8000000</v>
      </c>
      <c r="N61" s="241">
        <f>+M60</f>
        <v>32000000</v>
      </c>
    </row>
    <row r="62" spans="1:14" ht="12.75">
      <c r="A62">
        <f t="shared" si="2"/>
        <v>39</v>
      </c>
      <c r="C62" t="s">
        <v>51</v>
      </c>
      <c r="H62" s="4">
        <f aca="true" t="shared" si="5" ref="H62:N62">+G60*$G$56</f>
        <v>3600000</v>
      </c>
      <c r="I62" s="4">
        <f t="shared" si="5"/>
        <v>3600000</v>
      </c>
      <c r="J62" s="4">
        <f t="shared" si="5"/>
        <v>3360000</v>
      </c>
      <c r="K62" s="4">
        <f t="shared" si="5"/>
        <v>3120000</v>
      </c>
      <c r="L62" s="4">
        <f t="shared" si="5"/>
        <v>2820000</v>
      </c>
      <c r="M62" s="13">
        <f t="shared" si="5"/>
        <v>2400000</v>
      </c>
      <c r="N62" s="4">
        <f t="shared" si="5"/>
        <v>1920000</v>
      </c>
    </row>
    <row r="63" spans="1:14" ht="13.5" thickBot="1">
      <c r="A63">
        <f t="shared" si="2"/>
        <v>40</v>
      </c>
      <c r="C63" t="s">
        <v>37</v>
      </c>
      <c r="H63" s="24">
        <f aca="true" t="shared" si="6" ref="H63:N63">+H61+H62</f>
        <v>3600000</v>
      </c>
      <c r="I63" s="24">
        <f t="shared" si="6"/>
        <v>7600000</v>
      </c>
      <c r="J63" s="24">
        <f t="shared" si="6"/>
        <v>7360000</v>
      </c>
      <c r="K63" s="24">
        <f t="shared" si="6"/>
        <v>8120000</v>
      </c>
      <c r="L63" s="24">
        <f t="shared" si="6"/>
        <v>9820000</v>
      </c>
      <c r="M63" s="23">
        <f t="shared" si="6"/>
        <v>10400000</v>
      </c>
      <c r="N63" s="24">
        <f t="shared" si="6"/>
        <v>33920000</v>
      </c>
    </row>
    <row r="64" spans="1:13" ht="8.25" customHeight="1" thickTop="1">
      <c r="A64">
        <f t="shared" si="2"/>
        <v>41</v>
      </c>
      <c r="M64" s="11"/>
    </row>
    <row r="65" spans="1:13" ht="12.75">
      <c r="A65">
        <f t="shared" si="2"/>
        <v>42</v>
      </c>
      <c r="C65" s="7" t="s">
        <v>33</v>
      </c>
      <c r="D65" s="7"/>
      <c r="E65" s="7"/>
      <c r="F65" s="7"/>
      <c r="M65" s="11"/>
    </row>
    <row r="66" spans="1:13" ht="12.75">
      <c r="A66">
        <f t="shared" si="2"/>
        <v>43</v>
      </c>
      <c r="C66" s="8" t="s">
        <v>48</v>
      </c>
      <c r="D66" s="8"/>
      <c r="E66" s="8"/>
      <c r="F66" s="8"/>
      <c r="G66" s="33">
        <f>+D11</f>
        <v>24000000</v>
      </c>
      <c r="M66" s="11"/>
    </row>
    <row r="67" spans="1:13" ht="12.75">
      <c r="A67">
        <f t="shared" si="2"/>
        <v>44</v>
      </c>
      <c r="C67" s="8" t="s">
        <v>49</v>
      </c>
      <c r="D67" s="8"/>
      <c r="E67" s="8"/>
      <c r="F67" s="8"/>
      <c r="G67" s="36">
        <f>+F11</f>
        <v>0.09</v>
      </c>
      <c r="M67" s="11"/>
    </row>
    <row r="68" spans="1:13" ht="12.75">
      <c r="A68">
        <f t="shared" si="2"/>
        <v>45</v>
      </c>
      <c r="C68" s="8" t="s">
        <v>50</v>
      </c>
      <c r="D68" s="8"/>
      <c r="E68" s="8"/>
      <c r="F68" s="8"/>
      <c r="G68" s="35">
        <v>2014</v>
      </c>
      <c r="M68" s="11"/>
    </row>
    <row r="69" spans="1:13" ht="12.75">
      <c r="A69">
        <f t="shared" si="2"/>
        <v>46</v>
      </c>
      <c r="C69" s="8" t="s">
        <v>52</v>
      </c>
      <c r="D69" s="8"/>
      <c r="E69" s="8"/>
      <c r="F69" s="8"/>
      <c r="G69" s="35">
        <v>10</v>
      </c>
      <c r="M69" s="11"/>
    </row>
    <row r="70" spans="1:13" ht="9" customHeight="1">
      <c r="A70">
        <f t="shared" si="2"/>
        <v>47</v>
      </c>
      <c r="C70" s="7"/>
      <c r="D70" s="7"/>
      <c r="E70" s="7"/>
      <c r="F70" s="7"/>
      <c r="M70" s="11"/>
    </row>
    <row r="71" spans="1:14" ht="12.75">
      <c r="A71">
        <f t="shared" si="2"/>
        <v>48</v>
      </c>
      <c r="C71" t="s">
        <v>32</v>
      </c>
      <c r="G71" s="6">
        <f>+D11</f>
        <v>24000000</v>
      </c>
      <c r="H71" s="4">
        <f aca="true" t="shared" si="7" ref="H71:N71">+G71-H72</f>
        <v>24000000</v>
      </c>
      <c r="I71" s="4">
        <f t="shared" si="7"/>
        <v>24000000</v>
      </c>
      <c r="J71" s="4">
        <f t="shared" si="7"/>
        <v>24000000</v>
      </c>
      <c r="K71" s="4">
        <f t="shared" si="7"/>
        <v>24000000</v>
      </c>
      <c r="L71" s="4">
        <f t="shared" si="7"/>
        <v>24000000</v>
      </c>
      <c r="M71" s="13">
        <f t="shared" si="7"/>
        <v>24000000</v>
      </c>
      <c r="N71" s="4">
        <f t="shared" si="7"/>
        <v>24000000</v>
      </c>
    </row>
    <row r="72" spans="1:14" ht="12.75">
      <c r="A72">
        <f t="shared" si="2"/>
        <v>49</v>
      </c>
      <c r="C72" t="s">
        <v>31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13">
        <v>0</v>
      </c>
      <c r="N72" s="4">
        <v>0</v>
      </c>
    </row>
    <row r="73" spans="1:14" ht="12.75">
      <c r="A73">
        <f t="shared" si="2"/>
        <v>50</v>
      </c>
      <c r="C73" t="s">
        <v>30</v>
      </c>
      <c r="H73" s="4">
        <f aca="true" t="shared" si="8" ref="H73:N73">+G71*$G$67</f>
        <v>2160000</v>
      </c>
      <c r="I73" s="4">
        <f t="shared" si="8"/>
        <v>2160000</v>
      </c>
      <c r="J73" s="4">
        <f t="shared" si="8"/>
        <v>2160000</v>
      </c>
      <c r="K73" s="4">
        <f t="shared" si="8"/>
        <v>2160000</v>
      </c>
      <c r="L73" s="4">
        <f t="shared" si="8"/>
        <v>2160000</v>
      </c>
      <c r="M73" s="13">
        <f t="shared" si="8"/>
        <v>2160000</v>
      </c>
      <c r="N73" s="4">
        <f t="shared" si="8"/>
        <v>2160000</v>
      </c>
    </row>
    <row r="74" spans="1:14" ht="13.5" thickBot="1">
      <c r="A74">
        <f t="shared" si="2"/>
        <v>51</v>
      </c>
      <c r="C74" t="s">
        <v>37</v>
      </c>
      <c r="H74" s="24">
        <f aca="true" t="shared" si="9" ref="H74:N74">+H72+H73</f>
        <v>2160000</v>
      </c>
      <c r="I74" s="24">
        <f t="shared" si="9"/>
        <v>2160000</v>
      </c>
      <c r="J74" s="24">
        <f t="shared" si="9"/>
        <v>2160000</v>
      </c>
      <c r="K74" s="24">
        <f t="shared" si="9"/>
        <v>2160000</v>
      </c>
      <c r="L74" s="24">
        <f t="shared" si="9"/>
        <v>2160000</v>
      </c>
      <c r="M74" s="23">
        <f t="shared" si="9"/>
        <v>2160000</v>
      </c>
      <c r="N74" s="24">
        <f t="shared" si="9"/>
        <v>2160000</v>
      </c>
    </row>
    <row r="75" spans="1:14" ht="9.75" customHeight="1" thickTop="1">
      <c r="A75">
        <f t="shared" si="2"/>
        <v>52</v>
      </c>
      <c r="H75" s="27"/>
      <c r="I75" s="27"/>
      <c r="J75" s="27"/>
      <c r="K75" s="27"/>
      <c r="L75" s="27"/>
      <c r="M75" s="13"/>
      <c r="N75" s="27"/>
    </row>
    <row r="76" spans="1:14" ht="12.75">
      <c r="A76">
        <f t="shared" si="2"/>
        <v>53</v>
      </c>
      <c r="C76" t="s">
        <v>83</v>
      </c>
      <c r="H76" s="27">
        <f aca="true" t="shared" si="10" ref="H76:N76">+H72+H73+H61+H62</f>
        <v>5760000</v>
      </c>
      <c r="I76" s="27">
        <f t="shared" si="10"/>
        <v>9760000</v>
      </c>
      <c r="J76" s="27">
        <f t="shared" si="10"/>
        <v>9520000</v>
      </c>
      <c r="K76" s="27">
        <f t="shared" si="10"/>
        <v>10280000</v>
      </c>
      <c r="L76" s="27">
        <f t="shared" si="10"/>
        <v>11980000</v>
      </c>
      <c r="M76" s="13">
        <f t="shared" si="10"/>
        <v>12560000</v>
      </c>
      <c r="N76" s="27">
        <f t="shared" si="10"/>
        <v>36080000</v>
      </c>
    </row>
    <row r="77" spans="1:14" ht="12.75">
      <c r="A77">
        <f t="shared" si="2"/>
        <v>54</v>
      </c>
      <c r="C77" t="s">
        <v>82</v>
      </c>
      <c r="H77" s="27">
        <f aca="true" t="shared" si="11" ref="H77:N77">+H71+H60</f>
        <v>84000000</v>
      </c>
      <c r="I77" s="27">
        <f t="shared" si="11"/>
        <v>80000000</v>
      </c>
      <c r="J77" s="27">
        <f t="shared" si="11"/>
        <v>76000000</v>
      </c>
      <c r="K77" s="27">
        <f t="shared" si="11"/>
        <v>71000000</v>
      </c>
      <c r="L77" s="27">
        <f t="shared" si="11"/>
        <v>64000000</v>
      </c>
      <c r="M77" s="13">
        <f t="shared" si="11"/>
        <v>56000000</v>
      </c>
      <c r="N77" s="27">
        <f t="shared" si="11"/>
        <v>24000000</v>
      </c>
    </row>
    <row r="78" spans="1:14" ht="13.5" thickBot="1">
      <c r="A78">
        <f aca="true" t="shared" si="12" ref="A78:A106">+A77+1</f>
        <v>55</v>
      </c>
      <c r="H78" s="27"/>
      <c r="I78" s="27"/>
      <c r="J78" s="27"/>
      <c r="K78" s="27"/>
      <c r="L78" s="27"/>
      <c r="M78" s="159"/>
      <c r="N78" s="27"/>
    </row>
    <row r="79" spans="1:13" ht="12.75">
      <c r="A79">
        <f t="shared" si="12"/>
        <v>56</v>
      </c>
      <c r="D79" s="84"/>
      <c r="E79" s="84"/>
      <c r="F79" s="84"/>
      <c r="M79" s="26"/>
    </row>
    <row r="80" spans="1:13" ht="13.5" thickBot="1">
      <c r="A80">
        <f t="shared" si="12"/>
        <v>57</v>
      </c>
      <c r="D80" s="158" t="s">
        <v>113</v>
      </c>
      <c r="E80" s="158"/>
      <c r="F80" s="158"/>
      <c r="H80" s="146" t="s">
        <v>125</v>
      </c>
      <c r="I80" s="133"/>
      <c r="J80" s="133"/>
      <c r="K80" s="133"/>
      <c r="L80" s="133"/>
      <c r="M80" s="131"/>
    </row>
    <row r="81" spans="1:13" ht="12.75">
      <c r="A81">
        <f t="shared" si="12"/>
        <v>58</v>
      </c>
      <c r="D81" s="91" t="s">
        <v>114</v>
      </c>
      <c r="E81" s="92" t="s">
        <v>115</v>
      </c>
      <c r="F81" s="93" t="s">
        <v>116</v>
      </c>
      <c r="H81" s="97" t="s">
        <v>90</v>
      </c>
      <c r="I81" s="92" t="s">
        <v>91</v>
      </c>
      <c r="J81" s="92" t="s">
        <v>92</v>
      </c>
      <c r="K81" s="92" t="s">
        <v>93</v>
      </c>
      <c r="L81" s="92" t="s">
        <v>94</v>
      </c>
      <c r="M81" s="98" t="s">
        <v>56</v>
      </c>
    </row>
    <row r="82" spans="1:13" ht="13.5" thickBot="1">
      <c r="A82">
        <f t="shared" si="12"/>
        <v>59</v>
      </c>
      <c r="D82" s="94">
        <v>2009</v>
      </c>
      <c r="E82" s="95">
        <v>2010</v>
      </c>
      <c r="F82" s="96">
        <v>2011</v>
      </c>
      <c r="G82" s="85" t="s">
        <v>42</v>
      </c>
      <c r="H82" s="99">
        <f>+F82+1</f>
        <v>2012</v>
      </c>
      <c r="I82" s="95">
        <f>+H82+1</f>
        <v>2013</v>
      </c>
      <c r="J82" s="95">
        <f>+I82+1</f>
        <v>2014</v>
      </c>
      <c r="K82" s="95">
        <f>+J82+1</f>
        <v>2015</v>
      </c>
      <c r="L82" s="95">
        <f>+K82+1</f>
        <v>2016</v>
      </c>
      <c r="M82" s="99">
        <f>+L82+1</f>
        <v>2017</v>
      </c>
    </row>
    <row r="83" spans="1:13" ht="6" customHeight="1">
      <c r="A83">
        <f t="shared" si="12"/>
        <v>60</v>
      </c>
      <c r="C83" s="7"/>
      <c r="D83" s="7"/>
      <c r="E83" s="7"/>
      <c r="F83" s="7"/>
      <c r="H83" s="11"/>
      <c r="M83" s="11"/>
    </row>
    <row r="84" spans="1:13" ht="12.75">
      <c r="A84">
        <f t="shared" si="12"/>
        <v>61</v>
      </c>
      <c r="C84" s="7" t="s">
        <v>4</v>
      </c>
      <c r="D84" s="7"/>
      <c r="E84" s="7"/>
      <c r="F84" s="7"/>
      <c r="G84" s="64"/>
      <c r="H84" s="11"/>
      <c r="M84" s="11"/>
    </row>
    <row r="85" spans="1:13" ht="12.75">
      <c r="A85">
        <f t="shared" si="12"/>
        <v>62</v>
      </c>
      <c r="C85" t="s">
        <v>0</v>
      </c>
      <c r="D85" s="5">
        <v>300</v>
      </c>
      <c r="E85" s="5">
        <v>310</v>
      </c>
      <c r="F85" s="5">
        <f>+E85*((1+0.085))</f>
        <v>336.34999999999997</v>
      </c>
      <c r="G85" s="64"/>
      <c r="H85" s="30">
        <f>+F85*(1+H89)</f>
        <v>353.16749999999996</v>
      </c>
      <c r="I85" s="5">
        <f>+H85*(1+I89)</f>
        <v>370.825875</v>
      </c>
      <c r="J85" s="5">
        <f>+I85*(1+J89)</f>
        <v>389.36716875</v>
      </c>
      <c r="K85" s="5">
        <f>+J85*(1+K89)</f>
        <v>408.8355271875</v>
      </c>
      <c r="L85" s="5">
        <f>+K85*(1+L89)</f>
        <v>429.27730354687503</v>
      </c>
      <c r="M85" s="14">
        <f>+L85*(1+M89)</f>
        <v>450.7411687242188</v>
      </c>
    </row>
    <row r="86" spans="1:13" ht="12.75">
      <c r="A86">
        <f t="shared" si="12"/>
        <v>63</v>
      </c>
      <c r="C86" t="s">
        <v>1</v>
      </c>
      <c r="D86">
        <v>300</v>
      </c>
      <c r="E86">
        <v>300</v>
      </c>
      <c r="F86">
        <v>300</v>
      </c>
      <c r="G86" s="64"/>
      <c r="H86" s="11">
        <v>300</v>
      </c>
      <c r="I86">
        <f aca="true" t="shared" si="13" ref="I86:M87">+H86</f>
        <v>300</v>
      </c>
      <c r="J86">
        <f t="shared" si="13"/>
        <v>300</v>
      </c>
      <c r="K86">
        <f t="shared" si="13"/>
        <v>300</v>
      </c>
      <c r="L86">
        <f t="shared" si="13"/>
        <v>300</v>
      </c>
      <c r="M86" s="11">
        <f t="shared" si="13"/>
        <v>300</v>
      </c>
    </row>
    <row r="87" spans="1:13" ht="12.75">
      <c r="A87">
        <f t="shared" si="12"/>
        <v>64</v>
      </c>
      <c r="C87" t="s">
        <v>68</v>
      </c>
      <c r="D87" s="3">
        <v>0.67</v>
      </c>
      <c r="E87" s="3">
        <v>0.77</v>
      </c>
      <c r="F87" s="3">
        <v>0.83</v>
      </c>
      <c r="G87" s="149">
        <f>AVERAGE(D87:F87)</f>
        <v>0.7566666666666667</v>
      </c>
      <c r="H87" s="12">
        <v>0.75</v>
      </c>
      <c r="I87" s="3">
        <f t="shared" si="13"/>
        <v>0.75</v>
      </c>
      <c r="J87" s="3">
        <f t="shared" si="13"/>
        <v>0.75</v>
      </c>
      <c r="K87" s="3">
        <f t="shared" si="13"/>
        <v>0.75</v>
      </c>
      <c r="L87" s="3">
        <f t="shared" si="13"/>
        <v>0.75</v>
      </c>
      <c r="M87" s="12">
        <f t="shared" si="13"/>
        <v>0.75</v>
      </c>
    </row>
    <row r="88" spans="1:13" ht="5.25" customHeight="1">
      <c r="A88">
        <f t="shared" si="12"/>
        <v>65</v>
      </c>
      <c r="G88" s="64"/>
      <c r="H88" s="12"/>
      <c r="M88" s="11"/>
    </row>
    <row r="89" spans="1:13" ht="12.75">
      <c r="A89">
        <f t="shared" si="12"/>
        <v>66</v>
      </c>
      <c r="C89" t="s">
        <v>15</v>
      </c>
      <c r="D89" s="3"/>
      <c r="E89" s="3">
        <f>+E85/D85-1</f>
        <v>0.03333333333333344</v>
      </c>
      <c r="F89" s="3">
        <f>+F85/E85-1</f>
        <v>0.08499999999999996</v>
      </c>
      <c r="G89" s="149">
        <f>AVERAGE(D89:F89)</f>
        <v>0.0591666666666667</v>
      </c>
      <c r="H89" s="86">
        <v>0.05</v>
      </c>
      <c r="I89" s="3">
        <f>+H89</f>
        <v>0.05</v>
      </c>
      <c r="J89" s="3">
        <v>0.05</v>
      </c>
      <c r="K89" s="3">
        <v>0.05</v>
      </c>
      <c r="L89" s="3">
        <v>0.05</v>
      </c>
      <c r="M89" s="12">
        <v>0.05</v>
      </c>
    </row>
    <row r="90" spans="1:13" ht="7.5" customHeight="1">
      <c r="A90">
        <f t="shared" si="12"/>
        <v>67</v>
      </c>
      <c r="G90" s="64"/>
      <c r="H90" s="11"/>
      <c r="M90" s="11"/>
    </row>
    <row r="91" spans="1:13" ht="12.75">
      <c r="A91">
        <f t="shared" si="12"/>
        <v>68</v>
      </c>
      <c r="C91" t="s">
        <v>67</v>
      </c>
      <c r="D91" s="4">
        <f>+D86*365</f>
        <v>109500</v>
      </c>
      <c r="E91" s="4">
        <f>+E86*365</f>
        <v>109500</v>
      </c>
      <c r="F91" s="4">
        <f>+F86*365</f>
        <v>109500</v>
      </c>
      <c r="G91" s="64"/>
      <c r="H91" s="13">
        <f aca="true" t="shared" si="14" ref="H91:M91">+H86*365</f>
        <v>109500</v>
      </c>
      <c r="I91" s="4">
        <f t="shared" si="14"/>
        <v>109500</v>
      </c>
      <c r="J91" s="4">
        <f t="shared" si="14"/>
        <v>109500</v>
      </c>
      <c r="K91" s="4">
        <f t="shared" si="14"/>
        <v>109500</v>
      </c>
      <c r="L91" s="4">
        <f t="shared" si="14"/>
        <v>109500</v>
      </c>
      <c r="M91" s="13">
        <f t="shared" si="14"/>
        <v>109500</v>
      </c>
    </row>
    <row r="92" spans="1:13" ht="6.75" customHeight="1">
      <c r="A92">
        <f t="shared" si="12"/>
        <v>69</v>
      </c>
      <c r="G92" s="64"/>
      <c r="H92" s="11"/>
      <c r="M92" s="11"/>
    </row>
    <row r="93" spans="1:13" ht="12.75">
      <c r="A93">
        <f t="shared" si="12"/>
        <v>70</v>
      </c>
      <c r="C93" t="s">
        <v>2</v>
      </c>
      <c r="D93" s="5">
        <f>+D87*D85</f>
        <v>201</v>
      </c>
      <c r="E93" s="5">
        <f>+E87*E85</f>
        <v>238.70000000000002</v>
      </c>
      <c r="F93" s="5">
        <f>+F87*F85</f>
        <v>279.17049999999995</v>
      </c>
      <c r="G93" s="64"/>
      <c r="H93" s="14">
        <f aca="true" t="shared" si="15" ref="H93:M93">+H87*H85</f>
        <v>264.87562499999996</v>
      </c>
      <c r="I93" s="5">
        <f t="shared" si="15"/>
        <v>278.11940625</v>
      </c>
      <c r="J93" s="5">
        <f t="shared" si="15"/>
        <v>292.0253765625</v>
      </c>
      <c r="K93" s="5">
        <f t="shared" si="15"/>
        <v>306.626645390625</v>
      </c>
      <c r="L93" s="5">
        <f t="shared" si="15"/>
        <v>321.9579776601563</v>
      </c>
      <c r="M93" s="14">
        <f t="shared" si="15"/>
        <v>338.0558765431641</v>
      </c>
    </row>
    <row r="94" spans="1:13" ht="8.25" customHeight="1">
      <c r="A94">
        <f t="shared" si="12"/>
        <v>71</v>
      </c>
      <c r="G94" s="64"/>
      <c r="H94" s="11"/>
      <c r="M94" s="11"/>
    </row>
    <row r="95" spans="1:13" ht="13.5" thickBot="1">
      <c r="A95">
        <f t="shared" si="12"/>
        <v>72</v>
      </c>
      <c r="C95" t="s">
        <v>3</v>
      </c>
      <c r="D95" s="24">
        <f>+D93*D91</f>
        <v>22009500</v>
      </c>
      <c r="E95" s="24">
        <f>+E93*E91</f>
        <v>26137650.000000004</v>
      </c>
      <c r="F95" s="24">
        <f>+F93*F91</f>
        <v>30569169.749999993</v>
      </c>
      <c r="G95" s="64"/>
      <c r="H95" s="23">
        <f aca="true" t="shared" si="16" ref="H95:M95">+H93*H91</f>
        <v>29003880.937499996</v>
      </c>
      <c r="I95" s="24">
        <f t="shared" si="16"/>
        <v>30454074.984375</v>
      </c>
      <c r="J95" s="24">
        <f t="shared" si="16"/>
        <v>31976778.73359375</v>
      </c>
      <c r="K95" s="24">
        <f t="shared" si="16"/>
        <v>33575617.67027344</v>
      </c>
      <c r="L95" s="24">
        <f t="shared" si="16"/>
        <v>35254398.55378711</v>
      </c>
      <c r="M95" s="23">
        <f t="shared" si="16"/>
        <v>37017118.48147647</v>
      </c>
    </row>
    <row r="96" spans="1:13" ht="13.5" thickTop="1">
      <c r="A96">
        <f t="shared" si="12"/>
        <v>73</v>
      </c>
      <c r="C96" t="s">
        <v>65</v>
      </c>
      <c r="G96" s="64"/>
      <c r="H96" s="13"/>
      <c r="I96" s="28">
        <f>+I95/H95-1</f>
        <v>0.050000000000000044</v>
      </c>
      <c r="J96" s="28">
        <f>+J95/I95-1</f>
        <v>0.050000000000000044</v>
      </c>
      <c r="K96" s="28">
        <f>+K95/J95-1</f>
        <v>0.050000000000000044</v>
      </c>
      <c r="L96" s="28">
        <f>+L95/K95-1</f>
        <v>0.050000000000000044</v>
      </c>
      <c r="M96" s="12">
        <f>+M95/L95-1</f>
        <v>0.050000000000000044</v>
      </c>
    </row>
    <row r="97" spans="1:13" ht="6" customHeight="1">
      <c r="A97">
        <f t="shared" si="12"/>
        <v>74</v>
      </c>
      <c r="G97" s="64"/>
      <c r="H97" s="11"/>
      <c r="M97" s="11"/>
    </row>
    <row r="98" spans="1:13" ht="12.75">
      <c r="A98">
        <f t="shared" si="12"/>
        <v>75</v>
      </c>
      <c r="C98" s="7" t="s">
        <v>5</v>
      </c>
      <c r="D98" s="7"/>
      <c r="E98" s="7"/>
      <c r="F98" s="7"/>
      <c r="G98" s="64"/>
      <c r="H98" s="11"/>
      <c r="M98" s="11"/>
    </row>
    <row r="99" spans="1:13" s="8" customFormat="1" ht="12.75">
      <c r="A99">
        <f t="shared" si="12"/>
        <v>76</v>
      </c>
      <c r="B99"/>
      <c r="C99" s="8" t="s">
        <v>6</v>
      </c>
      <c r="D99" s="88">
        <v>0.28</v>
      </c>
      <c r="E99" s="88">
        <v>0.24</v>
      </c>
      <c r="F99" s="88">
        <v>0.23</v>
      </c>
      <c r="G99" s="149">
        <f>AVERAGE(D99:F99)</f>
        <v>0.25</v>
      </c>
      <c r="H99" s="15">
        <v>0.25</v>
      </c>
      <c r="I99" s="9">
        <f>+H99</f>
        <v>0.25</v>
      </c>
      <c r="J99" s="9">
        <f>+I99</f>
        <v>0.25</v>
      </c>
      <c r="K99" s="9">
        <f>+J99</f>
        <v>0.25</v>
      </c>
      <c r="L99" s="9">
        <f>+K99</f>
        <v>0.25</v>
      </c>
      <c r="M99" s="15">
        <f>+L99</f>
        <v>0.25</v>
      </c>
    </row>
    <row r="100" spans="1:13" s="8" customFormat="1" ht="13.5" thickBot="1">
      <c r="A100">
        <f t="shared" si="12"/>
        <v>77</v>
      </c>
      <c r="B100"/>
      <c r="C100" s="8" t="s">
        <v>7</v>
      </c>
      <c r="D100" s="22">
        <f>+D95*0.23</f>
        <v>5062185</v>
      </c>
      <c r="E100" s="22">
        <f>+E95*0.27</f>
        <v>7057165.500000002</v>
      </c>
      <c r="F100" s="22">
        <v>7512252.774999989</v>
      </c>
      <c r="G100" s="160"/>
      <c r="H100" s="21">
        <f aca="true" t="shared" si="17" ref="H100:M100">+H99*H95</f>
        <v>7250970.234374999</v>
      </c>
      <c r="I100" s="22">
        <f t="shared" si="17"/>
        <v>7613518.74609375</v>
      </c>
      <c r="J100" s="22">
        <f t="shared" si="17"/>
        <v>7994194.683398438</v>
      </c>
      <c r="K100" s="22">
        <f t="shared" si="17"/>
        <v>8393904.41756836</v>
      </c>
      <c r="L100" s="22">
        <f t="shared" si="17"/>
        <v>8813599.638446778</v>
      </c>
      <c r="M100" s="21">
        <f t="shared" si="17"/>
        <v>9254279.620369118</v>
      </c>
    </row>
    <row r="101" spans="1:13" s="8" customFormat="1" ht="8.25" customHeight="1" thickTop="1">
      <c r="A101">
        <f t="shared" si="12"/>
        <v>78</v>
      </c>
      <c r="B101"/>
      <c r="G101" s="160"/>
      <c r="H101" s="16"/>
      <c r="M101" s="16"/>
    </row>
    <row r="102" spans="1:13" s="8" customFormat="1" ht="12.75">
      <c r="A102">
        <f t="shared" si="12"/>
        <v>79</v>
      </c>
      <c r="B102"/>
      <c r="C102" s="7" t="s">
        <v>8</v>
      </c>
      <c r="D102" s="7"/>
      <c r="E102" s="7"/>
      <c r="F102" s="7"/>
      <c r="G102" s="160"/>
      <c r="H102" s="16"/>
      <c r="M102" s="16"/>
    </row>
    <row r="103" spans="1:13" s="8" customFormat="1" ht="12.75">
      <c r="A103">
        <f t="shared" si="12"/>
        <v>80</v>
      </c>
      <c r="B103"/>
      <c r="C103" s="8" t="s">
        <v>6</v>
      </c>
      <c r="D103" s="88">
        <v>0.09</v>
      </c>
      <c r="E103" s="88">
        <f>+E104/E95</f>
        <v>0.11</v>
      </c>
      <c r="F103" s="88">
        <f>+F104/F95</f>
        <v>0.1</v>
      </c>
      <c r="G103" s="149">
        <f>AVERAGE(D103:F103)</f>
        <v>0.10000000000000002</v>
      </c>
      <c r="H103" s="15">
        <v>0.1</v>
      </c>
      <c r="I103" s="9">
        <f>+H103</f>
        <v>0.1</v>
      </c>
      <c r="J103" s="9">
        <f>+I103</f>
        <v>0.1</v>
      </c>
      <c r="K103" s="9">
        <f>+J103</f>
        <v>0.1</v>
      </c>
      <c r="L103" s="9">
        <f>+K103</f>
        <v>0.1</v>
      </c>
      <c r="M103" s="15">
        <f>+L103</f>
        <v>0.1</v>
      </c>
    </row>
    <row r="104" spans="1:13" s="8" customFormat="1" ht="13.5" thickBot="1">
      <c r="A104">
        <f t="shared" si="12"/>
        <v>81</v>
      </c>
      <c r="B104"/>
      <c r="C104" s="8" t="s">
        <v>9</v>
      </c>
      <c r="D104" s="22">
        <f>+D95*0.12</f>
        <v>2641140</v>
      </c>
      <c r="E104" s="22">
        <f>+E95*0.11</f>
        <v>2875141.5000000005</v>
      </c>
      <c r="F104" s="22">
        <f>+F95*0.1</f>
        <v>3056916.9749999996</v>
      </c>
      <c r="G104" s="160"/>
      <c r="H104" s="21">
        <f aca="true" t="shared" si="18" ref="H104:M104">+H103*H95</f>
        <v>2900388.09375</v>
      </c>
      <c r="I104" s="22">
        <f t="shared" si="18"/>
        <v>3045407.4984375</v>
      </c>
      <c r="J104" s="22">
        <f t="shared" si="18"/>
        <v>3197677.873359375</v>
      </c>
      <c r="K104" s="22">
        <f t="shared" si="18"/>
        <v>3357561.767027344</v>
      </c>
      <c r="L104" s="22">
        <f t="shared" si="18"/>
        <v>3525439.8553787116</v>
      </c>
      <c r="M104" s="21">
        <f t="shared" si="18"/>
        <v>3701711.8481476475</v>
      </c>
    </row>
    <row r="105" spans="1:13" ht="8.25" customHeight="1" thickTop="1">
      <c r="A105">
        <f t="shared" si="12"/>
        <v>82</v>
      </c>
      <c r="G105" s="64"/>
      <c r="H105" s="11"/>
      <c r="M105" s="11"/>
    </row>
    <row r="106" spans="1:13" ht="12.75">
      <c r="A106">
        <f t="shared" si="12"/>
        <v>83</v>
      </c>
      <c r="C106" s="2" t="s">
        <v>10</v>
      </c>
      <c r="D106" s="60">
        <f>+D95-D100-D104</f>
        <v>14306175</v>
      </c>
      <c r="E106" s="60">
        <f>+E95-E100-E104</f>
        <v>16205343</v>
      </c>
      <c r="F106" s="60">
        <f>+F95-F100-F104</f>
        <v>20000000</v>
      </c>
      <c r="G106" s="64"/>
      <c r="H106" s="17">
        <f aca="true" t="shared" si="19" ref="H106:M106">+H95-H100-H104</f>
        <v>18852522.609374996</v>
      </c>
      <c r="I106" s="6">
        <f t="shared" si="19"/>
        <v>19795148.73984375</v>
      </c>
      <c r="J106" s="6">
        <f t="shared" si="19"/>
        <v>20784906.17683594</v>
      </c>
      <c r="K106" s="6">
        <f t="shared" si="19"/>
        <v>21824151.485677734</v>
      </c>
      <c r="L106" s="6">
        <f t="shared" si="19"/>
        <v>22915359.059961624</v>
      </c>
      <c r="M106" s="17">
        <f t="shared" si="19"/>
        <v>24061127.012959704</v>
      </c>
    </row>
    <row r="107" spans="1:13" ht="12.75">
      <c r="A107">
        <f aca="true" t="shared" si="20" ref="A107:A168">+A106+1</f>
        <v>84</v>
      </c>
      <c r="C107" s="2" t="s">
        <v>63</v>
      </c>
      <c r="D107" s="87">
        <f>+D95*0.05</f>
        <v>1100475</v>
      </c>
      <c r="E107" s="87">
        <f>+E95*0.05</f>
        <v>1306882.5000000002</v>
      </c>
      <c r="F107" s="87">
        <f>+F95*0.05</f>
        <v>1528458.4874999998</v>
      </c>
      <c r="G107" s="64"/>
      <c r="H107" s="245">
        <f>-G108*H95</f>
        <v>-1450194.046875</v>
      </c>
      <c r="I107" s="10">
        <f>-$G$108*I95</f>
        <v>-1522703.7492187503</v>
      </c>
      <c r="J107" s="10">
        <f>-$G$108*J95</f>
        <v>-1598838.9366796878</v>
      </c>
      <c r="K107" s="10">
        <f>-$G$108*K95</f>
        <v>-1678780.8835136723</v>
      </c>
      <c r="L107" s="10">
        <f>-$G$108*L95</f>
        <v>-1762719.927689356</v>
      </c>
      <c r="M107" s="18">
        <f>-$G$108*M95</f>
        <v>-1850855.924073824</v>
      </c>
    </row>
    <row r="108" spans="3:13" ht="12.75">
      <c r="C108" s="2"/>
      <c r="D108" s="89">
        <f>+D107/D95</f>
        <v>0.05</v>
      </c>
      <c r="E108" s="89">
        <f>+E107/E95</f>
        <v>0.05</v>
      </c>
      <c r="F108" s="89">
        <f>+F107/F95</f>
        <v>0.05</v>
      </c>
      <c r="G108" s="149">
        <f>AVERAGE(D108:F108)</f>
        <v>0.05000000000000001</v>
      </c>
      <c r="H108" s="86"/>
      <c r="I108" s="29"/>
      <c r="J108" s="29"/>
      <c r="K108" s="29"/>
      <c r="L108" s="29"/>
      <c r="M108" s="17"/>
    </row>
    <row r="109" spans="1:13" ht="13.5" thickBot="1">
      <c r="A109">
        <f>+A107+1</f>
        <v>85</v>
      </c>
      <c r="C109" s="2" t="s">
        <v>57</v>
      </c>
      <c r="D109" s="53">
        <f>+D106-D107</f>
        <v>13205700</v>
      </c>
      <c r="E109" s="53">
        <f>+E106-E107</f>
        <v>14898460.5</v>
      </c>
      <c r="F109" s="53">
        <f>+F106-F107</f>
        <v>18471541.5125</v>
      </c>
      <c r="G109" s="64"/>
      <c r="H109" s="17">
        <f aca="true" t="shared" si="21" ref="H109:M109">SUM(H106:H107)</f>
        <v>17402328.562499996</v>
      </c>
      <c r="I109" s="6">
        <f t="shared" si="21"/>
        <v>18272444.990624998</v>
      </c>
      <c r="J109" s="6">
        <f t="shared" si="21"/>
        <v>19186067.240156252</v>
      </c>
      <c r="K109" s="6">
        <f t="shared" si="21"/>
        <v>20145370.60216406</v>
      </c>
      <c r="L109" s="6">
        <f t="shared" si="21"/>
        <v>21152639.13227227</v>
      </c>
      <c r="M109" s="17">
        <f t="shared" si="21"/>
        <v>22210271.08888588</v>
      </c>
    </row>
    <row r="110" spans="1:13" ht="13.5" thickTop="1">
      <c r="A110">
        <f t="shared" si="20"/>
        <v>86</v>
      </c>
      <c r="C110" s="2"/>
      <c r="D110" s="2"/>
      <c r="E110" s="2"/>
      <c r="F110" s="2"/>
      <c r="G110" s="64"/>
      <c r="H110" s="17"/>
      <c r="I110" s="6"/>
      <c r="J110" s="6"/>
      <c r="K110" s="6"/>
      <c r="L110" s="6"/>
      <c r="M110" s="17"/>
    </row>
    <row r="111" spans="1:13" ht="12.75">
      <c r="A111">
        <f t="shared" si="20"/>
        <v>87</v>
      </c>
      <c r="C111" t="s">
        <v>12</v>
      </c>
      <c r="G111" s="148">
        <v>0.4</v>
      </c>
      <c r="H111" s="13">
        <f aca="true" t="shared" si="22" ref="H111:M111">-$G$111*H109</f>
        <v>-6960931.424999999</v>
      </c>
      <c r="I111" s="4">
        <f t="shared" si="22"/>
        <v>-7308977.99625</v>
      </c>
      <c r="J111" s="4">
        <f t="shared" si="22"/>
        <v>-7674426.896062501</v>
      </c>
      <c r="K111" s="4">
        <f t="shared" si="22"/>
        <v>-8058148.2408656245</v>
      </c>
      <c r="L111" s="4">
        <f t="shared" si="22"/>
        <v>-8461055.652908908</v>
      </c>
      <c r="M111" s="13">
        <f t="shared" si="22"/>
        <v>-8884108.435554354</v>
      </c>
    </row>
    <row r="112" spans="1:13" ht="12.75">
      <c r="A112">
        <f t="shared" si="20"/>
        <v>88</v>
      </c>
      <c r="C112" t="s">
        <v>64</v>
      </c>
      <c r="G112" s="148"/>
      <c r="H112" s="13">
        <f aca="true" t="shared" si="23" ref="H112:M112">-H107</f>
        <v>1450194.046875</v>
      </c>
      <c r="I112" s="4">
        <f t="shared" si="23"/>
        <v>1522703.7492187503</v>
      </c>
      <c r="J112" s="4">
        <f t="shared" si="23"/>
        <v>1598838.9366796878</v>
      </c>
      <c r="K112" s="4">
        <f t="shared" si="23"/>
        <v>1678780.8835136723</v>
      </c>
      <c r="L112" s="4">
        <f t="shared" si="23"/>
        <v>1762719.927689356</v>
      </c>
      <c r="M112" s="13">
        <f t="shared" si="23"/>
        <v>1850855.924073824</v>
      </c>
    </row>
    <row r="113" spans="1:13" ht="12.75">
      <c r="A113">
        <f t="shared" si="20"/>
        <v>89</v>
      </c>
      <c r="C113" t="s">
        <v>66</v>
      </c>
      <c r="D113" s="4">
        <v>0</v>
      </c>
      <c r="E113" s="4">
        <v>0</v>
      </c>
      <c r="F113" s="4">
        <v>0</v>
      </c>
      <c r="G113" s="148"/>
      <c r="H113" s="13">
        <v>0</v>
      </c>
      <c r="I113" s="4">
        <v>0</v>
      </c>
      <c r="J113" s="4">
        <v>0</v>
      </c>
      <c r="K113" s="4">
        <v>0</v>
      </c>
      <c r="L113" s="4">
        <v>0</v>
      </c>
      <c r="M113" s="13">
        <v>0</v>
      </c>
    </row>
    <row r="114" spans="1:13" ht="12.75">
      <c r="A114">
        <f t="shared" si="20"/>
        <v>90</v>
      </c>
      <c r="C114" t="s">
        <v>13</v>
      </c>
      <c r="D114" s="27">
        <f>+D95*0.06</f>
        <v>1320570</v>
      </c>
      <c r="E114" s="27">
        <f>+E95*0.04</f>
        <v>1045506.0000000001</v>
      </c>
      <c r="F114" s="27">
        <f>+F95*0.04</f>
        <v>1222766.7899999998</v>
      </c>
      <c r="G114" s="64"/>
      <c r="H114" s="18">
        <f aca="true" t="shared" si="24" ref="H114:M114">-$G$115*H95</f>
        <v>-1353514.4437499999</v>
      </c>
      <c r="I114" s="10">
        <f t="shared" si="24"/>
        <v>-1421190.1659375</v>
      </c>
      <c r="J114" s="10">
        <f t="shared" si="24"/>
        <v>-1492249.6742343751</v>
      </c>
      <c r="K114" s="10">
        <f t="shared" si="24"/>
        <v>-1566862.157946094</v>
      </c>
      <c r="L114" s="10">
        <f t="shared" si="24"/>
        <v>-1645205.2658433986</v>
      </c>
      <c r="M114" s="18">
        <f t="shared" si="24"/>
        <v>-1727465.5291355688</v>
      </c>
    </row>
    <row r="115" spans="4:13" ht="12.75">
      <c r="D115" s="90">
        <f>+D114/D95</f>
        <v>0.06</v>
      </c>
      <c r="E115" s="90">
        <f>+E114/E95</f>
        <v>0.04</v>
      </c>
      <c r="F115" s="90">
        <f>+F114/F95</f>
        <v>0.04</v>
      </c>
      <c r="G115" s="147">
        <f>AVERAGE(D115:F115)</f>
        <v>0.04666666666666667</v>
      </c>
      <c r="H115" s="17"/>
      <c r="I115" s="29"/>
      <c r="J115" s="29"/>
      <c r="K115" s="29"/>
      <c r="L115" s="29"/>
      <c r="M115" s="17"/>
    </row>
    <row r="116" spans="1:13" ht="13.5" thickBot="1">
      <c r="A116">
        <f>+A114+1</f>
        <v>91</v>
      </c>
      <c r="C116" t="s">
        <v>14</v>
      </c>
      <c r="G116" s="64"/>
      <c r="H116" s="25">
        <f aca="true" t="shared" si="25" ref="H116:M116">SUM(H109:H114)</f>
        <v>10538076.740624998</v>
      </c>
      <c r="I116" s="20">
        <f t="shared" si="25"/>
        <v>11064980.577656249</v>
      </c>
      <c r="J116" s="20">
        <f t="shared" si="25"/>
        <v>11618229.606539063</v>
      </c>
      <c r="K116" s="20">
        <f t="shared" si="25"/>
        <v>12199141.086866014</v>
      </c>
      <c r="L116" s="20">
        <f t="shared" si="25"/>
        <v>12809098.14120932</v>
      </c>
      <c r="M116" s="25">
        <f t="shared" si="25"/>
        <v>13449553.048269784</v>
      </c>
    </row>
    <row r="117" spans="1:13" ht="13.5" thickTop="1">
      <c r="A117">
        <f t="shared" si="20"/>
        <v>92</v>
      </c>
      <c r="G117" s="64"/>
      <c r="H117" s="17"/>
      <c r="I117" s="29"/>
      <c r="J117" s="29"/>
      <c r="K117" s="29"/>
      <c r="L117" s="29"/>
      <c r="M117" s="17"/>
    </row>
    <row r="118" spans="1:13" ht="12.75">
      <c r="A118">
        <f t="shared" si="20"/>
        <v>93</v>
      </c>
      <c r="C118" s="7" t="s">
        <v>38</v>
      </c>
      <c r="D118" s="7"/>
      <c r="E118" s="7"/>
      <c r="F118" s="7"/>
      <c r="H118" s="17"/>
      <c r="I118" s="29"/>
      <c r="J118" s="29"/>
      <c r="K118" s="29"/>
      <c r="L118" s="29"/>
      <c r="M118" s="17"/>
    </row>
    <row r="119" spans="1:13" ht="12.75">
      <c r="A119">
        <f t="shared" si="20"/>
        <v>94</v>
      </c>
      <c r="C119" t="s">
        <v>39</v>
      </c>
      <c r="H119" s="17">
        <f aca="true" t="shared" si="26" ref="H119:M119">+H62+H73</f>
        <v>5760000</v>
      </c>
      <c r="I119" s="29">
        <f t="shared" si="26"/>
        <v>5760000</v>
      </c>
      <c r="J119" s="29">
        <f t="shared" si="26"/>
        <v>5520000</v>
      </c>
      <c r="K119" s="29">
        <f t="shared" si="26"/>
        <v>5280000</v>
      </c>
      <c r="L119" s="29">
        <f t="shared" si="26"/>
        <v>4980000</v>
      </c>
      <c r="M119" s="17">
        <f t="shared" si="26"/>
        <v>4560000</v>
      </c>
    </row>
    <row r="120" spans="1:13" ht="12.75">
      <c r="A120">
        <f t="shared" si="20"/>
        <v>95</v>
      </c>
      <c r="C120" t="s">
        <v>40</v>
      </c>
      <c r="H120" s="18">
        <f aca="true" t="shared" si="27" ref="H120:M120">+H61+H72</f>
        <v>0</v>
      </c>
      <c r="I120" s="10">
        <f t="shared" si="27"/>
        <v>4000000</v>
      </c>
      <c r="J120" s="10">
        <f t="shared" si="27"/>
        <v>4000000</v>
      </c>
      <c r="K120" s="10">
        <f t="shared" si="27"/>
        <v>5000000</v>
      </c>
      <c r="L120" s="10">
        <f t="shared" si="27"/>
        <v>7000000</v>
      </c>
      <c r="M120" s="18">
        <f t="shared" si="27"/>
        <v>8000000</v>
      </c>
    </row>
    <row r="121" spans="8:13" ht="12.75">
      <c r="H121" s="17">
        <f aca="true" t="shared" si="28" ref="H121:M121">SUM(H119:H120)</f>
        <v>5760000</v>
      </c>
      <c r="I121" s="29">
        <f t="shared" si="28"/>
        <v>9760000</v>
      </c>
      <c r="J121" s="29">
        <f t="shared" si="28"/>
        <v>9520000</v>
      </c>
      <c r="K121" s="29">
        <f t="shared" si="28"/>
        <v>10280000</v>
      </c>
      <c r="L121" s="29">
        <f t="shared" si="28"/>
        <v>11980000</v>
      </c>
      <c r="M121" s="17">
        <f t="shared" si="28"/>
        <v>12560000</v>
      </c>
    </row>
    <row r="122" spans="8:13" ht="12.75">
      <c r="H122" s="17"/>
      <c r="I122" s="29"/>
      <c r="J122" s="29"/>
      <c r="K122" s="29"/>
      <c r="L122" s="29"/>
      <c r="M122" s="17"/>
    </row>
    <row r="123" spans="1:13" ht="13.5" thickBot="1">
      <c r="A123">
        <f>+A120+1</f>
        <v>96</v>
      </c>
      <c r="C123" t="s">
        <v>41</v>
      </c>
      <c r="H123" s="25">
        <f aca="true" t="shared" si="29" ref="H123:M123">+H116-H121</f>
        <v>4778076.740624998</v>
      </c>
      <c r="I123" s="20">
        <f t="shared" si="29"/>
        <v>1304980.5776562486</v>
      </c>
      <c r="J123" s="20">
        <f t="shared" si="29"/>
        <v>2098229.606539063</v>
      </c>
      <c r="K123" s="20">
        <f t="shared" si="29"/>
        <v>1919141.0868660137</v>
      </c>
      <c r="L123" s="20">
        <f t="shared" si="29"/>
        <v>829098.1412093192</v>
      </c>
      <c r="M123" s="25">
        <f t="shared" si="29"/>
        <v>889553.0482697841</v>
      </c>
    </row>
    <row r="124" spans="1:13" ht="14.25" thickBot="1" thickTop="1">
      <c r="A124">
        <f t="shared" si="20"/>
        <v>97</v>
      </c>
      <c r="H124" s="19"/>
      <c r="M124" s="19"/>
    </row>
    <row r="125" spans="1:13" ht="12.75">
      <c r="A125">
        <f t="shared" si="20"/>
        <v>98</v>
      </c>
      <c r="H125" s="26"/>
      <c r="M125" s="26"/>
    </row>
    <row r="126" spans="1:6" ht="13.5" thickBot="1">
      <c r="A126">
        <f t="shared" si="20"/>
        <v>99</v>
      </c>
      <c r="C126" s="2" t="s">
        <v>78</v>
      </c>
      <c r="D126" s="2"/>
      <c r="E126" s="2"/>
      <c r="F126" s="2"/>
    </row>
    <row r="127" spans="1:13" ht="13.5" thickBot="1">
      <c r="A127">
        <f t="shared" si="20"/>
        <v>100</v>
      </c>
      <c r="G127" s="176" t="s">
        <v>95</v>
      </c>
      <c r="H127" s="177" t="s">
        <v>90</v>
      </c>
      <c r="I127" s="177" t="s">
        <v>91</v>
      </c>
      <c r="J127" s="177" t="s">
        <v>92</v>
      </c>
      <c r="K127" s="177" t="s">
        <v>93</v>
      </c>
      <c r="L127" s="177" t="s">
        <v>94</v>
      </c>
      <c r="M127" s="176" t="s">
        <v>56</v>
      </c>
    </row>
    <row r="128" spans="1:13" ht="12.75">
      <c r="A128">
        <f t="shared" si="20"/>
        <v>101</v>
      </c>
      <c r="C128" t="s">
        <v>16</v>
      </c>
      <c r="G128" s="11"/>
      <c r="H128" s="6">
        <f aca="true" t="shared" si="30" ref="H128:M128">+H95</f>
        <v>29003880.937499996</v>
      </c>
      <c r="I128" s="6">
        <f t="shared" si="30"/>
        <v>30454074.984375</v>
      </c>
      <c r="J128" s="6">
        <f t="shared" si="30"/>
        <v>31976778.73359375</v>
      </c>
      <c r="K128" s="6">
        <f t="shared" si="30"/>
        <v>33575617.67027344</v>
      </c>
      <c r="L128" s="6">
        <f t="shared" si="30"/>
        <v>35254398.55378711</v>
      </c>
      <c r="M128" s="17">
        <f t="shared" si="30"/>
        <v>37017118.48147647</v>
      </c>
    </row>
    <row r="129" spans="1:13" ht="12.75">
      <c r="A129">
        <f t="shared" si="20"/>
        <v>102</v>
      </c>
      <c r="C129" t="s">
        <v>17</v>
      </c>
      <c r="G129" s="11"/>
      <c r="H129" s="6">
        <f aca="true" t="shared" si="31" ref="H129:M129">-H100</f>
        <v>-7250970.234374999</v>
      </c>
      <c r="I129" s="6">
        <f t="shared" si="31"/>
        <v>-7613518.74609375</v>
      </c>
      <c r="J129" s="6">
        <f t="shared" si="31"/>
        <v>-7994194.683398438</v>
      </c>
      <c r="K129" s="6">
        <f t="shared" si="31"/>
        <v>-8393904.41756836</v>
      </c>
      <c r="L129" s="6">
        <f t="shared" si="31"/>
        <v>-8813599.638446778</v>
      </c>
      <c r="M129" s="17">
        <f t="shared" si="31"/>
        <v>-9254279.620369118</v>
      </c>
    </row>
    <row r="130" spans="1:13" ht="12.75">
      <c r="A130">
        <f t="shared" si="20"/>
        <v>103</v>
      </c>
      <c r="C130" t="s">
        <v>18</v>
      </c>
      <c r="G130" s="11"/>
      <c r="H130" s="6">
        <f aca="true" t="shared" si="32" ref="H130:M130">-H104</f>
        <v>-2900388.09375</v>
      </c>
      <c r="I130" s="6">
        <f t="shared" si="32"/>
        <v>-3045407.4984375</v>
      </c>
      <c r="J130" s="6">
        <f t="shared" si="32"/>
        <v>-3197677.873359375</v>
      </c>
      <c r="K130" s="6">
        <f t="shared" si="32"/>
        <v>-3357561.767027344</v>
      </c>
      <c r="L130" s="6">
        <f t="shared" si="32"/>
        <v>-3525439.8553787116</v>
      </c>
      <c r="M130" s="17">
        <f t="shared" si="32"/>
        <v>-3701711.8481476475</v>
      </c>
    </row>
    <row r="131" spans="1:13" ht="13.5" thickBot="1">
      <c r="A131">
        <f t="shared" si="20"/>
        <v>104</v>
      </c>
      <c r="C131" t="s">
        <v>19</v>
      </c>
      <c r="G131" s="11"/>
      <c r="H131" s="20">
        <f aca="true" t="shared" si="33" ref="H131:M131">SUM(H128:H130)</f>
        <v>18852522.609374996</v>
      </c>
      <c r="I131" s="20">
        <f t="shared" si="33"/>
        <v>19795148.73984375</v>
      </c>
      <c r="J131" s="20">
        <f t="shared" si="33"/>
        <v>20784906.17683594</v>
      </c>
      <c r="K131" s="20">
        <f t="shared" si="33"/>
        <v>21824151.485677734</v>
      </c>
      <c r="L131" s="20">
        <f t="shared" si="33"/>
        <v>22915359.059961624</v>
      </c>
      <c r="M131" s="25">
        <f t="shared" si="33"/>
        <v>24061127.012959704</v>
      </c>
    </row>
    <row r="132" spans="1:13" ht="13.5" thickTop="1">
      <c r="A132">
        <f t="shared" si="20"/>
        <v>105</v>
      </c>
      <c r="C132" t="s">
        <v>11</v>
      </c>
      <c r="G132" s="11"/>
      <c r="H132" s="6">
        <f aca="true" t="shared" si="34" ref="H132:M132">+H111</f>
        <v>-6960931.424999999</v>
      </c>
      <c r="I132" s="6">
        <f t="shared" si="34"/>
        <v>-7308977.99625</v>
      </c>
      <c r="J132" s="6">
        <f t="shared" si="34"/>
        <v>-7674426.896062501</v>
      </c>
      <c r="K132" s="6">
        <f t="shared" si="34"/>
        <v>-8058148.2408656245</v>
      </c>
      <c r="L132" s="6">
        <f t="shared" si="34"/>
        <v>-8461055.652908908</v>
      </c>
      <c r="M132" s="17">
        <f t="shared" si="34"/>
        <v>-8884108.435554354</v>
      </c>
    </row>
    <row r="133" spans="1:13" ht="12.75">
      <c r="A133">
        <f t="shared" si="20"/>
        <v>106</v>
      </c>
      <c r="C133" t="s">
        <v>20</v>
      </c>
      <c r="G133" s="11"/>
      <c r="H133" s="6">
        <f aca="true" t="shared" si="35" ref="H133:M133">+H114</f>
        <v>-1353514.4437499999</v>
      </c>
      <c r="I133" s="6">
        <f t="shared" si="35"/>
        <v>-1421190.1659375</v>
      </c>
      <c r="J133" s="6">
        <f t="shared" si="35"/>
        <v>-1492249.6742343751</v>
      </c>
      <c r="K133" s="6">
        <f t="shared" si="35"/>
        <v>-1566862.157946094</v>
      </c>
      <c r="L133" s="6">
        <f t="shared" si="35"/>
        <v>-1645205.2658433986</v>
      </c>
      <c r="M133" s="17">
        <f t="shared" si="35"/>
        <v>-1727465.5291355688</v>
      </c>
    </row>
    <row r="134" spans="1:13" ht="13.5" thickBot="1">
      <c r="A134">
        <f t="shared" si="20"/>
        <v>107</v>
      </c>
      <c r="C134" t="s">
        <v>44</v>
      </c>
      <c r="G134" s="11"/>
      <c r="H134" s="20">
        <f aca="true" t="shared" si="36" ref="H134:M134">SUM(H131:H133)</f>
        <v>10538076.740624998</v>
      </c>
      <c r="I134" s="20">
        <f t="shared" si="36"/>
        <v>11064980.577656249</v>
      </c>
      <c r="J134" s="20">
        <f t="shared" si="36"/>
        <v>11618229.606539063</v>
      </c>
      <c r="K134" s="20">
        <f t="shared" si="36"/>
        <v>12199141.086866014</v>
      </c>
      <c r="L134" s="20">
        <f t="shared" si="36"/>
        <v>12809098.141209317</v>
      </c>
      <c r="M134" s="25">
        <f t="shared" si="36"/>
        <v>13449553.048269782</v>
      </c>
    </row>
    <row r="135" spans="1:13" ht="13.5" thickTop="1">
      <c r="A135">
        <f t="shared" si="20"/>
        <v>108</v>
      </c>
      <c r="G135" s="11"/>
      <c r="H135" s="29"/>
      <c r="I135" s="29"/>
      <c r="J135" s="29"/>
      <c r="K135" s="29"/>
      <c r="L135" s="29"/>
      <c r="M135" s="17"/>
    </row>
    <row r="136" spans="1:13" ht="12.75">
      <c r="A136">
        <f t="shared" si="20"/>
        <v>109</v>
      </c>
      <c r="C136" t="s">
        <v>45</v>
      </c>
      <c r="G136" s="11"/>
      <c r="H136" s="29">
        <f aca="true" t="shared" si="37" ref="H136:M136">+H119+H120</f>
        <v>5760000</v>
      </c>
      <c r="I136" s="29">
        <f t="shared" si="37"/>
        <v>9760000</v>
      </c>
      <c r="J136" s="29">
        <f t="shared" si="37"/>
        <v>9520000</v>
      </c>
      <c r="K136" s="29">
        <f t="shared" si="37"/>
        <v>10280000</v>
      </c>
      <c r="L136" s="29">
        <f t="shared" si="37"/>
        <v>11980000</v>
      </c>
      <c r="M136" s="17">
        <f t="shared" si="37"/>
        <v>12560000</v>
      </c>
    </row>
    <row r="137" spans="1:13" ht="13.5" thickBot="1">
      <c r="A137">
        <f t="shared" si="20"/>
        <v>110</v>
      </c>
      <c r="C137" t="s">
        <v>46</v>
      </c>
      <c r="G137" s="11"/>
      <c r="H137" s="20">
        <f aca="true" t="shared" si="38" ref="H137:M137">+H134-H136</f>
        <v>4778076.740624998</v>
      </c>
      <c r="I137" s="20">
        <f t="shared" si="38"/>
        <v>1304980.5776562486</v>
      </c>
      <c r="J137" s="20">
        <f t="shared" si="38"/>
        <v>2098229.606539063</v>
      </c>
      <c r="K137" s="20">
        <f t="shared" si="38"/>
        <v>1919141.0868660137</v>
      </c>
      <c r="L137" s="20">
        <f t="shared" si="38"/>
        <v>829098.1412093174</v>
      </c>
      <c r="M137" s="25">
        <f t="shared" si="38"/>
        <v>889553.0482697822</v>
      </c>
    </row>
    <row r="138" spans="1:13" ht="13.5" thickTop="1">
      <c r="A138">
        <f t="shared" si="20"/>
        <v>111</v>
      </c>
      <c r="G138" s="11"/>
      <c r="M138" s="11"/>
    </row>
    <row r="139" spans="1:13" ht="12.75">
      <c r="A139">
        <f t="shared" si="20"/>
        <v>112</v>
      </c>
      <c r="C139" s="7" t="s">
        <v>21</v>
      </c>
      <c r="D139" s="7"/>
      <c r="E139" s="7"/>
      <c r="F139" s="7"/>
      <c r="G139" s="11"/>
      <c r="M139" s="11"/>
    </row>
    <row r="140" spans="1:13" ht="12.75">
      <c r="A140">
        <f t="shared" si="20"/>
        <v>113</v>
      </c>
      <c r="C140" t="s">
        <v>22</v>
      </c>
      <c r="G140" s="220">
        <f>+I13</f>
        <v>6</v>
      </c>
      <c r="M140" s="17">
        <f>+G140*M131</f>
        <v>144366762.07775822</v>
      </c>
    </row>
    <row r="141" spans="1:13" ht="12.75">
      <c r="A141">
        <f t="shared" si="20"/>
        <v>114</v>
      </c>
      <c r="C141" t="s">
        <v>55</v>
      </c>
      <c r="G141" s="218">
        <f>+H17</f>
        <v>0.07979999999999995</v>
      </c>
      <c r="M141" s="13">
        <f>+M134/$G$141</f>
        <v>168540765.01591215</v>
      </c>
    </row>
    <row r="142" spans="1:13" ht="13.5" thickBot="1">
      <c r="A142">
        <f t="shared" si="20"/>
        <v>115</v>
      </c>
      <c r="C142" t="s">
        <v>42</v>
      </c>
      <c r="G142" s="11"/>
      <c r="M142" s="23">
        <f>+(M140+M141)/2</f>
        <v>156453763.54683518</v>
      </c>
    </row>
    <row r="143" spans="1:13" ht="14.25" thickBot="1" thickTop="1">
      <c r="A143">
        <f t="shared" si="20"/>
        <v>116</v>
      </c>
      <c r="C143" t="s">
        <v>43</v>
      </c>
      <c r="G143" s="25">
        <f>+G66+D10</f>
        <v>84000000</v>
      </c>
      <c r="M143" s="69">
        <f>+M60+M71</f>
        <v>56000000</v>
      </c>
    </row>
    <row r="144" spans="1:13" ht="13.5" thickTop="1">
      <c r="A144">
        <f t="shared" si="20"/>
        <v>117</v>
      </c>
      <c r="C144" t="s">
        <v>101</v>
      </c>
      <c r="G144" s="17"/>
      <c r="M144" s="17">
        <f>+M142-M143</f>
        <v>100453763.54683518</v>
      </c>
    </row>
    <row r="145" spans="1:13" ht="12.75">
      <c r="A145">
        <f>+A143+1</f>
        <v>117</v>
      </c>
      <c r="G145" s="11"/>
      <c r="M145" s="11"/>
    </row>
    <row r="146" spans="1:13" ht="13.5" thickBot="1">
      <c r="A146">
        <f t="shared" si="20"/>
        <v>118</v>
      </c>
      <c r="C146" t="s">
        <v>46</v>
      </c>
      <c r="G146" s="191">
        <f>-D12</f>
        <v>-36000000</v>
      </c>
      <c r="H146" s="53">
        <f>+H137+H142-H143</f>
        <v>4778076.740624998</v>
      </c>
      <c r="I146" s="53">
        <f>+I137+I142-I143</f>
        <v>1304980.5776562486</v>
      </c>
      <c r="J146" s="53">
        <f>+J137+J142-J143</f>
        <v>2098229.606539063</v>
      </c>
      <c r="K146" s="53">
        <f>+K137+K142-K143</f>
        <v>1919141.0868660137</v>
      </c>
      <c r="L146" s="53">
        <f>+L137+L142-L143</f>
        <v>829098.1412093174</v>
      </c>
      <c r="M146" s="54">
        <f>+M144+M137</f>
        <v>101343316.59510496</v>
      </c>
    </row>
    <row r="147" spans="1:13" ht="13.5" thickTop="1">
      <c r="A147">
        <f t="shared" si="20"/>
        <v>119</v>
      </c>
      <c r="G147" s="29"/>
      <c r="H147" s="80" t="s">
        <v>96</v>
      </c>
      <c r="I147" s="80" t="s">
        <v>96</v>
      </c>
      <c r="J147" s="80" t="s">
        <v>96</v>
      </c>
      <c r="K147" s="80" t="s">
        <v>96</v>
      </c>
      <c r="L147" s="80" t="s">
        <v>96</v>
      </c>
      <c r="M147" s="80" t="s">
        <v>96</v>
      </c>
    </row>
    <row r="148" spans="1:13" ht="12.75">
      <c r="A148">
        <f t="shared" si="20"/>
        <v>120</v>
      </c>
      <c r="C148" s="47" t="s">
        <v>120</v>
      </c>
      <c r="D148" s="47"/>
      <c r="E148" s="47"/>
      <c r="F148" s="47"/>
      <c r="G148" s="219">
        <v>0.17</v>
      </c>
      <c r="H148" s="195">
        <f>(1/(1+$G148))^1</f>
        <v>0.8547008547008548</v>
      </c>
      <c r="I148" s="195">
        <f>(1/(1+$G148))^2</f>
        <v>0.7305135510263716</v>
      </c>
      <c r="J148" s="195">
        <f>(1/(1+$G148))^3</f>
        <v>0.6243705564327963</v>
      </c>
      <c r="K148" s="195">
        <f>(1/(1+$G148))^4</f>
        <v>0.5336500482331592</v>
      </c>
      <c r="L148" s="195">
        <f>(1/(1+$G148))^5</f>
        <v>0.45611115233603355</v>
      </c>
      <c r="M148" s="195">
        <f>(1/(1+$G148))^6</f>
        <v>0.38983859174019964</v>
      </c>
    </row>
    <row r="149" spans="1:13" ht="12.75">
      <c r="A149">
        <f t="shared" si="20"/>
        <v>121</v>
      </c>
      <c r="C149" s="47"/>
      <c r="D149" s="47"/>
      <c r="E149" s="47"/>
      <c r="F149" s="47"/>
      <c r="G149" s="29"/>
      <c r="H149" s="52" t="s">
        <v>97</v>
      </c>
      <c r="I149" s="52" t="s">
        <v>97</v>
      </c>
      <c r="J149" s="52" t="s">
        <v>97</v>
      </c>
      <c r="K149" s="52" t="s">
        <v>97</v>
      </c>
      <c r="L149" s="52" t="s">
        <v>97</v>
      </c>
      <c r="M149" s="52" t="s">
        <v>97</v>
      </c>
    </row>
    <row r="150" spans="1:6" ht="12.75">
      <c r="A150">
        <f t="shared" si="20"/>
        <v>122</v>
      </c>
      <c r="C150" s="47"/>
      <c r="D150" s="47"/>
      <c r="E150" s="47"/>
      <c r="F150" s="47"/>
    </row>
    <row r="151" spans="1:8" ht="12.75">
      <c r="A151">
        <f t="shared" si="20"/>
        <v>123</v>
      </c>
      <c r="C151" s="47" t="s">
        <v>84</v>
      </c>
      <c r="D151" s="47"/>
      <c r="E151" s="47"/>
      <c r="F151" s="47"/>
      <c r="G151" s="50">
        <f>+H148*H146</f>
        <v>4083826.27403846</v>
      </c>
      <c r="H151" s="46"/>
    </row>
    <row r="152" spans="1:7" ht="12.75">
      <c r="A152">
        <f t="shared" si="20"/>
        <v>124</v>
      </c>
      <c r="C152" s="47" t="s">
        <v>85</v>
      </c>
      <c r="D152" s="47"/>
      <c r="E152" s="47"/>
      <c r="F152" s="47"/>
      <c r="G152" s="50">
        <f>+I148*I146</f>
        <v>953305.9958041118</v>
      </c>
    </row>
    <row r="153" spans="1:7" ht="12.75">
      <c r="A153">
        <f t="shared" si="20"/>
        <v>125</v>
      </c>
      <c r="C153" s="47" t="s">
        <v>86</v>
      </c>
      <c r="D153" s="47"/>
      <c r="E153" s="47"/>
      <c r="F153" s="47"/>
      <c r="G153" s="50">
        <f>+J148*J146</f>
        <v>1310072.786958562</v>
      </c>
    </row>
    <row r="154" spans="1:7" ht="12.75">
      <c r="A154">
        <f t="shared" si="20"/>
        <v>126</v>
      </c>
      <c r="C154" s="47" t="s">
        <v>87</v>
      </c>
      <c r="D154" s="47"/>
      <c r="E154" s="47"/>
      <c r="F154" s="47"/>
      <c r="G154" s="50">
        <f>+K148*K146</f>
        <v>1024149.7335722857</v>
      </c>
    </row>
    <row r="155" spans="1:7" ht="12.75">
      <c r="A155">
        <f t="shared" si="20"/>
        <v>127</v>
      </c>
      <c r="C155" s="47" t="s">
        <v>88</v>
      </c>
      <c r="D155" s="47"/>
      <c r="E155" s="47"/>
      <c r="F155" s="47"/>
      <c r="G155" s="50">
        <f>+L148*L146</f>
        <v>378160.9085866452</v>
      </c>
    </row>
    <row r="156" spans="1:8" ht="12.75">
      <c r="A156">
        <f t="shared" si="20"/>
        <v>128</v>
      </c>
      <c r="C156" s="47" t="s">
        <v>89</v>
      </c>
      <c r="D156" s="47"/>
      <c r="E156" s="47"/>
      <c r="F156" s="47"/>
      <c r="G156" s="50">
        <f>+M148*M146</f>
        <v>39507535.82371692</v>
      </c>
      <c r="H156" s="43"/>
    </row>
    <row r="157" spans="1:8" ht="13.5" thickBot="1">
      <c r="A157">
        <f t="shared" si="20"/>
        <v>129</v>
      </c>
      <c r="C157" s="47" t="s">
        <v>109</v>
      </c>
      <c r="D157" s="47"/>
      <c r="E157" s="47"/>
      <c r="F157" s="47"/>
      <c r="G157" s="55">
        <f>SUM(G151:G156)</f>
        <v>47257051.52267699</v>
      </c>
      <c r="H157" s="44"/>
    </row>
    <row r="158" spans="1:8" ht="13.5" thickTop="1">
      <c r="A158">
        <f t="shared" si="20"/>
        <v>130</v>
      </c>
      <c r="C158" s="47" t="s">
        <v>110</v>
      </c>
      <c r="D158" s="47"/>
      <c r="E158" s="47"/>
      <c r="F158" s="47"/>
      <c r="G158" s="67">
        <f>+G146</f>
        <v>-36000000</v>
      </c>
      <c r="H158" s="44"/>
    </row>
    <row r="159" spans="1:8" ht="13.5" thickBot="1">
      <c r="A159">
        <f t="shared" si="20"/>
        <v>131</v>
      </c>
      <c r="C159" s="192" t="s">
        <v>60</v>
      </c>
      <c r="D159" s="192"/>
      <c r="E159" s="192"/>
      <c r="F159" s="192"/>
      <c r="G159" s="193">
        <f>+G157+G158</f>
        <v>11257051.52267699</v>
      </c>
      <c r="H159" s="194" t="s">
        <v>111</v>
      </c>
    </row>
    <row r="160" spans="1:8" ht="14.25" thickBot="1" thickTop="1">
      <c r="A160">
        <f t="shared" si="20"/>
        <v>132</v>
      </c>
      <c r="C160" s="47"/>
      <c r="D160" s="47"/>
      <c r="E160" s="47"/>
      <c r="F160" s="47"/>
      <c r="G160" s="56"/>
      <c r="H160" s="44"/>
    </row>
    <row r="161" spans="1:7" ht="13.5" thickBot="1">
      <c r="A161">
        <f t="shared" si="20"/>
        <v>133</v>
      </c>
      <c r="C161" s="47" t="s">
        <v>47</v>
      </c>
      <c r="D161" s="47"/>
      <c r="E161" s="47"/>
      <c r="F161" s="47"/>
      <c r="G161" s="83">
        <f>IRR(G146:M146)</f>
        <v>0.2317865552896154</v>
      </c>
    </row>
    <row r="162" spans="1:8" ht="12.75">
      <c r="A162">
        <f t="shared" si="20"/>
        <v>134</v>
      </c>
      <c r="C162" s="47" t="s">
        <v>60</v>
      </c>
      <c r="D162" s="47"/>
      <c r="E162" s="47"/>
      <c r="F162" s="47"/>
      <c r="G162" s="51">
        <f>NPV(G161,G146:M146)</f>
        <v>-1.2097194217503146E-08</v>
      </c>
      <c r="H162" t="s">
        <v>61</v>
      </c>
    </row>
    <row r="163" spans="1:8" ht="12.75">
      <c r="A163">
        <f t="shared" si="20"/>
        <v>135</v>
      </c>
      <c r="C163" s="47" t="s">
        <v>60</v>
      </c>
      <c r="D163" s="47"/>
      <c r="E163" s="47"/>
      <c r="F163" s="47"/>
      <c r="G163" s="50">
        <f>NPV(F12,G146:M146)</f>
        <v>9621411.557843585</v>
      </c>
      <c r="H163" t="s">
        <v>62</v>
      </c>
    </row>
    <row r="164" spans="1:7" ht="12.75">
      <c r="A164">
        <f t="shared" si="20"/>
        <v>136</v>
      </c>
      <c r="C164" s="31"/>
      <c r="D164" s="31"/>
      <c r="E164" s="31"/>
      <c r="F164" s="31"/>
      <c r="G164" s="43"/>
    </row>
    <row r="165" spans="1:8" ht="12.75">
      <c r="A165">
        <f t="shared" si="20"/>
        <v>137</v>
      </c>
      <c r="C165" s="61" t="s">
        <v>81</v>
      </c>
      <c r="D165" s="61"/>
      <c r="E165" s="61"/>
      <c r="F165" s="61"/>
      <c r="G165" s="62" t="s">
        <v>80</v>
      </c>
      <c r="H165" s="63"/>
    </row>
    <row r="166" spans="1:7" ht="12.75">
      <c r="A166">
        <f t="shared" si="20"/>
        <v>138</v>
      </c>
      <c r="C166" s="31" t="s">
        <v>98</v>
      </c>
      <c r="D166" s="31"/>
      <c r="E166" s="31"/>
      <c r="F166" s="31"/>
      <c r="G166" s="50">
        <f>+G157</f>
        <v>47257051.52267699</v>
      </c>
    </row>
    <row r="167" spans="1:7" ht="12.75">
      <c r="A167">
        <f t="shared" si="20"/>
        <v>139</v>
      </c>
      <c r="C167" s="59" t="s">
        <v>99</v>
      </c>
      <c r="D167" s="59"/>
      <c r="E167" s="59"/>
      <c r="F167" s="59"/>
      <c r="G167" s="60">
        <f>+D10+D11</f>
        <v>84000000</v>
      </c>
    </row>
    <row r="168" spans="1:7" ht="13.5" thickBot="1">
      <c r="A168">
        <f t="shared" si="20"/>
        <v>140</v>
      </c>
      <c r="C168" s="59" t="s">
        <v>121</v>
      </c>
      <c r="D168" s="59"/>
      <c r="E168" s="59"/>
      <c r="F168" s="59"/>
      <c r="G168" s="60">
        <v>0</v>
      </c>
    </row>
    <row r="169" spans="1:7" ht="13.5" thickBot="1">
      <c r="A169">
        <f>+A167+1</f>
        <v>140</v>
      </c>
      <c r="C169" s="57" t="s">
        <v>79</v>
      </c>
      <c r="D169" s="49"/>
      <c r="E169" s="49"/>
      <c r="F169" s="49"/>
      <c r="G169" s="58">
        <f>+G166+G167+G168</f>
        <v>131257051.52267699</v>
      </c>
    </row>
    <row r="170" spans="3:7" ht="12.75">
      <c r="C170" s="31"/>
      <c r="D170" s="31"/>
      <c r="E170" s="31"/>
      <c r="F170" s="31"/>
      <c r="G170" s="43"/>
    </row>
    <row r="186" spans="8:14" ht="12.75">
      <c r="H186" s="4"/>
      <c r="J186" s="4"/>
      <c r="K186" s="4"/>
      <c r="L186" s="4"/>
      <c r="M186" s="4"/>
      <c r="N186" s="4"/>
    </row>
    <row r="187" spans="8:14" ht="12.75">
      <c r="H187" s="4"/>
      <c r="J187" s="4"/>
      <c r="K187" s="4"/>
      <c r="L187" s="4"/>
      <c r="M187" s="4"/>
      <c r="N187" s="4"/>
    </row>
    <row r="188" spans="8:14" ht="12.75">
      <c r="H188" s="4"/>
      <c r="J188" s="4"/>
      <c r="K188" s="4"/>
      <c r="L188" s="4"/>
      <c r="M188" s="4"/>
      <c r="N188" s="4"/>
    </row>
    <row r="189" spans="8:14" ht="12.75">
      <c r="H189" s="4"/>
      <c r="J189" s="4"/>
      <c r="K189" s="4"/>
      <c r="L189" s="4"/>
      <c r="M189" s="4"/>
      <c r="N189" s="4"/>
    </row>
    <row r="190" spans="8:14" ht="12.75">
      <c r="H190" s="4"/>
      <c r="J190" s="4"/>
      <c r="K190" s="4"/>
      <c r="L190" s="4"/>
      <c r="M190" s="4"/>
      <c r="N190" s="4"/>
    </row>
    <row r="191" spans="8:10" ht="12.75">
      <c r="H191" s="4"/>
      <c r="J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</sheetData>
  <printOptions/>
  <pageMargins left="0.3" right="0.27" top="0.65" bottom="0.46" header="0.31" footer="0.26"/>
  <pageSetup horizontalDpi="600" verticalDpi="600" orientation="landscape" scale="70" r:id="rId2"/>
  <headerFooter alignWithMargins="0">
    <oddFooter>&amp;CPage &amp;P</oddFooter>
  </headerFooter>
  <rowBreaks count="3" manualBreakCount="3">
    <brk id="52" min="1" max="10" man="1"/>
    <brk id="78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Tokyo-Mitsubishi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2012-12-10T20:56:01Z</cp:lastPrinted>
  <dcterms:created xsi:type="dcterms:W3CDTF">2003-04-02T14:46:58Z</dcterms:created>
  <dcterms:modified xsi:type="dcterms:W3CDTF">2012-12-10T21:29:01Z</dcterms:modified>
  <cp:category/>
  <cp:version/>
  <cp:contentType/>
  <cp:contentStatus/>
</cp:coreProperties>
</file>