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drou\Dropbox\File requests\ACTIVE LEARNING\Website templates\ACTIVE LEARNING\PART V - FINANCIAL MODELS\"/>
    </mc:Choice>
  </mc:AlternateContent>
  <xr:revisionPtr revIDLastSave="0" documentId="13_ncr:1_{F72B719A-08EF-465A-B86F-79A8C49D86E5}" xr6:coauthVersionLast="45" xr6:coauthVersionMax="45" xr10:uidLastSave="{00000000-0000-0000-0000-000000000000}"/>
  <bookViews>
    <workbookView xWindow="-93" yWindow="-93" windowWidth="20300" windowHeight="12186" activeTab="2" xr2:uid="{9EF70BA9-A403-4443-BD38-55D9BF21EDC3}"/>
  </bookViews>
  <sheets>
    <sheet name="Historical Analysis" sheetId="1" r:id="rId1"/>
    <sheet name="Projections" sheetId="3" r:id="rId2"/>
    <sheet name="Valuation Analysis" sheetId="2" r:id="rId3"/>
    <sheet name="Technical Analysis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8" i="4" l="1"/>
  <c r="Z24" i="4"/>
  <c r="Z25" i="4"/>
  <c r="Z26" i="4"/>
  <c r="Z27" i="4"/>
  <c r="Z28" i="4"/>
  <c r="Z29" i="4"/>
  <c r="Z30" i="4"/>
  <c r="Z31" i="4"/>
  <c r="Z32" i="4"/>
  <c r="Z33" i="4"/>
  <c r="Z34" i="4"/>
  <c r="Z35" i="4"/>
  <c r="Z36" i="4"/>
  <c r="Z37" i="4"/>
  <c r="Z38" i="4"/>
  <c r="Z39" i="4"/>
  <c r="Z40" i="4"/>
  <c r="Z41" i="4"/>
  <c r="Z42" i="4"/>
  <c r="Z43" i="4"/>
  <c r="Z44" i="4"/>
  <c r="Z45" i="4"/>
  <c r="Z46" i="4"/>
  <c r="Z47" i="4"/>
  <c r="Z48" i="4"/>
  <c r="Z49" i="4"/>
  <c r="Z50" i="4"/>
  <c r="Z51" i="4"/>
  <c r="Z52" i="4"/>
  <c r="Z53" i="4"/>
  <c r="Z54" i="4"/>
  <c r="Z55" i="4"/>
  <c r="Z56" i="4"/>
  <c r="Z57" i="4"/>
  <c r="Z58" i="4"/>
  <c r="Z59" i="4"/>
  <c r="Z60" i="4"/>
  <c r="Z61" i="4"/>
  <c r="Z62" i="4"/>
  <c r="Z63" i="4"/>
  <c r="Z64" i="4"/>
  <c r="Z65" i="4"/>
  <c r="Z66" i="4"/>
  <c r="Z67" i="4"/>
  <c r="Z68" i="4"/>
  <c r="Z69" i="4"/>
  <c r="Z70" i="4"/>
  <c r="Z71" i="4"/>
  <c r="Z72" i="4"/>
  <c r="Z73" i="4"/>
  <c r="Z74" i="4"/>
  <c r="Z75" i="4"/>
  <c r="Z76" i="4"/>
  <c r="Z77" i="4"/>
  <c r="Z78" i="4"/>
  <c r="Z79" i="4"/>
  <c r="Z80" i="4"/>
  <c r="Z81" i="4"/>
  <c r="Z82" i="4"/>
  <c r="Z83" i="4"/>
  <c r="Z84" i="4"/>
  <c r="Z85" i="4"/>
  <c r="Z86" i="4"/>
  <c r="Z87" i="4"/>
  <c r="Z88" i="4"/>
  <c r="Z89" i="4"/>
  <c r="Z90" i="4"/>
  <c r="Z91" i="4"/>
  <c r="Z92" i="4"/>
  <c r="Z93" i="4"/>
  <c r="Z94" i="4"/>
  <c r="Z95" i="4"/>
  <c r="Z96" i="4"/>
  <c r="Z97" i="4"/>
  <c r="Z98" i="4"/>
  <c r="Z99" i="4"/>
  <c r="Z100" i="4"/>
  <c r="Z101" i="4"/>
  <c r="Z102" i="4"/>
  <c r="Z103" i="4"/>
  <c r="Z104" i="4"/>
  <c r="Z105" i="4"/>
  <c r="Z106" i="4"/>
  <c r="Z107" i="4"/>
  <c r="Z108" i="4"/>
  <c r="Z109" i="4"/>
  <c r="Z110" i="4"/>
  <c r="Z111" i="4"/>
  <c r="Z112" i="4"/>
  <c r="Z113" i="4"/>
  <c r="Z114" i="4"/>
  <c r="Z115" i="4"/>
  <c r="Z116" i="4"/>
  <c r="Z117" i="4"/>
  <c r="Z118" i="4"/>
  <c r="Z119" i="4"/>
  <c r="Z120" i="4"/>
  <c r="Z121" i="4"/>
  <c r="Z122" i="4"/>
  <c r="Z123" i="4"/>
  <c r="Z124" i="4"/>
  <c r="Z125" i="4"/>
  <c r="Z126" i="4"/>
  <c r="Z127" i="4"/>
  <c r="Z128" i="4"/>
  <c r="Z129" i="4"/>
  <c r="Z130" i="4"/>
  <c r="Z131" i="4"/>
  <c r="Z132" i="4"/>
  <c r="Z133" i="4"/>
  <c r="Z134" i="4"/>
  <c r="Z135" i="4"/>
  <c r="Z136" i="4"/>
  <c r="Z137" i="4"/>
  <c r="Z138" i="4"/>
  <c r="Z139" i="4"/>
  <c r="Z140" i="4"/>
  <c r="Z141" i="4"/>
  <c r="Z142" i="4"/>
  <c r="Z143" i="4"/>
  <c r="Z144" i="4"/>
  <c r="Z145" i="4"/>
  <c r="Z146" i="4"/>
  <c r="Z147" i="4"/>
  <c r="Z148" i="4"/>
  <c r="Z149" i="4"/>
  <c r="Z150" i="4"/>
  <c r="Z151" i="4"/>
  <c r="Z152" i="4"/>
  <c r="Z153" i="4"/>
  <c r="Z154" i="4"/>
  <c r="Z155" i="4"/>
  <c r="Z156" i="4"/>
  <c r="Z157" i="4"/>
  <c r="Z158" i="4"/>
  <c r="Z159" i="4"/>
  <c r="Z160" i="4"/>
  <c r="Z161" i="4"/>
  <c r="Z162" i="4"/>
  <c r="Z163" i="4"/>
  <c r="Z164" i="4"/>
  <c r="Z165" i="4"/>
  <c r="Z166" i="4"/>
  <c r="Z167" i="4"/>
  <c r="Z168" i="4"/>
  <c r="Z169" i="4"/>
  <c r="Z170" i="4"/>
  <c r="Z171" i="4"/>
  <c r="Z172" i="4"/>
  <c r="Z173" i="4"/>
  <c r="Z174" i="4"/>
  <c r="Z175" i="4"/>
  <c r="Z176" i="4"/>
  <c r="Z177" i="4"/>
  <c r="Z178" i="4"/>
  <c r="Z179" i="4"/>
  <c r="Z180" i="4"/>
  <c r="Z181" i="4"/>
  <c r="Z182" i="4"/>
  <c r="Z183" i="4"/>
  <c r="Z184" i="4"/>
  <c r="Z185" i="4"/>
  <c r="Z186" i="4"/>
  <c r="Z187" i="4"/>
  <c r="Z188" i="4"/>
  <c r="Z189" i="4"/>
  <c r="Z190" i="4"/>
  <c r="Z191" i="4"/>
  <c r="Z192" i="4"/>
  <c r="Z193" i="4"/>
  <c r="Z194" i="4"/>
  <c r="Z195" i="4"/>
  <c r="Z196" i="4"/>
  <c r="Z197" i="4"/>
  <c r="Z198" i="4"/>
  <c r="Z199" i="4"/>
  <c r="Z200" i="4"/>
  <c r="Z201" i="4"/>
  <c r="Z202" i="4"/>
  <c r="Z203" i="4"/>
  <c r="Z204" i="4"/>
  <c r="Z205" i="4"/>
  <c r="Z206" i="4"/>
  <c r="Z207" i="4"/>
  <c r="Z208" i="4"/>
  <c r="Z209" i="4"/>
  <c r="Z210" i="4"/>
  <c r="Z211" i="4"/>
  <c r="Z212" i="4"/>
  <c r="Z213" i="4"/>
  <c r="Z214" i="4"/>
  <c r="Z215" i="4"/>
  <c r="Z216" i="4"/>
  <c r="Z217" i="4"/>
  <c r="Z218" i="4"/>
  <c r="Z219" i="4"/>
  <c r="Z220" i="4"/>
  <c r="Z221" i="4"/>
  <c r="Z222" i="4"/>
  <c r="Z223" i="4"/>
  <c r="Z224" i="4"/>
  <c r="Z225" i="4"/>
  <c r="Z226" i="4"/>
  <c r="Z227" i="4"/>
  <c r="Z228" i="4"/>
  <c r="Z229" i="4"/>
  <c r="Z230" i="4"/>
  <c r="Z231" i="4"/>
  <c r="Z232" i="4"/>
  <c r="Z233" i="4"/>
  <c r="Z234" i="4"/>
  <c r="Z235" i="4"/>
  <c r="Z236" i="4"/>
  <c r="Z237" i="4"/>
  <c r="Z238" i="4"/>
  <c r="Z239" i="4"/>
  <c r="Z240" i="4"/>
  <c r="Z241" i="4"/>
  <c r="Z242" i="4"/>
  <c r="Z243" i="4"/>
  <c r="Z244" i="4"/>
  <c r="Z245" i="4"/>
  <c r="Z246" i="4"/>
  <c r="Z247" i="4"/>
  <c r="Z248" i="4"/>
  <c r="Z249" i="4"/>
  <c r="Z250" i="4"/>
  <c r="Z251" i="4"/>
  <c r="Z252" i="4"/>
  <c r="Z253" i="4"/>
  <c r="Z254" i="4"/>
  <c r="Z255" i="4"/>
  <c r="Z256" i="4"/>
  <c r="Z257" i="4"/>
  <c r="Z258" i="4"/>
  <c r="Z259" i="4"/>
  <c r="Z260" i="4"/>
  <c r="Z261" i="4"/>
  <c r="Z262" i="4"/>
  <c r="Z263" i="4"/>
  <c r="Z264" i="4"/>
  <c r="Z265" i="4"/>
  <c r="Z266" i="4"/>
  <c r="Z267" i="4"/>
  <c r="Z268" i="4"/>
  <c r="Z269" i="4"/>
  <c r="Z270" i="4"/>
  <c r="Z271" i="4"/>
  <c r="Z272" i="4"/>
  <c r="Z273" i="4"/>
  <c r="Z274" i="4"/>
  <c r="Z275" i="4"/>
  <c r="Z276" i="4"/>
  <c r="Z277" i="4"/>
  <c r="Z278" i="4"/>
  <c r="Z279" i="4"/>
  <c r="Z280" i="4"/>
  <c r="Z281" i="4"/>
  <c r="Z282" i="4"/>
  <c r="Z283" i="4"/>
  <c r="Z23" i="4"/>
  <c r="X253" i="4"/>
  <c r="S283" i="4"/>
  <c r="T283" i="4"/>
  <c r="X283" i="4" s="1"/>
  <c r="T45" i="4"/>
  <c r="X45" i="4" s="1"/>
  <c r="Q23" i="4"/>
  <c r="Q24" i="4"/>
  <c r="Q25" i="4"/>
  <c r="Q26" i="4"/>
  <c r="Q27" i="4"/>
  <c r="Q28" i="4"/>
  <c r="Q29" i="4"/>
  <c r="Q30" i="4"/>
  <c r="Q31" i="4"/>
  <c r="Q32" i="4"/>
  <c r="Q33" i="4"/>
  <c r="Q34" i="4"/>
  <c r="Q35" i="4"/>
  <c r="Q36" i="4"/>
  <c r="Q37" i="4"/>
  <c r="Q38" i="4"/>
  <c r="Q39" i="4"/>
  <c r="Q40" i="4"/>
  <c r="Q41" i="4"/>
  <c r="Q42" i="4"/>
  <c r="Q43" i="4"/>
  <c r="Q44" i="4"/>
  <c r="Q45" i="4"/>
  <c r="Q46" i="4"/>
  <c r="Q47" i="4"/>
  <c r="Q48" i="4"/>
  <c r="Q49" i="4"/>
  <c r="Q50" i="4"/>
  <c r="Q51" i="4"/>
  <c r="Q52" i="4"/>
  <c r="Q53" i="4"/>
  <c r="Q54" i="4"/>
  <c r="Q55" i="4"/>
  <c r="Q56" i="4"/>
  <c r="Q57" i="4"/>
  <c r="Q58" i="4"/>
  <c r="Q59" i="4"/>
  <c r="Q60" i="4"/>
  <c r="Q61" i="4"/>
  <c r="Q62" i="4"/>
  <c r="Q63" i="4"/>
  <c r="Q64" i="4"/>
  <c r="Q65" i="4"/>
  <c r="Q66" i="4"/>
  <c r="Q67" i="4"/>
  <c r="Q68" i="4"/>
  <c r="Q69" i="4"/>
  <c r="Q70" i="4"/>
  <c r="Q71" i="4"/>
  <c r="Q72" i="4"/>
  <c r="Q73" i="4"/>
  <c r="Q74" i="4"/>
  <c r="Q75" i="4"/>
  <c r="Q76" i="4"/>
  <c r="Q77" i="4"/>
  <c r="Q78" i="4"/>
  <c r="Q79" i="4"/>
  <c r="Q80" i="4"/>
  <c r="Q81" i="4"/>
  <c r="Q82" i="4"/>
  <c r="Q83" i="4"/>
  <c r="Q84" i="4"/>
  <c r="Q85" i="4"/>
  <c r="Q86" i="4"/>
  <c r="Q87" i="4"/>
  <c r="Q88" i="4"/>
  <c r="Q89" i="4"/>
  <c r="Q90" i="4"/>
  <c r="Q91" i="4"/>
  <c r="Q92" i="4"/>
  <c r="Q93" i="4"/>
  <c r="Q94" i="4"/>
  <c r="Q95" i="4"/>
  <c r="Q96" i="4"/>
  <c r="Q97" i="4"/>
  <c r="Q98" i="4"/>
  <c r="Q99" i="4"/>
  <c r="Q100" i="4"/>
  <c r="Q101" i="4"/>
  <c r="Q102" i="4"/>
  <c r="Q103" i="4"/>
  <c r="Q104" i="4"/>
  <c r="Q105" i="4"/>
  <c r="Q106" i="4"/>
  <c r="Q107" i="4"/>
  <c r="Q108" i="4"/>
  <c r="Q109" i="4"/>
  <c r="Q110" i="4"/>
  <c r="Q111" i="4"/>
  <c r="Q112" i="4"/>
  <c r="Q113" i="4"/>
  <c r="Q114" i="4"/>
  <c r="Q115" i="4"/>
  <c r="Q116" i="4"/>
  <c r="Q117" i="4"/>
  <c r="Q118" i="4"/>
  <c r="Q119" i="4"/>
  <c r="Q120" i="4"/>
  <c r="Q121" i="4"/>
  <c r="Q122" i="4"/>
  <c r="Q123" i="4"/>
  <c r="Q124" i="4"/>
  <c r="Q125" i="4"/>
  <c r="Q126" i="4"/>
  <c r="Q127" i="4"/>
  <c r="Q128" i="4"/>
  <c r="Q129" i="4"/>
  <c r="Q130" i="4"/>
  <c r="Q131" i="4"/>
  <c r="Q132" i="4"/>
  <c r="Q133" i="4"/>
  <c r="Q134" i="4"/>
  <c r="Q135" i="4"/>
  <c r="Q136" i="4"/>
  <c r="Q137" i="4"/>
  <c r="Q138" i="4"/>
  <c r="Q139" i="4"/>
  <c r="Q140" i="4"/>
  <c r="Q141" i="4"/>
  <c r="Q142" i="4"/>
  <c r="Q143" i="4"/>
  <c r="Q144" i="4"/>
  <c r="Q145" i="4"/>
  <c r="Q146" i="4"/>
  <c r="Q147" i="4"/>
  <c r="Q148" i="4"/>
  <c r="Q149" i="4"/>
  <c r="Q150" i="4"/>
  <c r="Q151" i="4"/>
  <c r="Q152" i="4"/>
  <c r="Q153" i="4"/>
  <c r="Q154" i="4"/>
  <c r="Q155" i="4"/>
  <c r="Q156" i="4"/>
  <c r="Q157" i="4"/>
  <c r="Q158" i="4"/>
  <c r="Q159" i="4"/>
  <c r="Q160" i="4"/>
  <c r="Q161" i="4"/>
  <c r="Q162" i="4"/>
  <c r="Q163" i="4"/>
  <c r="Q164" i="4"/>
  <c r="Q165" i="4"/>
  <c r="Q166" i="4"/>
  <c r="Q167" i="4"/>
  <c r="Q168" i="4"/>
  <c r="Q169" i="4"/>
  <c r="Q170" i="4"/>
  <c r="Q171" i="4"/>
  <c r="Q172" i="4"/>
  <c r="Q173" i="4"/>
  <c r="Q174" i="4"/>
  <c r="Q175" i="4"/>
  <c r="Q176" i="4"/>
  <c r="Q177" i="4"/>
  <c r="Q178" i="4"/>
  <c r="Q179" i="4"/>
  <c r="Q180" i="4"/>
  <c r="Q181" i="4"/>
  <c r="Q182" i="4"/>
  <c r="Q183" i="4"/>
  <c r="Q184" i="4"/>
  <c r="Q185" i="4"/>
  <c r="Q186" i="4"/>
  <c r="Q187" i="4"/>
  <c r="Q188" i="4"/>
  <c r="Q189" i="4"/>
  <c r="Q190" i="4"/>
  <c r="Q191" i="4"/>
  <c r="Q192" i="4"/>
  <c r="Q193" i="4"/>
  <c r="Q194" i="4"/>
  <c r="Q195" i="4"/>
  <c r="Q196" i="4"/>
  <c r="Q197" i="4"/>
  <c r="Q198" i="4"/>
  <c r="Q199" i="4"/>
  <c r="Q200" i="4"/>
  <c r="Q201" i="4"/>
  <c r="Q202" i="4"/>
  <c r="Q203" i="4"/>
  <c r="Q204" i="4"/>
  <c r="Q205" i="4"/>
  <c r="Q206" i="4"/>
  <c r="Q207" i="4"/>
  <c r="Q208" i="4"/>
  <c r="Q209" i="4"/>
  <c r="Q210" i="4"/>
  <c r="Q211" i="4"/>
  <c r="Q212" i="4"/>
  <c r="Q213" i="4"/>
  <c r="Q214" i="4"/>
  <c r="Q215" i="4"/>
  <c r="Q216" i="4"/>
  <c r="Q217" i="4"/>
  <c r="Q218" i="4"/>
  <c r="Q219" i="4"/>
  <c r="Q220" i="4"/>
  <c r="Q221" i="4"/>
  <c r="Q222" i="4"/>
  <c r="Q223" i="4"/>
  <c r="Q224" i="4"/>
  <c r="Q225" i="4"/>
  <c r="Q226" i="4"/>
  <c r="Q227" i="4"/>
  <c r="Q228" i="4"/>
  <c r="Q229" i="4"/>
  <c r="Q230" i="4"/>
  <c r="Q231" i="4"/>
  <c r="Q232" i="4"/>
  <c r="Q233" i="4"/>
  <c r="Q234" i="4"/>
  <c r="Q235" i="4"/>
  <c r="Q236" i="4"/>
  <c r="Q237" i="4"/>
  <c r="Q238" i="4"/>
  <c r="Q239" i="4"/>
  <c r="Q240" i="4"/>
  <c r="Q241" i="4"/>
  <c r="Q242" i="4"/>
  <c r="Q243" i="4"/>
  <c r="Q244" i="4"/>
  <c r="Q245" i="4"/>
  <c r="Q246" i="4"/>
  <c r="Q247" i="4"/>
  <c r="Q248" i="4"/>
  <c r="Q249" i="4"/>
  <c r="Q250" i="4"/>
  <c r="Q251" i="4"/>
  <c r="Q252" i="4"/>
  <c r="Q253" i="4"/>
  <c r="Q254" i="4"/>
  <c r="Q255" i="4"/>
  <c r="Q256" i="4"/>
  <c r="Q257" i="4"/>
  <c r="Q258" i="4"/>
  <c r="Q259" i="4"/>
  <c r="Q260" i="4"/>
  <c r="Q261" i="4"/>
  <c r="Q262" i="4"/>
  <c r="Q263" i="4"/>
  <c r="Q264" i="4"/>
  <c r="Q265" i="4"/>
  <c r="Q266" i="4"/>
  <c r="Q267" i="4"/>
  <c r="Q268" i="4"/>
  <c r="Q269" i="4"/>
  <c r="Q270" i="4"/>
  <c r="Q271" i="4"/>
  <c r="Q272" i="4"/>
  <c r="Q273" i="4"/>
  <c r="Q274" i="4"/>
  <c r="Q275" i="4"/>
  <c r="Q276" i="4"/>
  <c r="Q277" i="4"/>
  <c r="Q278" i="4"/>
  <c r="Q279" i="4"/>
  <c r="Q280" i="4"/>
  <c r="Q281" i="4"/>
  <c r="Q282" i="4"/>
  <c r="Q283" i="4"/>
  <c r="Q22" i="4"/>
  <c r="M283" i="4"/>
  <c r="T282" i="4" s="1"/>
  <c r="X282" i="4" s="1"/>
  <c r="M282" i="4"/>
  <c r="T281" i="4" s="1"/>
  <c r="X281" i="4" s="1"/>
  <c r="M281" i="4"/>
  <c r="T280" i="4" s="1"/>
  <c r="X280" i="4" s="1"/>
  <c r="M280" i="4"/>
  <c r="T279" i="4" s="1"/>
  <c r="X279" i="4" s="1"/>
  <c r="M279" i="4"/>
  <c r="T278" i="4" s="1"/>
  <c r="X278" i="4" s="1"/>
  <c r="M278" i="4"/>
  <c r="T277" i="4" s="1"/>
  <c r="X277" i="4" s="1"/>
  <c r="M277" i="4"/>
  <c r="T276" i="4" s="1"/>
  <c r="X276" i="4" s="1"/>
  <c r="M276" i="4"/>
  <c r="T275" i="4" s="1"/>
  <c r="X275" i="4" s="1"/>
  <c r="M275" i="4"/>
  <c r="T274" i="4" s="1"/>
  <c r="X274" i="4" s="1"/>
  <c r="M274" i="4"/>
  <c r="T273" i="4" s="1"/>
  <c r="X273" i="4" s="1"/>
  <c r="M273" i="4"/>
  <c r="T272" i="4" s="1"/>
  <c r="X272" i="4" s="1"/>
  <c r="M272" i="4"/>
  <c r="T271" i="4" s="1"/>
  <c r="X271" i="4" s="1"/>
  <c r="M271" i="4"/>
  <c r="T270" i="4" s="1"/>
  <c r="X270" i="4" s="1"/>
  <c r="M270" i="4"/>
  <c r="T269" i="4" s="1"/>
  <c r="X269" i="4" s="1"/>
  <c r="M269" i="4"/>
  <c r="T268" i="4" s="1"/>
  <c r="X268" i="4" s="1"/>
  <c r="M268" i="4"/>
  <c r="T267" i="4" s="1"/>
  <c r="X267" i="4" s="1"/>
  <c r="M267" i="4"/>
  <c r="T266" i="4" s="1"/>
  <c r="X266" i="4" s="1"/>
  <c r="M266" i="4"/>
  <c r="T265" i="4" s="1"/>
  <c r="X265" i="4" s="1"/>
  <c r="M265" i="4"/>
  <c r="T264" i="4" s="1"/>
  <c r="X264" i="4" s="1"/>
  <c r="M264" i="4"/>
  <c r="T263" i="4" s="1"/>
  <c r="X263" i="4" s="1"/>
  <c r="M263" i="4"/>
  <c r="T262" i="4" s="1"/>
  <c r="X262" i="4" s="1"/>
  <c r="M262" i="4"/>
  <c r="T261" i="4" s="1"/>
  <c r="X261" i="4" s="1"/>
  <c r="M261" i="4"/>
  <c r="T260" i="4" s="1"/>
  <c r="X260" i="4" s="1"/>
  <c r="M260" i="4"/>
  <c r="T259" i="4" s="1"/>
  <c r="X259" i="4" s="1"/>
  <c r="M259" i="4"/>
  <c r="T258" i="4" s="1"/>
  <c r="X258" i="4" s="1"/>
  <c r="M258" i="4"/>
  <c r="T257" i="4" s="1"/>
  <c r="X257" i="4" s="1"/>
  <c r="M257" i="4"/>
  <c r="T256" i="4" s="1"/>
  <c r="X256" i="4" s="1"/>
  <c r="M256" i="4"/>
  <c r="T255" i="4" s="1"/>
  <c r="X255" i="4" s="1"/>
  <c r="M255" i="4"/>
  <c r="T254" i="4" s="1"/>
  <c r="X254" i="4" s="1"/>
  <c r="M254" i="4"/>
  <c r="T253" i="4" s="1"/>
  <c r="M253" i="4"/>
  <c r="T252" i="4" s="1"/>
  <c r="X252" i="4" s="1"/>
  <c r="M252" i="4"/>
  <c r="T251" i="4" s="1"/>
  <c r="X251" i="4" s="1"/>
  <c r="M251" i="4"/>
  <c r="T250" i="4" s="1"/>
  <c r="X250" i="4" s="1"/>
  <c r="M250" i="4"/>
  <c r="T249" i="4" s="1"/>
  <c r="X249" i="4" s="1"/>
  <c r="M249" i="4"/>
  <c r="T248" i="4" s="1"/>
  <c r="X248" i="4" s="1"/>
  <c r="M248" i="4"/>
  <c r="T247" i="4" s="1"/>
  <c r="X247" i="4" s="1"/>
  <c r="M247" i="4"/>
  <c r="T246" i="4" s="1"/>
  <c r="X246" i="4" s="1"/>
  <c r="M246" i="4"/>
  <c r="T245" i="4" s="1"/>
  <c r="X245" i="4" s="1"/>
  <c r="M245" i="4"/>
  <c r="T244" i="4" s="1"/>
  <c r="X244" i="4" s="1"/>
  <c r="M244" i="4"/>
  <c r="T243" i="4" s="1"/>
  <c r="X243" i="4" s="1"/>
  <c r="M243" i="4"/>
  <c r="T242" i="4" s="1"/>
  <c r="X242" i="4" s="1"/>
  <c r="M242" i="4"/>
  <c r="T241" i="4" s="1"/>
  <c r="X241" i="4" s="1"/>
  <c r="M241" i="4"/>
  <c r="T240" i="4" s="1"/>
  <c r="X240" i="4" s="1"/>
  <c r="M240" i="4"/>
  <c r="T239" i="4" s="1"/>
  <c r="X239" i="4" s="1"/>
  <c r="M239" i="4"/>
  <c r="T238" i="4" s="1"/>
  <c r="X238" i="4" s="1"/>
  <c r="M238" i="4"/>
  <c r="T237" i="4" s="1"/>
  <c r="X237" i="4" s="1"/>
  <c r="M237" i="4"/>
  <c r="T236" i="4" s="1"/>
  <c r="X236" i="4" s="1"/>
  <c r="M236" i="4"/>
  <c r="T235" i="4" s="1"/>
  <c r="X235" i="4" s="1"/>
  <c r="M235" i="4"/>
  <c r="T234" i="4" s="1"/>
  <c r="X234" i="4" s="1"/>
  <c r="M234" i="4"/>
  <c r="T233" i="4" s="1"/>
  <c r="X233" i="4" s="1"/>
  <c r="M233" i="4"/>
  <c r="T232" i="4" s="1"/>
  <c r="X232" i="4" s="1"/>
  <c r="M232" i="4"/>
  <c r="T231" i="4" s="1"/>
  <c r="X231" i="4" s="1"/>
  <c r="M231" i="4"/>
  <c r="T230" i="4" s="1"/>
  <c r="X230" i="4" s="1"/>
  <c r="M230" i="4"/>
  <c r="T229" i="4" s="1"/>
  <c r="X229" i="4" s="1"/>
  <c r="M229" i="4"/>
  <c r="T228" i="4" s="1"/>
  <c r="X228" i="4" s="1"/>
  <c r="M228" i="4"/>
  <c r="T227" i="4" s="1"/>
  <c r="X227" i="4" s="1"/>
  <c r="M227" i="4"/>
  <c r="T226" i="4" s="1"/>
  <c r="X226" i="4" s="1"/>
  <c r="M226" i="4"/>
  <c r="T225" i="4" s="1"/>
  <c r="X225" i="4" s="1"/>
  <c r="M225" i="4"/>
  <c r="T224" i="4" s="1"/>
  <c r="X224" i="4" s="1"/>
  <c r="M224" i="4"/>
  <c r="T223" i="4" s="1"/>
  <c r="X223" i="4" s="1"/>
  <c r="M223" i="4"/>
  <c r="T222" i="4" s="1"/>
  <c r="X222" i="4" s="1"/>
  <c r="M222" i="4"/>
  <c r="T221" i="4" s="1"/>
  <c r="X221" i="4" s="1"/>
  <c r="M221" i="4"/>
  <c r="T220" i="4" s="1"/>
  <c r="X220" i="4" s="1"/>
  <c r="M220" i="4"/>
  <c r="T219" i="4" s="1"/>
  <c r="X219" i="4" s="1"/>
  <c r="M219" i="4"/>
  <c r="T218" i="4" s="1"/>
  <c r="X218" i="4" s="1"/>
  <c r="M218" i="4"/>
  <c r="T217" i="4" s="1"/>
  <c r="X217" i="4" s="1"/>
  <c r="M217" i="4"/>
  <c r="T216" i="4" s="1"/>
  <c r="X216" i="4" s="1"/>
  <c r="M216" i="4"/>
  <c r="T215" i="4" s="1"/>
  <c r="X215" i="4" s="1"/>
  <c r="M215" i="4"/>
  <c r="T214" i="4" s="1"/>
  <c r="X214" i="4" s="1"/>
  <c r="M214" i="4"/>
  <c r="T213" i="4" s="1"/>
  <c r="X213" i="4" s="1"/>
  <c r="M213" i="4"/>
  <c r="T212" i="4" s="1"/>
  <c r="X212" i="4" s="1"/>
  <c r="M212" i="4"/>
  <c r="T211" i="4" s="1"/>
  <c r="X211" i="4" s="1"/>
  <c r="M211" i="4"/>
  <c r="T210" i="4" s="1"/>
  <c r="X210" i="4" s="1"/>
  <c r="M210" i="4"/>
  <c r="T209" i="4" s="1"/>
  <c r="X209" i="4" s="1"/>
  <c r="M209" i="4"/>
  <c r="T208" i="4" s="1"/>
  <c r="X208" i="4" s="1"/>
  <c r="M208" i="4"/>
  <c r="T207" i="4" s="1"/>
  <c r="X207" i="4" s="1"/>
  <c r="M207" i="4"/>
  <c r="T206" i="4" s="1"/>
  <c r="X206" i="4" s="1"/>
  <c r="M206" i="4"/>
  <c r="T205" i="4" s="1"/>
  <c r="X205" i="4" s="1"/>
  <c r="M205" i="4"/>
  <c r="T204" i="4" s="1"/>
  <c r="X204" i="4" s="1"/>
  <c r="M204" i="4"/>
  <c r="T203" i="4" s="1"/>
  <c r="X203" i="4" s="1"/>
  <c r="M203" i="4"/>
  <c r="T202" i="4" s="1"/>
  <c r="X202" i="4" s="1"/>
  <c r="M202" i="4"/>
  <c r="T201" i="4" s="1"/>
  <c r="X201" i="4" s="1"/>
  <c r="M201" i="4"/>
  <c r="T200" i="4" s="1"/>
  <c r="X200" i="4" s="1"/>
  <c r="M200" i="4"/>
  <c r="T199" i="4" s="1"/>
  <c r="X199" i="4" s="1"/>
  <c r="M199" i="4"/>
  <c r="T198" i="4" s="1"/>
  <c r="X198" i="4" s="1"/>
  <c r="M198" i="4"/>
  <c r="T197" i="4" s="1"/>
  <c r="X197" i="4" s="1"/>
  <c r="M197" i="4"/>
  <c r="T196" i="4" s="1"/>
  <c r="X196" i="4" s="1"/>
  <c r="M196" i="4"/>
  <c r="T195" i="4" s="1"/>
  <c r="X195" i="4" s="1"/>
  <c r="M195" i="4"/>
  <c r="T194" i="4" s="1"/>
  <c r="X194" i="4" s="1"/>
  <c r="M194" i="4"/>
  <c r="T193" i="4" s="1"/>
  <c r="X193" i="4" s="1"/>
  <c r="M193" i="4"/>
  <c r="T192" i="4" s="1"/>
  <c r="X192" i="4" s="1"/>
  <c r="M192" i="4"/>
  <c r="T191" i="4" s="1"/>
  <c r="X191" i="4" s="1"/>
  <c r="M191" i="4"/>
  <c r="T190" i="4" s="1"/>
  <c r="X190" i="4" s="1"/>
  <c r="M190" i="4"/>
  <c r="T189" i="4" s="1"/>
  <c r="X189" i="4" s="1"/>
  <c r="M189" i="4"/>
  <c r="T188" i="4" s="1"/>
  <c r="X188" i="4" s="1"/>
  <c r="M188" i="4"/>
  <c r="T187" i="4" s="1"/>
  <c r="X187" i="4" s="1"/>
  <c r="M187" i="4"/>
  <c r="T186" i="4" s="1"/>
  <c r="X186" i="4" s="1"/>
  <c r="M186" i="4"/>
  <c r="T185" i="4" s="1"/>
  <c r="X185" i="4" s="1"/>
  <c r="M185" i="4"/>
  <c r="T184" i="4" s="1"/>
  <c r="X184" i="4" s="1"/>
  <c r="M184" i="4"/>
  <c r="T183" i="4" s="1"/>
  <c r="X183" i="4" s="1"/>
  <c r="M183" i="4"/>
  <c r="T182" i="4" s="1"/>
  <c r="X182" i="4" s="1"/>
  <c r="M182" i="4"/>
  <c r="T181" i="4" s="1"/>
  <c r="X181" i="4" s="1"/>
  <c r="M181" i="4"/>
  <c r="T180" i="4" s="1"/>
  <c r="X180" i="4" s="1"/>
  <c r="M180" i="4"/>
  <c r="T179" i="4" s="1"/>
  <c r="X179" i="4" s="1"/>
  <c r="M179" i="4"/>
  <c r="T178" i="4" s="1"/>
  <c r="X178" i="4" s="1"/>
  <c r="M178" i="4"/>
  <c r="T177" i="4" s="1"/>
  <c r="X177" i="4" s="1"/>
  <c r="M177" i="4"/>
  <c r="T176" i="4" s="1"/>
  <c r="X176" i="4" s="1"/>
  <c r="M176" i="4"/>
  <c r="T175" i="4" s="1"/>
  <c r="X175" i="4" s="1"/>
  <c r="M175" i="4"/>
  <c r="T174" i="4" s="1"/>
  <c r="X174" i="4" s="1"/>
  <c r="M174" i="4"/>
  <c r="T173" i="4" s="1"/>
  <c r="X173" i="4" s="1"/>
  <c r="M173" i="4"/>
  <c r="T172" i="4" s="1"/>
  <c r="X172" i="4" s="1"/>
  <c r="M172" i="4"/>
  <c r="T171" i="4" s="1"/>
  <c r="X171" i="4" s="1"/>
  <c r="M171" i="4"/>
  <c r="T170" i="4" s="1"/>
  <c r="X170" i="4" s="1"/>
  <c r="M170" i="4"/>
  <c r="T169" i="4" s="1"/>
  <c r="X169" i="4" s="1"/>
  <c r="M169" i="4"/>
  <c r="T168" i="4" s="1"/>
  <c r="X168" i="4" s="1"/>
  <c r="M168" i="4"/>
  <c r="T167" i="4" s="1"/>
  <c r="X167" i="4" s="1"/>
  <c r="M167" i="4"/>
  <c r="T166" i="4" s="1"/>
  <c r="X166" i="4" s="1"/>
  <c r="M166" i="4"/>
  <c r="T165" i="4" s="1"/>
  <c r="X165" i="4" s="1"/>
  <c r="M165" i="4"/>
  <c r="T164" i="4" s="1"/>
  <c r="X164" i="4" s="1"/>
  <c r="M164" i="4"/>
  <c r="T163" i="4" s="1"/>
  <c r="X163" i="4" s="1"/>
  <c r="M163" i="4"/>
  <c r="T162" i="4" s="1"/>
  <c r="X162" i="4" s="1"/>
  <c r="M162" i="4"/>
  <c r="T161" i="4" s="1"/>
  <c r="X161" i="4" s="1"/>
  <c r="M161" i="4"/>
  <c r="T160" i="4" s="1"/>
  <c r="X160" i="4" s="1"/>
  <c r="M160" i="4"/>
  <c r="T159" i="4" s="1"/>
  <c r="X159" i="4" s="1"/>
  <c r="M159" i="4"/>
  <c r="T158" i="4" s="1"/>
  <c r="X158" i="4" s="1"/>
  <c r="M158" i="4"/>
  <c r="T157" i="4" s="1"/>
  <c r="X157" i="4" s="1"/>
  <c r="M157" i="4"/>
  <c r="T156" i="4" s="1"/>
  <c r="X156" i="4" s="1"/>
  <c r="M156" i="4"/>
  <c r="T155" i="4" s="1"/>
  <c r="X155" i="4" s="1"/>
  <c r="M155" i="4"/>
  <c r="T154" i="4" s="1"/>
  <c r="X154" i="4" s="1"/>
  <c r="M154" i="4"/>
  <c r="T153" i="4" s="1"/>
  <c r="X153" i="4" s="1"/>
  <c r="M153" i="4"/>
  <c r="T152" i="4" s="1"/>
  <c r="X152" i="4" s="1"/>
  <c r="M152" i="4"/>
  <c r="T151" i="4" s="1"/>
  <c r="X151" i="4" s="1"/>
  <c r="M151" i="4"/>
  <c r="T150" i="4" s="1"/>
  <c r="X150" i="4" s="1"/>
  <c r="M150" i="4"/>
  <c r="T149" i="4" s="1"/>
  <c r="X149" i="4" s="1"/>
  <c r="M149" i="4"/>
  <c r="T148" i="4" s="1"/>
  <c r="X148" i="4" s="1"/>
  <c r="M148" i="4"/>
  <c r="T147" i="4" s="1"/>
  <c r="X147" i="4" s="1"/>
  <c r="M147" i="4"/>
  <c r="T146" i="4" s="1"/>
  <c r="X146" i="4" s="1"/>
  <c r="M146" i="4"/>
  <c r="T145" i="4" s="1"/>
  <c r="X145" i="4" s="1"/>
  <c r="M145" i="4"/>
  <c r="T144" i="4" s="1"/>
  <c r="X144" i="4" s="1"/>
  <c r="M144" i="4"/>
  <c r="T143" i="4" s="1"/>
  <c r="X143" i="4" s="1"/>
  <c r="M143" i="4"/>
  <c r="T142" i="4" s="1"/>
  <c r="X142" i="4" s="1"/>
  <c r="M142" i="4"/>
  <c r="T141" i="4" s="1"/>
  <c r="X141" i="4" s="1"/>
  <c r="M141" i="4"/>
  <c r="T140" i="4" s="1"/>
  <c r="X140" i="4" s="1"/>
  <c r="M140" i="4"/>
  <c r="T139" i="4" s="1"/>
  <c r="X139" i="4" s="1"/>
  <c r="M139" i="4"/>
  <c r="T138" i="4" s="1"/>
  <c r="X138" i="4" s="1"/>
  <c r="M138" i="4"/>
  <c r="T137" i="4" s="1"/>
  <c r="X137" i="4" s="1"/>
  <c r="M137" i="4"/>
  <c r="T136" i="4" s="1"/>
  <c r="X136" i="4" s="1"/>
  <c r="M136" i="4"/>
  <c r="T135" i="4" s="1"/>
  <c r="X135" i="4" s="1"/>
  <c r="M135" i="4"/>
  <c r="T134" i="4" s="1"/>
  <c r="X134" i="4" s="1"/>
  <c r="M134" i="4"/>
  <c r="T133" i="4" s="1"/>
  <c r="X133" i="4" s="1"/>
  <c r="M133" i="4"/>
  <c r="T132" i="4" s="1"/>
  <c r="X132" i="4" s="1"/>
  <c r="M132" i="4"/>
  <c r="T131" i="4" s="1"/>
  <c r="X131" i="4" s="1"/>
  <c r="M131" i="4"/>
  <c r="T130" i="4" s="1"/>
  <c r="X130" i="4" s="1"/>
  <c r="M130" i="4"/>
  <c r="T129" i="4" s="1"/>
  <c r="X129" i="4" s="1"/>
  <c r="M129" i="4"/>
  <c r="T128" i="4" s="1"/>
  <c r="X128" i="4" s="1"/>
  <c r="M128" i="4"/>
  <c r="T127" i="4" s="1"/>
  <c r="X127" i="4" s="1"/>
  <c r="M127" i="4"/>
  <c r="T126" i="4" s="1"/>
  <c r="X126" i="4" s="1"/>
  <c r="M126" i="4"/>
  <c r="T125" i="4" s="1"/>
  <c r="X125" i="4" s="1"/>
  <c r="M125" i="4"/>
  <c r="T124" i="4" s="1"/>
  <c r="X124" i="4" s="1"/>
  <c r="M124" i="4"/>
  <c r="T123" i="4" s="1"/>
  <c r="X123" i="4" s="1"/>
  <c r="M123" i="4"/>
  <c r="T122" i="4" s="1"/>
  <c r="X122" i="4" s="1"/>
  <c r="M122" i="4"/>
  <c r="T121" i="4" s="1"/>
  <c r="X121" i="4" s="1"/>
  <c r="M121" i="4"/>
  <c r="T120" i="4" s="1"/>
  <c r="X120" i="4" s="1"/>
  <c r="M120" i="4"/>
  <c r="T119" i="4" s="1"/>
  <c r="X119" i="4" s="1"/>
  <c r="M119" i="4"/>
  <c r="T118" i="4" s="1"/>
  <c r="X118" i="4" s="1"/>
  <c r="M118" i="4"/>
  <c r="T117" i="4" s="1"/>
  <c r="X117" i="4" s="1"/>
  <c r="M117" i="4"/>
  <c r="T116" i="4" s="1"/>
  <c r="X116" i="4" s="1"/>
  <c r="M116" i="4"/>
  <c r="T115" i="4" s="1"/>
  <c r="X115" i="4" s="1"/>
  <c r="M115" i="4"/>
  <c r="T114" i="4" s="1"/>
  <c r="X114" i="4" s="1"/>
  <c r="M114" i="4"/>
  <c r="T113" i="4" s="1"/>
  <c r="X113" i="4" s="1"/>
  <c r="M113" i="4"/>
  <c r="T112" i="4" s="1"/>
  <c r="X112" i="4" s="1"/>
  <c r="M112" i="4"/>
  <c r="T111" i="4" s="1"/>
  <c r="X111" i="4" s="1"/>
  <c r="M111" i="4"/>
  <c r="T110" i="4" s="1"/>
  <c r="X110" i="4" s="1"/>
  <c r="M110" i="4"/>
  <c r="T109" i="4" s="1"/>
  <c r="X109" i="4" s="1"/>
  <c r="M109" i="4"/>
  <c r="T108" i="4" s="1"/>
  <c r="X108" i="4" s="1"/>
  <c r="M108" i="4"/>
  <c r="T107" i="4" s="1"/>
  <c r="X107" i="4" s="1"/>
  <c r="M107" i="4"/>
  <c r="T106" i="4" s="1"/>
  <c r="X106" i="4" s="1"/>
  <c r="M106" i="4"/>
  <c r="T105" i="4" s="1"/>
  <c r="X105" i="4" s="1"/>
  <c r="M105" i="4"/>
  <c r="T104" i="4" s="1"/>
  <c r="X104" i="4" s="1"/>
  <c r="M104" i="4"/>
  <c r="T103" i="4" s="1"/>
  <c r="X103" i="4" s="1"/>
  <c r="M103" i="4"/>
  <c r="T102" i="4" s="1"/>
  <c r="X102" i="4" s="1"/>
  <c r="M102" i="4"/>
  <c r="T101" i="4" s="1"/>
  <c r="X101" i="4" s="1"/>
  <c r="M101" i="4"/>
  <c r="T100" i="4" s="1"/>
  <c r="X100" i="4" s="1"/>
  <c r="M100" i="4"/>
  <c r="T99" i="4" s="1"/>
  <c r="X99" i="4" s="1"/>
  <c r="M99" i="4"/>
  <c r="T98" i="4" s="1"/>
  <c r="X98" i="4" s="1"/>
  <c r="M98" i="4"/>
  <c r="T97" i="4" s="1"/>
  <c r="X97" i="4" s="1"/>
  <c r="M97" i="4"/>
  <c r="T96" i="4" s="1"/>
  <c r="X96" i="4" s="1"/>
  <c r="M96" i="4"/>
  <c r="T95" i="4" s="1"/>
  <c r="X95" i="4" s="1"/>
  <c r="M95" i="4"/>
  <c r="T94" i="4" s="1"/>
  <c r="X94" i="4" s="1"/>
  <c r="M94" i="4"/>
  <c r="T93" i="4" s="1"/>
  <c r="X93" i="4" s="1"/>
  <c r="M93" i="4"/>
  <c r="T92" i="4" s="1"/>
  <c r="X92" i="4" s="1"/>
  <c r="M92" i="4"/>
  <c r="T91" i="4" s="1"/>
  <c r="X91" i="4" s="1"/>
  <c r="M91" i="4"/>
  <c r="T90" i="4" s="1"/>
  <c r="X90" i="4" s="1"/>
  <c r="M90" i="4"/>
  <c r="T89" i="4" s="1"/>
  <c r="X89" i="4" s="1"/>
  <c r="M89" i="4"/>
  <c r="T88" i="4" s="1"/>
  <c r="X88" i="4" s="1"/>
  <c r="M88" i="4"/>
  <c r="T87" i="4" s="1"/>
  <c r="X87" i="4" s="1"/>
  <c r="M87" i="4"/>
  <c r="T86" i="4" s="1"/>
  <c r="X86" i="4" s="1"/>
  <c r="M86" i="4"/>
  <c r="T85" i="4" s="1"/>
  <c r="X85" i="4" s="1"/>
  <c r="M85" i="4"/>
  <c r="T84" i="4" s="1"/>
  <c r="X84" i="4" s="1"/>
  <c r="M84" i="4"/>
  <c r="T83" i="4" s="1"/>
  <c r="X83" i="4" s="1"/>
  <c r="M83" i="4"/>
  <c r="T82" i="4" s="1"/>
  <c r="X82" i="4" s="1"/>
  <c r="M82" i="4"/>
  <c r="T81" i="4" s="1"/>
  <c r="X81" i="4" s="1"/>
  <c r="M81" i="4"/>
  <c r="T80" i="4" s="1"/>
  <c r="X80" i="4" s="1"/>
  <c r="M80" i="4"/>
  <c r="T79" i="4" s="1"/>
  <c r="X79" i="4" s="1"/>
  <c r="M79" i="4"/>
  <c r="T78" i="4" s="1"/>
  <c r="X78" i="4" s="1"/>
  <c r="M78" i="4"/>
  <c r="T77" i="4" s="1"/>
  <c r="X77" i="4" s="1"/>
  <c r="M77" i="4"/>
  <c r="T76" i="4" s="1"/>
  <c r="X76" i="4" s="1"/>
  <c r="M76" i="4"/>
  <c r="T75" i="4" s="1"/>
  <c r="X75" i="4" s="1"/>
  <c r="M75" i="4"/>
  <c r="T74" i="4" s="1"/>
  <c r="X74" i="4" s="1"/>
  <c r="M74" i="4"/>
  <c r="T73" i="4" s="1"/>
  <c r="X73" i="4" s="1"/>
  <c r="M73" i="4"/>
  <c r="T72" i="4" s="1"/>
  <c r="X72" i="4" s="1"/>
  <c r="M72" i="4"/>
  <c r="T71" i="4" s="1"/>
  <c r="X71" i="4" s="1"/>
  <c r="M71" i="4"/>
  <c r="T70" i="4" s="1"/>
  <c r="X70" i="4" s="1"/>
  <c r="M70" i="4"/>
  <c r="T69" i="4" s="1"/>
  <c r="X69" i="4" s="1"/>
  <c r="M69" i="4"/>
  <c r="T68" i="4" s="1"/>
  <c r="X68" i="4" s="1"/>
  <c r="M68" i="4"/>
  <c r="T67" i="4" s="1"/>
  <c r="X67" i="4" s="1"/>
  <c r="M67" i="4"/>
  <c r="T66" i="4" s="1"/>
  <c r="X66" i="4" s="1"/>
  <c r="M66" i="4"/>
  <c r="T65" i="4" s="1"/>
  <c r="X65" i="4" s="1"/>
  <c r="M65" i="4"/>
  <c r="T64" i="4" s="1"/>
  <c r="X64" i="4" s="1"/>
  <c r="M64" i="4"/>
  <c r="T63" i="4" s="1"/>
  <c r="X63" i="4" s="1"/>
  <c r="M63" i="4"/>
  <c r="T62" i="4" s="1"/>
  <c r="X62" i="4" s="1"/>
  <c r="M62" i="4"/>
  <c r="T61" i="4" s="1"/>
  <c r="X61" i="4" s="1"/>
  <c r="M61" i="4"/>
  <c r="T60" i="4" s="1"/>
  <c r="X60" i="4" s="1"/>
  <c r="M60" i="4"/>
  <c r="T59" i="4" s="1"/>
  <c r="X59" i="4" s="1"/>
  <c r="M59" i="4"/>
  <c r="T58" i="4" s="1"/>
  <c r="X58" i="4" s="1"/>
  <c r="M58" i="4"/>
  <c r="T57" i="4" s="1"/>
  <c r="X57" i="4" s="1"/>
  <c r="M57" i="4"/>
  <c r="T56" i="4" s="1"/>
  <c r="X56" i="4" s="1"/>
  <c r="M56" i="4"/>
  <c r="T55" i="4" s="1"/>
  <c r="X55" i="4" s="1"/>
  <c r="M55" i="4"/>
  <c r="T54" i="4" s="1"/>
  <c r="X54" i="4" s="1"/>
  <c r="M54" i="4"/>
  <c r="T53" i="4" s="1"/>
  <c r="X53" i="4" s="1"/>
  <c r="M53" i="4"/>
  <c r="T52" i="4" s="1"/>
  <c r="X52" i="4" s="1"/>
  <c r="M52" i="4"/>
  <c r="T51" i="4" s="1"/>
  <c r="X51" i="4" s="1"/>
  <c r="M51" i="4"/>
  <c r="T50" i="4" s="1"/>
  <c r="X50" i="4" s="1"/>
  <c r="M50" i="4"/>
  <c r="T49" i="4" s="1"/>
  <c r="X49" i="4" s="1"/>
  <c r="M49" i="4"/>
  <c r="T48" i="4" s="1"/>
  <c r="X48" i="4" s="1"/>
  <c r="M48" i="4"/>
  <c r="T47" i="4" s="1"/>
  <c r="X47" i="4" s="1"/>
  <c r="M47" i="4"/>
  <c r="T46" i="4" s="1"/>
  <c r="X46" i="4" s="1"/>
  <c r="M46" i="4"/>
  <c r="M45" i="4"/>
  <c r="T44" i="4" s="1"/>
  <c r="X44" i="4" s="1"/>
  <c r="M44" i="4"/>
  <c r="T43" i="4" s="1"/>
  <c r="X43" i="4" s="1"/>
  <c r="M43" i="4"/>
  <c r="T42" i="4" s="1"/>
  <c r="X42" i="4" s="1"/>
  <c r="M42" i="4"/>
  <c r="T41" i="4" s="1"/>
  <c r="X41" i="4" s="1"/>
  <c r="M41" i="4"/>
  <c r="T40" i="4" s="1"/>
  <c r="X40" i="4" s="1"/>
  <c r="M40" i="4"/>
  <c r="T39" i="4" s="1"/>
  <c r="X39" i="4" s="1"/>
  <c r="M39" i="4"/>
  <c r="T38" i="4" s="1"/>
  <c r="X38" i="4" s="1"/>
  <c r="M38" i="4"/>
  <c r="T37" i="4" s="1"/>
  <c r="X37" i="4" s="1"/>
  <c r="M37" i="4"/>
  <c r="T36" i="4" s="1"/>
  <c r="X36" i="4" s="1"/>
  <c r="M36" i="4"/>
  <c r="T35" i="4" s="1"/>
  <c r="X35" i="4" s="1"/>
  <c r="M35" i="4"/>
  <c r="T34" i="4" s="1"/>
  <c r="X34" i="4" s="1"/>
  <c r="M34" i="4"/>
  <c r="T33" i="4" s="1"/>
  <c r="X33" i="4" s="1"/>
  <c r="M33" i="4"/>
  <c r="T32" i="4" s="1"/>
  <c r="X32" i="4" s="1"/>
  <c r="M32" i="4"/>
  <c r="T31" i="4" s="1"/>
  <c r="X31" i="4" s="1"/>
  <c r="M31" i="4"/>
  <c r="T30" i="4" s="1"/>
  <c r="X30" i="4" s="1"/>
  <c r="M30" i="4"/>
  <c r="T29" i="4" s="1"/>
  <c r="X29" i="4" s="1"/>
  <c r="M29" i="4"/>
  <c r="T28" i="4" s="1"/>
  <c r="X28" i="4" s="1"/>
  <c r="M28" i="4"/>
  <c r="T27" i="4" s="1"/>
  <c r="X27" i="4" s="1"/>
  <c r="M27" i="4"/>
  <c r="T26" i="4" s="1"/>
  <c r="X26" i="4" s="1"/>
  <c r="M26" i="4"/>
  <c r="M25" i="4"/>
  <c r="M24" i="4"/>
  <c r="M23" i="4"/>
  <c r="N23" i="4" s="1"/>
  <c r="AB23" i="4" s="1"/>
  <c r="F24" i="4"/>
  <c r="F25" i="4"/>
  <c r="F26" i="4"/>
  <c r="S25" i="4" s="1"/>
  <c r="F27" i="4"/>
  <c r="S26" i="4" s="1"/>
  <c r="F28" i="4"/>
  <c r="S27" i="4" s="1"/>
  <c r="F29" i="4"/>
  <c r="S28" i="4" s="1"/>
  <c r="F30" i="4"/>
  <c r="S29" i="4" s="1"/>
  <c r="F31" i="4"/>
  <c r="S30" i="4" s="1"/>
  <c r="F32" i="4"/>
  <c r="S31" i="4" s="1"/>
  <c r="F33" i="4"/>
  <c r="S32" i="4" s="1"/>
  <c r="F34" i="4"/>
  <c r="S33" i="4" s="1"/>
  <c r="F35" i="4"/>
  <c r="S34" i="4" s="1"/>
  <c r="F36" i="4"/>
  <c r="S35" i="4" s="1"/>
  <c r="F37" i="4"/>
  <c r="S36" i="4" s="1"/>
  <c r="F38" i="4"/>
  <c r="S37" i="4" s="1"/>
  <c r="F39" i="4"/>
  <c r="S38" i="4" s="1"/>
  <c r="F40" i="4"/>
  <c r="S39" i="4" s="1"/>
  <c r="F41" i="4"/>
  <c r="S40" i="4" s="1"/>
  <c r="F42" i="4"/>
  <c r="S41" i="4" s="1"/>
  <c r="F43" i="4"/>
  <c r="S42" i="4" s="1"/>
  <c r="F44" i="4"/>
  <c r="S43" i="4" s="1"/>
  <c r="F45" i="4"/>
  <c r="S44" i="4" s="1"/>
  <c r="F46" i="4"/>
  <c r="S45" i="4" s="1"/>
  <c r="F47" i="4"/>
  <c r="S46" i="4" s="1"/>
  <c r="F48" i="4"/>
  <c r="S47" i="4" s="1"/>
  <c r="F49" i="4"/>
  <c r="S48" i="4" s="1"/>
  <c r="F50" i="4"/>
  <c r="S49" i="4" s="1"/>
  <c r="F51" i="4"/>
  <c r="S50" i="4" s="1"/>
  <c r="F52" i="4"/>
  <c r="S51" i="4" s="1"/>
  <c r="F53" i="4"/>
  <c r="S52" i="4" s="1"/>
  <c r="F54" i="4"/>
  <c r="S53" i="4" s="1"/>
  <c r="F55" i="4"/>
  <c r="S54" i="4" s="1"/>
  <c r="F56" i="4"/>
  <c r="S55" i="4" s="1"/>
  <c r="F57" i="4"/>
  <c r="S56" i="4" s="1"/>
  <c r="F58" i="4"/>
  <c r="S57" i="4" s="1"/>
  <c r="F59" i="4"/>
  <c r="S58" i="4" s="1"/>
  <c r="F60" i="4"/>
  <c r="S59" i="4" s="1"/>
  <c r="F61" i="4"/>
  <c r="S60" i="4" s="1"/>
  <c r="F62" i="4"/>
  <c r="S61" i="4" s="1"/>
  <c r="F63" i="4"/>
  <c r="S62" i="4" s="1"/>
  <c r="F64" i="4"/>
  <c r="S63" i="4" s="1"/>
  <c r="F65" i="4"/>
  <c r="S64" i="4" s="1"/>
  <c r="F66" i="4"/>
  <c r="S65" i="4" s="1"/>
  <c r="F67" i="4"/>
  <c r="S66" i="4" s="1"/>
  <c r="F68" i="4"/>
  <c r="S67" i="4" s="1"/>
  <c r="F69" i="4"/>
  <c r="S68" i="4" s="1"/>
  <c r="F70" i="4"/>
  <c r="S69" i="4" s="1"/>
  <c r="F71" i="4"/>
  <c r="S70" i="4" s="1"/>
  <c r="F72" i="4"/>
  <c r="S71" i="4" s="1"/>
  <c r="F73" i="4"/>
  <c r="S72" i="4" s="1"/>
  <c r="F74" i="4"/>
  <c r="S73" i="4" s="1"/>
  <c r="F75" i="4"/>
  <c r="S74" i="4" s="1"/>
  <c r="F76" i="4"/>
  <c r="S75" i="4" s="1"/>
  <c r="F77" i="4"/>
  <c r="S76" i="4" s="1"/>
  <c r="F78" i="4"/>
  <c r="S77" i="4" s="1"/>
  <c r="F79" i="4"/>
  <c r="S78" i="4" s="1"/>
  <c r="F80" i="4"/>
  <c r="S79" i="4" s="1"/>
  <c r="F81" i="4"/>
  <c r="S80" i="4" s="1"/>
  <c r="F82" i="4"/>
  <c r="S81" i="4" s="1"/>
  <c r="F83" i="4"/>
  <c r="S82" i="4" s="1"/>
  <c r="F84" i="4"/>
  <c r="S83" i="4" s="1"/>
  <c r="F85" i="4"/>
  <c r="S84" i="4" s="1"/>
  <c r="F86" i="4"/>
  <c r="S85" i="4" s="1"/>
  <c r="F87" i="4"/>
  <c r="S86" i="4" s="1"/>
  <c r="F88" i="4"/>
  <c r="S87" i="4" s="1"/>
  <c r="F89" i="4"/>
  <c r="S88" i="4" s="1"/>
  <c r="F90" i="4"/>
  <c r="S89" i="4" s="1"/>
  <c r="F91" i="4"/>
  <c r="S90" i="4" s="1"/>
  <c r="F92" i="4"/>
  <c r="S91" i="4" s="1"/>
  <c r="F93" i="4"/>
  <c r="S92" i="4" s="1"/>
  <c r="F94" i="4"/>
  <c r="S93" i="4" s="1"/>
  <c r="F95" i="4"/>
  <c r="S94" i="4" s="1"/>
  <c r="F96" i="4"/>
  <c r="S95" i="4" s="1"/>
  <c r="F97" i="4"/>
  <c r="S96" i="4" s="1"/>
  <c r="F98" i="4"/>
  <c r="S97" i="4" s="1"/>
  <c r="F99" i="4"/>
  <c r="S98" i="4" s="1"/>
  <c r="F100" i="4"/>
  <c r="S99" i="4" s="1"/>
  <c r="F101" i="4"/>
  <c r="S100" i="4" s="1"/>
  <c r="F102" i="4"/>
  <c r="S101" i="4" s="1"/>
  <c r="F103" i="4"/>
  <c r="S102" i="4" s="1"/>
  <c r="F104" i="4"/>
  <c r="S103" i="4" s="1"/>
  <c r="F105" i="4"/>
  <c r="S104" i="4" s="1"/>
  <c r="F106" i="4"/>
  <c r="S105" i="4" s="1"/>
  <c r="F107" i="4"/>
  <c r="S106" i="4" s="1"/>
  <c r="F108" i="4"/>
  <c r="S107" i="4" s="1"/>
  <c r="F109" i="4"/>
  <c r="S108" i="4" s="1"/>
  <c r="F110" i="4"/>
  <c r="S109" i="4" s="1"/>
  <c r="F111" i="4"/>
  <c r="S110" i="4" s="1"/>
  <c r="F112" i="4"/>
  <c r="S111" i="4" s="1"/>
  <c r="F113" i="4"/>
  <c r="S112" i="4" s="1"/>
  <c r="F114" i="4"/>
  <c r="S113" i="4" s="1"/>
  <c r="F115" i="4"/>
  <c r="S114" i="4" s="1"/>
  <c r="F116" i="4"/>
  <c r="S115" i="4" s="1"/>
  <c r="F117" i="4"/>
  <c r="S116" i="4" s="1"/>
  <c r="F118" i="4"/>
  <c r="S117" i="4" s="1"/>
  <c r="F119" i="4"/>
  <c r="S118" i="4" s="1"/>
  <c r="F120" i="4"/>
  <c r="S119" i="4" s="1"/>
  <c r="F121" i="4"/>
  <c r="S120" i="4" s="1"/>
  <c r="F122" i="4"/>
  <c r="S121" i="4" s="1"/>
  <c r="F123" i="4"/>
  <c r="S122" i="4" s="1"/>
  <c r="F124" i="4"/>
  <c r="S123" i="4" s="1"/>
  <c r="F125" i="4"/>
  <c r="S124" i="4" s="1"/>
  <c r="F126" i="4"/>
  <c r="S125" i="4" s="1"/>
  <c r="F127" i="4"/>
  <c r="S126" i="4" s="1"/>
  <c r="F128" i="4"/>
  <c r="S127" i="4" s="1"/>
  <c r="F129" i="4"/>
  <c r="S128" i="4" s="1"/>
  <c r="F130" i="4"/>
  <c r="S129" i="4" s="1"/>
  <c r="F131" i="4"/>
  <c r="S130" i="4" s="1"/>
  <c r="F132" i="4"/>
  <c r="S131" i="4" s="1"/>
  <c r="F133" i="4"/>
  <c r="S132" i="4" s="1"/>
  <c r="F134" i="4"/>
  <c r="S133" i="4" s="1"/>
  <c r="F135" i="4"/>
  <c r="S134" i="4" s="1"/>
  <c r="F136" i="4"/>
  <c r="S135" i="4" s="1"/>
  <c r="F137" i="4"/>
  <c r="S136" i="4" s="1"/>
  <c r="F138" i="4"/>
  <c r="S137" i="4" s="1"/>
  <c r="F139" i="4"/>
  <c r="S138" i="4" s="1"/>
  <c r="F140" i="4"/>
  <c r="S139" i="4" s="1"/>
  <c r="F141" i="4"/>
  <c r="S140" i="4" s="1"/>
  <c r="F142" i="4"/>
  <c r="S141" i="4" s="1"/>
  <c r="F143" i="4"/>
  <c r="S142" i="4" s="1"/>
  <c r="F144" i="4"/>
  <c r="S143" i="4" s="1"/>
  <c r="F145" i="4"/>
  <c r="S144" i="4" s="1"/>
  <c r="F146" i="4"/>
  <c r="S145" i="4" s="1"/>
  <c r="F147" i="4"/>
  <c r="S146" i="4" s="1"/>
  <c r="F148" i="4"/>
  <c r="S147" i="4" s="1"/>
  <c r="F149" i="4"/>
  <c r="S148" i="4" s="1"/>
  <c r="F150" i="4"/>
  <c r="S149" i="4" s="1"/>
  <c r="F151" i="4"/>
  <c r="S150" i="4" s="1"/>
  <c r="F152" i="4"/>
  <c r="S151" i="4" s="1"/>
  <c r="F153" i="4"/>
  <c r="S152" i="4" s="1"/>
  <c r="F154" i="4"/>
  <c r="S153" i="4" s="1"/>
  <c r="F155" i="4"/>
  <c r="S154" i="4" s="1"/>
  <c r="F156" i="4"/>
  <c r="S155" i="4" s="1"/>
  <c r="F157" i="4"/>
  <c r="S156" i="4" s="1"/>
  <c r="F158" i="4"/>
  <c r="S157" i="4" s="1"/>
  <c r="F159" i="4"/>
  <c r="S158" i="4" s="1"/>
  <c r="F160" i="4"/>
  <c r="S159" i="4" s="1"/>
  <c r="F161" i="4"/>
  <c r="S160" i="4" s="1"/>
  <c r="F162" i="4"/>
  <c r="S161" i="4" s="1"/>
  <c r="F163" i="4"/>
  <c r="S162" i="4" s="1"/>
  <c r="F164" i="4"/>
  <c r="S163" i="4" s="1"/>
  <c r="F165" i="4"/>
  <c r="S164" i="4" s="1"/>
  <c r="F166" i="4"/>
  <c r="S165" i="4" s="1"/>
  <c r="F167" i="4"/>
  <c r="S166" i="4" s="1"/>
  <c r="F168" i="4"/>
  <c r="S167" i="4" s="1"/>
  <c r="F169" i="4"/>
  <c r="S168" i="4" s="1"/>
  <c r="F170" i="4"/>
  <c r="S169" i="4" s="1"/>
  <c r="F171" i="4"/>
  <c r="S170" i="4" s="1"/>
  <c r="F172" i="4"/>
  <c r="S171" i="4" s="1"/>
  <c r="F173" i="4"/>
  <c r="S172" i="4" s="1"/>
  <c r="F174" i="4"/>
  <c r="S173" i="4" s="1"/>
  <c r="F175" i="4"/>
  <c r="S174" i="4" s="1"/>
  <c r="F176" i="4"/>
  <c r="S175" i="4" s="1"/>
  <c r="F177" i="4"/>
  <c r="S176" i="4" s="1"/>
  <c r="F178" i="4"/>
  <c r="S177" i="4" s="1"/>
  <c r="F179" i="4"/>
  <c r="S178" i="4" s="1"/>
  <c r="F180" i="4"/>
  <c r="S179" i="4" s="1"/>
  <c r="F181" i="4"/>
  <c r="S180" i="4" s="1"/>
  <c r="F182" i="4"/>
  <c r="S181" i="4" s="1"/>
  <c r="F183" i="4"/>
  <c r="S182" i="4" s="1"/>
  <c r="F184" i="4"/>
  <c r="S183" i="4" s="1"/>
  <c r="F185" i="4"/>
  <c r="S184" i="4" s="1"/>
  <c r="F186" i="4"/>
  <c r="S185" i="4" s="1"/>
  <c r="F187" i="4"/>
  <c r="S186" i="4" s="1"/>
  <c r="F188" i="4"/>
  <c r="S187" i="4" s="1"/>
  <c r="F189" i="4"/>
  <c r="S188" i="4" s="1"/>
  <c r="F190" i="4"/>
  <c r="S189" i="4" s="1"/>
  <c r="F191" i="4"/>
  <c r="S190" i="4" s="1"/>
  <c r="F192" i="4"/>
  <c r="S191" i="4" s="1"/>
  <c r="F193" i="4"/>
  <c r="S192" i="4" s="1"/>
  <c r="F194" i="4"/>
  <c r="S193" i="4" s="1"/>
  <c r="F195" i="4"/>
  <c r="S194" i="4" s="1"/>
  <c r="F196" i="4"/>
  <c r="S195" i="4" s="1"/>
  <c r="F197" i="4"/>
  <c r="S196" i="4" s="1"/>
  <c r="F198" i="4"/>
  <c r="S197" i="4" s="1"/>
  <c r="F199" i="4"/>
  <c r="S198" i="4" s="1"/>
  <c r="F200" i="4"/>
  <c r="S199" i="4" s="1"/>
  <c r="F201" i="4"/>
  <c r="S200" i="4" s="1"/>
  <c r="F202" i="4"/>
  <c r="S201" i="4" s="1"/>
  <c r="F203" i="4"/>
  <c r="S202" i="4" s="1"/>
  <c r="F204" i="4"/>
  <c r="S203" i="4" s="1"/>
  <c r="F205" i="4"/>
  <c r="S204" i="4" s="1"/>
  <c r="F206" i="4"/>
  <c r="S205" i="4" s="1"/>
  <c r="F207" i="4"/>
  <c r="S206" i="4" s="1"/>
  <c r="F208" i="4"/>
  <c r="S207" i="4" s="1"/>
  <c r="F209" i="4"/>
  <c r="S208" i="4" s="1"/>
  <c r="F210" i="4"/>
  <c r="S209" i="4" s="1"/>
  <c r="F211" i="4"/>
  <c r="S210" i="4" s="1"/>
  <c r="F212" i="4"/>
  <c r="S211" i="4" s="1"/>
  <c r="F213" i="4"/>
  <c r="S212" i="4" s="1"/>
  <c r="F214" i="4"/>
  <c r="S213" i="4" s="1"/>
  <c r="F215" i="4"/>
  <c r="S214" i="4" s="1"/>
  <c r="F216" i="4"/>
  <c r="S215" i="4" s="1"/>
  <c r="F217" i="4"/>
  <c r="S216" i="4" s="1"/>
  <c r="F218" i="4"/>
  <c r="S217" i="4" s="1"/>
  <c r="F219" i="4"/>
  <c r="S218" i="4" s="1"/>
  <c r="F220" i="4"/>
  <c r="S219" i="4" s="1"/>
  <c r="F221" i="4"/>
  <c r="S220" i="4" s="1"/>
  <c r="F222" i="4"/>
  <c r="S221" i="4" s="1"/>
  <c r="F223" i="4"/>
  <c r="S222" i="4" s="1"/>
  <c r="F224" i="4"/>
  <c r="S223" i="4" s="1"/>
  <c r="F225" i="4"/>
  <c r="S224" i="4" s="1"/>
  <c r="F226" i="4"/>
  <c r="S225" i="4" s="1"/>
  <c r="F227" i="4"/>
  <c r="S226" i="4" s="1"/>
  <c r="F228" i="4"/>
  <c r="S227" i="4" s="1"/>
  <c r="F229" i="4"/>
  <c r="S228" i="4" s="1"/>
  <c r="F230" i="4"/>
  <c r="S229" i="4" s="1"/>
  <c r="F231" i="4"/>
  <c r="S230" i="4" s="1"/>
  <c r="F232" i="4"/>
  <c r="S231" i="4" s="1"/>
  <c r="F233" i="4"/>
  <c r="S232" i="4" s="1"/>
  <c r="F234" i="4"/>
  <c r="S233" i="4" s="1"/>
  <c r="F235" i="4"/>
  <c r="S234" i="4" s="1"/>
  <c r="F236" i="4"/>
  <c r="S235" i="4" s="1"/>
  <c r="F237" i="4"/>
  <c r="S236" i="4" s="1"/>
  <c r="F238" i="4"/>
  <c r="S237" i="4" s="1"/>
  <c r="F239" i="4"/>
  <c r="S238" i="4" s="1"/>
  <c r="F240" i="4"/>
  <c r="S239" i="4" s="1"/>
  <c r="F241" i="4"/>
  <c r="S240" i="4" s="1"/>
  <c r="F242" i="4"/>
  <c r="S241" i="4" s="1"/>
  <c r="F243" i="4"/>
  <c r="S242" i="4" s="1"/>
  <c r="F244" i="4"/>
  <c r="S243" i="4" s="1"/>
  <c r="F245" i="4"/>
  <c r="S244" i="4" s="1"/>
  <c r="F246" i="4"/>
  <c r="S245" i="4" s="1"/>
  <c r="F247" i="4"/>
  <c r="S246" i="4" s="1"/>
  <c r="F248" i="4"/>
  <c r="S247" i="4" s="1"/>
  <c r="F249" i="4"/>
  <c r="S248" i="4" s="1"/>
  <c r="F250" i="4"/>
  <c r="S249" i="4" s="1"/>
  <c r="F251" i="4"/>
  <c r="S250" i="4" s="1"/>
  <c r="F252" i="4"/>
  <c r="S251" i="4" s="1"/>
  <c r="F253" i="4"/>
  <c r="S252" i="4" s="1"/>
  <c r="F254" i="4"/>
  <c r="S253" i="4" s="1"/>
  <c r="F255" i="4"/>
  <c r="S254" i="4" s="1"/>
  <c r="F256" i="4"/>
  <c r="S255" i="4" s="1"/>
  <c r="F257" i="4"/>
  <c r="S256" i="4" s="1"/>
  <c r="F258" i="4"/>
  <c r="S257" i="4" s="1"/>
  <c r="F259" i="4"/>
  <c r="S258" i="4" s="1"/>
  <c r="F260" i="4"/>
  <c r="S259" i="4" s="1"/>
  <c r="F261" i="4"/>
  <c r="S260" i="4" s="1"/>
  <c r="F262" i="4"/>
  <c r="S261" i="4" s="1"/>
  <c r="F263" i="4"/>
  <c r="S262" i="4" s="1"/>
  <c r="F264" i="4"/>
  <c r="S263" i="4" s="1"/>
  <c r="F265" i="4"/>
  <c r="S264" i="4" s="1"/>
  <c r="F266" i="4"/>
  <c r="S265" i="4" s="1"/>
  <c r="F267" i="4"/>
  <c r="S266" i="4" s="1"/>
  <c r="F268" i="4"/>
  <c r="S267" i="4" s="1"/>
  <c r="F269" i="4"/>
  <c r="S268" i="4" s="1"/>
  <c r="F270" i="4"/>
  <c r="S269" i="4" s="1"/>
  <c r="F271" i="4"/>
  <c r="S270" i="4" s="1"/>
  <c r="F272" i="4"/>
  <c r="S271" i="4" s="1"/>
  <c r="F273" i="4"/>
  <c r="S272" i="4" s="1"/>
  <c r="F274" i="4"/>
  <c r="S273" i="4" s="1"/>
  <c r="F275" i="4"/>
  <c r="S274" i="4" s="1"/>
  <c r="F276" i="4"/>
  <c r="S275" i="4" s="1"/>
  <c r="F277" i="4"/>
  <c r="S276" i="4" s="1"/>
  <c r="F278" i="4"/>
  <c r="S277" i="4" s="1"/>
  <c r="F279" i="4"/>
  <c r="S278" i="4" s="1"/>
  <c r="F280" i="4"/>
  <c r="S279" i="4" s="1"/>
  <c r="F281" i="4"/>
  <c r="S280" i="4" s="1"/>
  <c r="F282" i="4"/>
  <c r="S281" i="4" s="1"/>
  <c r="F283" i="4"/>
  <c r="S282" i="4" s="1"/>
  <c r="F23" i="4"/>
  <c r="G23" i="4" s="1"/>
  <c r="AA23" i="4" s="1"/>
  <c r="D108" i="2"/>
  <c r="B107" i="2"/>
  <c r="G24" i="4" l="1"/>
  <c r="AA24" i="4" s="1"/>
  <c r="S23" i="4"/>
  <c r="T25" i="4"/>
  <c r="X25" i="4" s="1"/>
  <c r="S22" i="4"/>
  <c r="G25" i="4"/>
  <c r="S24" i="4"/>
  <c r="S285" i="4" s="1"/>
  <c r="T22" i="4"/>
  <c r="X22" i="4" s="1"/>
  <c r="T24" i="4"/>
  <c r="N24" i="4"/>
  <c r="T23" i="4"/>
  <c r="X23" i="4" s="1"/>
  <c r="F285" i="4"/>
  <c r="F286" i="4"/>
  <c r="M286" i="4"/>
  <c r="M285" i="4"/>
  <c r="K62" i="2"/>
  <c r="H122" i="2"/>
  <c r="D125" i="2"/>
  <c r="J121" i="2"/>
  <c r="J104" i="2"/>
  <c r="I104" i="2"/>
  <c r="H104" i="2"/>
  <c r="G104" i="2"/>
  <c r="F104" i="2"/>
  <c r="E104" i="2"/>
  <c r="D104" i="2"/>
  <c r="G103" i="2"/>
  <c r="F103" i="2"/>
  <c r="E103" i="2"/>
  <c r="D103" i="2"/>
  <c r="G100" i="2"/>
  <c r="F100" i="2"/>
  <c r="E100" i="2"/>
  <c r="G99" i="2"/>
  <c r="F99" i="2"/>
  <c r="E99" i="2"/>
  <c r="G96" i="2"/>
  <c r="F96" i="2"/>
  <c r="E96" i="2"/>
  <c r="G95" i="2"/>
  <c r="F95" i="2"/>
  <c r="E95" i="2"/>
  <c r="D96" i="2"/>
  <c r="F87" i="2"/>
  <c r="I62" i="2"/>
  <c r="G8" i="2"/>
  <c r="G10" i="2" s="1"/>
  <c r="G11" i="2" s="1"/>
  <c r="G12" i="2" s="1"/>
  <c r="T285" i="4" l="1"/>
  <c r="X24" i="4"/>
  <c r="X285" i="4"/>
  <c r="N25" i="4"/>
  <c r="AB24" i="4"/>
  <c r="G26" i="4"/>
  <c r="AA25" i="4"/>
  <c r="T286" i="4"/>
  <c r="S286" i="4"/>
  <c r="F6" i="2"/>
  <c r="C30" i="2"/>
  <c r="E6" i="2"/>
  <c r="E8" i="2" s="1"/>
  <c r="E10" i="2" s="1"/>
  <c r="E11" i="2" s="1"/>
  <c r="E12" i="2" s="1"/>
  <c r="X6" i="2"/>
  <c r="Y6" i="2"/>
  <c r="Y46" i="2" s="1"/>
  <c r="Z6" i="2"/>
  <c r="Z46" i="2" s="1"/>
  <c r="AA6" i="2"/>
  <c r="AB6" i="2"/>
  <c r="X7" i="2"/>
  <c r="Y7" i="2"/>
  <c r="Z7" i="2"/>
  <c r="AA7" i="2"/>
  <c r="AB7" i="2"/>
  <c r="X9" i="2"/>
  <c r="Y9" i="2"/>
  <c r="Z9" i="2"/>
  <c r="AA9" i="2"/>
  <c r="AB9" i="2"/>
  <c r="X11" i="2"/>
  <c r="X19" i="2" s="1"/>
  <c r="Y11" i="2"/>
  <c r="Z11" i="2"/>
  <c r="Z19" i="2" s="1"/>
  <c r="AA11" i="2"/>
  <c r="AA19" i="2" s="1"/>
  <c r="AB11" i="2"/>
  <c r="AB19" i="2" s="1"/>
  <c r="X13" i="2"/>
  <c r="X15" i="2"/>
  <c r="Y15" i="2"/>
  <c r="Z15" i="2"/>
  <c r="AA15" i="2"/>
  <c r="AB15" i="2"/>
  <c r="X21" i="2"/>
  <c r="X37" i="2" s="1"/>
  <c r="X30" i="2"/>
  <c r="Y30" i="2"/>
  <c r="Z30" i="2"/>
  <c r="AA30" i="2"/>
  <c r="AB30" i="2"/>
  <c r="X31" i="2"/>
  <c r="X32" i="2"/>
  <c r="Y32" i="2"/>
  <c r="Z32" i="2"/>
  <c r="K64" i="2"/>
  <c r="D33" i="3"/>
  <c r="E33" i="3"/>
  <c r="F33" i="3"/>
  <c r="G33" i="3"/>
  <c r="H33" i="3"/>
  <c r="I33" i="3"/>
  <c r="J33" i="3"/>
  <c r="K33" i="3"/>
  <c r="L33" i="3"/>
  <c r="M33" i="3"/>
  <c r="C33" i="3"/>
  <c r="I48" i="3"/>
  <c r="J48" i="3" s="1"/>
  <c r="K48" i="3" s="1"/>
  <c r="L48" i="3" s="1"/>
  <c r="M48" i="3" s="1"/>
  <c r="I32" i="3"/>
  <c r="J32" i="3" s="1"/>
  <c r="K32" i="3" s="1"/>
  <c r="L32" i="3" s="1"/>
  <c r="M32" i="3" s="1"/>
  <c r="I5" i="3"/>
  <c r="J5" i="3" s="1"/>
  <c r="K5" i="3" s="1"/>
  <c r="L5" i="3" s="1"/>
  <c r="M5" i="3" s="1"/>
  <c r="C29" i="3"/>
  <c r="D29" i="3"/>
  <c r="D46" i="3" s="1"/>
  <c r="E29" i="3"/>
  <c r="E46" i="3" s="1"/>
  <c r="F29" i="3"/>
  <c r="F46" i="3" s="1"/>
  <c r="G29" i="3"/>
  <c r="G46" i="3" s="1"/>
  <c r="C28" i="3"/>
  <c r="D28" i="3"/>
  <c r="E28" i="3"/>
  <c r="F28" i="3"/>
  <c r="G28" i="3"/>
  <c r="C21" i="3"/>
  <c r="D21" i="3"/>
  <c r="E21" i="3"/>
  <c r="F21" i="3"/>
  <c r="G21" i="3"/>
  <c r="C20" i="3"/>
  <c r="D20" i="3"/>
  <c r="E20" i="3"/>
  <c r="F20" i="3"/>
  <c r="G19" i="3"/>
  <c r="C17" i="3"/>
  <c r="D17" i="3"/>
  <c r="E17" i="3"/>
  <c r="F17" i="3"/>
  <c r="G17" i="3"/>
  <c r="C14" i="3"/>
  <c r="D14" i="3"/>
  <c r="E14" i="3"/>
  <c r="F14" i="3"/>
  <c r="G14" i="3"/>
  <c r="C10" i="3"/>
  <c r="D10" i="3"/>
  <c r="E10" i="3"/>
  <c r="F10" i="3"/>
  <c r="G10" i="3"/>
  <c r="D95" i="2" s="1"/>
  <c r="C7" i="3"/>
  <c r="D7" i="3"/>
  <c r="D8" i="3" s="1"/>
  <c r="E7" i="3"/>
  <c r="F7" i="3"/>
  <c r="G7" i="3"/>
  <c r="N26" i="4" l="1"/>
  <c r="AB25" i="4"/>
  <c r="G27" i="4"/>
  <c r="AA26" i="4"/>
  <c r="U23" i="4"/>
  <c r="U28" i="4"/>
  <c r="U31" i="4"/>
  <c r="U36" i="4"/>
  <c r="U39" i="4"/>
  <c r="U44" i="4"/>
  <c r="U47" i="4"/>
  <c r="U52" i="4"/>
  <c r="U26" i="4"/>
  <c r="U29" i="4"/>
  <c r="U34" i="4"/>
  <c r="U37" i="4"/>
  <c r="U42" i="4"/>
  <c r="U45" i="4"/>
  <c r="U50" i="4"/>
  <c r="U53" i="4"/>
  <c r="U58" i="4"/>
  <c r="U61" i="4"/>
  <c r="U66" i="4"/>
  <c r="U69" i="4"/>
  <c r="U74" i="4"/>
  <c r="U77" i="4"/>
  <c r="U82" i="4"/>
  <c r="U85" i="4"/>
  <c r="U90" i="4"/>
  <c r="U93" i="4"/>
  <c r="U98" i="4"/>
  <c r="U101" i="4"/>
  <c r="U106" i="4"/>
  <c r="U109" i="4"/>
  <c r="U114" i="4"/>
  <c r="U117" i="4"/>
  <c r="U122" i="4"/>
  <c r="U125" i="4"/>
  <c r="U130" i="4"/>
  <c r="U133" i="4"/>
  <c r="U138" i="4"/>
  <c r="U141" i="4"/>
  <c r="U146" i="4"/>
  <c r="U149" i="4"/>
  <c r="U24" i="4"/>
  <c r="U27" i="4"/>
  <c r="U32" i="4"/>
  <c r="U35" i="4"/>
  <c r="U40" i="4"/>
  <c r="U43" i="4"/>
  <c r="U48" i="4"/>
  <c r="U51" i="4"/>
  <c r="U56" i="4"/>
  <c r="U59" i="4"/>
  <c r="U64" i="4"/>
  <c r="U67" i="4"/>
  <c r="U33" i="4"/>
  <c r="U54" i="4"/>
  <c r="U65" i="4"/>
  <c r="U73" i="4"/>
  <c r="U76" i="4"/>
  <c r="U80" i="4"/>
  <c r="U87" i="4"/>
  <c r="U91" i="4"/>
  <c r="U94" i="4"/>
  <c r="U105" i="4"/>
  <c r="U108" i="4"/>
  <c r="U112" i="4"/>
  <c r="U119" i="4"/>
  <c r="U123" i="4"/>
  <c r="U126" i="4"/>
  <c r="U137" i="4"/>
  <c r="U140" i="4"/>
  <c r="U144" i="4"/>
  <c r="U151" i="4"/>
  <c r="U156" i="4"/>
  <c r="U159" i="4"/>
  <c r="U164" i="4"/>
  <c r="U167" i="4"/>
  <c r="U172" i="4"/>
  <c r="U175" i="4"/>
  <c r="U180" i="4"/>
  <c r="U183" i="4"/>
  <c r="U188" i="4"/>
  <c r="U191" i="4"/>
  <c r="U193" i="4"/>
  <c r="U195" i="4"/>
  <c r="U197" i="4"/>
  <c r="U199" i="4"/>
  <c r="U201" i="4"/>
  <c r="U203" i="4"/>
  <c r="U205" i="4"/>
  <c r="U207" i="4"/>
  <c r="U209" i="4"/>
  <c r="U211" i="4"/>
  <c r="U213" i="4"/>
  <c r="U215" i="4"/>
  <c r="U217" i="4"/>
  <c r="U219" i="4"/>
  <c r="U221" i="4"/>
  <c r="U223" i="4"/>
  <c r="U225" i="4"/>
  <c r="U227" i="4"/>
  <c r="U229" i="4"/>
  <c r="U231" i="4"/>
  <c r="U233" i="4"/>
  <c r="U235" i="4"/>
  <c r="U237" i="4"/>
  <c r="U239" i="4"/>
  <c r="U241" i="4"/>
  <c r="U243" i="4"/>
  <c r="U245" i="4"/>
  <c r="U247" i="4"/>
  <c r="U249" i="4"/>
  <c r="U251" i="4"/>
  <c r="U253" i="4"/>
  <c r="U255" i="4"/>
  <c r="U257" i="4"/>
  <c r="U259" i="4"/>
  <c r="U261" i="4"/>
  <c r="U263" i="4"/>
  <c r="U25" i="4"/>
  <c r="U46" i="4"/>
  <c r="U55" i="4"/>
  <c r="U60" i="4"/>
  <c r="U70" i="4"/>
  <c r="U81" i="4"/>
  <c r="U84" i="4"/>
  <c r="U88" i="4"/>
  <c r="U95" i="4"/>
  <c r="U99" i="4"/>
  <c r="U102" i="4"/>
  <c r="U113" i="4"/>
  <c r="U116" i="4"/>
  <c r="U120" i="4"/>
  <c r="U127" i="4"/>
  <c r="U131" i="4"/>
  <c r="U134" i="4"/>
  <c r="U145" i="4"/>
  <c r="U148" i="4"/>
  <c r="U154" i="4"/>
  <c r="U157" i="4"/>
  <c r="U162" i="4"/>
  <c r="U165" i="4"/>
  <c r="U170" i="4"/>
  <c r="U173" i="4"/>
  <c r="U178" i="4"/>
  <c r="U181" i="4"/>
  <c r="U186" i="4"/>
  <c r="U189" i="4"/>
  <c r="U38" i="4"/>
  <c r="U49" i="4"/>
  <c r="U57" i="4"/>
  <c r="U62" i="4"/>
  <c r="U71" i="4"/>
  <c r="U75" i="4"/>
  <c r="U78" i="4"/>
  <c r="U89" i="4"/>
  <c r="U92" i="4"/>
  <c r="U96" i="4"/>
  <c r="U103" i="4"/>
  <c r="U107" i="4"/>
  <c r="U110" i="4"/>
  <c r="U121" i="4"/>
  <c r="U124" i="4"/>
  <c r="U128" i="4"/>
  <c r="U135" i="4"/>
  <c r="U139" i="4"/>
  <c r="U142" i="4"/>
  <c r="U152" i="4"/>
  <c r="U155" i="4"/>
  <c r="U160" i="4"/>
  <c r="U163" i="4"/>
  <c r="U168" i="4"/>
  <c r="U171" i="4"/>
  <c r="U176" i="4"/>
  <c r="U179" i="4"/>
  <c r="U184" i="4"/>
  <c r="U187" i="4"/>
  <c r="U192" i="4"/>
  <c r="U194" i="4"/>
  <c r="U196" i="4"/>
  <c r="U198" i="4"/>
  <c r="U200" i="4"/>
  <c r="U202" i="4"/>
  <c r="U204" i="4"/>
  <c r="U206" i="4"/>
  <c r="U208" i="4"/>
  <c r="U210" i="4"/>
  <c r="U212" i="4"/>
  <c r="U214" i="4"/>
  <c r="U216" i="4"/>
  <c r="U218" i="4"/>
  <c r="U220" i="4"/>
  <c r="U222" i="4"/>
  <c r="U224" i="4"/>
  <c r="U226" i="4"/>
  <c r="U228" i="4"/>
  <c r="U230" i="4"/>
  <c r="U232" i="4"/>
  <c r="U234" i="4"/>
  <c r="U236" i="4"/>
  <c r="U238" i="4"/>
  <c r="U240" i="4"/>
  <c r="U242" i="4"/>
  <c r="U244" i="4"/>
  <c r="U246" i="4"/>
  <c r="U248" i="4"/>
  <c r="U250" i="4"/>
  <c r="U252" i="4"/>
  <c r="U254" i="4"/>
  <c r="U256" i="4"/>
  <c r="U258" i="4"/>
  <c r="U260" i="4"/>
  <c r="U262" i="4"/>
  <c r="U264" i="4"/>
  <c r="U266" i="4"/>
  <c r="U268" i="4"/>
  <c r="U270" i="4"/>
  <c r="U272" i="4"/>
  <c r="U104" i="4"/>
  <c r="U118" i="4"/>
  <c r="U132" i="4"/>
  <c r="U147" i="4"/>
  <c r="U158" i="4"/>
  <c r="U169" i="4"/>
  <c r="U190" i="4"/>
  <c r="U269" i="4"/>
  <c r="U274" i="4"/>
  <c r="U276" i="4"/>
  <c r="U278" i="4"/>
  <c r="U280" i="4"/>
  <c r="U282" i="4"/>
  <c r="U83" i="4"/>
  <c r="U273" i="4"/>
  <c r="U277" i="4"/>
  <c r="U281" i="4"/>
  <c r="U30" i="4"/>
  <c r="U63" i="4"/>
  <c r="U79" i="4"/>
  <c r="U136" i="4"/>
  <c r="U150" i="4"/>
  <c r="U161" i="4"/>
  <c r="U182" i="4"/>
  <c r="U267" i="4"/>
  <c r="U22" i="4"/>
  <c r="U41" i="4"/>
  <c r="U68" i="4"/>
  <c r="U97" i="4"/>
  <c r="U111" i="4"/>
  <c r="U153" i="4"/>
  <c r="U174" i="4"/>
  <c r="U185" i="4"/>
  <c r="U265" i="4"/>
  <c r="U275" i="4"/>
  <c r="U279" i="4"/>
  <c r="U283" i="4"/>
  <c r="U72" i="4"/>
  <c r="U86" i="4"/>
  <c r="U100" i="4"/>
  <c r="U115" i="4"/>
  <c r="U129" i="4"/>
  <c r="U143" i="4"/>
  <c r="U166" i="4"/>
  <c r="U177" i="4"/>
  <c r="U271" i="4"/>
  <c r="V24" i="4"/>
  <c r="W24" i="4" s="1"/>
  <c r="V26" i="4"/>
  <c r="W26" i="4" s="1"/>
  <c r="V28" i="4"/>
  <c r="W28" i="4" s="1"/>
  <c r="V30" i="4"/>
  <c r="W30" i="4" s="1"/>
  <c r="V32" i="4"/>
  <c r="W32" i="4" s="1"/>
  <c r="V34" i="4"/>
  <c r="W34" i="4" s="1"/>
  <c r="V36" i="4"/>
  <c r="V38" i="4"/>
  <c r="V40" i="4"/>
  <c r="W40" i="4" s="1"/>
  <c r="V42" i="4"/>
  <c r="W42" i="4" s="1"/>
  <c r="V44" i="4"/>
  <c r="W44" i="4" s="1"/>
  <c r="V46" i="4"/>
  <c r="V48" i="4"/>
  <c r="W48" i="4" s="1"/>
  <c r="V50" i="4"/>
  <c r="W50" i="4" s="1"/>
  <c r="V52" i="4"/>
  <c r="V54" i="4"/>
  <c r="W54" i="4" s="1"/>
  <c r="V56" i="4"/>
  <c r="W56" i="4" s="1"/>
  <c r="V58" i="4"/>
  <c r="W58" i="4" s="1"/>
  <c r="V60" i="4"/>
  <c r="W60" i="4" s="1"/>
  <c r="V62" i="4"/>
  <c r="W62" i="4" s="1"/>
  <c r="V64" i="4"/>
  <c r="W64" i="4" s="1"/>
  <c r="V66" i="4"/>
  <c r="W66" i="4" s="1"/>
  <c r="V68" i="4"/>
  <c r="V70" i="4"/>
  <c r="W70" i="4" s="1"/>
  <c r="V72" i="4"/>
  <c r="V74" i="4"/>
  <c r="W74" i="4" s="1"/>
  <c r="V76" i="4"/>
  <c r="W76" i="4" s="1"/>
  <c r="V78" i="4"/>
  <c r="W78" i="4" s="1"/>
  <c r="V80" i="4"/>
  <c r="V82" i="4"/>
  <c r="W82" i="4" s="1"/>
  <c r="V84" i="4"/>
  <c r="V86" i="4"/>
  <c r="V88" i="4"/>
  <c r="W88" i="4" s="1"/>
  <c r="V90" i="4"/>
  <c r="W90" i="4" s="1"/>
  <c r="V92" i="4"/>
  <c r="V94" i="4"/>
  <c r="W94" i="4" s="1"/>
  <c r="V96" i="4"/>
  <c r="V98" i="4"/>
  <c r="W98" i="4" s="1"/>
  <c r="V100" i="4"/>
  <c r="V102" i="4"/>
  <c r="V104" i="4"/>
  <c r="W104" i="4" s="1"/>
  <c r="V106" i="4"/>
  <c r="W106" i="4" s="1"/>
  <c r="V108" i="4"/>
  <c r="V110" i="4"/>
  <c r="V112" i="4"/>
  <c r="V114" i="4"/>
  <c r="W114" i="4" s="1"/>
  <c r="V116" i="4"/>
  <c r="V118" i="4"/>
  <c r="W118" i="4" s="1"/>
  <c r="V120" i="4"/>
  <c r="W120" i="4" s="1"/>
  <c r="V122" i="4"/>
  <c r="W122" i="4" s="1"/>
  <c r="V124" i="4"/>
  <c r="W124" i="4" s="1"/>
  <c r="V126" i="4"/>
  <c r="V128" i="4"/>
  <c r="V130" i="4"/>
  <c r="W130" i="4" s="1"/>
  <c r="V132" i="4"/>
  <c r="V134" i="4"/>
  <c r="W134" i="4" s="1"/>
  <c r="V136" i="4"/>
  <c r="W136" i="4" s="1"/>
  <c r="V138" i="4"/>
  <c r="W138" i="4" s="1"/>
  <c r="V140" i="4"/>
  <c r="W140" i="4" s="1"/>
  <c r="V142" i="4"/>
  <c r="W142" i="4" s="1"/>
  <c r="V144" i="4"/>
  <c r="V146" i="4"/>
  <c r="W146" i="4" s="1"/>
  <c r="V148" i="4"/>
  <c r="V150" i="4"/>
  <c r="W150" i="4" s="1"/>
  <c r="V152" i="4"/>
  <c r="V154" i="4"/>
  <c r="W154" i="4" s="1"/>
  <c r="V156" i="4"/>
  <c r="V158" i="4"/>
  <c r="W158" i="4" s="1"/>
  <c r="V160" i="4"/>
  <c r="V162" i="4"/>
  <c r="W162" i="4" s="1"/>
  <c r="V164" i="4"/>
  <c r="V166" i="4"/>
  <c r="V168" i="4"/>
  <c r="V170" i="4"/>
  <c r="W170" i="4" s="1"/>
  <c r="V172" i="4"/>
  <c r="V174" i="4"/>
  <c r="V176" i="4"/>
  <c r="V178" i="4"/>
  <c r="W178" i="4" s="1"/>
  <c r="V180" i="4"/>
  <c r="V182" i="4"/>
  <c r="V184" i="4"/>
  <c r="V186" i="4"/>
  <c r="W186" i="4" s="1"/>
  <c r="V188" i="4"/>
  <c r="V190" i="4"/>
  <c r="V25" i="4"/>
  <c r="V33" i="4"/>
  <c r="W33" i="4" s="1"/>
  <c r="V41" i="4"/>
  <c r="V49" i="4"/>
  <c r="V23" i="4"/>
  <c r="W23" i="4" s="1"/>
  <c r="V31" i="4"/>
  <c r="W31" i="4" s="1"/>
  <c r="V39" i="4"/>
  <c r="W39" i="4" s="1"/>
  <c r="V47" i="4"/>
  <c r="V55" i="4"/>
  <c r="V63" i="4"/>
  <c r="W63" i="4" s="1"/>
  <c r="V71" i="4"/>
  <c r="V79" i="4"/>
  <c r="V87" i="4"/>
  <c r="W87" i="4" s="1"/>
  <c r="V95" i="4"/>
  <c r="W95" i="4" s="1"/>
  <c r="V103" i="4"/>
  <c r="W103" i="4" s="1"/>
  <c r="V111" i="4"/>
  <c r="W111" i="4" s="1"/>
  <c r="V119" i="4"/>
  <c r="W119" i="4" s="1"/>
  <c r="V127" i="4"/>
  <c r="W127" i="4" s="1"/>
  <c r="V135" i="4"/>
  <c r="V143" i="4"/>
  <c r="V29" i="4"/>
  <c r="W29" i="4" s="1"/>
  <c r="V37" i="4"/>
  <c r="W37" i="4" s="1"/>
  <c r="V45" i="4"/>
  <c r="W45" i="4" s="1"/>
  <c r="V53" i="4"/>
  <c r="V61" i="4"/>
  <c r="W61" i="4" s="1"/>
  <c r="V43" i="4"/>
  <c r="W43" i="4" s="1"/>
  <c r="V59" i="4"/>
  <c r="V69" i="4"/>
  <c r="V83" i="4"/>
  <c r="V97" i="4"/>
  <c r="W97" i="4" s="1"/>
  <c r="V101" i="4"/>
  <c r="V115" i="4"/>
  <c r="W115" i="4" s="1"/>
  <c r="V129" i="4"/>
  <c r="V133" i="4"/>
  <c r="W133" i="4" s="1"/>
  <c r="V147" i="4"/>
  <c r="V153" i="4"/>
  <c r="V161" i="4"/>
  <c r="W161" i="4" s="1"/>
  <c r="V169" i="4"/>
  <c r="W169" i="4" s="1"/>
  <c r="V177" i="4"/>
  <c r="W177" i="4" s="1"/>
  <c r="V185" i="4"/>
  <c r="W185" i="4" s="1"/>
  <c r="V35" i="4"/>
  <c r="V65" i="4"/>
  <c r="W65" i="4" s="1"/>
  <c r="V73" i="4"/>
  <c r="V77" i="4"/>
  <c r="W77" i="4" s="1"/>
  <c r="V91" i="4"/>
  <c r="V105" i="4"/>
  <c r="W105" i="4" s="1"/>
  <c r="V109" i="4"/>
  <c r="V123" i="4"/>
  <c r="W123" i="4" s="1"/>
  <c r="V137" i="4"/>
  <c r="V141" i="4"/>
  <c r="W141" i="4" s="1"/>
  <c r="V151" i="4"/>
  <c r="V159" i="4"/>
  <c r="W159" i="4" s="1"/>
  <c r="V167" i="4"/>
  <c r="W167" i="4" s="1"/>
  <c r="V175" i="4"/>
  <c r="W175" i="4" s="1"/>
  <c r="V183" i="4"/>
  <c r="V191" i="4"/>
  <c r="W191" i="4" s="1"/>
  <c r="V193" i="4"/>
  <c r="V195" i="4"/>
  <c r="W195" i="4" s="1"/>
  <c r="V197" i="4"/>
  <c r="V199" i="4"/>
  <c r="W199" i="4" s="1"/>
  <c r="V201" i="4"/>
  <c r="V203" i="4"/>
  <c r="W203" i="4" s="1"/>
  <c r="V205" i="4"/>
  <c r="V207" i="4"/>
  <c r="W207" i="4" s="1"/>
  <c r="V209" i="4"/>
  <c r="V211" i="4"/>
  <c r="W211" i="4" s="1"/>
  <c r="V213" i="4"/>
  <c r="V215" i="4"/>
  <c r="W215" i="4" s="1"/>
  <c r="V217" i="4"/>
  <c r="V219" i="4"/>
  <c r="W219" i="4" s="1"/>
  <c r="V221" i="4"/>
  <c r="V223" i="4"/>
  <c r="W223" i="4" s="1"/>
  <c r="V225" i="4"/>
  <c r="V227" i="4"/>
  <c r="W227" i="4" s="1"/>
  <c r="V229" i="4"/>
  <c r="V231" i="4"/>
  <c r="W231" i="4" s="1"/>
  <c r="V233" i="4"/>
  <c r="V235" i="4"/>
  <c r="W235" i="4" s="1"/>
  <c r="V237" i="4"/>
  <c r="V239" i="4"/>
  <c r="W239" i="4" s="1"/>
  <c r="V241" i="4"/>
  <c r="V243" i="4"/>
  <c r="W243" i="4" s="1"/>
  <c r="V245" i="4"/>
  <c r="V247" i="4"/>
  <c r="W247" i="4" s="1"/>
  <c r="V249" i="4"/>
  <c r="V251" i="4"/>
  <c r="W251" i="4" s="1"/>
  <c r="V253" i="4"/>
  <c r="V255" i="4"/>
  <c r="W255" i="4" s="1"/>
  <c r="V257" i="4"/>
  <c r="V259" i="4"/>
  <c r="W259" i="4" s="1"/>
  <c r="V261" i="4"/>
  <c r="V263" i="4"/>
  <c r="W263" i="4" s="1"/>
  <c r="V27" i="4"/>
  <c r="V67" i="4"/>
  <c r="W67" i="4" s="1"/>
  <c r="V81" i="4"/>
  <c r="V85" i="4"/>
  <c r="V99" i="4"/>
  <c r="W99" i="4" s="1"/>
  <c r="V113" i="4"/>
  <c r="W113" i="4" s="1"/>
  <c r="V117" i="4"/>
  <c r="V131" i="4"/>
  <c r="W131" i="4" s="1"/>
  <c r="V145" i="4"/>
  <c r="W145" i="4" s="1"/>
  <c r="V149" i="4"/>
  <c r="W149" i="4" s="1"/>
  <c r="V157" i="4"/>
  <c r="V165" i="4"/>
  <c r="V173" i="4"/>
  <c r="V181" i="4"/>
  <c r="W181" i="4" s="1"/>
  <c r="V189" i="4"/>
  <c r="V57" i="4"/>
  <c r="W57" i="4" s="1"/>
  <c r="V75" i="4"/>
  <c r="V89" i="4"/>
  <c r="W89" i="4" s="1"/>
  <c r="V179" i="4"/>
  <c r="W179" i="4" s="1"/>
  <c r="V198" i="4"/>
  <c r="V206" i="4"/>
  <c r="W206" i="4" s="1"/>
  <c r="V214" i="4"/>
  <c r="W214" i="4" s="1"/>
  <c r="V222" i="4"/>
  <c r="V230" i="4"/>
  <c r="V238" i="4"/>
  <c r="W238" i="4" s="1"/>
  <c r="V246" i="4"/>
  <c r="W246" i="4" s="1"/>
  <c r="V254" i="4"/>
  <c r="V262" i="4"/>
  <c r="V266" i="4"/>
  <c r="W266" i="4" s="1"/>
  <c r="V271" i="4"/>
  <c r="W271" i="4" s="1"/>
  <c r="V22" i="4"/>
  <c r="V163" i="4"/>
  <c r="W163" i="4" s="1"/>
  <c r="V242" i="4"/>
  <c r="W242" i="4" s="1"/>
  <c r="V267" i="4"/>
  <c r="W267" i="4" s="1"/>
  <c r="V93" i="4"/>
  <c r="W93" i="4" s="1"/>
  <c r="V107" i="4"/>
  <c r="W107" i="4" s="1"/>
  <c r="V121" i="4"/>
  <c r="V171" i="4"/>
  <c r="W171" i="4" s="1"/>
  <c r="V192" i="4"/>
  <c r="V200" i="4"/>
  <c r="V208" i="4"/>
  <c r="V216" i="4"/>
  <c r="W216" i="4" s="1"/>
  <c r="V224" i="4"/>
  <c r="V232" i="4"/>
  <c r="V240" i="4"/>
  <c r="V248" i="4"/>
  <c r="W248" i="4" s="1"/>
  <c r="V256" i="4"/>
  <c r="V264" i="4"/>
  <c r="V269" i="4"/>
  <c r="V272" i="4"/>
  <c r="W272" i="4" s="1"/>
  <c r="V274" i="4"/>
  <c r="W274" i="4" s="1"/>
  <c r="V276" i="4"/>
  <c r="W276" i="4" s="1"/>
  <c r="V278" i="4"/>
  <c r="W278" i="4" s="1"/>
  <c r="V280" i="4"/>
  <c r="W280" i="4" s="1"/>
  <c r="V282" i="4"/>
  <c r="W282" i="4" s="1"/>
  <c r="V125" i="4"/>
  <c r="W125" i="4" s="1"/>
  <c r="V139" i="4"/>
  <c r="V194" i="4"/>
  <c r="W194" i="4" s="1"/>
  <c r="V202" i="4"/>
  <c r="W202" i="4" s="1"/>
  <c r="V210" i="4"/>
  <c r="W210" i="4" s="1"/>
  <c r="V218" i="4"/>
  <c r="W218" i="4" s="1"/>
  <c r="V226" i="4"/>
  <c r="W226" i="4" s="1"/>
  <c r="V234" i="4"/>
  <c r="W234" i="4" s="1"/>
  <c r="V250" i="4"/>
  <c r="W250" i="4" s="1"/>
  <c r="V270" i="4"/>
  <c r="W270" i="4" s="1"/>
  <c r="V258" i="4"/>
  <c r="W258" i="4" s="1"/>
  <c r="V51" i="4"/>
  <c r="V155" i="4"/>
  <c r="V187" i="4"/>
  <c r="W187" i="4" s="1"/>
  <c r="V196" i="4"/>
  <c r="W196" i="4" s="1"/>
  <c r="V204" i="4"/>
  <c r="V212" i="4"/>
  <c r="W212" i="4" s="1"/>
  <c r="V220" i="4"/>
  <c r="V228" i="4"/>
  <c r="W228" i="4" s="1"/>
  <c r="V236" i="4"/>
  <c r="V244" i="4"/>
  <c r="W244" i="4" s="1"/>
  <c r="V252" i="4"/>
  <c r="V260" i="4"/>
  <c r="W260" i="4" s="1"/>
  <c r="V265" i="4"/>
  <c r="V268" i="4"/>
  <c r="W268" i="4" s="1"/>
  <c r="V273" i="4"/>
  <c r="W273" i="4" s="1"/>
  <c r="V275" i="4"/>
  <c r="W275" i="4" s="1"/>
  <c r="V277" i="4"/>
  <c r="V279" i="4"/>
  <c r="V281" i="4"/>
  <c r="W281" i="4" s="1"/>
  <c r="V283" i="4"/>
  <c r="W283" i="4" s="1"/>
  <c r="Y43" i="2"/>
  <c r="AA44" i="2"/>
  <c r="AA43" i="2"/>
  <c r="X42" i="2"/>
  <c r="Z47" i="2"/>
  <c r="Z45" i="2"/>
  <c r="X8" i="2"/>
  <c r="Z8" i="2"/>
  <c r="Z10" i="2" s="1"/>
  <c r="Z12" i="2" s="1"/>
  <c r="H7" i="3"/>
  <c r="D93" i="2"/>
  <c r="D97" i="2" s="1"/>
  <c r="AB47" i="2"/>
  <c r="X46" i="2"/>
  <c r="X47" i="2"/>
  <c r="AB46" i="2"/>
  <c r="AB44" i="2"/>
  <c r="X44" i="2"/>
  <c r="C30" i="3"/>
  <c r="Y44" i="2"/>
  <c r="Y45" i="2"/>
  <c r="Y8" i="2"/>
  <c r="Y10" i="2" s="1"/>
  <c r="Y12" i="2" s="1"/>
  <c r="AA45" i="2"/>
  <c r="X10" i="2"/>
  <c r="X12" i="2" s="1"/>
  <c r="X43" i="2"/>
  <c r="AB8" i="2"/>
  <c r="AB10" i="2" s="1"/>
  <c r="AB12" i="2" s="1"/>
  <c r="Y47" i="2"/>
  <c r="AA47" i="2"/>
  <c r="Z44" i="2"/>
  <c r="Z43" i="2"/>
  <c r="AA46" i="2"/>
  <c r="AB45" i="2"/>
  <c r="X45" i="2"/>
  <c r="AA8" i="2"/>
  <c r="AA10" i="2" s="1"/>
  <c r="AA12" i="2" s="1"/>
  <c r="F8" i="3"/>
  <c r="E8" i="3"/>
  <c r="G8" i="3"/>
  <c r="D11" i="3"/>
  <c r="D12" i="3" s="1"/>
  <c r="I47" i="3"/>
  <c r="F38" i="3"/>
  <c r="G44" i="3"/>
  <c r="D15" i="3"/>
  <c r="D18" i="3" s="1"/>
  <c r="C11" i="3"/>
  <c r="D30" i="3"/>
  <c r="L47" i="3"/>
  <c r="I7" i="3"/>
  <c r="K47" i="3"/>
  <c r="F11" i="3"/>
  <c r="G11" i="3"/>
  <c r="H47" i="3"/>
  <c r="H46" i="3" s="1"/>
  <c r="J47" i="3"/>
  <c r="E11" i="3"/>
  <c r="M47" i="3"/>
  <c r="G36" i="3"/>
  <c r="E30" i="3"/>
  <c r="G30" i="3"/>
  <c r="D6" i="2" s="1"/>
  <c r="D8" i="2" s="1"/>
  <c r="D10" i="2" s="1"/>
  <c r="D11" i="2" s="1"/>
  <c r="D12" i="2" s="1"/>
  <c r="C39" i="3"/>
  <c r="E38" i="3"/>
  <c r="F30" i="3"/>
  <c r="F36" i="3"/>
  <c r="D36" i="3"/>
  <c r="D38" i="3"/>
  <c r="F39" i="3"/>
  <c r="G38" i="3"/>
  <c r="C38" i="3"/>
  <c r="E39" i="3"/>
  <c r="D39" i="3"/>
  <c r="E36" i="3"/>
  <c r="G39" i="3"/>
  <c r="D124" i="2"/>
  <c r="C59" i="1"/>
  <c r="C124" i="1" s="1"/>
  <c r="C53" i="1"/>
  <c r="C47" i="1"/>
  <c r="C33" i="1"/>
  <c r="C38" i="1" s="1"/>
  <c r="C25" i="1"/>
  <c r="C120" i="1"/>
  <c r="C121" i="1" s="1"/>
  <c r="C115" i="1"/>
  <c r="C93" i="1"/>
  <c r="C70" i="1"/>
  <c r="C85" i="1"/>
  <c r="C106" i="1"/>
  <c r="C107" i="1"/>
  <c r="C103" i="1"/>
  <c r="C102" i="1"/>
  <c r="C92" i="1"/>
  <c r="C91" i="1"/>
  <c r="G26" i="3"/>
  <c r="G42" i="3" s="1"/>
  <c r="C77" i="1"/>
  <c r="C76" i="1"/>
  <c r="C75" i="1"/>
  <c r="C71" i="1"/>
  <c r="C69" i="1"/>
  <c r="C68" i="1"/>
  <c r="C8" i="1"/>
  <c r="C20" i="1"/>
  <c r="G127" i="2"/>
  <c r="H123" i="2"/>
  <c r="H121" i="2"/>
  <c r="E92" i="2"/>
  <c r="F92" i="2" s="1"/>
  <c r="G92" i="2" s="1"/>
  <c r="H92" i="2" s="1"/>
  <c r="I92" i="2" s="1"/>
  <c r="J92" i="2" s="1"/>
  <c r="D92" i="2"/>
  <c r="F85" i="2"/>
  <c r="H85" i="2" s="1"/>
  <c r="J85" i="2" s="1"/>
  <c r="F84" i="2"/>
  <c r="H84" i="2" s="1"/>
  <c r="J84" i="2" s="1"/>
  <c r="F83" i="2"/>
  <c r="H83" i="2" s="1"/>
  <c r="J83" i="2" s="1"/>
  <c r="I82" i="2"/>
  <c r="J82" i="2" s="1"/>
  <c r="I81" i="2"/>
  <c r="J81" i="2" s="1"/>
  <c r="F80" i="2"/>
  <c r="H80" i="2" s="1"/>
  <c r="J80" i="2" s="1"/>
  <c r="F79" i="2"/>
  <c r="H79" i="2" s="1"/>
  <c r="J79" i="2" s="1"/>
  <c r="F78" i="2"/>
  <c r="H78" i="2" s="1"/>
  <c r="J78" i="2" s="1"/>
  <c r="I77" i="2"/>
  <c r="J77" i="2" s="1"/>
  <c r="H76" i="2"/>
  <c r="J76" i="2" s="1"/>
  <c r="F75" i="2"/>
  <c r="H75" i="2" s="1"/>
  <c r="J75" i="2" s="1"/>
  <c r="G74" i="2"/>
  <c r="F74" i="2"/>
  <c r="F73" i="2"/>
  <c r="H73" i="2" s="1"/>
  <c r="J73" i="2" s="1"/>
  <c r="D62" i="2"/>
  <c r="C62" i="2"/>
  <c r="E60" i="2"/>
  <c r="H60" i="2" s="1"/>
  <c r="J60" i="2" s="1"/>
  <c r="E59" i="2"/>
  <c r="H59" i="2" s="1"/>
  <c r="J59" i="2" s="1"/>
  <c r="E58" i="2"/>
  <c r="H58" i="2" s="1"/>
  <c r="J58" i="2" s="1"/>
  <c r="E57" i="2"/>
  <c r="H57" i="2" s="1"/>
  <c r="J57" i="2" s="1"/>
  <c r="E56" i="2"/>
  <c r="H56" i="2" s="1"/>
  <c r="J56" i="2" s="1"/>
  <c r="E55" i="2"/>
  <c r="H55" i="2" s="1"/>
  <c r="J55" i="2" s="1"/>
  <c r="E54" i="2"/>
  <c r="H54" i="2" s="1"/>
  <c r="J54" i="2" s="1"/>
  <c r="F46" i="2"/>
  <c r="F44" i="2"/>
  <c r="B44" i="2" s="1"/>
  <c r="B39" i="2"/>
  <c r="B45" i="2" s="1"/>
  <c r="B38" i="2"/>
  <c r="B64" i="2"/>
  <c r="F130" i="1"/>
  <c r="E130" i="1"/>
  <c r="D130" i="1"/>
  <c r="F126" i="1"/>
  <c r="E126" i="1"/>
  <c r="D126" i="1"/>
  <c r="F125" i="1"/>
  <c r="E125" i="1"/>
  <c r="D125" i="1"/>
  <c r="F120" i="1"/>
  <c r="F121" i="1" s="1"/>
  <c r="E120" i="1"/>
  <c r="E121" i="1" s="1"/>
  <c r="D120" i="1"/>
  <c r="D121" i="1" s="1"/>
  <c r="F115" i="1"/>
  <c r="E115" i="1"/>
  <c r="D115" i="1"/>
  <c r="F107" i="1"/>
  <c r="E107" i="1"/>
  <c r="D107" i="1"/>
  <c r="F106" i="1"/>
  <c r="E106" i="1"/>
  <c r="D106" i="1"/>
  <c r="F103" i="1"/>
  <c r="E103" i="1"/>
  <c r="D103" i="1"/>
  <c r="F102" i="1"/>
  <c r="E102" i="1"/>
  <c r="D102" i="1"/>
  <c r="E93" i="1"/>
  <c r="D93" i="1"/>
  <c r="F92" i="1"/>
  <c r="E92" i="1"/>
  <c r="D92" i="1"/>
  <c r="F91" i="1"/>
  <c r="E91" i="1"/>
  <c r="D91" i="1"/>
  <c r="D85" i="1"/>
  <c r="D26" i="3"/>
  <c r="D42" i="3" s="1"/>
  <c r="E26" i="3"/>
  <c r="E42" i="3" s="1"/>
  <c r="F26" i="3"/>
  <c r="F42" i="3" s="1"/>
  <c r="F78" i="1"/>
  <c r="F77" i="1"/>
  <c r="E77" i="1"/>
  <c r="D77" i="1"/>
  <c r="F76" i="1"/>
  <c r="E76" i="1"/>
  <c r="D76" i="1"/>
  <c r="F75" i="1"/>
  <c r="E75" i="1"/>
  <c r="D75" i="1"/>
  <c r="F71" i="1"/>
  <c r="E71" i="1"/>
  <c r="D71" i="1"/>
  <c r="F70" i="1"/>
  <c r="E70" i="1"/>
  <c r="D70" i="1"/>
  <c r="F69" i="1"/>
  <c r="F86" i="1" s="1"/>
  <c r="E69" i="1"/>
  <c r="E86" i="1" s="1"/>
  <c r="D69" i="1"/>
  <c r="D86" i="1" s="1"/>
  <c r="F68" i="1"/>
  <c r="E68" i="1"/>
  <c r="D68" i="1"/>
  <c r="G59" i="1"/>
  <c r="F53" i="1"/>
  <c r="E53" i="1"/>
  <c r="D53" i="1"/>
  <c r="G52" i="1"/>
  <c r="G53" i="1" s="1"/>
  <c r="G47" i="1"/>
  <c r="F47" i="1"/>
  <c r="E44" i="1"/>
  <c r="E47" i="1" s="1"/>
  <c r="D44" i="1"/>
  <c r="C78" i="1" s="1"/>
  <c r="G34" i="1"/>
  <c r="AB32" i="2" s="1"/>
  <c r="F34" i="1"/>
  <c r="G33" i="1"/>
  <c r="F33" i="1"/>
  <c r="E33" i="1"/>
  <c r="E38" i="1" s="1"/>
  <c r="D33" i="1"/>
  <c r="D38" i="1" s="1"/>
  <c r="G25" i="1"/>
  <c r="G28" i="1" s="1"/>
  <c r="F25" i="1"/>
  <c r="E101" i="1" s="1"/>
  <c r="E25" i="1"/>
  <c r="D25" i="1"/>
  <c r="C101" i="1" s="1"/>
  <c r="G16" i="1"/>
  <c r="C22" i="3" s="1"/>
  <c r="F16" i="1"/>
  <c r="D22" i="3" s="1"/>
  <c r="E16" i="1"/>
  <c r="E22" i="3" s="1"/>
  <c r="D16" i="1"/>
  <c r="F22" i="3" s="1"/>
  <c r="G8" i="1"/>
  <c r="F8" i="1"/>
  <c r="E8" i="1"/>
  <c r="D8" i="1"/>
  <c r="W22" i="4" l="1"/>
  <c r="W252" i="4"/>
  <c r="W220" i="4"/>
  <c r="W173" i="4"/>
  <c r="W27" i="4"/>
  <c r="W257" i="4"/>
  <c r="W249" i="4"/>
  <c r="W241" i="4"/>
  <c r="W233" i="4"/>
  <c r="W225" i="4"/>
  <c r="W217" i="4"/>
  <c r="W209" i="4"/>
  <c r="W201" i="4"/>
  <c r="W193" i="4"/>
  <c r="W129" i="4"/>
  <c r="W83" i="4"/>
  <c r="W25" i="4"/>
  <c r="W184" i="4"/>
  <c r="W168" i="4"/>
  <c r="W152" i="4"/>
  <c r="W144" i="4"/>
  <c r="W128" i="4"/>
  <c r="W80" i="4"/>
  <c r="W72" i="4"/>
  <c r="W265" i="4"/>
  <c r="W236" i="4"/>
  <c r="W204" i="4"/>
  <c r="W189" i="4"/>
  <c r="W157" i="4"/>
  <c r="W109" i="4"/>
  <c r="W59" i="4"/>
  <c r="W180" i="4"/>
  <c r="W164" i="4"/>
  <c r="W116" i="4"/>
  <c r="W254" i="4"/>
  <c r="W222" i="4"/>
  <c r="W81" i="4"/>
  <c r="W183" i="4"/>
  <c r="W151" i="4"/>
  <c r="G28" i="4"/>
  <c r="AA27" i="4"/>
  <c r="W155" i="4"/>
  <c r="W262" i="4"/>
  <c r="W230" i="4"/>
  <c r="W198" i="4"/>
  <c r="W153" i="4"/>
  <c r="W143" i="4"/>
  <c r="W47" i="4"/>
  <c r="W190" i="4"/>
  <c r="W126" i="4"/>
  <c r="W110" i="4"/>
  <c r="W86" i="4"/>
  <c r="W46" i="4"/>
  <c r="W38" i="4"/>
  <c r="W277" i="4"/>
  <c r="W51" i="4"/>
  <c r="W256" i="4"/>
  <c r="W224" i="4"/>
  <c r="W192" i="4"/>
  <c r="W117" i="4"/>
  <c r="W261" i="4"/>
  <c r="W253" i="4"/>
  <c r="W245" i="4"/>
  <c r="W237" i="4"/>
  <c r="W229" i="4"/>
  <c r="W221" i="4"/>
  <c r="W213" i="4"/>
  <c r="W135" i="4"/>
  <c r="W71" i="4"/>
  <c r="W41" i="4"/>
  <c r="W132" i="4"/>
  <c r="W108" i="4"/>
  <c r="W92" i="4"/>
  <c r="N27" i="4"/>
  <c r="AB26" i="4"/>
  <c r="W139" i="4"/>
  <c r="W269" i="4"/>
  <c r="W240" i="4"/>
  <c r="W208" i="4"/>
  <c r="W121" i="4"/>
  <c r="W75" i="4"/>
  <c r="W137" i="4"/>
  <c r="W91" i="4"/>
  <c r="W35" i="4"/>
  <c r="W55" i="4"/>
  <c r="W176" i="4"/>
  <c r="W160" i="4"/>
  <c r="W112" i="4"/>
  <c r="W96" i="4"/>
  <c r="W279" i="4"/>
  <c r="W264" i="4"/>
  <c r="W232" i="4"/>
  <c r="W200" i="4"/>
  <c r="W165" i="4"/>
  <c r="W85" i="4"/>
  <c r="W69" i="4"/>
  <c r="W53" i="4"/>
  <c r="W79" i="4"/>
  <c r="W49" i="4"/>
  <c r="W182" i="4"/>
  <c r="W174" i="4"/>
  <c r="W166" i="4"/>
  <c r="W102" i="4"/>
  <c r="W205" i="4"/>
  <c r="W197" i="4"/>
  <c r="W73" i="4"/>
  <c r="W147" i="4"/>
  <c r="W101" i="4"/>
  <c r="W188" i="4"/>
  <c r="W172" i="4"/>
  <c r="W156" i="4"/>
  <c r="W148" i="4"/>
  <c r="W100" i="4"/>
  <c r="W84" i="4"/>
  <c r="W68" i="4"/>
  <c r="W52" i="4"/>
  <c r="W36" i="4"/>
  <c r="F45" i="2"/>
  <c r="F47" i="2" s="1"/>
  <c r="I8" i="3"/>
  <c r="F93" i="2"/>
  <c r="C6" i="2"/>
  <c r="H8" i="3"/>
  <c r="E93" i="2"/>
  <c r="H124" i="2"/>
  <c r="C118" i="2" s="1"/>
  <c r="H42" i="3"/>
  <c r="H44" i="3" s="1"/>
  <c r="H24" i="3" s="1"/>
  <c r="F99" i="1"/>
  <c r="X14" i="2"/>
  <c r="X16" i="2" s="1"/>
  <c r="X18" i="2" s="1"/>
  <c r="E85" i="1"/>
  <c r="AA32" i="2"/>
  <c r="J64" i="2"/>
  <c r="J122" i="2"/>
  <c r="B47" i="2"/>
  <c r="H9" i="2" s="1"/>
  <c r="E62" i="2"/>
  <c r="E38" i="2"/>
  <c r="E39" i="2" s="1"/>
  <c r="H8" i="2" s="1"/>
  <c r="H74" i="2"/>
  <c r="C15" i="3"/>
  <c r="C18" i="3" s="1"/>
  <c r="C12" i="3"/>
  <c r="G15" i="3"/>
  <c r="G18" i="3" s="1"/>
  <c r="G12" i="3"/>
  <c r="E15" i="3"/>
  <c r="E18" i="3" s="1"/>
  <c r="E12" i="3"/>
  <c r="F15" i="3"/>
  <c r="F18" i="3" s="1"/>
  <c r="F12" i="3"/>
  <c r="I46" i="3"/>
  <c r="I30" i="3" s="1"/>
  <c r="H30" i="3"/>
  <c r="I42" i="3"/>
  <c r="J42" i="3" s="1"/>
  <c r="K42" i="3" s="1"/>
  <c r="L42" i="3" s="1"/>
  <c r="M42" i="3" s="1"/>
  <c r="I44" i="3"/>
  <c r="J7" i="3"/>
  <c r="H38" i="3"/>
  <c r="H39" i="3"/>
  <c r="F129" i="1"/>
  <c r="G10" i="1"/>
  <c r="D10" i="1"/>
  <c r="C10" i="1"/>
  <c r="E10" i="1"/>
  <c r="F54" i="1"/>
  <c r="AA33" i="2" s="1"/>
  <c r="C98" i="1"/>
  <c r="C119" i="1"/>
  <c r="C28" i="1"/>
  <c r="C118" i="1" s="1"/>
  <c r="C54" i="1"/>
  <c r="X33" i="2" s="1"/>
  <c r="X34" i="2" s="1"/>
  <c r="G128" i="2" s="1"/>
  <c r="G129" i="2" s="1"/>
  <c r="H128" i="2" s="1"/>
  <c r="E119" i="1"/>
  <c r="D98" i="1"/>
  <c r="E99" i="1"/>
  <c r="C129" i="1"/>
  <c r="D78" i="1"/>
  <c r="D79" i="1" s="1"/>
  <c r="F25" i="3" s="1"/>
  <c r="F41" i="3" s="1"/>
  <c r="G54" i="1"/>
  <c r="AB33" i="2" s="1"/>
  <c r="E95" i="1"/>
  <c r="F101" i="1"/>
  <c r="E98" i="1"/>
  <c r="F30" i="2"/>
  <c r="F62" i="2" s="1"/>
  <c r="I127" i="2"/>
  <c r="AC46" i="2"/>
  <c r="AC45" i="2"/>
  <c r="G30" i="2"/>
  <c r="G62" i="2" s="1"/>
  <c r="C95" i="1"/>
  <c r="C86" i="1"/>
  <c r="C87" i="1" s="1"/>
  <c r="C99" i="1"/>
  <c r="C79" i="1"/>
  <c r="G25" i="3" s="1"/>
  <c r="G41" i="3" s="1"/>
  <c r="D129" i="1"/>
  <c r="E129" i="1"/>
  <c r="F38" i="1"/>
  <c r="F98" i="1"/>
  <c r="F85" i="1"/>
  <c r="F87" i="1" s="1"/>
  <c r="G38" i="1"/>
  <c r="G39" i="1" s="1"/>
  <c r="AB31" i="2" s="1"/>
  <c r="F79" i="1"/>
  <c r="D25" i="3" s="1"/>
  <c r="D41" i="3" s="1"/>
  <c r="D87" i="1"/>
  <c r="D95" i="1"/>
  <c r="F93" i="1"/>
  <c r="F95" i="1" s="1"/>
  <c r="D99" i="1"/>
  <c r="I128" i="2"/>
  <c r="D30" i="2"/>
  <c r="E30" i="2" s="1"/>
  <c r="E54" i="1"/>
  <c r="Z33" i="2" s="1"/>
  <c r="E87" i="1"/>
  <c r="F10" i="1"/>
  <c r="F28" i="1"/>
  <c r="F118" i="1" s="1"/>
  <c r="F58" i="1"/>
  <c r="D28" i="1"/>
  <c r="D39" i="1" s="1"/>
  <c r="Y31" i="2" s="1"/>
  <c r="D47" i="1"/>
  <c r="D54" i="1" s="1"/>
  <c r="Y33" i="2" s="1"/>
  <c r="D67" i="1"/>
  <c r="D72" i="1" s="1"/>
  <c r="E78" i="1"/>
  <c r="E79" i="1" s="1"/>
  <c r="E25" i="3" s="1"/>
  <c r="E41" i="3" s="1"/>
  <c r="D101" i="1"/>
  <c r="F67" i="1"/>
  <c r="F72" i="1" s="1"/>
  <c r="F119" i="1"/>
  <c r="E28" i="1"/>
  <c r="E118" i="1" s="1"/>
  <c r="E67" i="1"/>
  <c r="E72" i="1" s="1"/>
  <c r="W285" i="4" l="1"/>
  <c r="X286" i="4" s="1"/>
  <c r="N28" i="4"/>
  <c r="AB27" i="4"/>
  <c r="G29" i="4"/>
  <c r="AA28" i="4"/>
  <c r="F94" i="2"/>
  <c r="F97" i="2" s="1"/>
  <c r="E94" i="2"/>
  <c r="E97" i="2"/>
  <c r="F8" i="2"/>
  <c r="C8" i="2" s="1"/>
  <c r="J8" i="2"/>
  <c r="F9" i="2"/>
  <c r="C9" i="2" s="1"/>
  <c r="J9" i="2"/>
  <c r="C119" i="2"/>
  <c r="C117" i="2"/>
  <c r="B114" i="2"/>
  <c r="C116" i="2"/>
  <c r="C115" i="2"/>
  <c r="J8" i="3"/>
  <c r="G93" i="2"/>
  <c r="H26" i="3"/>
  <c r="AB34" i="2"/>
  <c r="J46" i="3"/>
  <c r="G61" i="1"/>
  <c r="Y34" i="2"/>
  <c r="I74" i="2"/>
  <c r="J74" i="2" s="1"/>
  <c r="J86" i="2" s="1"/>
  <c r="G87" i="2" s="1"/>
  <c r="B87" i="2" s="1"/>
  <c r="C11" i="2" s="1"/>
  <c r="J128" i="2"/>
  <c r="I110" i="2"/>
  <c r="K46" i="3"/>
  <c r="J30" i="3"/>
  <c r="I26" i="3"/>
  <c r="J26" i="3"/>
  <c r="I24" i="3"/>
  <c r="J44" i="3"/>
  <c r="I39" i="3"/>
  <c r="H14" i="3"/>
  <c r="I38" i="3"/>
  <c r="H10" i="3"/>
  <c r="H11" i="3" s="1"/>
  <c r="H12" i="3" s="1"/>
  <c r="K7" i="3"/>
  <c r="H41" i="3"/>
  <c r="C12" i="1"/>
  <c r="G12" i="1"/>
  <c r="F12" i="1"/>
  <c r="E12" i="1"/>
  <c r="D12" i="1"/>
  <c r="AC44" i="2"/>
  <c r="G62" i="1"/>
  <c r="C61" i="1"/>
  <c r="C62" i="1" s="1"/>
  <c r="D81" i="1"/>
  <c r="D97" i="1" s="1"/>
  <c r="D105" i="1" s="1"/>
  <c r="F81" i="1"/>
  <c r="F97" i="1" s="1"/>
  <c r="F105" i="1" s="1"/>
  <c r="E39" i="1"/>
  <c r="Z31" i="2" s="1"/>
  <c r="Z34" i="2" s="1"/>
  <c r="AC43" i="2"/>
  <c r="H30" i="2"/>
  <c r="H62" i="2"/>
  <c r="J62" i="2" s="1"/>
  <c r="AC47" i="2"/>
  <c r="E81" i="1"/>
  <c r="E97" i="1" s="1"/>
  <c r="E105" i="1" s="1"/>
  <c r="D119" i="1"/>
  <c r="C64" i="2"/>
  <c r="B66" i="2" s="1"/>
  <c r="C10" i="2" s="1"/>
  <c r="F10" i="2" s="1"/>
  <c r="H10" i="2" s="1"/>
  <c r="J10" i="2" s="1"/>
  <c r="H127" i="2"/>
  <c r="J127" i="2" s="1"/>
  <c r="D118" i="1"/>
  <c r="F39" i="1"/>
  <c r="AA31" i="2" s="1"/>
  <c r="AA34" i="2" s="1"/>
  <c r="E58" i="1"/>
  <c r="F59" i="1"/>
  <c r="G30" i="4" l="1"/>
  <c r="AA29" i="4"/>
  <c r="N29" i="4"/>
  <c r="AB28" i="4"/>
  <c r="G94" i="2"/>
  <c r="G97" i="2"/>
  <c r="K8" i="3"/>
  <c r="H93" i="2"/>
  <c r="J129" i="2"/>
  <c r="B108" i="2" s="1"/>
  <c r="F11" i="2"/>
  <c r="H11" i="2" s="1"/>
  <c r="L46" i="3"/>
  <c r="K30" i="3"/>
  <c r="K44" i="3"/>
  <c r="J24" i="3"/>
  <c r="I41" i="3"/>
  <c r="H25" i="3"/>
  <c r="K26" i="3"/>
  <c r="H100" i="2" s="1"/>
  <c r="J38" i="3"/>
  <c r="I10" i="3"/>
  <c r="I11" i="3" s="1"/>
  <c r="I12" i="3" s="1"/>
  <c r="H15" i="3"/>
  <c r="H34" i="3" s="1"/>
  <c r="L7" i="3"/>
  <c r="J39" i="3"/>
  <c r="I14" i="3"/>
  <c r="G13" i="1"/>
  <c r="AB13" i="2" s="1"/>
  <c r="AB14" i="2" s="1"/>
  <c r="AB16" i="2" s="1"/>
  <c r="F13" i="1"/>
  <c r="AA13" i="2" s="1"/>
  <c r="AA14" i="2" s="1"/>
  <c r="AA16" i="2" s="1"/>
  <c r="E13" i="1"/>
  <c r="Z13" i="2" s="1"/>
  <c r="Z14" i="2" s="1"/>
  <c r="Z16" i="2" s="1"/>
  <c r="D13" i="1"/>
  <c r="Y13" i="2" s="1"/>
  <c r="Y14" i="2" s="1"/>
  <c r="Y16" i="2" s="1"/>
  <c r="C14" i="1"/>
  <c r="E98" i="2"/>
  <c r="E131" i="1"/>
  <c r="D131" i="1"/>
  <c r="F98" i="2"/>
  <c r="H129" i="2"/>
  <c r="F61" i="1"/>
  <c r="F62" i="1" s="1"/>
  <c r="F124" i="1"/>
  <c r="F132" i="1"/>
  <c r="F131" i="1"/>
  <c r="E59" i="1"/>
  <c r="D58" i="1"/>
  <c r="D59" i="1" s="1"/>
  <c r="N30" i="4" l="1"/>
  <c r="AB29" i="4"/>
  <c r="G31" i="4"/>
  <c r="AA30" i="4"/>
  <c r="J11" i="2"/>
  <c r="H14" i="2"/>
  <c r="H94" i="2"/>
  <c r="L8" i="3"/>
  <c r="I93" i="2"/>
  <c r="M46" i="3"/>
  <c r="M30" i="3" s="1"/>
  <c r="L30" i="3"/>
  <c r="J41" i="3"/>
  <c r="I25" i="3"/>
  <c r="L26" i="3"/>
  <c r="I100" i="2" s="1"/>
  <c r="L44" i="3"/>
  <c r="K24" i="3"/>
  <c r="H99" i="2" s="1"/>
  <c r="I15" i="3"/>
  <c r="I34" i="3" s="1"/>
  <c r="K39" i="3"/>
  <c r="J14" i="3"/>
  <c r="M7" i="3"/>
  <c r="K38" i="3"/>
  <c r="J10" i="3"/>
  <c r="J11" i="3" s="1"/>
  <c r="J12" i="3" s="1"/>
  <c r="F19" i="3"/>
  <c r="D19" i="3"/>
  <c r="C16" i="1"/>
  <c r="G20" i="3"/>
  <c r="E19" i="3"/>
  <c r="C19" i="3"/>
  <c r="E101" i="2"/>
  <c r="E114" i="2" s="1"/>
  <c r="D115" i="2" s="1"/>
  <c r="D124" i="1"/>
  <c r="D132" i="1"/>
  <c r="D61" i="1"/>
  <c r="D62" i="1" s="1"/>
  <c r="E61" i="1"/>
  <c r="E62" i="1" s="1"/>
  <c r="E124" i="1"/>
  <c r="E132" i="1"/>
  <c r="G32" i="4" l="1"/>
  <c r="AA31" i="4"/>
  <c r="N31" i="4"/>
  <c r="AB30" i="4"/>
  <c r="I94" i="2"/>
  <c r="M8" i="3"/>
  <c r="J93" i="2"/>
  <c r="F101" i="2"/>
  <c r="F114" i="2" s="1"/>
  <c r="D116" i="2" s="1"/>
  <c r="M26" i="3"/>
  <c r="J100" i="2" s="1"/>
  <c r="M44" i="3"/>
  <c r="M24" i="3" s="1"/>
  <c r="J99" i="2" s="1"/>
  <c r="L24" i="3"/>
  <c r="I99" i="2" s="1"/>
  <c r="K41" i="3"/>
  <c r="J25" i="3"/>
  <c r="J15" i="3"/>
  <c r="J34" i="3" s="1"/>
  <c r="L38" i="3"/>
  <c r="K10" i="3"/>
  <c r="L39" i="3"/>
  <c r="K14" i="3"/>
  <c r="H96" i="2" s="1"/>
  <c r="G22" i="3"/>
  <c r="C67" i="1"/>
  <c r="C72" i="1" s="1"/>
  <c r="C81" i="1" s="1"/>
  <c r="C97" i="1" s="1"/>
  <c r="C105" i="1" s="1"/>
  <c r="C131" i="1"/>
  <c r="G34" i="3"/>
  <c r="C125" i="1"/>
  <c r="C126" i="1"/>
  <c r="C130" i="1"/>
  <c r="C132" i="1"/>
  <c r="N32" i="4" l="1"/>
  <c r="AB31" i="4"/>
  <c r="G33" i="4"/>
  <c r="AA32" i="4"/>
  <c r="J94" i="2"/>
  <c r="K11" i="3"/>
  <c r="K12" i="3" s="1"/>
  <c r="H95" i="2"/>
  <c r="H97" i="2" s="1"/>
  <c r="H98" i="2" s="1"/>
  <c r="H101" i="2" s="1"/>
  <c r="H114" i="2" s="1"/>
  <c r="D118" i="2" s="1"/>
  <c r="L41" i="3"/>
  <c r="K25" i="3"/>
  <c r="K15" i="3"/>
  <c r="K34" i="3" s="1"/>
  <c r="H103" i="2" s="1"/>
  <c r="M39" i="3"/>
  <c r="M14" i="3" s="1"/>
  <c r="J96" i="2" s="1"/>
  <c r="L14" i="3"/>
  <c r="I96" i="2" s="1"/>
  <c r="M38" i="3"/>
  <c r="M10" i="3" s="1"/>
  <c r="L10" i="3"/>
  <c r="G98" i="2"/>
  <c r="G101" i="2" s="1"/>
  <c r="G114" i="2" s="1"/>
  <c r="D117" i="2" s="1"/>
  <c r="G34" i="4" l="1"/>
  <c r="AA33" i="4"/>
  <c r="N33" i="4"/>
  <c r="AB32" i="4"/>
  <c r="M11" i="3"/>
  <c r="M12" i="3" s="1"/>
  <c r="J95" i="2"/>
  <c r="J97" i="2" s="1"/>
  <c r="J98" i="2" s="1"/>
  <c r="J101" i="2" s="1"/>
  <c r="L11" i="3"/>
  <c r="L12" i="3" s="1"/>
  <c r="I95" i="2"/>
  <c r="I97" i="2" s="1"/>
  <c r="I98" i="2" s="1"/>
  <c r="I101" i="2" s="1"/>
  <c r="M15" i="3"/>
  <c r="M34" i="3" s="1"/>
  <c r="J103" i="2" s="1"/>
  <c r="M41" i="3"/>
  <c r="M25" i="3" s="1"/>
  <c r="L25" i="3"/>
  <c r="N34" i="4" l="1"/>
  <c r="AB33" i="4"/>
  <c r="G35" i="4"/>
  <c r="AA34" i="4"/>
  <c r="L15" i="3"/>
  <c r="L34" i="3" s="1"/>
  <c r="I103" i="2" s="1"/>
  <c r="I107" i="2" s="1"/>
  <c r="I108" i="2"/>
  <c r="G36" i="4" l="1"/>
  <c r="AA35" i="4"/>
  <c r="N35" i="4"/>
  <c r="AB34" i="4"/>
  <c r="I109" i="2"/>
  <c r="I112" i="2" s="1"/>
  <c r="I114" i="2" s="1"/>
  <c r="D119" i="2" s="1"/>
  <c r="D120" i="2" s="1"/>
  <c r="D123" i="2" s="1"/>
  <c r="N36" i="4" l="1"/>
  <c r="AB35" i="4"/>
  <c r="G37" i="4"/>
  <c r="AA36" i="4"/>
  <c r="D126" i="2"/>
  <c r="C12" i="2" s="1"/>
  <c r="F12" i="2" s="1"/>
  <c r="H12" i="2" s="1"/>
  <c r="C14" i="2"/>
  <c r="G38" i="4" l="1"/>
  <c r="AA37" i="4"/>
  <c r="N37" i="4"/>
  <c r="AB36" i="4"/>
  <c r="J14" i="2"/>
  <c r="J12" i="2"/>
  <c r="F14" i="2"/>
  <c r="N38" i="4" l="1"/>
  <c r="AB37" i="4"/>
  <c r="G39" i="4"/>
  <c r="AA38" i="4"/>
  <c r="G40" i="4" l="1"/>
  <c r="AA39" i="4"/>
  <c r="N39" i="4"/>
  <c r="AB38" i="4"/>
  <c r="N40" i="4" l="1"/>
  <c r="AB39" i="4"/>
  <c r="G41" i="4"/>
  <c r="AA40" i="4"/>
  <c r="G42" i="4" l="1"/>
  <c r="AA41" i="4"/>
  <c r="N41" i="4"/>
  <c r="AB40" i="4"/>
  <c r="N42" i="4" l="1"/>
  <c r="AB41" i="4"/>
  <c r="G43" i="4"/>
  <c r="AA42" i="4"/>
  <c r="G44" i="4" l="1"/>
  <c r="AA43" i="4"/>
  <c r="N43" i="4"/>
  <c r="AB42" i="4"/>
  <c r="N44" i="4" l="1"/>
  <c r="AB43" i="4"/>
  <c r="G45" i="4"/>
  <c r="AA44" i="4"/>
  <c r="G46" i="4" l="1"/>
  <c r="AA45" i="4"/>
  <c r="N45" i="4"/>
  <c r="AB44" i="4"/>
  <c r="N46" i="4" l="1"/>
  <c r="AB45" i="4"/>
  <c r="G47" i="4"/>
  <c r="AA46" i="4"/>
  <c r="G48" i="4" l="1"/>
  <c r="AA47" i="4"/>
  <c r="N47" i="4"/>
  <c r="AB46" i="4"/>
  <c r="N48" i="4" l="1"/>
  <c r="AB47" i="4"/>
  <c r="G49" i="4"/>
  <c r="AA48" i="4"/>
  <c r="G50" i="4" l="1"/>
  <c r="AA49" i="4"/>
  <c r="N49" i="4"/>
  <c r="AB48" i="4"/>
  <c r="N50" i="4" l="1"/>
  <c r="AB49" i="4"/>
  <c r="G51" i="4"/>
  <c r="AA50" i="4"/>
  <c r="G52" i="4" l="1"/>
  <c r="AA51" i="4"/>
  <c r="N51" i="4"/>
  <c r="AB50" i="4"/>
  <c r="N52" i="4" l="1"/>
  <c r="AB51" i="4"/>
  <c r="G53" i="4"/>
  <c r="AA52" i="4"/>
  <c r="G54" i="4" l="1"/>
  <c r="AA53" i="4"/>
  <c r="N53" i="4"/>
  <c r="AB52" i="4"/>
  <c r="N54" i="4" l="1"/>
  <c r="AB53" i="4"/>
  <c r="G55" i="4"/>
  <c r="AA54" i="4"/>
  <c r="G56" i="4" l="1"/>
  <c r="AA55" i="4"/>
  <c r="N55" i="4"/>
  <c r="AB54" i="4"/>
  <c r="N56" i="4" l="1"/>
  <c r="AB55" i="4"/>
  <c r="G57" i="4"/>
  <c r="AA56" i="4"/>
  <c r="G58" i="4" l="1"/>
  <c r="AA57" i="4"/>
  <c r="N57" i="4"/>
  <c r="AB56" i="4"/>
  <c r="N58" i="4" l="1"/>
  <c r="AB57" i="4"/>
  <c r="G59" i="4"/>
  <c r="AA58" i="4"/>
  <c r="G60" i="4" l="1"/>
  <c r="AA59" i="4"/>
  <c r="N59" i="4"/>
  <c r="AB58" i="4"/>
  <c r="N60" i="4" l="1"/>
  <c r="AB59" i="4"/>
  <c r="G61" i="4"/>
  <c r="AA60" i="4"/>
  <c r="G62" i="4" l="1"/>
  <c r="AA61" i="4"/>
  <c r="N61" i="4"/>
  <c r="AB60" i="4"/>
  <c r="N62" i="4" l="1"/>
  <c r="AB61" i="4"/>
  <c r="G63" i="4"/>
  <c r="AA62" i="4"/>
  <c r="G64" i="4" l="1"/>
  <c r="AA63" i="4"/>
  <c r="N63" i="4"/>
  <c r="AB62" i="4"/>
  <c r="N64" i="4" l="1"/>
  <c r="AB63" i="4"/>
  <c r="G65" i="4"/>
  <c r="AA64" i="4"/>
  <c r="G66" i="4" l="1"/>
  <c r="AA65" i="4"/>
  <c r="N65" i="4"/>
  <c r="AB64" i="4"/>
  <c r="N66" i="4" l="1"/>
  <c r="AB65" i="4"/>
  <c r="G67" i="4"/>
  <c r="AA66" i="4"/>
  <c r="G68" i="4" l="1"/>
  <c r="AA67" i="4"/>
  <c r="N67" i="4"/>
  <c r="AB66" i="4"/>
  <c r="N68" i="4" l="1"/>
  <c r="AB67" i="4"/>
  <c r="G69" i="4"/>
  <c r="AA68" i="4"/>
  <c r="G70" i="4" l="1"/>
  <c r="AA69" i="4"/>
  <c r="N69" i="4"/>
  <c r="AB68" i="4"/>
  <c r="N70" i="4" l="1"/>
  <c r="AB69" i="4"/>
  <c r="G71" i="4"/>
  <c r="AA70" i="4"/>
  <c r="G72" i="4" l="1"/>
  <c r="AA71" i="4"/>
  <c r="N71" i="4"/>
  <c r="AB70" i="4"/>
  <c r="N72" i="4" l="1"/>
  <c r="AB71" i="4"/>
  <c r="G73" i="4"/>
  <c r="AA72" i="4"/>
  <c r="G74" i="4" l="1"/>
  <c r="AA73" i="4"/>
  <c r="N73" i="4"/>
  <c r="AB72" i="4"/>
  <c r="N74" i="4" l="1"/>
  <c r="AB73" i="4"/>
  <c r="G75" i="4"/>
  <c r="AA74" i="4"/>
  <c r="G76" i="4" l="1"/>
  <c r="AA75" i="4"/>
  <c r="N75" i="4"/>
  <c r="AB74" i="4"/>
  <c r="N76" i="4" l="1"/>
  <c r="AB75" i="4"/>
  <c r="G77" i="4"/>
  <c r="AA76" i="4"/>
  <c r="G78" i="4" l="1"/>
  <c r="AA77" i="4"/>
  <c r="N77" i="4"/>
  <c r="AB76" i="4"/>
  <c r="N78" i="4" l="1"/>
  <c r="AB77" i="4"/>
  <c r="G79" i="4"/>
  <c r="AA78" i="4"/>
  <c r="G80" i="4" l="1"/>
  <c r="AA79" i="4"/>
  <c r="N79" i="4"/>
  <c r="AB78" i="4"/>
  <c r="N80" i="4" l="1"/>
  <c r="AB79" i="4"/>
  <c r="G81" i="4"/>
  <c r="AA80" i="4"/>
  <c r="G82" i="4" l="1"/>
  <c r="AA81" i="4"/>
  <c r="N81" i="4"/>
  <c r="AB80" i="4"/>
  <c r="N82" i="4" l="1"/>
  <c r="AB81" i="4"/>
  <c r="G83" i="4"/>
  <c r="AA82" i="4"/>
  <c r="G84" i="4" l="1"/>
  <c r="AA83" i="4"/>
  <c r="N83" i="4"/>
  <c r="AB82" i="4"/>
  <c r="N84" i="4" l="1"/>
  <c r="AB83" i="4"/>
  <c r="G85" i="4"/>
  <c r="AA84" i="4"/>
  <c r="G86" i="4" l="1"/>
  <c r="AA85" i="4"/>
  <c r="N85" i="4"/>
  <c r="AB84" i="4"/>
  <c r="N86" i="4" l="1"/>
  <c r="AB85" i="4"/>
  <c r="G87" i="4"/>
  <c r="AA86" i="4"/>
  <c r="G88" i="4" l="1"/>
  <c r="AA87" i="4"/>
  <c r="N87" i="4"/>
  <c r="AB86" i="4"/>
  <c r="N88" i="4" l="1"/>
  <c r="AB87" i="4"/>
  <c r="G89" i="4"/>
  <c r="AA88" i="4"/>
  <c r="G90" i="4" l="1"/>
  <c r="AA89" i="4"/>
  <c r="N89" i="4"/>
  <c r="AB88" i="4"/>
  <c r="N90" i="4" l="1"/>
  <c r="AB89" i="4"/>
  <c r="G91" i="4"/>
  <c r="AA90" i="4"/>
  <c r="G92" i="4" l="1"/>
  <c r="AA91" i="4"/>
  <c r="N91" i="4"/>
  <c r="AB90" i="4"/>
  <c r="N92" i="4" l="1"/>
  <c r="AB91" i="4"/>
  <c r="G93" i="4"/>
  <c r="AA92" i="4"/>
  <c r="G94" i="4" l="1"/>
  <c r="AA93" i="4"/>
  <c r="N93" i="4"/>
  <c r="AB92" i="4"/>
  <c r="N94" i="4" l="1"/>
  <c r="AB93" i="4"/>
  <c r="G95" i="4"/>
  <c r="AA94" i="4"/>
  <c r="G96" i="4" l="1"/>
  <c r="AA95" i="4"/>
  <c r="N95" i="4"/>
  <c r="AB94" i="4"/>
  <c r="N96" i="4" l="1"/>
  <c r="AB95" i="4"/>
  <c r="G97" i="4"/>
  <c r="AA96" i="4"/>
  <c r="G98" i="4" l="1"/>
  <c r="AA97" i="4"/>
  <c r="N97" i="4"/>
  <c r="AB96" i="4"/>
  <c r="N98" i="4" l="1"/>
  <c r="AB97" i="4"/>
  <c r="G99" i="4"/>
  <c r="AA98" i="4"/>
  <c r="G100" i="4" l="1"/>
  <c r="AA99" i="4"/>
  <c r="N99" i="4"/>
  <c r="AB98" i="4"/>
  <c r="N100" i="4" l="1"/>
  <c r="AB99" i="4"/>
  <c r="G101" i="4"/>
  <c r="AA100" i="4"/>
  <c r="G102" i="4" l="1"/>
  <c r="AA101" i="4"/>
  <c r="N101" i="4"/>
  <c r="AB100" i="4"/>
  <c r="N102" i="4" l="1"/>
  <c r="AB101" i="4"/>
  <c r="G103" i="4"/>
  <c r="AA102" i="4"/>
  <c r="G104" i="4" l="1"/>
  <c r="AA103" i="4"/>
  <c r="N103" i="4"/>
  <c r="AB102" i="4"/>
  <c r="N104" i="4" l="1"/>
  <c r="AB103" i="4"/>
  <c r="G105" i="4"/>
  <c r="AA104" i="4"/>
  <c r="G106" i="4" l="1"/>
  <c r="AA105" i="4"/>
  <c r="N105" i="4"/>
  <c r="AB104" i="4"/>
  <c r="N106" i="4" l="1"/>
  <c r="AB105" i="4"/>
  <c r="G107" i="4"/>
  <c r="AA106" i="4"/>
  <c r="G108" i="4" l="1"/>
  <c r="AA107" i="4"/>
  <c r="N107" i="4"/>
  <c r="AB106" i="4"/>
  <c r="N108" i="4" l="1"/>
  <c r="AB107" i="4"/>
  <c r="G109" i="4"/>
  <c r="AA108" i="4"/>
  <c r="G110" i="4" l="1"/>
  <c r="AA109" i="4"/>
  <c r="N109" i="4"/>
  <c r="AB108" i="4"/>
  <c r="N110" i="4" l="1"/>
  <c r="AB109" i="4"/>
  <c r="G111" i="4"/>
  <c r="AA110" i="4"/>
  <c r="G112" i="4" l="1"/>
  <c r="AA111" i="4"/>
  <c r="N111" i="4"/>
  <c r="AB110" i="4"/>
  <c r="N112" i="4" l="1"/>
  <c r="AB111" i="4"/>
  <c r="G113" i="4"/>
  <c r="AA112" i="4"/>
  <c r="G114" i="4" l="1"/>
  <c r="AA113" i="4"/>
  <c r="N113" i="4"/>
  <c r="AB112" i="4"/>
  <c r="N114" i="4" l="1"/>
  <c r="AB113" i="4"/>
  <c r="G115" i="4"/>
  <c r="AA114" i="4"/>
  <c r="G116" i="4" l="1"/>
  <c r="AA115" i="4"/>
  <c r="N115" i="4"/>
  <c r="AB114" i="4"/>
  <c r="N116" i="4" l="1"/>
  <c r="AB115" i="4"/>
  <c r="G117" i="4"/>
  <c r="AA116" i="4"/>
  <c r="G118" i="4" l="1"/>
  <c r="AA117" i="4"/>
  <c r="N117" i="4"/>
  <c r="AB116" i="4"/>
  <c r="N118" i="4" l="1"/>
  <c r="AB117" i="4"/>
  <c r="G119" i="4"/>
  <c r="AA118" i="4"/>
  <c r="G120" i="4" l="1"/>
  <c r="AA119" i="4"/>
  <c r="N119" i="4"/>
  <c r="AB118" i="4"/>
  <c r="N120" i="4" l="1"/>
  <c r="AB119" i="4"/>
  <c r="G121" i="4"/>
  <c r="AA120" i="4"/>
  <c r="G122" i="4" l="1"/>
  <c r="AA121" i="4"/>
  <c r="N121" i="4"/>
  <c r="AB120" i="4"/>
  <c r="N122" i="4" l="1"/>
  <c r="AB121" i="4"/>
  <c r="G123" i="4"/>
  <c r="AA122" i="4"/>
  <c r="G124" i="4" l="1"/>
  <c r="AA123" i="4"/>
  <c r="N123" i="4"/>
  <c r="AB122" i="4"/>
  <c r="N124" i="4" l="1"/>
  <c r="AB123" i="4"/>
  <c r="G125" i="4"/>
  <c r="AA124" i="4"/>
  <c r="G126" i="4" l="1"/>
  <c r="AA125" i="4"/>
  <c r="N125" i="4"/>
  <c r="AB124" i="4"/>
  <c r="N126" i="4" l="1"/>
  <c r="AB125" i="4"/>
  <c r="G127" i="4"/>
  <c r="AA126" i="4"/>
  <c r="G128" i="4" l="1"/>
  <c r="AA127" i="4"/>
  <c r="N127" i="4"/>
  <c r="AB126" i="4"/>
  <c r="N128" i="4" l="1"/>
  <c r="AB127" i="4"/>
  <c r="G129" i="4"/>
  <c r="AA128" i="4"/>
  <c r="G130" i="4" l="1"/>
  <c r="AA129" i="4"/>
  <c r="N129" i="4"/>
  <c r="AB128" i="4"/>
  <c r="N130" i="4" l="1"/>
  <c r="AB129" i="4"/>
  <c r="G131" i="4"/>
  <c r="AA130" i="4"/>
  <c r="G132" i="4" l="1"/>
  <c r="AA131" i="4"/>
  <c r="N131" i="4"/>
  <c r="AB130" i="4"/>
  <c r="N132" i="4" l="1"/>
  <c r="AB131" i="4"/>
  <c r="G133" i="4"/>
  <c r="AA132" i="4"/>
  <c r="G134" i="4" l="1"/>
  <c r="AA133" i="4"/>
  <c r="N133" i="4"/>
  <c r="AB132" i="4"/>
  <c r="N134" i="4" l="1"/>
  <c r="AB133" i="4"/>
  <c r="G135" i="4"/>
  <c r="AA134" i="4"/>
  <c r="G136" i="4" l="1"/>
  <c r="AA135" i="4"/>
  <c r="N135" i="4"/>
  <c r="AB134" i="4"/>
  <c r="N136" i="4" l="1"/>
  <c r="AB135" i="4"/>
  <c r="G137" i="4"/>
  <c r="AA136" i="4"/>
  <c r="G138" i="4" l="1"/>
  <c r="AA137" i="4"/>
  <c r="N137" i="4"/>
  <c r="AB136" i="4"/>
  <c r="N138" i="4" l="1"/>
  <c r="AB137" i="4"/>
  <c r="G139" i="4"/>
  <c r="AA138" i="4"/>
  <c r="G140" i="4" l="1"/>
  <c r="AA139" i="4"/>
  <c r="N139" i="4"/>
  <c r="AB138" i="4"/>
  <c r="N140" i="4" l="1"/>
  <c r="AB139" i="4"/>
  <c r="G141" i="4"/>
  <c r="AA140" i="4"/>
  <c r="G142" i="4" l="1"/>
  <c r="AA141" i="4"/>
  <c r="N141" i="4"/>
  <c r="AB140" i="4"/>
  <c r="N142" i="4" l="1"/>
  <c r="AB141" i="4"/>
  <c r="G143" i="4"/>
  <c r="AA142" i="4"/>
  <c r="G144" i="4" l="1"/>
  <c r="AA143" i="4"/>
  <c r="N143" i="4"/>
  <c r="AB142" i="4"/>
  <c r="N144" i="4" l="1"/>
  <c r="AB143" i="4"/>
  <c r="G145" i="4"/>
  <c r="AA144" i="4"/>
  <c r="G146" i="4" l="1"/>
  <c r="AA145" i="4"/>
  <c r="N145" i="4"/>
  <c r="AB144" i="4"/>
  <c r="N146" i="4" l="1"/>
  <c r="AB145" i="4"/>
  <c r="G147" i="4"/>
  <c r="AA146" i="4"/>
  <c r="G148" i="4" l="1"/>
  <c r="AA147" i="4"/>
  <c r="N147" i="4"/>
  <c r="AB146" i="4"/>
  <c r="N148" i="4" l="1"/>
  <c r="AB147" i="4"/>
  <c r="G149" i="4"/>
  <c r="AA148" i="4"/>
  <c r="G150" i="4" l="1"/>
  <c r="AA149" i="4"/>
  <c r="N149" i="4"/>
  <c r="AB148" i="4"/>
  <c r="N150" i="4" l="1"/>
  <c r="AB149" i="4"/>
  <c r="G151" i="4"/>
  <c r="AA150" i="4"/>
  <c r="G152" i="4" l="1"/>
  <c r="AA151" i="4"/>
  <c r="N151" i="4"/>
  <c r="AB150" i="4"/>
  <c r="N152" i="4" l="1"/>
  <c r="AB151" i="4"/>
  <c r="G153" i="4"/>
  <c r="AA152" i="4"/>
  <c r="G154" i="4" l="1"/>
  <c r="AA153" i="4"/>
  <c r="N153" i="4"/>
  <c r="AB152" i="4"/>
  <c r="N154" i="4" l="1"/>
  <c r="AB153" i="4"/>
  <c r="G155" i="4"/>
  <c r="AA154" i="4"/>
  <c r="G156" i="4" l="1"/>
  <c r="AA155" i="4"/>
  <c r="N155" i="4"/>
  <c r="AB154" i="4"/>
  <c r="N156" i="4" l="1"/>
  <c r="AB155" i="4"/>
  <c r="G157" i="4"/>
  <c r="AA156" i="4"/>
  <c r="G158" i="4" l="1"/>
  <c r="AA157" i="4"/>
  <c r="N157" i="4"/>
  <c r="AB156" i="4"/>
  <c r="N158" i="4" l="1"/>
  <c r="AB157" i="4"/>
  <c r="G159" i="4"/>
  <c r="AA158" i="4"/>
  <c r="G160" i="4" l="1"/>
  <c r="AA159" i="4"/>
  <c r="N159" i="4"/>
  <c r="AB158" i="4"/>
  <c r="N160" i="4" l="1"/>
  <c r="AB159" i="4"/>
  <c r="G161" i="4"/>
  <c r="AA160" i="4"/>
  <c r="G162" i="4" l="1"/>
  <c r="AA161" i="4"/>
  <c r="N161" i="4"/>
  <c r="AB160" i="4"/>
  <c r="N162" i="4" l="1"/>
  <c r="AB161" i="4"/>
  <c r="G163" i="4"/>
  <c r="AA162" i="4"/>
  <c r="G164" i="4" l="1"/>
  <c r="AA163" i="4"/>
  <c r="N163" i="4"/>
  <c r="AB162" i="4"/>
  <c r="N164" i="4" l="1"/>
  <c r="AB163" i="4"/>
  <c r="G165" i="4"/>
  <c r="AA164" i="4"/>
  <c r="G166" i="4" l="1"/>
  <c r="AA165" i="4"/>
  <c r="N165" i="4"/>
  <c r="AB164" i="4"/>
  <c r="N166" i="4" l="1"/>
  <c r="AB165" i="4"/>
  <c r="G167" i="4"/>
  <c r="AA166" i="4"/>
  <c r="G168" i="4" l="1"/>
  <c r="AA167" i="4"/>
  <c r="N167" i="4"/>
  <c r="AB166" i="4"/>
  <c r="N168" i="4" l="1"/>
  <c r="AB167" i="4"/>
  <c r="G169" i="4"/>
  <c r="AA168" i="4"/>
  <c r="G170" i="4" l="1"/>
  <c r="AA169" i="4"/>
  <c r="N169" i="4"/>
  <c r="AB168" i="4"/>
  <c r="N170" i="4" l="1"/>
  <c r="AB169" i="4"/>
  <c r="G171" i="4"/>
  <c r="AA170" i="4"/>
  <c r="G172" i="4" l="1"/>
  <c r="AA171" i="4"/>
  <c r="N171" i="4"/>
  <c r="AB170" i="4"/>
  <c r="N172" i="4" l="1"/>
  <c r="AB171" i="4"/>
  <c r="G173" i="4"/>
  <c r="AA172" i="4"/>
  <c r="G174" i="4" l="1"/>
  <c r="AA173" i="4"/>
  <c r="N173" i="4"/>
  <c r="AB172" i="4"/>
  <c r="N174" i="4" l="1"/>
  <c r="AB173" i="4"/>
  <c r="G175" i="4"/>
  <c r="AA174" i="4"/>
  <c r="G176" i="4" l="1"/>
  <c r="AA175" i="4"/>
  <c r="N175" i="4"/>
  <c r="AB174" i="4"/>
  <c r="N176" i="4" l="1"/>
  <c r="AB175" i="4"/>
  <c r="G177" i="4"/>
  <c r="AA176" i="4"/>
  <c r="G178" i="4" l="1"/>
  <c r="AA177" i="4"/>
  <c r="N177" i="4"/>
  <c r="AB176" i="4"/>
  <c r="N178" i="4" l="1"/>
  <c r="AB177" i="4"/>
  <c r="G179" i="4"/>
  <c r="AA178" i="4"/>
  <c r="G180" i="4" l="1"/>
  <c r="AA179" i="4"/>
  <c r="N179" i="4"/>
  <c r="AB178" i="4"/>
  <c r="N180" i="4" l="1"/>
  <c r="AB179" i="4"/>
  <c r="G181" i="4"/>
  <c r="AA180" i="4"/>
  <c r="G182" i="4" l="1"/>
  <c r="AA181" i="4"/>
  <c r="N181" i="4"/>
  <c r="AB180" i="4"/>
  <c r="N182" i="4" l="1"/>
  <c r="AB181" i="4"/>
  <c r="G183" i="4"/>
  <c r="AA182" i="4"/>
  <c r="G184" i="4" l="1"/>
  <c r="AA183" i="4"/>
  <c r="N183" i="4"/>
  <c r="AB182" i="4"/>
  <c r="N184" i="4" l="1"/>
  <c r="AB183" i="4"/>
  <c r="G185" i="4"/>
  <c r="AA184" i="4"/>
  <c r="G186" i="4" l="1"/>
  <c r="AA185" i="4"/>
  <c r="N185" i="4"/>
  <c r="AB184" i="4"/>
  <c r="N186" i="4" l="1"/>
  <c r="AB185" i="4"/>
  <c r="G187" i="4"/>
  <c r="AA186" i="4"/>
  <c r="G188" i="4" l="1"/>
  <c r="AA187" i="4"/>
  <c r="N187" i="4"/>
  <c r="AB186" i="4"/>
  <c r="N188" i="4" l="1"/>
  <c r="AB187" i="4"/>
  <c r="G189" i="4"/>
  <c r="AA188" i="4"/>
  <c r="G190" i="4" l="1"/>
  <c r="AA189" i="4"/>
  <c r="N189" i="4"/>
  <c r="AB188" i="4"/>
  <c r="N190" i="4" l="1"/>
  <c r="AB189" i="4"/>
  <c r="G191" i="4"/>
  <c r="AA190" i="4"/>
  <c r="G192" i="4" l="1"/>
  <c r="AA191" i="4"/>
  <c r="N191" i="4"/>
  <c r="AB190" i="4"/>
  <c r="N192" i="4" l="1"/>
  <c r="AB191" i="4"/>
  <c r="G193" i="4"/>
  <c r="AA192" i="4"/>
  <c r="G194" i="4" l="1"/>
  <c r="AA193" i="4"/>
  <c r="N193" i="4"/>
  <c r="AB192" i="4"/>
  <c r="N194" i="4" l="1"/>
  <c r="AB193" i="4"/>
  <c r="G195" i="4"/>
  <c r="AA194" i="4"/>
  <c r="G196" i="4" l="1"/>
  <c r="AA195" i="4"/>
  <c r="N195" i="4"/>
  <c r="AB194" i="4"/>
  <c r="N196" i="4" l="1"/>
  <c r="AB195" i="4"/>
  <c r="G197" i="4"/>
  <c r="AA196" i="4"/>
  <c r="G198" i="4" l="1"/>
  <c r="AA197" i="4"/>
  <c r="N197" i="4"/>
  <c r="AB196" i="4"/>
  <c r="N198" i="4" l="1"/>
  <c r="AB197" i="4"/>
  <c r="G199" i="4"/>
  <c r="AA198" i="4"/>
  <c r="G200" i="4" l="1"/>
  <c r="AA199" i="4"/>
  <c r="N199" i="4"/>
  <c r="AB198" i="4"/>
  <c r="N200" i="4" l="1"/>
  <c r="AB199" i="4"/>
  <c r="G201" i="4"/>
  <c r="AA200" i="4"/>
  <c r="G202" i="4" l="1"/>
  <c r="AA201" i="4"/>
  <c r="N201" i="4"/>
  <c r="AB200" i="4"/>
  <c r="N202" i="4" l="1"/>
  <c r="AB201" i="4"/>
  <c r="G203" i="4"/>
  <c r="AA202" i="4"/>
  <c r="G204" i="4" l="1"/>
  <c r="AA203" i="4"/>
  <c r="N203" i="4"/>
  <c r="AB202" i="4"/>
  <c r="N204" i="4" l="1"/>
  <c r="AB203" i="4"/>
  <c r="G205" i="4"/>
  <c r="AA204" i="4"/>
  <c r="G206" i="4" l="1"/>
  <c r="AA205" i="4"/>
  <c r="N205" i="4"/>
  <c r="AB204" i="4"/>
  <c r="N206" i="4" l="1"/>
  <c r="AB205" i="4"/>
  <c r="G207" i="4"/>
  <c r="AA206" i="4"/>
  <c r="G208" i="4" l="1"/>
  <c r="AA207" i="4"/>
  <c r="N207" i="4"/>
  <c r="AB206" i="4"/>
  <c r="N208" i="4" l="1"/>
  <c r="AB207" i="4"/>
  <c r="G209" i="4"/>
  <c r="AA208" i="4"/>
  <c r="G210" i="4" l="1"/>
  <c r="AA209" i="4"/>
  <c r="N209" i="4"/>
  <c r="AB208" i="4"/>
  <c r="N210" i="4" l="1"/>
  <c r="AB209" i="4"/>
  <c r="G211" i="4"/>
  <c r="AA210" i="4"/>
  <c r="G212" i="4" l="1"/>
  <c r="AA211" i="4"/>
  <c r="N211" i="4"/>
  <c r="AB210" i="4"/>
  <c r="N212" i="4" l="1"/>
  <c r="AB211" i="4"/>
  <c r="G213" i="4"/>
  <c r="AA212" i="4"/>
  <c r="G214" i="4" l="1"/>
  <c r="AA213" i="4"/>
  <c r="N213" i="4"/>
  <c r="AB212" i="4"/>
  <c r="N214" i="4" l="1"/>
  <c r="AB213" i="4"/>
  <c r="G215" i="4"/>
  <c r="AA214" i="4"/>
  <c r="G216" i="4" l="1"/>
  <c r="AA215" i="4"/>
  <c r="N215" i="4"/>
  <c r="AB214" i="4"/>
  <c r="N216" i="4" l="1"/>
  <c r="AB215" i="4"/>
  <c r="G217" i="4"/>
  <c r="AA216" i="4"/>
  <c r="G218" i="4" l="1"/>
  <c r="AA217" i="4"/>
  <c r="N217" i="4"/>
  <c r="AB216" i="4"/>
  <c r="N218" i="4" l="1"/>
  <c r="AB217" i="4"/>
  <c r="G219" i="4"/>
  <c r="AA218" i="4"/>
  <c r="G220" i="4" l="1"/>
  <c r="AA219" i="4"/>
  <c r="N219" i="4"/>
  <c r="AB218" i="4"/>
  <c r="N220" i="4" l="1"/>
  <c r="AB219" i="4"/>
  <c r="G221" i="4"/>
  <c r="AA220" i="4"/>
  <c r="G222" i="4" l="1"/>
  <c r="AA221" i="4"/>
  <c r="N221" i="4"/>
  <c r="AB220" i="4"/>
  <c r="N222" i="4" l="1"/>
  <c r="AB221" i="4"/>
  <c r="G223" i="4"/>
  <c r="AA222" i="4"/>
  <c r="G224" i="4" l="1"/>
  <c r="AA223" i="4"/>
  <c r="N223" i="4"/>
  <c r="AB222" i="4"/>
  <c r="N224" i="4" l="1"/>
  <c r="AB223" i="4"/>
  <c r="G225" i="4"/>
  <c r="AA224" i="4"/>
  <c r="G226" i="4" l="1"/>
  <c r="AA225" i="4"/>
  <c r="N225" i="4"/>
  <c r="AB224" i="4"/>
  <c r="N226" i="4" l="1"/>
  <c r="AB225" i="4"/>
  <c r="G227" i="4"/>
  <c r="AA226" i="4"/>
  <c r="G228" i="4" l="1"/>
  <c r="AA227" i="4"/>
  <c r="N227" i="4"/>
  <c r="AB226" i="4"/>
  <c r="N228" i="4" l="1"/>
  <c r="AB227" i="4"/>
  <c r="G229" i="4"/>
  <c r="AA228" i="4"/>
  <c r="G230" i="4" l="1"/>
  <c r="AA229" i="4"/>
  <c r="N229" i="4"/>
  <c r="AB228" i="4"/>
  <c r="N230" i="4" l="1"/>
  <c r="AB229" i="4"/>
  <c r="G231" i="4"/>
  <c r="AA230" i="4"/>
  <c r="G232" i="4" l="1"/>
  <c r="AA231" i="4"/>
  <c r="N231" i="4"/>
  <c r="AB230" i="4"/>
  <c r="N232" i="4" l="1"/>
  <c r="AB231" i="4"/>
  <c r="G233" i="4"/>
  <c r="AA232" i="4"/>
  <c r="G234" i="4" l="1"/>
  <c r="AA233" i="4"/>
  <c r="N233" i="4"/>
  <c r="AB232" i="4"/>
  <c r="N234" i="4" l="1"/>
  <c r="AB233" i="4"/>
  <c r="G235" i="4"/>
  <c r="AA234" i="4"/>
  <c r="G236" i="4" l="1"/>
  <c r="AA235" i="4"/>
  <c r="N235" i="4"/>
  <c r="AB234" i="4"/>
  <c r="N236" i="4" l="1"/>
  <c r="AB235" i="4"/>
  <c r="G237" i="4"/>
  <c r="AA236" i="4"/>
  <c r="G238" i="4" l="1"/>
  <c r="AA237" i="4"/>
  <c r="N237" i="4"/>
  <c r="AB236" i="4"/>
  <c r="N238" i="4" l="1"/>
  <c r="AB237" i="4"/>
  <c r="G239" i="4"/>
  <c r="AA238" i="4"/>
  <c r="G240" i="4" l="1"/>
  <c r="AA239" i="4"/>
  <c r="N239" i="4"/>
  <c r="AB238" i="4"/>
  <c r="N240" i="4" l="1"/>
  <c r="AB239" i="4"/>
  <c r="G241" i="4"/>
  <c r="AA240" i="4"/>
  <c r="G242" i="4" l="1"/>
  <c r="AA241" i="4"/>
  <c r="N241" i="4"/>
  <c r="AB240" i="4"/>
  <c r="N242" i="4" l="1"/>
  <c r="AB241" i="4"/>
  <c r="G243" i="4"/>
  <c r="AA242" i="4"/>
  <c r="G244" i="4" l="1"/>
  <c r="AA243" i="4"/>
  <c r="N243" i="4"/>
  <c r="AB242" i="4"/>
  <c r="N244" i="4" l="1"/>
  <c r="AB243" i="4"/>
  <c r="G245" i="4"/>
  <c r="AA244" i="4"/>
  <c r="G246" i="4" l="1"/>
  <c r="AA245" i="4"/>
  <c r="N245" i="4"/>
  <c r="AB244" i="4"/>
  <c r="N246" i="4" l="1"/>
  <c r="AB245" i="4"/>
  <c r="G247" i="4"/>
  <c r="AA246" i="4"/>
  <c r="G248" i="4" l="1"/>
  <c r="AA247" i="4"/>
  <c r="N247" i="4"/>
  <c r="AB246" i="4"/>
  <c r="N248" i="4" l="1"/>
  <c r="AB247" i="4"/>
  <c r="G249" i="4"/>
  <c r="AA248" i="4"/>
  <c r="G250" i="4" l="1"/>
  <c r="AA249" i="4"/>
  <c r="N249" i="4"/>
  <c r="AB248" i="4"/>
  <c r="N250" i="4" l="1"/>
  <c r="AB249" i="4"/>
  <c r="G251" i="4"/>
  <c r="AA250" i="4"/>
  <c r="G252" i="4" l="1"/>
  <c r="AA251" i="4"/>
  <c r="N251" i="4"/>
  <c r="AB250" i="4"/>
  <c r="N252" i="4" l="1"/>
  <c r="AB251" i="4"/>
  <c r="G253" i="4"/>
  <c r="AA252" i="4"/>
  <c r="G254" i="4" l="1"/>
  <c r="AA253" i="4"/>
  <c r="N253" i="4"/>
  <c r="AB252" i="4"/>
  <c r="N254" i="4" l="1"/>
  <c r="AB253" i="4"/>
  <c r="G255" i="4"/>
  <c r="AA254" i="4"/>
  <c r="G256" i="4" l="1"/>
  <c r="AA255" i="4"/>
  <c r="N255" i="4"/>
  <c r="AB254" i="4"/>
  <c r="N256" i="4" l="1"/>
  <c r="AB255" i="4"/>
  <c r="G257" i="4"/>
  <c r="AA256" i="4"/>
  <c r="G258" i="4" l="1"/>
  <c r="AA257" i="4"/>
  <c r="N257" i="4"/>
  <c r="AB256" i="4"/>
  <c r="N258" i="4" l="1"/>
  <c r="AB257" i="4"/>
  <c r="G259" i="4"/>
  <c r="AA258" i="4"/>
  <c r="G260" i="4" l="1"/>
  <c r="AA259" i="4"/>
  <c r="N259" i="4"/>
  <c r="AB258" i="4"/>
  <c r="N260" i="4" l="1"/>
  <c r="AB259" i="4"/>
  <c r="G261" i="4"/>
  <c r="AA260" i="4"/>
  <c r="G262" i="4" l="1"/>
  <c r="AA261" i="4"/>
  <c r="N261" i="4"/>
  <c r="AB260" i="4"/>
  <c r="N262" i="4" l="1"/>
  <c r="AB261" i="4"/>
  <c r="G263" i="4"/>
  <c r="AA262" i="4"/>
  <c r="G264" i="4" l="1"/>
  <c r="AA263" i="4"/>
  <c r="N263" i="4"/>
  <c r="AB262" i="4"/>
  <c r="N264" i="4" l="1"/>
  <c r="AB263" i="4"/>
  <c r="G265" i="4"/>
  <c r="AA264" i="4"/>
  <c r="G266" i="4" l="1"/>
  <c r="AA265" i="4"/>
  <c r="N265" i="4"/>
  <c r="AB264" i="4"/>
  <c r="N266" i="4" l="1"/>
  <c r="AB265" i="4"/>
  <c r="G267" i="4"/>
  <c r="AA266" i="4"/>
  <c r="G268" i="4" l="1"/>
  <c r="AA267" i="4"/>
  <c r="N267" i="4"/>
  <c r="AB266" i="4"/>
  <c r="N268" i="4" l="1"/>
  <c r="AB267" i="4"/>
  <c r="G269" i="4"/>
  <c r="AA268" i="4"/>
  <c r="G270" i="4" l="1"/>
  <c r="AA269" i="4"/>
  <c r="N269" i="4"/>
  <c r="AB268" i="4"/>
  <c r="N270" i="4" l="1"/>
  <c r="AB269" i="4"/>
  <c r="G271" i="4"/>
  <c r="AA270" i="4"/>
  <c r="G272" i="4" l="1"/>
  <c r="AA271" i="4"/>
  <c r="N271" i="4"/>
  <c r="AB270" i="4"/>
  <c r="N272" i="4" l="1"/>
  <c r="AB271" i="4"/>
  <c r="G273" i="4"/>
  <c r="AA272" i="4"/>
  <c r="G274" i="4" l="1"/>
  <c r="AA273" i="4"/>
  <c r="N273" i="4"/>
  <c r="AB272" i="4"/>
  <c r="N274" i="4" l="1"/>
  <c r="AB273" i="4"/>
  <c r="G275" i="4"/>
  <c r="AA274" i="4"/>
  <c r="G276" i="4" l="1"/>
  <c r="AA275" i="4"/>
  <c r="N275" i="4"/>
  <c r="AB274" i="4"/>
  <c r="N276" i="4" l="1"/>
  <c r="AB275" i="4"/>
  <c r="G277" i="4"/>
  <c r="AA276" i="4"/>
  <c r="G278" i="4" l="1"/>
  <c r="AA277" i="4"/>
  <c r="N277" i="4"/>
  <c r="AB276" i="4"/>
  <c r="N278" i="4" l="1"/>
  <c r="AB277" i="4"/>
  <c r="G279" i="4"/>
  <c r="AA278" i="4"/>
  <c r="G280" i="4" l="1"/>
  <c r="AA279" i="4"/>
  <c r="N279" i="4"/>
  <c r="AB278" i="4"/>
  <c r="N280" i="4" l="1"/>
  <c r="AB279" i="4"/>
  <c r="G281" i="4"/>
  <c r="AA280" i="4"/>
  <c r="G282" i="4" l="1"/>
  <c r="AA281" i="4"/>
  <c r="N281" i="4"/>
  <c r="AB280" i="4"/>
  <c r="N282" i="4" l="1"/>
  <c r="AB281" i="4"/>
  <c r="G283" i="4"/>
  <c r="AA283" i="4" s="1"/>
  <c r="AA282" i="4"/>
  <c r="N283" i="4" l="1"/>
  <c r="AB283" i="4" s="1"/>
  <c r="AB282" i="4"/>
</calcChain>
</file>

<file path=xl/sharedStrings.xml><?xml version="1.0" encoding="utf-8"?>
<sst xmlns="http://schemas.openxmlformats.org/spreadsheetml/2006/main" count="494" uniqueCount="350">
  <si>
    <t>HYATT HOTELS CORPORATION</t>
  </si>
  <si>
    <t>($000's)</t>
  </si>
  <si>
    <t>Total Revenue</t>
  </si>
  <si>
    <t>Cost of Revenue</t>
  </si>
  <si>
    <t>Gross Profit</t>
  </si>
  <si>
    <t>Total Operating Expenses</t>
  </si>
  <si>
    <t>EBIT (Operating Income or Loss)</t>
  </si>
  <si>
    <t>Interest Expense</t>
  </si>
  <si>
    <t>EBT &amp; other Income/Expenses</t>
  </si>
  <si>
    <t>Other Income/Expenses Net</t>
  </si>
  <si>
    <t>EBT</t>
  </si>
  <si>
    <t>Income Tax Expense</t>
  </si>
  <si>
    <t>Net Income</t>
  </si>
  <si>
    <t>Assets</t>
  </si>
  <si>
    <t>Current Assets</t>
  </si>
  <si>
    <t>Cash And Cash Equivalents</t>
  </si>
  <si>
    <t>Other Short Term Investments</t>
  </si>
  <si>
    <t>Total Cash</t>
  </si>
  <si>
    <t>Net Receivables</t>
  </si>
  <si>
    <t>Inventory</t>
  </si>
  <si>
    <t>Total Current Assets</t>
  </si>
  <si>
    <t>Non-current assets</t>
  </si>
  <si>
    <t>Gross property, plant and equipment</t>
  </si>
  <si>
    <t>Accumulated Depreciation</t>
  </si>
  <si>
    <t>Net property, plant and equipment</t>
  </si>
  <si>
    <t>Long Term Investments</t>
  </si>
  <si>
    <t>Goodwill</t>
  </si>
  <si>
    <t>Intangible Assets</t>
  </si>
  <si>
    <t>Other long-term assets</t>
  </si>
  <si>
    <t>Total non-current assets</t>
  </si>
  <si>
    <t>Total Assets</t>
  </si>
  <si>
    <t>Liabilities</t>
  </si>
  <si>
    <t>Current Liabilities</t>
  </si>
  <si>
    <t>Accounts Payable</t>
  </si>
  <si>
    <t>Accrued liabilities</t>
  </si>
  <si>
    <t>Deferred revenues</t>
  </si>
  <si>
    <t>Current Portion of Long Term Debt</t>
  </si>
  <si>
    <t>Total Current Liabilities</t>
  </si>
  <si>
    <t>Non-Current Liabilities</t>
  </si>
  <si>
    <t>Long Term Debt</t>
  </si>
  <si>
    <t>Deferred taxes liabilities</t>
  </si>
  <si>
    <t>Total non-current liabilities</t>
  </si>
  <si>
    <t>Total Liabilities</t>
  </si>
  <si>
    <t>Stockholders' Equity</t>
  </si>
  <si>
    <t>Common Stock</t>
  </si>
  <si>
    <t>Retained Earnings</t>
  </si>
  <si>
    <t>Total stockholders' equity</t>
  </si>
  <si>
    <t xml:space="preserve"> Liabilities &amp; Stockholders Equity</t>
  </si>
  <si>
    <t>Error</t>
  </si>
  <si>
    <t>SUMMARY CASH FLOW ANALASIS (December 31)</t>
  </si>
  <si>
    <t>Depreciation</t>
  </si>
  <si>
    <t>Amortization (Intangibles)</t>
  </si>
  <si>
    <t>Deferred Taxes</t>
  </si>
  <si>
    <t>ST Deferred Revenue</t>
  </si>
  <si>
    <t xml:space="preserve"> Cash Income</t>
  </si>
  <si>
    <t>Working Capital Activity</t>
  </si>
  <si>
    <t xml:space="preserve">  Total Working Capital</t>
  </si>
  <si>
    <t>Operating Cash Flow (OCF)</t>
  </si>
  <si>
    <t>Investment Activities</t>
  </si>
  <si>
    <t>Capital Expenditure</t>
  </si>
  <si>
    <t>Long-Term Investment</t>
  </si>
  <si>
    <t>Other Long-Term Assets</t>
  </si>
  <si>
    <t xml:space="preserve">  Total Investment Activities</t>
  </si>
  <si>
    <t>Financing Activity</t>
  </si>
  <si>
    <t>ST Debt</t>
  </si>
  <si>
    <t>LT Debt</t>
  </si>
  <si>
    <t>LT Deferred Revenue</t>
  </si>
  <si>
    <t>Other Long-Term Liabilities</t>
  </si>
  <si>
    <t xml:space="preserve">  Total Financing Activities</t>
  </si>
  <si>
    <t>Free Cash Flow</t>
  </si>
  <si>
    <t xml:space="preserve"> Allocation Cash and Cash Equivalents</t>
  </si>
  <si>
    <t xml:space="preserve"> Allocation Other Short-Term Investments</t>
  </si>
  <si>
    <t>Beginning Cash</t>
  </si>
  <si>
    <t>Ending Cash</t>
  </si>
  <si>
    <t>FINANCIAL RATIO ANALYSIS</t>
  </si>
  <si>
    <t>EBITDA ($ 000's)</t>
  </si>
  <si>
    <t>TREND ANALYSIS</t>
  </si>
  <si>
    <t>Revenue Growth</t>
  </si>
  <si>
    <t>LIQUIDITY RATIOS</t>
  </si>
  <si>
    <t>Current Ratio</t>
  </si>
  <si>
    <t>Quick Ratio</t>
  </si>
  <si>
    <t>Accounts Receivable Turnover</t>
  </si>
  <si>
    <t>Accounts Receivable Days</t>
  </si>
  <si>
    <t>SOLVENCY RATIOS</t>
  </si>
  <si>
    <t>Total Debt / Total Capitalization (Cap Ratio)</t>
  </si>
  <si>
    <t>EBITDA/ Interest (Coverage Ratio)</t>
  </si>
  <si>
    <t>Total Debt / EBITDA (Leverage Ratio)</t>
  </si>
  <si>
    <t>PROFITABILITY RATIO</t>
  </si>
  <si>
    <t>EBITDA Margin</t>
  </si>
  <si>
    <t>ROA</t>
  </si>
  <si>
    <t>ROE</t>
  </si>
  <si>
    <t xml:space="preserve">INCOME STATEMENT </t>
  </si>
  <si>
    <t>Hyatt Hotels Corporation</t>
  </si>
  <si>
    <t>Yahoo Finance 
Link =</t>
  </si>
  <si>
    <t xml:space="preserve">https://finance.yahoo.com/quote/H?p=H </t>
  </si>
  <si>
    <t>Date of Analysis:</t>
  </si>
  <si>
    <t>INPUT</t>
  </si>
  <si>
    <t>HISTORICAL  INFORMATION</t>
  </si>
  <si>
    <t>ENTERPRISE VALUATION ANALYSIS</t>
  </si>
  <si>
    <t>INCOME STATEMENT</t>
  </si>
  <si>
    <t>LTM</t>
  </si>
  <si>
    <t>EV
(000's)</t>
  </si>
  <si>
    <t>Debt
(000's)</t>
  </si>
  <si>
    <t>Cash
(000's)</t>
  </si>
  <si>
    <t>Eq Value
(000's)</t>
  </si>
  <si>
    <t>Shares Outs
(000's)</t>
  </si>
  <si>
    <t>Stock 
Price</t>
  </si>
  <si>
    <t>(000's)</t>
  </si>
  <si>
    <t>METHOD #1 - Market Value / Using the Stock Price</t>
  </si>
  <si>
    <t>Revenue</t>
  </si>
  <si>
    <t>METHOD #2- Intrinsic Value</t>
  </si>
  <si>
    <t xml:space="preserve"> Gross Profit</t>
  </si>
  <si>
    <t>METHOD #3- Dividend Discount Model (DDM)</t>
  </si>
  <si>
    <t>Operating Expense</t>
  </si>
  <si>
    <t xml:space="preserve">METHOD #4 -Average  EBITDA  Industry Trading Multiples </t>
  </si>
  <si>
    <t>METHOD #5 - Using Averge EBITDA Transaction Multiples</t>
  </si>
  <si>
    <t>METHOD #6 - Discount Cash Flow Valuation Analysis</t>
  </si>
  <si>
    <t xml:space="preserve">  Average of other methods</t>
  </si>
  <si>
    <t>Shares Outstanding</t>
  </si>
  <si>
    <t>EPS</t>
  </si>
  <si>
    <t>EBITDA</t>
  </si>
  <si>
    <t>Calculations</t>
  </si>
  <si>
    <t>SP</t>
  </si>
  <si>
    <t>SO</t>
  </si>
  <si>
    <t>SP * SO = EQ</t>
  </si>
  <si>
    <t>D</t>
  </si>
  <si>
    <t>C</t>
  </si>
  <si>
    <t>EQ + D - C = EV</t>
  </si>
  <si>
    <t>SUMMARY BALANCE SHEET</t>
  </si>
  <si>
    <t>Company</t>
  </si>
  <si>
    <t>Symbol</t>
  </si>
  <si>
    <t xml:space="preserve">Stock Price </t>
  </si>
  <si>
    <t>Stocks Outstanding ($000)</t>
  </si>
  <si>
    <t>Equity 
Value
 ($000)</t>
  </si>
  <si>
    <t>Debt (ST&amp;LT)
($000)</t>
  </si>
  <si>
    <t>Cash
 ($000)</t>
  </si>
  <si>
    <t>Enterprise Value 
($000)</t>
  </si>
  <si>
    <t>Choice Hotels International</t>
  </si>
  <si>
    <t>CHH</t>
  </si>
  <si>
    <t>Fairmont Hotels &amp; Resorts</t>
  </si>
  <si>
    <t>FHR</t>
  </si>
  <si>
    <t>Hilton Hotels</t>
  </si>
  <si>
    <t>HLT</t>
  </si>
  <si>
    <t>John Q. Hammons Hotels</t>
  </si>
  <si>
    <t>JQH</t>
  </si>
  <si>
    <t>La-Quinta Corp</t>
  </si>
  <si>
    <t>LQI</t>
  </si>
  <si>
    <t>Marcus Corporation</t>
  </si>
  <si>
    <t>MCS</t>
  </si>
  <si>
    <t>Marriott International</t>
  </si>
  <si>
    <t>MAR</t>
  </si>
  <si>
    <t>Orient Express Hotels Ltd</t>
  </si>
  <si>
    <t>OEH</t>
  </si>
  <si>
    <t>Hyatt</t>
  </si>
  <si>
    <t>H</t>
  </si>
  <si>
    <t>Cash, Cash &amp; Equivalent</t>
  </si>
  <si>
    <t>Total Debt</t>
  </si>
  <si>
    <t>Using CAPM = k = Rf + ( Beta * Premium )</t>
  </si>
  <si>
    <t>Intrinsic Value = V0 = [ E(D1) + E (P1)] / (1+k)</t>
  </si>
  <si>
    <t>Risk Free =</t>
  </si>
  <si>
    <t>D1=</t>
  </si>
  <si>
    <t>Beta =</t>
  </si>
  <si>
    <t xml:space="preserve">Analyst Est. </t>
  </si>
  <si>
    <t xml:space="preserve"> (Average Earnings per share)</t>
  </si>
  <si>
    <t>SUMMARY CASH FLOW ST.</t>
  </si>
  <si>
    <t>Premium=</t>
  </si>
  <si>
    <t>Exp (P1)=</t>
  </si>
  <si>
    <t>(Avg Target by Analysts for 9/19)</t>
  </si>
  <si>
    <t>Market Return (Rf + Premium)=</t>
  </si>
  <si>
    <t>k=</t>
  </si>
  <si>
    <t>Capex</t>
  </si>
  <si>
    <t>Expected Equity Return using CAPM=</t>
  </si>
  <si>
    <t>V0=</t>
  </si>
  <si>
    <t>Deprec. &amp; Amort.</t>
  </si>
  <si>
    <t>OPERATING ASSUMPTIONS</t>
  </si>
  <si>
    <t>AVERAGE</t>
  </si>
  <si>
    <t>Constant-Growth DDM (Gordon Model) V0 = D1 / (k-g)</t>
  </si>
  <si>
    <t>Expected HPR = E 9r) = [E (d1) + (E(p1) - P0) / P0</t>
  </si>
  <si>
    <t>Revenue Growth %</t>
  </si>
  <si>
    <t>D1 =</t>
  </si>
  <si>
    <t>Dividend (d1)</t>
  </si>
  <si>
    <t>(No growth)</t>
  </si>
  <si>
    <t>COGS % of Revenue</t>
  </si>
  <si>
    <t>Expected Equity Return (k)=</t>
  </si>
  <si>
    <t>P1 = P0+D</t>
  </si>
  <si>
    <t>Oper. Expense % of Revenue</t>
  </si>
  <si>
    <t>Expected Growth (g) =</t>
  </si>
  <si>
    <t>P0</t>
  </si>
  <si>
    <t>Depreciation % Revenue</t>
  </si>
  <si>
    <t>Exp. HPR=</t>
  </si>
  <si>
    <t>Capex % Revenue</t>
  </si>
  <si>
    <t>E</t>
  </si>
  <si>
    <t>EV / E</t>
  </si>
  <si>
    <t>Stock
Price</t>
  </si>
  <si>
    <t>Equity Value
 ($000)</t>
  </si>
  <si>
    <t>EBITDA 
($mm)</t>
  </si>
  <si>
    <t>EBITDA Multiple</t>
  </si>
  <si>
    <t>Beta</t>
  </si>
  <si>
    <t>Hilton Worldwide Holdings Inc.</t>
  </si>
  <si>
    <t>Intercontinental Hotel</t>
  </si>
  <si>
    <t>IHG</t>
  </si>
  <si>
    <t>Park Hotels &amp; Resorts Inc.</t>
  </si>
  <si>
    <t>PK</t>
  </si>
  <si>
    <t>Wyndham Worldwide</t>
  </si>
  <si>
    <t>WYNN</t>
  </si>
  <si>
    <t>EBITDA * Average Multiple</t>
  </si>
  <si>
    <t>Average</t>
  </si>
  <si>
    <t>Hyatt's Enteprise Value</t>
  </si>
  <si>
    <t>METHOD #5 - Using Averge EBITDA Transaction Multiples (M&amp;A Comparable Method)</t>
  </si>
  <si>
    <t>AP</t>
  </si>
  <si>
    <t>AP * SO = EQ</t>
  </si>
  <si>
    <t>ND</t>
  </si>
  <si>
    <t>EQ + ND = EV</t>
  </si>
  <si>
    <t xml:space="preserve">Target </t>
  </si>
  <si>
    <t>Acquirer</t>
  </si>
  <si>
    <t>Acquisition Price /Share</t>
  </si>
  <si>
    <t>Equity Value ($mm)</t>
  </si>
  <si>
    <t>Total Net Debt ($mm)</t>
  </si>
  <si>
    <t>Enterprise Value (EV)</t>
  </si>
  <si>
    <t>EBITDA (last reported)</t>
  </si>
  <si>
    <t>Blackstone Group</t>
  </si>
  <si>
    <t>Four Seasons*</t>
  </si>
  <si>
    <t>Kingtom Hotels Int'l</t>
  </si>
  <si>
    <t>Fairmont/Rafles</t>
  </si>
  <si>
    <t>Hilton International</t>
  </si>
  <si>
    <t>Hilton Hotels Corp.</t>
  </si>
  <si>
    <t>Starwood Hotels</t>
  </si>
  <si>
    <t>Host Marriott</t>
  </si>
  <si>
    <t>Wynham Int'l</t>
  </si>
  <si>
    <t>JQH Acquisition LLC</t>
  </si>
  <si>
    <t>Societe du Louvre</t>
  </si>
  <si>
    <t>Starwood Capital</t>
  </si>
  <si>
    <t>Intercontinental Hotels</t>
  </si>
  <si>
    <t>LRG</t>
  </si>
  <si>
    <t>Boca Resorts</t>
  </si>
  <si>
    <t>Prime Hospitality</t>
  </si>
  <si>
    <t>Extended Stay</t>
  </si>
  <si>
    <t>Haytt's Enteprise Value</t>
  </si>
  <si>
    <t xml:space="preserve">  year =</t>
  </si>
  <si>
    <t>Input Actual</t>
  </si>
  <si>
    <t>EXIT YEAR</t>
  </si>
  <si>
    <t>Assumptions</t>
  </si>
  <si>
    <t>Revenues</t>
  </si>
  <si>
    <t xml:space="preserve">  Revenue Growth</t>
  </si>
  <si>
    <t>Cost of Revenues (CoGS)</t>
  </si>
  <si>
    <t>Operating Expenses (Excl. Non-rec.)</t>
  </si>
  <si>
    <t xml:space="preserve"> EBIT</t>
  </si>
  <si>
    <t>Less Taxes (tax rate x of EBIT)</t>
  </si>
  <si>
    <t>Plus Depreciation</t>
  </si>
  <si>
    <t xml:space="preserve">Less Capex </t>
  </si>
  <si>
    <t>Cash Flow</t>
  </si>
  <si>
    <t>Debt (assuming 5% reduction of intial principal per year)</t>
  </si>
  <si>
    <t>Terminal Value</t>
  </si>
  <si>
    <t>Growth</t>
  </si>
  <si>
    <t xml:space="preserve">  EBITDA Multiple Method</t>
  </si>
  <si>
    <t>(EBITDA x EBITDA Multiple)</t>
  </si>
  <si>
    <t xml:space="preserve">  Perpetuity Method </t>
  </si>
  <si>
    <t xml:space="preserve"> Next Year's Cash Flow / (Discount Rate - Growth)</t>
  </si>
  <si>
    <t>Less Debt Outstanding (at Exit)</t>
  </si>
  <si>
    <t>Plus Cash (at Exit)</t>
  </si>
  <si>
    <t>Equity Value at Terminal</t>
  </si>
  <si>
    <t>PV (for $1)</t>
  </si>
  <si>
    <t>Equity Cash Flows</t>
  </si>
  <si>
    <t>PV (1) =</t>
  </si>
  <si>
    <t>PV (2) =</t>
  </si>
  <si>
    <t>PV (3) =</t>
  </si>
  <si>
    <t>PV (4) =</t>
  </si>
  <si>
    <t>PV (5) =</t>
  </si>
  <si>
    <t>PV=</t>
  </si>
  <si>
    <t>Cost of Equity Calc</t>
  </si>
  <si>
    <t>Interest</t>
  </si>
  <si>
    <t>Risk Free Rate (5 year)</t>
  </si>
  <si>
    <t>Enterprise Value =</t>
  </si>
  <si>
    <t>PV of Equity + PV of Debt</t>
  </si>
  <si>
    <t>Premium based on MC =</t>
  </si>
  <si>
    <t>Rate</t>
  </si>
  <si>
    <t xml:space="preserve">PV of Equity = </t>
  </si>
  <si>
    <t>Hyatt Beta =</t>
  </si>
  <si>
    <t xml:space="preserve">+ PV of Debt = </t>
  </si>
  <si>
    <t>Expected Equity Return =</t>
  </si>
  <si>
    <t>Hyatt's Enterprise Value</t>
  </si>
  <si>
    <t>WACC Calc:</t>
  </si>
  <si>
    <t xml:space="preserve">  % Cap</t>
  </si>
  <si>
    <t xml:space="preserve"> AT RoR</t>
  </si>
  <si>
    <t>WACC</t>
  </si>
  <si>
    <t>Debt</t>
  </si>
  <si>
    <t>BV Equity</t>
  </si>
  <si>
    <t>LTM 6/2020</t>
  </si>
  <si>
    <t>Dec 31</t>
  </si>
  <si>
    <t>Jun 30</t>
  </si>
  <si>
    <t>Financial Analysis</t>
  </si>
  <si>
    <t>EBIT (operating)</t>
  </si>
  <si>
    <t xml:space="preserve">Interest </t>
  </si>
  <si>
    <t>Other non-oper. Income</t>
  </si>
  <si>
    <t>EBT (operating)</t>
  </si>
  <si>
    <t>Taxes</t>
  </si>
  <si>
    <t>BALANACE SHEET STATEMENT</t>
  </si>
  <si>
    <t>Cost of Revenue as % of Revenue</t>
  </si>
  <si>
    <t>Operating Expense as % of Revenues</t>
  </si>
  <si>
    <t>Working Capital as % of Revenues</t>
  </si>
  <si>
    <t>Working Capital</t>
  </si>
  <si>
    <t>LTM
6/2020</t>
  </si>
  <si>
    <t>Hist. Avg</t>
  </si>
  <si>
    <t xml:space="preserve"> Estimated Debt Repayment % of 6/2020</t>
  </si>
  <si>
    <t xml:space="preserve"> Debt Reapayment $</t>
  </si>
  <si>
    <t>Projection Analysis</t>
  </si>
  <si>
    <t xml:space="preserve">  Gross profit</t>
  </si>
  <si>
    <t>HISTORICAL</t>
  </si>
  <si>
    <t>PROJECTED</t>
  </si>
  <si>
    <t>Financial Statement Date:</t>
  </si>
  <si>
    <t>(Company Reported LTM)</t>
  </si>
  <si>
    <t>Comments</t>
  </si>
  <si>
    <t>The growth rates (75%, 25%) were designed for COVID recovery in 2021 after a significant decline in 2020 - assume back to 2019 EBITDA levels by 2022</t>
  </si>
  <si>
    <t>Set equal Capex</t>
  </si>
  <si>
    <t>Last Quarter Revenue Decline</t>
  </si>
  <si>
    <t>(Covid High)</t>
  </si>
  <si>
    <t xml:space="preserve">- PV of Cash = </t>
  </si>
  <si>
    <t>Recom.
(-10%/+10%)</t>
  </si>
  <si>
    <t>Sell</t>
  </si>
  <si>
    <t>Hold</t>
  </si>
  <si>
    <t>Buy</t>
  </si>
  <si>
    <t>COVID 
Impact Info</t>
  </si>
  <si>
    <t>Using 2019 EBITDA (Covid Adj)=</t>
  </si>
  <si>
    <t>Assume $0</t>
  </si>
  <si>
    <t>using M#5</t>
  </si>
  <si>
    <t>(80% of WACC)</t>
  </si>
  <si>
    <t>Date</t>
  </si>
  <si>
    <t>Open</t>
  </si>
  <si>
    <t>High</t>
  </si>
  <si>
    <t>Low</t>
  </si>
  <si>
    <t>Close</t>
  </si>
  <si>
    <t>Hyatt Hotels</t>
  </si>
  <si>
    <t xml:space="preserve"> % Change</t>
  </si>
  <si>
    <t>S&amp;P 500</t>
  </si>
  <si>
    <t>Standard Deviation</t>
  </si>
  <si>
    <t>Historical Graph</t>
  </si>
  <si>
    <t>Beta Calculation</t>
  </si>
  <si>
    <t>S&amp;P</t>
  </si>
  <si>
    <t>X</t>
  </si>
  <si>
    <t>Y</t>
  </si>
  <si>
    <t>X-Avg (X)</t>
  </si>
  <si>
    <t>Y-Avg(y)</t>
  </si>
  <si>
    <t xml:space="preserve"> x^2</t>
  </si>
  <si>
    <t>[y-Avg(y)][x-Avg(x)]</t>
  </si>
  <si>
    <t>Total</t>
  </si>
  <si>
    <t>Cum Change%</t>
  </si>
  <si>
    <t>Graph Comparison</t>
  </si>
  <si>
    <t>Cummulative Weekly Change</t>
  </si>
  <si>
    <t>HISTORICAL PRICE STOCK ANALYSIS</t>
  </si>
  <si>
    <t>VALUATION ANALYSIS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</si>
</sst>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00"/>
    <numFmt numFmtId="165" formatCode="0.0%"/>
    <numFmt numFmtId="166" formatCode="0.0\x"/>
    <numFmt numFmtId="167" formatCode="#,#00.00"/>
    <numFmt numFmtId="168" formatCode="_(* #,##0_);_(* \(#,##0\);_(* &quot;-&quot;??_);_(@_)"/>
    <numFmt numFmtId="169" formatCode="_(* #,##0.000_);_(* \(#,##0.000\);_(* &quot;-&quot;??_);_(@_)"/>
    <numFmt numFmtId="170" formatCode="0.00\x"/>
    <numFmt numFmtId="171" formatCode="_(&quot;$&quot;* #,##0_);_(&quot;$&quot;* \(#,##0\);_(&quot;$&quot;* &quot;-&quot;??_);_(@_)"/>
    <numFmt numFmtId="172" formatCode="_(* #,##0.0000000_);_(* \(#,##0.0000000\);_(* &quot;-&quot;??_);_(@_)"/>
    <numFmt numFmtId="173" formatCode="0.000%"/>
    <numFmt numFmtId="179" formatCode="0.0000%"/>
    <numFmt numFmtId="180" formatCode="_(* #,##0.0000_);_(* \(#,##0.0000\);_(* &quot;-&quot;??_);_(@_)"/>
  </numFmts>
  <fonts count="5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rgb="FF000000"/>
      <name val="Times New Roman"/>
      <family val="1"/>
    </font>
    <font>
      <b/>
      <sz val="9"/>
      <color rgb="FF000000"/>
      <name val="&amp;quot"/>
    </font>
    <font>
      <sz val="9"/>
      <color rgb="FF000000"/>
      <name val="Times New Roman"/>
      <family val="1"/>
    </font>
    <font>
      <sz val="9"/>
      <color rgb="FF000000"/>
      <name val="&amp;quot"/>
    </font>
    <font>
      <sz val="9"/>
      <name val="Arial"/>
      <family val="2"/>
    </font>
    <font>
      <b/>
      <u/>
      <sz val="9"/>
      <color rgb="FF000000"/>
      <name val="Times New Roman"/>
      <family val="1"/>
    </font>
    <font>
      <sz val="10"/>
      <name val="Calibri"/>
      <family val="2"/>
    </font>
    <font>
      <sz val="10"/>
      <color rgb="FF000000"/>
      <name val="&amp;quot"/>
    </font>
    <font>
      <i/>
      <sz val="8"/>
      <name val="Arial"/>
      <family val="2"/>
    </font>
    <font>
      <b/>
      <u/>
      <sz val="9"/>
      <name val="Arial"/>
      <family val="2"/>
    </font>
    <font>
      <b/>
      <u/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8"/>
      <name val="Times New Roman"/>
      <family val="1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sz val="11"/>
      <color rgb="FF00B0F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theme="0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8"/>
      <color indexed="12"/>
      <name val="Arial"/>
      <family val="2"/>
    </font>
    <font>
      <b/>
      <sz val="11"/>
      <name val="Times New Roman"/>
      <family val="1"/>
    </font>
    <font>
      <b/>
      <i/>
      <sz val="10"/>
      <name val="Arial"/>
      <family val="2"/>
    </font>
    <font>
      <b/>
      <sz val="10"/>
      <name val="Times New Roman"/>
      <family val="1"/>
    </font>
    <font>
      <b/>
      <sz val="10"/>
      <color theme="1"/>
      <name val="Arial"/>
      <family val="2"/>
    </font>
    <font>
      <sz val="8"/>
      <name val="Calibri"/>
      <family val="2"/>
      <scheme val="minor"/>
    </font>
    <font>
      <b/>
      <sz val="10"/>
      <color rgb="FF000000"/>
      <name val="Times New Roman"/>
      <family val="1"/>
    </font>
    <font>
      <sz val="11"/>
      <color rgb="FF0066F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66FF"/>
      <name val="Calibri"/>
      <family val="2"/>
      <scheme val="minor"/>
    </font>
    <font>
      <sz val="9"/>
      <color rgb="FF0066FF"/>
      <name val="Arial"/>
      <family val="2"/>
    </font>
    <font>
      <sz val="10"/>
      <color rgb="FF0066FF"/>
      <name val="Arial"/>
      <family val="2"/>
    </font>
    <font>
      <i/>
      <sz val="9"/>
      <color rgb="FF000000"/>
      <name val="Times New Roman"/>
      <family val="1"/>
    </font>
    <font>
      <i/>
      <sz val="9"/>
      <color rgb="FF000000"/>
      <name val="&amp;quot"/>
    </font>
    <font>
      <i/>
      <sz val="9"/>
      <name val="Arial"/>
      <family val="2"/>
    </font>
    <font>
      <b/>
      <sz val="9"/>
      <color rgb="FF0066FF"/>
      <name val="Arial"/>
      <family val="2"/>
    </font>
    <font>
      <b/>
      <sz val="10"/>
      <color rgb="FF0066FF"/>
      <name val="Arial"/>
      <family val="2"/>
    </font>
    <font>
      <b/>
      <sz val="16"/>
      <color rgb="FF00B0F0"/>
      <name val="Arial"/>
      <family val="2"/>
    </font>
    <font>
      <i/>
      <sz val="10"/>
      <color rgb="FF0066FF"/>
      <name val="Calibri"/>
      <family val="2"/>
    </font>
    <font>
      <b/>
      <sz val="11"/>
      <name val="Calibri"/>
      <family val="2"/>
      <scheme val="minor"/>
    </font>
    <font>
      <sz val="8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430">
    <xf numFmtId="0" fontId="0" fillId="0" borderId="0" xfId="0"/>
    <xf numFmtId="0" fontId="4" fillId="0" borderId="0" xfId="0" applyFont="1"/>
    <xf numFmtId="164" fontId="5" fillId="0" borderId="0" xfId="0" applyNumberFormat="1" applyFont="1"/>
    <xf numFmtId="164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164" fontId="6" fillId="0" borderId="0" xfId="0" applyNumberFormat="1" applyFont="1"/>
    <xf numFmtId="0" fontId="4" fillId="0" borderId="0" xfId="0" applyFont="1" applyAlignment="1">
      <alignment vertical="center"/>
    </xf>
    <xf numFmtId="164" fontId="7" fillId="2" borderId="1" xfId="0" quotePrefix="1" applyNumberFormat="1" applyFont="1" applyFill="1" applyBorder="1" applyAlignment="1">
      <alignment horizontal="left" vertical="center"/>
    </xf>
    <xf numFmtId="1" fontId="6" fillId="2" borderId="1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9" fillId="0" borderId="0" xfId="0" applyNumberFormat="1" applyFont="1" applyAlignment="1">
      <alignment horizontal="right" vertical="center" wrapText="1"/>
    </xf>
    <xf numFmtId="0" fontId="10" fillId="0" borderId="0" xfId="0" applyFont="1" applyAlignment="1">
      <alignment horizontal="left" vertical="center"/>
    </xf>
    <xf numFmtId="164" fontId="11" fillId="0" borderId="0" xfId="0" applyNumberFormat="1" applyFont="1" applyAlignment="1">
      <alignment horizontal="right" vertical="center" wrapText="1"/>
    </xf>
    <xf numFmtId="164" fontId="12" fillId="0" borderId="2" xfId="0" applyNumberFormat="1" applyFont="1" applyBorder="1" applyAlignment="1">
      <alignment horizontal="right"/>
    </xf>
    <xf numFmtId="164" fontId="11" fillId="0" borderId="3" xfId="0" applyNumberFormat="1" applyFont="1" applyBorder="1" applyAlignment="1">
      <alignment horizontal="right" vertical="center" wrapText="1"/>
    </xf>
    <xf numFmtId="164" fontId="11" fillId="0" borderId="4" xfId="0" applyNumberFormat="1" applyFont="1" applyBorder="1" applyAlignment="1">
      <alignment horizontal="right" vertical="center" wrapText="1"/>
    </xf>
    <xf numFmtId="164" fontId="12" fillId="0" borderId="0" xfId="0" applyNumberFormat="1" applyFont="1" applyAlignment="1">
      <alignment horizontal="right"/>
    </xf>
    <xf numFmtId="164" fontId="4" fillId="0" borderId="0" xfId="0" applyNumberFormat="1" applyFont="1"/>
    <xf numFmtId="0" fontId="13" fillId="0" borderId="0" xfId="0" applyFont="1" applyAlignment="1">
      <alignment horizontal="left" vertical="center"/>
    </xf>
    <xf numFmtId="164" fontId="12" fillId="0" borderId="4" xfId="0" applyNumberFormat="1" applyFont="1" applyBorder="1" applyAlignment="1">
      <alignment horizontal="right"/>
    </xf>
    <xf numFmtId="0" fontId="12" fillId="0" borderId="0" xfId="0" applyFont="1"/>
    <xf numFmtId="0" fontId="14" fillId="0" borderId="0" xfId="0" applyFont="1" applyAlignment="1">
      <alignment vertical="center"/>
    </xf>
    <xf numFmtId="164" fontId="12" fillId="0" borderId="5" xfId="0" applyNumberFormat="1" applyFont="1" applyBorder="1" applyAlignment="1">
      <alignment horizontal="right"/>
    </xf>
    <xf numFmtId="164" fontId="15" fillId="0" borderId="0" xfId="0" applyNumberFormat="1" applyFont="1" applyAlignment="1">
      <alignment horizontal="left" vertical="center"/>
    </xf>
    <xf numFmtId="164" fontId="7" fillId="0" borderId="2" xfId="0" applyNumberFormat="1" applyFont="1" applyBorder="1" applyAlignment="1">
      <alignment horizontal="right"/>
    </xf>
    <xf numFmtId="0" fontId="14" fillId="0" borderId="0" xfId="0" applyFont="1"/>
    <xf numFmtId="0" fontId="7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164" fontId="16" fillId="0" borderId="0" xfId="0" applyNumberFormat="1" applyFont="1" applyAlignment="1">
      <alignment horizontal="right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right"/>
    </xf>
    <xf numFmtId="0" fontId="17" fillId="0" borderId="0" xfId="0" applyFont="1" applyAlignment="1">
      <alignment horizontal="left" vertical="center"/>
    </xf>
    <xf numFmtId="164" fontId="7" fillId="0" borderId="5" xfId="0" applyNumberFormat="1" applyFont="1" applyBorder="1" applyAlignment="1">
      <alignment horizontal="right"/>
    </xf>
    <xf numFmtId="164" fontId="7" fillId="0" borderId="0" xfId="0" applyNumberFormat="1" applyFont="1" applyAlignment="1">
      <alignment horizontal="right"/>
    </xf>
    <xf numFmtId="164" fontId="7" fillId="0" borderId="4" xfId="0" applyNumberFormat="1" applyFont="1" applyBorder="1" applyAlignment="1">
      <alignment horizontal="right"/>
    </xf>
    <xf numFmtId="164" fontId="12" fillId="0" borderId="0" xfId="0" applyNumberFormat="1" applyFont="1"/>
    <xf numFmtId="164" fontId="4" fillId="0" borderId="0" xfId="0" applyNumberFormat="1" applyFont="1" applyAlignment="1">
      <alignment vertical="center"/>
    </xf>
    <xf numFmtId="0" fontId="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165" fontId="12" fillId="0" borderId="0" xfId="3" applyNumberFormat="1" applyFont="1" applyFill="1" applyBorder="1" applyAlignment="1">
      <alignment horizontal="right"/>
    </xf>
    <xf numFmtId="166" fontId="12" fillId="0" borderId="0" xfId="0" applyNumberFormat="1" applyFont="1" applyAlignment="1">
      <alignment horizontal="right"/>
    </xf>
    <xf numFmtId="167" fontId="12" fillId="0" borderId="0" xfId="0" applyNumberFormat="1" applyFont="1" applyAlignment="1">
      <alignment horizontal="right"/>
    </xf>
    <xf numFmtId="0" fontId="0" fillId="0" borderId="8" xfId="0" applyBorder="1"/>
    <xf numFmtId="0" fontId="3" fillId="0" borderId="0" xfId="0" applyFont="1" applyAlignment="1">
      <alignment horizontal="center" vertical="center" wrapText="1"/>
    </xf>
    <xf numFmtId="14" fontId="20" fillId="0" borderId="6" xfId="0" applyNumberFormat="1" applyFont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0" fillId="2" borderId="0" xfId="0" applyFill="1"/>
    <xf numFmtId="0" fontId="0" fillId="0" borderId="0" xfId="0" applyAlignment="1">
      <alignment horizontal="center"/>
    </xf>
    <xf numFmtId="6" fontId="0" fillId="0" borderId="0" xfId="0" applyNumberFormat="1"/>
    <xf numFmtId="0" fontId="3" fillId="0" borderId="0" xfId="0" applyFont="1" applyAlignment="1">
      <alignment horizontal="right"/>
    </xf>
    <xf numFmtId="0" fontId="3" fillId="0" borderId="0" xfId="0" applyFont="1"/>
    <xf numFmtId="0" fontId="22" fillId="3" borderId="10" xfId="0" applyFont="1" applyFill="1" applyBorder="1"/>
    <xf numFmtId="0" fontId="23" fillId="3" borderId="11" xfId="0" applyFont="1" applyFill="1" applyBorder="1"/>
    <xf numFmtId="0" fontId="2" fillId="3" borderId="0" xfId="0" applyFont="1" applyFill="1"/>
    <xf numFmtId="0" fontId="2" fillId="3" borderId="12" xfId="0" applyFont="1" applyFill="1" applyBorder="1" applyAlignment="1">
      <alignment horizontal="center" vertical="center"/>
    </xf>
    <xf numFmtId="14" fontId="2" fillId="3" borderId="0" xfId="0" applyNumberFormat="1" applyFont="1" applyFill="1"/>
    <xf numFmtId="0" fontId="0" fillId="0" borderId="13" xfId="0" applyBorder="1"/>
    <xf numFmtId="0" fontId="6" fillId="4" borderId="1" xfId="0" applyFont="1" applyFill="1" applyBorder="1" applyAlignment="1">
      <alignment horizontal="center" wrapText="1"/>
    </xf>
    <xf numFmtId="0" fontId="6" fillId="4" borderId="6" xfId="0" applyFont="1" applyFill="1" applyBorder="1" applyAlignment="1">
      <alignment horizontal="center" wrapText="1"/>
    </xf>
    <xf numFmtId="0" fontId="6" fillId="4" borderId="1" xfId="0" quotePrefix="1" applyFont="1" applyFill="1" applyBorder="1" applyAlignment="1">
      <alignment horizontal="left" vertical="center" wrapText="1"/>
    </xf>
    <xf numFmtId="14" fontId="6" fillId="4" borderId="14" xfId="0" applyNumberFormat="1" applyFont="1" applyFill="1" applyBorder="1" applyAlignment="1">
      <alignment horizontal="center" vertical="center" wrapText="1"/>
    </xf>
    <xf numFmtId="14" fontId="6" fillId="4" borderId="1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168" fontId="24" fillId="0" borderId="0" xfId="1" applyNumberFormat="1" applyFont="1"/>
    <xf numFmtId="0" fontId="25" fillId="0" borderId="15" xfId="0" applyFont="1" applyBorder="1"/>
    <xf numFmtId="168" fontId="0" fillId="0" borderId="4" xfId="0" applyNumberFormat="1" applyBorder="1"/>
    <xf numFmtId="44" fontId="0" fillId="0" borderId="16" xfId="2" applyFont="1" applyBorder="1" applyAlignment="1"/>
    <xf numFmtId="168" fontId="0" fillId="0" borderId="2" xfId="0" applyNumberFormat="1" applyBorder="1"/>
    <xf numFmtId="0" fontId="25" fillId="0" borderId="18" xfId="0" applyFont="1" applyBorder="1"/>
    <xf numFmtId="168" fontId="0" fillId="0" borderId="19" xfId="0" applyNumberFormat="1" applyBorder="1"/>
    <xf numFmtId="168" fontId="0" fillId="0" borderId="0" xfId="1" applyNumberFormat="1" applyFont="1"/>
    <xf numFmtId="168" fontId="0" fillId="0" borderId="0" xfId="0" applyNumberFormat="1"/>
    <xf numFmtId="168" fontId="0" fillId="0" borderId="21" xfId="0" applyNumberFormat="1" applyBorder="1"/>
    <xf numFmtId="168" fontId="0" fillId="0" borderId="20" xfId="1" applyNumberFormat="1" applyFont="1" applyBorder="1"/>
    <xf numFmtId="0" fontId="6" fillId="0" borderId="13" xfId="0" applyFont="1" applyBorder="1"/>
    <xf numFmtId="0" fontId="6" fillId="0" borderId="0" xfId="0" applyFont="1"/>
    <xf numFmtId="168" fontId="6" fillId="0" borderId="2" xfId="0" applyNumberFormat="1" applyFont="1" applyBorder="1"/>
    <xf numFmtId="0" fontId="0" fillId="0" borderId="23" xfId="0" applyBorder="1"/>
    <xf numFmtId="0" fontId="0" fillId="0" borderId="24" xfId="0" applyBorder="1"/>
    <xf numFmtId="0" fontId="22" fillId="3" borderId="0" xfId="0" applyFont="1" applyFill="1" applyAlignment="1">
      <alignment horizontal="left"/>
    </xf>
    <xf numFmtId="6" fontId="23" fillId="3" borderId="0" xfId="0" applyNumberFormat="1" applyFont="1" applyFill="1"/>
    <xf numFmtId="0" fontId="23" fillId="3" borderId="0" xfId="0" applyFont="1" applyFill="1"/>
    <xf numFmtId="44" fontId="0" fillId="0" borderId="0" xfId="2" applyFont="1"/>
    <xf numFmtId="0" fontId="26" fillId="0" borderId="25" xfId="0" applyFont="1" applyBorder="1" applyAlignment="1">
      <alignment horizontal="center" vertical="center"/>
    </xf>
    <xf numFmtId="0" fontId="26" fillId="0" borderId="25" xfId="0" quotePrefix="1" applyFont="1" applyBorder="1" applyAlignment="1">
      <alignment horizontal="center" vertical="center"/>
    </xf>
    <xf numFmtId="0" fontId="0" fillId="0" borderId="0" xfId="0" quotePrefix="1" applyAlignment="1">
      <alignment horizontal="left"/>
    </xf>
    <xf numFmtId="0" fontId="6" fillId="4" borderId="26" xfId="0" applyFont="1" applyFill="1" applyBorder="1"/>
    <xf numFmtId="0" fontId="6" fillId="4" borderId="27" xfId="0" applyFont="1" applyFill="1" applyBorder="1" applyAlignment="1">
      <alignment horizontal="center"/>
    </xf>
    <xf numFmtId="0" fontId="6" fillId="4" borderId="27" xfId="0" applyFont="1" applyFill="1" applyBorder="1" applyAlignment="1">
      <alignment horizontal="center" wrapText="1"/>
    </xf>
    <xf numFmtId="0" fontId="6" fillId="4" borderId="28" xfId="0" applyFont="1" applyFill="1" applyBorder="1" applyAlignment="1">
      <alignment horizontal="center" wrapText="1"/>
    </xf>
    <xf numFmtId="0" fontId="6" fillId="4" borderId="29" xfId="0" applyFont="1" applyFill="1" applyBorder="1" applyAlignment="1">
      <alignment horizontal="center" wrapText="1"/>
    </xf>
    <xf numFmtId="0" fontId="6" fillId="5" borderId="6" xfId="0" applyFont="1" applyFill="1" applyBorder="1" applyAlignment="1">
      <alignment horizontal="center" wrapText="1"/>
    </xf>
    <xf numFmtId="0" fontId="21" fillId="0" borderId="30" xfId="0" applyFont="1" applyBorder="1" applyAlignment="1">
      <alignment horizontal="left" vertical="center" wrapText="1"/>
    </xf>
    <xf numFmtId="0" fontId="27" fillId="0" borderId="22" xfId="0" applyFont="1" applyBorder="1"/>
    <xf numFmtId="44" fontId="27" fillId="0" borderId="22" xfId="2" applyFont="1" applyBorder="1"/>
    <xf numFmtId="169" fontId="27" fillId="0" borderId="22" xfId="1" applyNumberFormat="1" applyFont="1" applyBorder="1"/>
    <xf numFmtId="43" fontId="27" fillId="0" borderId="22" xfId="1" applyFont="1" applyBorder="1"/>
    <xf numFmtId="43" fontId="27" fillId="0" borderId="31" xfId="1" applyFont="1" applyBorder="1"/>
    <xf numFmtId="43" fontId="27" fillId="0" borderId="4" xfId="1" applyFont="1" applyBorder="1"/>
    <xf numFmtId="43" fontId="28" fillId="5" borderId="16" xfId="1" applyFont="1" applyFill="1" applyBorder="1"/>
    <xf numFmtId="0" fontId="0" fillId="0" borderId="12" xfId="0" applyBorder="1"/>
    <xf numFmtId="0" fontId="21" fillId="0" borderId="32" xfId="0" applyFont="1" applyBorder="1" applyAlignment="1">
      <alignment horizontal="left" vertical="center" wrapText="1"/>
    </xf>
    <xf numFmtId="0" fontId="27" fillId="0" borderId="25" xfId="0" applyFont="1" applyBorder="1"/>
    <xf numFmtId="44" fontId="27" fillId="0" borderId="25" xfId="2" applyFont="1" applyBorder="1"/>
    <xf numFmtId="169" fontId="27" fillId="0" borderId="25" xfId="1" applyNumberFormat="1" applyFont="1" applyBorder="1"/>
    <xf numFmtId="43" fontId="27" fillId="0" borderId="33" xfId="1" applyFont="1" applyBorder="1"/>
    <xf numFmtId="43" fontId="27" fillId="0" borderId="19" xfId="1" applyFont="1" applyBorder="1"/>
    <xf numFmtId="43" fontId="28" fillId="5" borderId="34" xfId="1" applyFont="1" applyFill="1" applyBorder="1"/>
    <xf numFmtId="44" fontId="27" fillId="0" borderId="25" xfId="2" applyFont="1" applyFill="1" applyBorder="1"/>
    <xf numFmtId="44" fontId="27" fillId="0" borderId="25" xfId="2" applyFont="1" applyFill="1" applyBorder="1" applyAlignment="1">
      <alignment horizontal="center"/>
    </xf>
    <xf numFmtId="168" fontId="27" fillId="0" borderId="25" xfId="1" applyNumberFormat="1" applyFont="1" applyFill="1" applyBorder="1"/>
    <xf numFmtId="168" fontId="27" fillId="0" borderId="22" xfId="1" applyNumberFormat="1" applyFont="1" applyFill="1" applyBorder="1"/>
    <xf numFmtId="168" fontId="27" fillId="0" borderId="33" xfId="1" applyNumberFormat="1" applyFont="1" applyFill="1" applyBorder="1"/>
    <xf numFmtId="168" fontId="28" fillId="0" borderId="34" xfId="1" applyNumberFormat="1" applyFont="1" applyFill="1" applyBorder="1"/>
    <xf numFmtId="168" fontId="0" fillId="0" borderId="12" xfId="1" applyNumberFormat="1" applyFont="1" applyBorder="1"/>
    <xf numFmtId="0" fontId="0" fillId="0" borderId="2" xfId="0" applyBorder="1"/>
    <xf numFmtId="168" fontId="0" fillId="0" borderId="17" xfId="1" applyNumberFormat="1" applyFont="1" applyBorder="1"/>
    <xf numFmtId="168" fontId="0" fillId="0" borderId="2" xfId="1" applyNumberFormat="1" applyFont="1" applyBorder="1"/>
    <xf numFmtId="0" fontId="29" fillId="3" borderId="0" xfId="0" applyFont="1" applyFill="1"/>
    <xf numFmtId="0" fontId="30" fillId="0" borderId="0" xfId="0" applyFont="1" applyAlignment="1">
      <alignment horizontal="left"/>
    </xf>
    <xf numFmtId="0" fontId="18" fillId="0" borderId="0" xfId="0" applyFont="1"/>
    <xf numFmtId="10" fontId="4" fillId="0" borderId="0" xfId="0" applyNumberFormat="1" applyFont="1"/>
    <xf numFmtId="0" fontId="27" fillId="0" borderId="0" xfId="0" quotePrefix="1" applyFont="1"/>
    <xf numFmtId="10" fontId="0" fillId="0" borderId="0" xfId="0" applyNumberFormat="1"/>
    <xf numFmtId="0" fontId="0" fillId="0" borderId="0" xfId="0" applyAlignment="1">
      <alignment horizontal="left"/>
    </xf>
    <xf numFmtId="10" fontId="0" fillId="0" borderId="0" xfId="3" applyNumberFormat="1" applyFont="1" applyAlignment="1">
      <alignment horizontal="right"/>
    </xf>
    <xf numFmtId="0" fontId="6" fillId="6" borderId="0" xfId="0" applyFont="1" applyFill="1"/>
    <xf numFmtId="44" fontId="6" fillId="6" borderId="0" xfId="2" applyFont="1" applyFill="1" applyBorder="1"/>
    <xf numFmtId="10" fontId="0" fillId="0" borderId="0" xfId="3" applyNumberFormat="1" applyFont="1"/>
    <xf numFmtId="8" fontId="4" fillId="0" borderId="0" xfId="0" applyNumberFormat="1" applyFont="1"/>
    <xf numFmtId="8" fontId="31" fillId="0" borderId="0" xfId="0" applyNumberFormat="1" applyFont="1"/>
    <xf numFmtId="0" fontId="0" fillId="0" borderId="0" xfId="0" quotePrefix="1"/>
    <xf numFmtId="44" fontId="4" fillId="0" borderId="0" xfId="2" applyFont="1" applyBorder="1"/>
    <xf numFmtId="10" fontId="6" fillId="0" borderId="0" xfId="3" applyNumberFormat="1" applyFont="1" applyFill="1" applyBorder="1"/>
    <xf numFmtId="0" fontId="32" fillId="0" borderId="0" xfId="0" applyFont="1" applyAlignment="1">
      <alignment horizontal="left"/>
    </xf>
    <xf numFmtId="14" fontId="6" fillId="4" borderId="27" xfId="0" applyNumberFormat="1" applyFont="1" applyFill="1" applyBorder="1" applyAlignment="1">
      <alignment horizontal="center" wrapText="1"/>
    </xf>
    <xf numFmtId="0" fontId="27" fillId="0" borderId="22" xfId="0" applyFont="1" applyBorder="1" applyAlignment="1">
      <alignment horizontal="center"/>
    </xf>
    <xf numFmtId="44" fontId="27" fillId="7" borderId="22" xfId="2" applyFont="1" applyFill="1" applyBorder="1"/>
    <xf numFmtId="168" fontId="33" fillId="0" borderId="22" xfId="1" applyNumberFormat="1" applyFont="1" applyBorder="1"/>
    <xf numFmtId="168" fontId="27" fillId="0" borderId="22" xfId="1" applyNumberFormat="1" applyFont="1" applyBorder="1"/>
    <xf numFmtId="168" fontId="33" fillId="0" borderId="31" xfId="1" applyNumberFormat="1" applyFont="1" applyBorder="1"/>
    <xf numFmtId="168" fontId="33" fillId="0" borderId="35" xfId="1" applyNumberFormat="1" applyFont="1" applyBorder="1"/>
    <xf numFmtId="168" fontId="28" fillId="5" borderId="16" xfId="1" applyNumberFormat="1" applyFont="1" applyFill="1" applyBorder="1"/>
    <xf numFmtId="170" fontId="28" fillId="5" borderId="16" xfId="1" applyNumberFormat="1" applyFont="1" applyFill="1" applyBorder="1"/>
    <xf numFmtId="170" fontId="33" fillId="0" borderId="35" xfId="1" applyNumberFormat="1" applyFont="1" applyBorder="1" applyAlignment="1">
      <alignment horizontal="center"/>
    </xf>
    <xf numFmtId="0" fontId="27" fillId="0" borderId="25" xfId="0" applyFont="1" applyBorder="1" applyAlignment="1">
      <alignment horizontal="center"/>
    </xf>
    <xf numFmtId="44" fontId="27" fillId="7" borderId="25" xfId="2" applyFont="1" applyFill="1" applyBorder="1"/>
    <xf numFmtId="168" fontId="33" fillId="0" borderId="25" xfId="1" applyNumberFormat="1" applyFont="1" applyBorder="1"/>
    <xf numFmtId="168" fontId="33" fillId="0" borderId="33" xfId="1" applyNumberFormat="1" applyFont="1" applyBorder="1"/>
    <xf numFmtId="168" fontId="33" fillId="0" borderId="36" xfId="1" applyNumberFormat="1" applyFont="1" applyBorder="1"/>
    <xf numFmtId="170" fontId="33" fillId="0" borderId="36" xfId="1" applyNumberFormat="1" applyFont="1" applyBorder="1" applyAlignment="1">
      <alignment horizontal="center"/>
    </xf>
    <xf numFmtId="44" fontId="27" fillId="0" borderId="25" xfId="2" applyFont="1" applyBorder="1" applyAlignment="1">
      <alignment horizontal="center"/>
    </xf>
    <xf numFmtId="0" fontId="21" fillId="0" borderId="37" xfId="0" applyFont="1" applyBorder="1" applyAlignment="1">
      <alignment horizontal="left" vertical="center" wrapText="1"/>
    </xf>
    <xf numFmtId="44" fontId="27" fillId="0" borderId="38" xfId="2" applyFont="1" applyFill="1" applyBorder="1" applyAlignment="1">
      <alignment horizontal="center"/>
    </xf>
    <xf numFmtId="44" fontId="27" fillId="7" borderId="38" xfId="2" applyFont="1" applyFill="1" applyBorder="1"/>
    <xf numFmtId="168" fontId="33" fillId="0" borderId="38" xfId="1" applyNumberFormat="1" applyFont="1" applyBorder="1"/>
    <xf numFmtId="168" fontId="27" fillId="0" borderId="14" xfId="1" applyNumberFormat="1" applyFont="1" applyBorder="1"/>
    <xf numFmtId="168" fontId="33" fillId="0" borderId="39" xfId="1" applyNumberFormat="1" applyFont="1" applyBorder="1"/>
    <xf numFmtId="168" fontId="33" fillId="0" borderId="40" xfId="1" applyNumberFormat="1" applyFont="1" applyBorder="1"/>
    <xf numFmtId="168" fontId="28" fillId="5" borderId="41" xfId="1" applyNumberFormat="1" applyFont="1" applyFill="1" applyBorder="1"/>
    <xf numFmtId="170" fontId="28" fillId="5" borderId="41" xfId="1" applyNumberFormat="1" applyFont="1" applyFill="1" applyBorder="1"/>
    <xf numFmtId="170" fontId="33" fillId="0" borderId="40" xfId="1" applyNumberFormat="1" applyFont="1" applyBorder="1" applyAlignment="1">
      <alignment horizontal="center"/>
    </xf>
    <xf numFmtId="170" fontId="0" fillId="0" borderId="0" xfId="0" applyNumberFormat="1" applyAlignment="1">
      <alignment horizontal="center"/>
    </xf>
    <xf numFmtId="0" fontId="21" fillId="0" borderId="26" xfId="0" applyFont="1" applyBorder="1" applyAlignment="1">
      <alignment horizontal="left" vertical="center" wrapText="1"/>
    </xf>
    <xf numFmtId="44" fontId="27" fillId="0" borderId="27" xfId="2" applyFont="1" applyFill="1" applyBorder="1" applyAlignment="1">
      <alignment horizontal="center"/>
    </xf>
    <xf numFmtId="44" fontId="27" fillId="0" borderId="27" xfId="2" applyFont="1" applyFill="1" applyBorder="1" applyAlignment="1">
      <alignment horizontal="right"/>
    </xf>
    <xf numFmtId="168" fontId="27" fillId="0" borderId="27" xfId="1" applyNumberFormat="1" applyFont="1" applyBorder="1"/>
    <xf numFmtId="168" fontId="27" fillId="0" borderId="28" xfId="1" applyNumberFormat="1" applyFont="1" applyBorder="1"/>
    <xf numFmtId="168" fontId="27" fillId="0" borderId="29" xfId="1" applyNumberFormat="1" applyFont="1" applyBorder="1"/>
    <xf numFmtId="168" fontId="28" fillId="5" borderId="6" xfId="1" applyNumberFormat="1" applyFont="1" applyFill="1" applyBorder="1"/>
    <xf numFmtId="170" fontId="28" fillId="5" borderId="6" xfId="1" applyNumberFormat="1" applyFont="1" applyFill="1" applyBorder="1"/>
    <xf numFmtId="170" fontId="27" fillId="0" borderId="0" xfId="0" applyNumberFormat="1" applyFont="1"/>
    <xf numFmtId="170" fontId="0" fillId="0" borderId="0" xfId="0" applyNumberFormat="1"/>
    <xf numFmtId="170" fontId="28" fillId="0" borderId="0" xfId="0" applyNumberFormat="1" applyFont="1"/>
    <xf numFmtId="0" fontId="34" fillId="4" borderId="7" xfId="0" applyFont="1" applyFill="1" applyBorder="1" applyAlignment="1">
      <alignment horizontal="left" vertical="center" wrapText="1"/>
    </xf>
    <xf numFmtId="168" fontId="6" fillId="4" borderId="9" xfId="0" applyNumberFormat="1" applyFont="1" applyFill="1" applyBorder="1"/>
    <xf numFmtId="0" fontId="27" fillId="0" borderId="0" xfId="0" applyFont="1"/>
    <xf numFmtId="0" fontId="22" fillId="3" borderId="0" xfId="0" applyFont="1" applyFill="1"/>
    <xf numFmtId="0" fontId="0" fillId="3" borderId="0" xfId="0" applyFill="1"/>
    <xf numFmtId="0" fontId="6" fillId="4" borderId="7" xfId="0" applyFont="1" applyFill="1" applyBorder="1" applyAlignment="1">
      <alignment horizontal="center" vertical="center" wrapText="1"/>
    </xf>
    <xf numFmtId="0" fontId="6" fillId="4" borderId="42" xfId="0" applyFont="1" applyFill="1" applyBorder="1" applyAlignment="1">
      <alignment horizontal="center" vertical="center" wrapText="1"/>
    </xf>
    <xf numFmtId="0" fontId="6" fillId="4" borderId="27" xfId="0" applyFont="1" applyFill="1" applyBorder="1" applyAlignment="1">
      <alignment horizontal="center" vertical="center" wrapText="1"/>
    </xf>
    <xf numFmtId="0" fontId="6" fillId="5" borderId="29" xfId="0" applyFont="1" applyFill="1" applyBorder="1" applyAlignment="1">
      <alignment horizontal="center" vertical="center" wrapText="1"/>
    </xf>
    <xf numFmtId="0" fontId="27" fillId="0" borderId="30" xfId="0" applyFont="1" applyBorder="1" applyAlignment="1">
      <alignment horizontal="left" vertical="center" wrapText="1"/>
    </xf>
    <xf numFmtId="44" fontId="27" fillId="0" borderId="22" xfId="2" applyFont="1" applyFill="1" applyBorder="1" applyAlignment="1">
      <alignment vertical="center"/>
    </xf>
    <xf numFmtId="168" fontId="27" fillId="0" borderId="22" xfId="1" applyNumberFormat="1" applyFont="1" applyFill="1" applyBorder="1" applyAlignment="1">
      <alignment vertical="center"/>
    </xf>
    <xf numFmtId="171" fontId="27" fillId="0" borderId="22" xfId="0" applyNumberFormat="1" applyFont="1" applyBorder="1" applyAlignment="1">
      <alignment vertical="center"/>
    </xf>
    <xf numFmtId="171" fontId="27" fillId="0" borderId="22" xfId="2" applyNumberFormat="1" applyFont="1" applyFill="1" applyBorder="1" applyAlignment="1">
      <alignment vertical="center"/>
    </xf>
    <xf numFmtId="170" fontId="27" fillId="0" borderId="35" xfId="0" applyNumberFormat="1" applyFont="1" applyBorder="1" applyAlignment="1">
      <alignment vertical="center"/>
    </xf>
    <xf numFmtId="0" fontId="27" fillId="0" borderId="30" xfId="0" applyFont="1" applyBorder="1"/>
    <xf numFmtId="171" fontId="27" fillId="0" borderId="22" xfId="2" applyNumberFormat="1" applyFont="1" applyBorder="1"/>
    <xf numFmtId="171" fontId="27" fillId="0" borderId="22" xfId="0" applyNumberFormat="1" applyFont="1" applyBorder="1"/>
    <xf numFmtId="170" fontId="27" fillId="0" borderId="35" xfId="0" applyNumberFormat="1" applyFont="1" applyBorder="1"/>
    <xf numFmtId="14" fontId="27" fillId="0" borderId="30" xfId="0" applyNumberFormat="1" applyFont="1" applyBorder="1" applyAlignment="1">
      <alignment horizontal="left"/>
    </xf>
    <xf numFmtId="0" fontId="27" fillId="0" borderId="32" xfId="0" applyFont="1" applyBorder="1"/>
    <xf numFmtId="168" fontId="27" fillId="0" borderId="25" xfId="1" applyNumberFormat="1" applyFont="1" applyBorder="1"/>
    <xf numFmtId="171" fontId="27" fillId="0" borderId="25" xfId="0" applyNumberFormat="1" applyFont="1" applyBorder="1"/>
    <xf numFmtId="171" fontId="27" fillId="0" borderId="25" xfId="2" applyNumberFormat="1" applyFont="1" applyBorder="1"/>
    <xf numFmtId="170" fontId="27" fillId="0" borderId="36" xfId="0" applyNumberFormat="1" applyFont="1" applyBorder="1"/>
    <xf numFmtId="0" fontId="27" fillId="0" borderId="37" xfId="0" applyFont="1" applyBorder="1"/>
    <xf numFmtId="44" fontId="27" fillId="0" borderId="38" xfId="2" applyFont="1" applyBorder="1"/>
    <xf numFmtId="168" fontId="27" fillId="0" borderId="38" xfId="1" applyNumberFormat="1" applyFont="1" applyBorder="1"/>
    <xf numFmtId="171" fontId="27" fillId="0" borderId="38" xfId="0" applyNumberFormat="1" applyFont="1" applyBorder="1"/>
    <xf numFmtId="171" fontId="27" fillId="0" borderId="38" xfId="2" applyNumberFormat="1" applyFont="1" applyBorder="1"/>
    <xf numFmtId="171" fontId="27" fillId="0" borderId="38" xfId="0" applyNumberFormat="1" applyFont="1" applyBorder="1" applyAlignment="1">
      <alignment vertical="center"/>
    </xf>
    <xf numFmtId="170" fontId="27" fillId="0" borderId="40" xfId="0" applyNumberFormat="1" applyFont="1" applyBorder="1"/>
    <xf numFmtId="0" fontId="6" fillId="0" borderId="22" xfId="0" applyFont="1" applyBorder="1"/>
    <xf numFmtId="170" fontId="28" fillId="0" borderId="22" xfId="0" applyNumberFormat="1" applyFont="1" applyBorder="1"/>
    <xf numFmtId="0" fontId="6" fillId="0" borderId="0" xfId="0" applyFont="1" applyAlignment="1">
      <alignment horizontal="right"/>
    </xf>
    <xf numFmtId="0" fontId="32" fillId="0" borderId="0" xfId="0" applyFont="1"/>
    <xf numFmtId="0" fontId="0" fillId="0" borderId="4" xfId="0" applyBorder="1"/>
    <xf numFmtId="0" fontId="16" fillId="0" borderId="4" xfId="0" applyFont="1" applyBorder="1" applyAlignment="1">
      <alignment horizontal="right"/>
    </xf>
    <xf numFmtId="0" fontId="16" fillId="0" borderId="4" xfId="0" applyFont="1" applyBorder="1" applyAlignment="1">
      <alignment horizontal="center"/>
    </xf>
    <xf numFmtId="0" fontId="16" fillId="0" borderId="0" xfId="0" applyFont="1" applyAlignment="1">
      <alignment horizontal="center"/>
    </xf>
    <xf numFmtId="168" fontId="0" fillId="0" borderId="0" xfId="1" applyNumberFormat="1" applyFont="1" applyBorder="1"/>
    <xf numFmtId="168" fontId="4" fillId="0" borderId="12" xfId="1" applyNumberFormat="1" applyFont="1" applyBorder="1"/>
    <xf numFmtId="0" fontId="4" fillId="0" borderId="0" xfId="0" quotePrefix="1" applyFont="1" applyAlignment="1">
      <alignment shrinkToFit="1"/>
    </xf>
    <xf numFmtId="168" fontId="6" fillId="0" borderId="17" xfId="1" applyNumberFormat="1" applyFont="1" applyBorder="1"/>
    <xf numFmtId="168" fontId="6" fillId="0" borderId="2" xfId="1" applyNumberFormat="1" applyFont="1" applyBorder="1"/>
    <xf numFmtId="168" fontId="6" fillId="0" borderId="0" xfId="1" applyNumberFormat="1" applyFont="1" applyBorder="1"/>
    <xf numFmtId="168" fontId="0" fillId="0" borderId="4" xfId="1" applyNumberFormat="1" applyFont="1" applyBorder="1"/>
    <xf numFmtId="168" fontId="0" fillId="0" borderId="22" xfId="1" applyNumberFormat="1" applyFont="1" applyBorder="1"/>
    <xf numFmtId="0" fontId="0" fillId="0" borderId="5" xfId="0" applyBorder="1"/>
    <xf numFmtId="168" fontId="6" fillId="0" borderId="5" xfId="0" applyNumberFormat="1" applyFont="1" applyBorder="1"/>
    <xf numFmtId="168" fontId="6" fillId="0" borderId="20" xfId="0" applyNumberFormat="1" applyFont="1" applyBorder="1"/>
    <xf numFmtId="168" fontId="6" fillId="0" borderId="0" xfId="0" applyNumberFormat="1" applyFont="1"/>
    <xf numFmtId="0" fontId="6" fillId="0" borderId="4" xfId="0" applyFont="1" applyBorder="1"/>
    <xf numFmtId="168" fontId="6" fillId="0" borderId="4" xfId="0" applyNumberFormat="1" applyFont="1" applyBorder="1"/>
    <xf numFmtId="168" fontId="6" fillId="0" borderId="22" xfId="1" applyNumberFormat="1" applyFont="1" applyBorder="1"/>
    <xf numFmtId="0" fontId="35" fillId="0" borderId="0" xfId="0" applyFont="1"/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166" fontId="0" fillId="0" borderId="0" xfId="0" applyNumberFormat="1"/>
    <xf numFmtId="168" fontId="0" fillId="0" borderId="12" xfId="0" applyNumberFormat="1" applyBorder="1"/>
    <xf numFmtId="168" fontId="0" fillId="0" borderId="22" xfId="0" applyNumberFormat="1" applyBorder="1"/>
    <xf numFmtId="0" fontId="28" fillId="0" borderId="12" xfId="0" applyFont="1" applyBorder="1" applyAlignment="1">
      <alignment horizontal="center"/>
    </xf>
    <xf numFmtId="10" fontId="6" fillId="0" borderId="2" xfId="0" applyNumberFormat="1" applyFont="1" applyBorder="1"/>
    <xf numFmtId="0" fontId="0" fillId="0" borderId="17" xfId="0" applyBorder="1"/>
    <xf numFmtId="168" fontId="6" fillId="0" borderId="17" xfId="0" applyNumberFormat="1" applyFont="1" applyBorder="1"/>
    <xf numFmtId="172" fontId="6" fillId="0" borderId="12" xfId="1" applyNumberFormat="1" applyFont="1" applyBorder="1"/>
    <xf numFmtId="6" fontId="6" fillId="0" borderId="0" xfId="0" applyNumberFormat="1" applyFont="1"/>
    <xf numFmtId="43" fontId="0" fillId="0" borderId="0" xfId="0" applyNumberFormat="1"/>
    <xf numFmtId="6" fontId="6" fillId="0" borderId="2" xfId="0" applyNumberFormat="1" applyFont="1" applyBorder="1"/>
    <xf numFmtId="0" fontId="34" fillId="4" borderId="7" xfId="0" applyFont="1" applyFill="1" applyBorder="1" applyAlignment="1">
      <alignment horizontal="left" vertical="center"/>
    </xf>
    <xf numFmtId="0" fontId="34" fillId="4" borderId="8" xfId="0" applyFont="1" applyFill="1" applyBorder="1" applyAlignment="1">
      <alignment horizontal="left" vertical="center"/>
    </xf>
    <xf numFmtId="0" fontId="34" fillId="4" borderId="9" xfId="0" applyFont="1" applyFill="1" applyBorder="1" applyAlignment="1">
      <alignment horizontal="left" vertical="center"/>
    </xf>
    <xf numFmtId="0" fontId="36" fillId="4" borderId="7" xfId="0" applyFont="1" applyFill="1" applyBorder="1" applyAlignment="1">
      <alignment horizontal="left" vertical="center"/>
    </xf>
    <xf numFmtId="0" fontId="36" fillId="4" borderId="6" xfId="0" applyFont="1" applyFill="1" applyBorder="1" applyAlignment="1">
      <alignment horizontal="left" vertical="center"/>
    </xf>
    <xf numFmtId="10" fontId="37" fillId="0" borderId="43" xfId="0" applyNumberFormat="1" applyFont="1" applyBorder="1"/>
    <xf numFmtId="168" fontId="6" fillId="0" borderId="13" xfId="1" applyNumberFormat="1" applyFont="1" applyBorder="1"/>
    <xf numFmtId="168" fontId="6" fillId="0" borderId="43" xfId="1" applyNumberFormat="1" applyFont="1" applyBorder="1"/>
    <xf numFmtId="0" fontId="18" fillId="0" borderId="0" xfId="0" applyFont="1" applyAlignment="1">
      <alignment horizontal="right"/>
    </xf>
    <xf numFmtId="6" fontId="18" fillId="0" borderId="0" xfId="0" applyNumberFormat="1" applyFont="1"/>
    <xf numFmtId="10" fontId="3" fillId="0" borderId="13" xfId="3" applyNumberFormat="1" applyFont="1" applyBorder="1"/>
    <xf numFmtId="0" fontId="6" fillId="0" borderId="43" xfId="0" applyFont="1" applyBorder="1"/>
    <xf numFmtId="0" fontId="0" fillId="0" borderId="0" xfId="0" applyAlignment="1">
      <alignment horizontal="right"/>
    </xf>
    <xf numFmtId="170" fontId="6" fillId="0" borderId="43" xfId="0" applyNumberFormat="1" applyFont="1" applyBorder="1"/>
    <xf numFmtId="0" fontId="0" fillId="0" borderId="0" xfId="0" quotePrefix="1" applyAlignment="1">
      <alignment horizontal="right"/>
    </xf>
    <xf numFmtId="0" fontId="6" fillId="0" borderId="23" xfId="0" applyFont="1" applyBorder="1"/>
    <xf numFmtId="0" fontId="6" fillId="0" borderId="1" xfId="0" applyFont="1" applyBorder="1"/>
    <xf numFmtId="165" fontId="6" fillId="0" borderId="6" xfId="3" applyNumberFormat="1" applyFont="1" applyFill="1" applyBorder="1"/>
    <xf numFmtId="0" fontId="0" fillId="4" borderId="8" xfId="0" applyFill="1" applyBorder="1"/>
    <xf numFmtId="0" fontId="34" fillId="4" borderId="8" xfId="0" applyFont="1" applyFill="1" applyBorder="1" applyAlignment="1">
      <alignment horizontal="right" vertical="center"/>
    </xf>
    <xf numFmtId="0" fontId="34" fillId="4" borderId="9" xfId="0" applyFont="1" applyFill="1" applyBorder="1" applyAlignment="1">
      <alignment horizontal="right" vertical="center"/>
    </xf>
    <xf numFmtId="165" fontId="6" fillId="0" borderId="0" xfId="3" applyNumberFormat="1" applyFont="1" applyFill="1" applyBorder="1"/>
    <xf numFmtId="173" fontId="6" fillId="0" borderId="0" xfId="3" applyNumberFormat="1" applyFont="1" applyFill="1" applyBorder="1"/>
    <xf numFmtId="173" fontId="6" fillId="0" borderId="43" xfId="3" applyNumberFormat="1" applyFont="1" applyFill="1" applyBorder="1"/>
    <xf numFmtId="173" fontId="6" fillId="0" borderId="0" xfId="0" applyNumberFormat="1" applyFont="1"/>
    <xf numFmtId="168" fontId="6" fillId="0" borderId="44" xfId="0" applyNumberFormat="1" applyFont="1" applyBorder="1"/>
    <xf numFmtId="165" fontId="6" fillId="0" borderId="44" xfId="3" applyNumberFormat="1" applyFont="1" applyFill="1" applyBorder="1"/>
    <xf numFmtId="0" fontId="6" fillId="0" borderId="44" xfId="0" applyFont="1" applyBorder="1"/>
    <xf numFmtId="173" fontId="6" fillId="0" borderId="45" xfId="0" applyNumberFormat="1" applyFont="1" applyBorder="1"/>
    <xf numFmtId="164" fontId="37" fillId="2" borderId="4" xfId="0" applyNumberFormat="1" applyFont="1" applyFill="1" applyBorder="1" applyAlignment="1">
      <alignment horizontal="center"/>
    </xf>
    <xf numFmtId="164" fontId="37" fillId="2" borderId="4" xfId="0" quotePrefix="1" applyNumberFormat="1" applyFont="1" applyFill="1" applyBorder="1" applyAlignment="1">
      <alignment horizontal="right"/>
    </xf>
    <xf numFmtId="164" fontId="7" fillId="0" borderId="0" xfId="0" applyNumberFormat="1" applyFont="1"/>
    <xf numFmtId="168" fontId="1" fillId="0" borderId="0" xfId="1" applyNumberFormat="1" applyFont="1"/>
    <xf numFmtId="168" fontId="0" fillId="0" borderId="0" xfId="0" applyNumberFormat="1" applyFont="1"/>
    <xf numFmtId="168" fontId="0" fillId="0" borderId="3" xfId="0" applyNumberFormat="1" applyFont="1" applyBorder="1"/>
    <xf numFmtId="168" fontId="0" fillId="0" borderId="19" xfId="1" applyNumberFormat="1" applyFont="1" applyBorder="1"/>
    <xf numFmtId="168" fontId="1" fillId="0" borderId="0" xfId="1" applyNumberFormat="1" applyFont="1" applyBorder="1"/>
    <xf numFmtId="164" fontId="37" fillId="2" borderId="4" xfId="0" applyNumberFormat="1" applyFont="1" applyFill="1" applyBorder="1" applyAlignment="1">
      <alignment horizontal="right"/>
    </xf>
    <xf numFmtId="0" fontId="39" fillId="0" borderId="47" xfId="0" applyFont="1" applyBorder="1" applyAlignment="1">
      <alignment horizontal="left" vertical="center"/>
    </xf>
    <xf numFmtId="0" fontId="8" fillId="0" borderId="47" xfId="0" applyFont="1" applyBorder="1" applyAlignment="1">
      <alignment horizontal="left" vertical="center"/>
    </xf>
    <xf numFmtId="164" fontId="12" fillId="0" borderId="47" xfId="0" applyNumberFormat="1" applyFont="1" applyBorder="1" applyAlignment="1">
      <alignment horizontal="right"/>
    </xf>
    <xf numFmtId="14" fontId="0" fillId="0" borderId="0" xfId="0" applyNumberFormat="1"/>
    <xf numFmtId="168" fontId="4" fillId="0" borderId="0" xfId="1" applyNumberFormat="1" applyFont="1"/>
    <xf numFmtId="168" fontId="4" fillId="0" borderId="0" xfId="1" applyNumberFormat="1" applyFont="1" applyAlignment="1">
      <alignment vertical="center"/>
    </xf>
    <xf numFmtId="168" fontId="40" fillId="0" borderId="0" xfId="1" applyNumberFormat="1" applyFont="1"/>
    <xf numFmtId="0" fontId="0" fillId="0" borderId="48" xfId="0" applyBorder="1"/>
    <xf numFmtId="168" fontId="1" fillId="0" borderId="12" xfId="1" applyNumberFormat="1" applyFont="1" applyBorder="1"/>
    <xf numFmtId="168" fontId="1" fillId="0" borderId="17" xfId="0" applyNumberFormat="1" applyFont="1" applyBorder="1"/>
    <xf numFmtId="168" fontId="1" fillId="0" borderId="46" xfId="1" applyNumberFormat="1" applyFont="1" applyBorder="1"/>
    <xf numFmtId="168" fontId="1" fillId="0" borderId="25" xfId="0" applyNumberFormat="1" applyFont="1" applyBorder="1"/>
    <xf numFmtId="168" fontId="1" fillId="0" borderId="12" xfId="0" applyNumberFormat="1" applyFont="1" applyBorder="1"/>
    <xf numFmtId="168" fontId="1" fillId="0" borderId="25" xfId="1" applyNumberFormat="1" applyFont="1" applyBorder="1"/>
    <xf numFmtId="0" fontId="1" fillId="0" borderId="12" xfId="0" applyFont="1" applyBorder="1"/>
    <xf numFmtId="168" fontId="40" fillId="0" borderId="0" xfId="0" applyNumberFormat="1" applyFont="1"/>
    <xf numFmtId="0" fontId="27" fillId="0" borderId="25" xfId="0" applyFont="1" applyBorder="1"/>
    <xf numFmtId="0" fontId="0" fillId="0" borderId="25" xfId="0" applyBorder="1"/>
    <xf numFmtId="0" fontId="27" fillId="0" borderId="38" xfId="0" applyFont="1" applyBorder="1"/>
    <xf numFmtId="0" fontId="0" fillId="0" borderId="38" xfId="0" applyBorder="1"/>
    <xf numFmtId="0" fontId="27" fillId="0" borderId="25" xfId="0" applyFont="1" applyBorder="1" applyAlignment="1">
      <alignment horizontal="left" wrapText="1"/>
    </xf>
    <xf numFmtId="0" fontId="6" fillId="4" borderId="26" xfId="0" applyFont="1" applyFill="1" applyBorder="1" applyAlignment="1">
      <alignment horizontal="center" vertical="center" wrapText="1"/>
    </xf>
    <xf numFmtId="0" fontId="0" fillId="0" borderId="29" xfId="0" applyBorder="1" applyAlignment="1">
      <alignment vertical="center"/>
    </xf>
    <xf numFmtId="0" fontId="27" fillId="0" borderId="22" xfId="0" applyFont="1" applyBorder="1" applyAlignment="1">
      <alignment horizontal="left" wrapText="1"/>
    </xf>
    <xf numFmtId="0" fontId="0" fillId="0" borderId="22" xfId="0" applyBorder="1"/>
    <xf numFmtId="164" fontId="6" fillId="2" borderId="0" xfId="0" applyNumberFormat="1" applyFont="1" applyFill="1"/>
    <xf numFmtId="164" fontId="37" fillId="2" borderId="4" xfId="0" applyNumberFormat="1" applyFont="1" applyFill="1" applyBorder="1" applyAlignment="1">
      <alignment horizontal="right" wrapText="1"/>
    </xf>
    <xf numFmtId="165" fontId="12" fillId="0" borderId="0" xfId="3" applyNumberFormat="1" applyFont="1" applyAlignment="1">
      <alignment horizontal="right"/>
    </xf>
    <xf numFmtId="165" fontId="12" fillId="0" borderId="0" xfId="3" applyNumberFormat="1" applyFont="1"/>
    <xf numFmtId="165" fontId="12" fillId="8" borderId="0" xfId="3" applyNumberFormat="1" applyFont="1" applyFill="1" applyAlignment="1">
      <alignment horizontal="right"/>
    </xf>
    <xf numFmtId="165" fontId="0" fillId="0" borderId="0" xfId="0" applyNumberFormat="1"/>
    <xf numFmtId="165" fontId="3" fillId="8" borderId="4" xfId="0" applyNumberFormat="1" applyFont="1" applyFill="1" applyBorder="1" applyAlignment="1">
      <alignment horizontal="right"/>
    </xf>
    <xf numFmtId="165" fontId="7" fillId="0" borderId="4" xfId="3" applyNumberFormat="1" applyFont="1" applyBorder="1" applyAlignment="1">
      <alignment horizontal="right"/>
    </xf>
    <xf numFmtId="165" fontId="42" fillId="8" borderId="0" xfId="0" applyNumberFormat="1" applyFont="1" applyFill="1"/>
    <xf numFmtId="165" fontId="40" fillId="0" borderId="0" xfId="0" applyNumberFormat="1" applyFont="1"/>
    <xf numFmtId="165" fontId="43" fillId="0" borderId="0" xfId="0" applyNumberFormat="1" applyFont="1" applyAlignment="1">
      <alignment horizontal="right"/>
    </xf>
    <xf numFmtId="0" fontId="43" fillId="0" borderId="0" xfId="0" applyFont="1" applyAlignment="1">
      <alignment horizontal="right"/>
    </xf>
    <xf numFmtId="0" fontId="43" fillId="0" borderId="0" xfId="0" applyFont="1"/>
    <xf numFmtId="0" fontId="44" fillId="0" borderId="0" xfId="0" applyFont="1"/>
    <xf numFmtId="168" fontId="44" fillId="0" borderId="0" xfId="1" applyNumberFormat="1" applyFont="1"/>
    <xf numFmtId="165" fontId="40" fillId="8" borderId="0" xfId="0" applyNumberFormat="1" applyFont="1" applyFill="1"/>
    <xf numFmtId="0" fontId="40" fillId="0" borderId="0" xfId="0" applyFont="1"/>
    <xf numFmtId="165" fontId="40" fillId="8" borderId="0" xfId="3" applyNumberFormat="1" applyFont="1" applyFill="1"/>
    <xf numFmtId="43" fontId="0" fillId="0" borderId="0" xfId="1" applyFont="1"/>
    <xf numFmtId="168" fontId="9" fillId="0" borderId="0" xfId="1" applyNumberFormat="1" applyFont="1" applyAlignment="1">
      <alignment horizontal="right" vertical="center" wrapText="1"/>
    </xf>
    <xf numFmtId="168" fontId="11" fillId="0" borderId="0" xfId="1" applyNumberFormat="1" applyFont="1" applyAlignment="1">
      <alignment horizontal="right" vertical="center" wrapText="1"/>
    </xf>
    <xf numFmtId="168" fontId="12" fillId="0" borderId="5" xfId="1" applyNumberFormat="1" applyFont="1" applyBorder="1" applyAlignment="1">
      <alignment horizontal="right"/>
    </xf>
    <xf numFmtId="168" fontId="11" fillId="0" borderId="4" xfId="1" applyNumberFormat="1" applyFont="1" applyBorder="1" applyAlignment="1">
      <alignment horizontal="right" vertical="center" wrapText="1"/>
    </xf>
    <xf numFmtId="168" fontId="11" fillId="0" borderId="0" xfId="1" applyNumberFormat="1" applyFont="1" applyBorder="1" applyAlignment="1">
      <alignment horizontal="right" vertical="center" wrapText="1"/>
    </xf>
    <xf numFmtId="168" fontId="12" fillId="0" borderId="0" xfId="1" applyNumberFormat="1" applyFont="1" applyAlignment="1">
      <alignment horizontal="right"/>
    </xf>
    <xf numFmtId="168" fontId="12" fillId="0" borderId="2" xfId="1" applyNumberFormat="1" applyFont="1" applyBorder="1" applyAlignment="1">
      <alignment horizontal="right"/>
    </xf>
    <xf numFmtId="168" fontId="4" fillId="0" borderId="0" xfId="1" applyNumberFormat="1" applyFont="1" applyAlignment="1">
      <alignment horizontal="right"/>
    </xf>
    <xf numFmtId="168" fontId="12" fillId="0" borderId="0" xfId="1" applyNumberFormat="1" applyFont="1" applyBorder="1" applyAlignment="1">
      <alignment horizontal="right"/>
    </xf>
    <xf numFmtId="168" fontId="7" fillId="0" borderId="0" xfId="1" applyNumberFormat="1" applyFont="1" applyBorder="1" applyAlignment="1">
      <alignment horizontal="right"/>
    </xf>
    <xf numFmtId="168" fontId="9" fillId="0" borderId="2" xfId="1" applyNumberFormat="1" applyFont="1" applyBorder="1" applyAlignment="1">
      <alignment horizontal="right" vertical="center" wrapText="1"/>
    </xf>
    <xf numFmtId="168" fontId="11" fillId="0" borderId="2" xfId="1" applyNumberFormat="1" applyFont="1" applyBorder="1" applyAlignment="1">
      <alignment horizontal="right" vertical="center" wrapText="1"/>
    </xf>
    <xf numFmtId="168" fontId="9" fillId="0" borderId="0" xfId="1" applyNumberFormat="1" applyFont="1" applyBorder="1" applyAlignment="1">
      <alignment horizontal="right" vertical="center" wrapText="1"/>
    </xf>
    <xf numFmtId="0" fontId="45" fillId="0" borderId="0" xfId="0" applyFont="1" applyAlignment="1">
      <alignment horizontal="left" vertical="center"/>
    </xf>
    <xf numFmtId="168" fontId="46" fillId="0" borderId="0" xfId="1" applyNumberFormat="1" applyFont="1" applyAlignment="1">
      <alignment horizontal="right" vertical="center" wrapText="1"/>
    </xf>
    <xf numFmtId="165" fontId="47" fillId="0" borderId="0" xfId="3" applyNumberFormat="1" applyFont="1" applyBorder="1" applyAlignment="1">
      <alignment horizontal="right"/>
    </xf>
    <xf numFmtId="165" fontId="46" fillId="0" borderId="0" xfId="3" applyNumberFormat="1" applyFont="1" applyAlignment="1">
      <alignment horizontal="right" vertical="center" wrapText="1"/>
    </xf>
    <xf numFmtId="168" fontId="7" fillId="0" borderId="5" xfId="1" applyNumberFormat="1" applyFont="1" applyBorder="1" applyAlignment="1">
      <alignment horizontal="right"/>
    </xf>
    <xf numFmtId="168" fontId="3" fillId="0" borderId="0" xfId="0" applyNumberFormat="1" applyFont="1"/>
    <xf numFmtId="164" fontId="29" fillId="3" borderId="0" xfId="0" applyNumberFormat="1" applyFont="1" applyFill="1"/>
    <xf numFmtId="164" fontId="29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1" fillId="3" borderId="0" xfId="0" applyFont="1" applyFill="1" applyAlignment="1">
      <alignment horizontal="center" vertical="center"/>
    </xf>
    <xf numFmtId="0" fontId="0" fillId="0" borderId="0" xfId="0" applyBorder="1"/>
    <xf numFmtId="0" fontId="12" fillId="0" borderId="15" xfId="0" applyFont="1" applyBorder="1"/>
    <xf numFmtId="168" fontId="4" fillId="0" borderId="4" xfId="0" applyNumberFormat="1" applyFont="1" applyBorder="1"/>
    <xf numFmtId="168" fontId="44" fillId="0" borderId="4" xfId="0" applyNumberFormat="1" applyFont="1" applyBorder="1"/>
    <xf numFmtId="44" fontId="44" fillId="0" borderId="16" xfId="2" applyFont="1" applyBorder="1" applyAlignment="1"/>
    <xf numFmtId="0" fontId="19" fillId="0" borderId="8" xfId="4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3" fillId="0" borderId="7" xfId="0" applyFont="1" applyBorder="1" applyAlignment="1">
      <alignment horizontal="right" vertical="center" wrapText="1"/>
    </xf>
    <xf numFmtId="170" fontId="44" fillId="0" borderId="0" xfId="0" applyNumberFormat="1" applyFont="1"/>
    <xf numFmtId="8" fontId="44" fillId="0" borderId="0" xfId="0" applyNumberFormat="1" applyFont="1"/>
    <xf numFmtId="164" fontId="48" fillId="0" borderId="0" xfId="0" applyNumberFormat="1" applyFont="1" applyAlignment="1">
      <alignment horizontal="right"/>
    </xf>
    <xf numFmtId="0" fontId="51" fillId="0" borderId="0" xfId="0" applyFont="1"/>
    <xf numFmtId="0" fontId="6" fillId="0" borderId="0" xfId="0" applyFont="1" applyAlignment="1">
      <alignment vertical="top" wrapText="1"/>
    </xf>
    <xf numFmtId="0" fontId="52" fillId="0" borderId="0" xfId="0" applyFont="1" applyAlignment="1">
      <alignment vertical="top" wrapText="1"/>
    </xf>
    <xf numFmtId="0" fontId="6" fillId="2" borderId="0" xfId="0" applyFont="1" applyFill="1"/>
    <xf numFmtId="0" fontId="4" fillId="2" borderId="0" xfId="0" applyFont="1" applyFill="1"/>
    <xf numFmtId="165" fontId="0" fillId="0" borderId="0" xfId="3" applyNumberFormat="1" applyFont="1" applyAlignment="1">
      <alignment horizontal="center"/>
    </xf>
    <xf numFmtId="0" fontId="3" fillId="2" borderId="25" xfId="0" applyFont="1" applyFill="1" applyBorder="1" applyAlignment="1">
      <alignment horizontal="center" wrapText="1"/>
    </xf>
    <xf numFmtId="165" fontId="0" fillId="0" borderId="25" xfId="3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49" fillId="0" borderId="0" xfId="0" applyFont="1" applyAlignment="1">
      <alignment horizontal="right"/>
    </xf>
    <xf numFmtId="165" fontId="27" fillId="0" borderId="0" xfId="3" applyNumberFormat="1" applyFont="1" applyBorder="1"/>
    <xf numFmtId="165" fontId="27" fillId="0" borderId="12" xfId="3" applyNumberFormat="1" applyFont="1" applyBorder="1"/>
    <xf numFmtId="168" fontId="4" fillId="0" borderId="22" xfId="1" applyNumberFormat="1" applyFont="1" applyBorder="1"/>
    <xf numFmtId="168" fontId="6" fillId="0" borderId="49" xfId="1" applyNumberFormat="1" applyFont="1" applyBorder="1"/>
    <xf numFmtId="168" fontId="6" fillId="0" borderId="0" xfId="0" applyNumberFormat="1" applyFont="1" applyBorder="1"/>
    <xf numFmtId="0" fontId="6" fillId="4" borderId="20" xfId="0" applyFont="1" applyFill="1" applyBorder="1" applyAlignment="1">
      <alignment horizontal="center"/>
    </xf>
    <xf numFmtId="14" fontId="6" fillId="4" borderId="26" xfId="0" quotePrefix="1" applyNumberFormat="1" applyFont="1" applyFill="1" applyBorder="1" applyAlignment="1">
      <alignment horizontal="center"/>
    </xf>
    <xf numFmtId="14" fontId="6" fillId="4" borderId="8" xfId="0" applyNumberFormat="1" applyFont="1" applyFill="1" applyBorder="1" applyAlignment="1">
      <alignment horizontal="right"/>
    </xf>
    <xf numFmtId="14" fontId="6" fillId="4" borderId="27" xfId="0" applyNumberFormat="1" applyFont="1" applyFill="1" applyBorder="1" applyAlignment="1">
      <alignment horizontal="right"/>
    </xf>
    <xf numFmtId="14" fontId="6" fillId="4" borderId="9" xfId="0" applyNumberFormat="1" applyFont="1" applyFill="1" applyBorder="1" applyAlignment="1">
      <alignment horizontal="right"/>
    </xf>
    <xf numFmtId="10" fontId="40" fillId="0" borderId="0" xfId="0" applyNumberFormat="1" applyFont="1" applyAlignment="1">
      <alignment horizontal="center"/>
    </xf>
    <xf numFmtId="168" fontId="4" fillId="0" borderId="0" xfId="1" applyNumberFormat="1" applyFont="1" applyBorder="1"/>
    <xf numFmtId="0" fontId="6" fillId="4" borderId="1" xfId="0" applyFont="1" applyFill="1" applyBorder="1" applyAlignment="1">
      <alignment horizontal="center" vertical="center" wrapText="1"/>
    </xf>
    <xf numFmtId="168" fontId="4" fillId="0" borderId="4" xfId="0" applyNumberFormat="1" applyFont="1" applyBorder="1" applyAlignment="1">
      <alignment horizontal="center" vertical="center"/>
    </xf>
    <xf numFmtId="168" fontId="0" fillId="0" borderId="4" xfId="0" applyNumberFormat="1" applyBorder="1" applyAlignment="1">
      <alignment horizontal="center" vertical="center"/>
    </xf>
    <xf numFmtId="168" fontId="0" fillId="0" borderId="4" xfId="0" applyNumberFormat="1" applyFont="1" applyBorder="1" applyAlignment="1">
      <alignment horizontal="center" vertical="center"/>
    </xf>
    <xf numFmtId="168" fontId="0" fillId="0" borderId="0" xfId="0" applyNumberFormat="1" applyFont="1" applyAlignment="1">
      <alignment horizontal="center" vertical="center"/>
    </xf>
    <xf numFmtId="165" fontId="0" fillId="0" borderId="0" xfId="3" applyNumberFormat="1" applyFont="1" applyAlignment="1">
      <alignment horizontal="left"/>
    </xf>
    <xf numFmtId="44" fontId="6" fillId="0" borderId="50" xfId="2" applyFont="1" applyBorder="1" applyAlignment="1"/>
    <xf numFmtId="0" fontId="23" fillId="3" borderId="51" xfId="0" applyFont="1" applyFill="1" applyBorder="1"/>
    <xf numFmtId="168" fontId="4" fillId="0" borderId="5" xfId="0" applyNumberFormat="1" applyFont="1" applyBorder="1" applyAlignment="1">
      <alignment horizontal="center" vertical="center"/>
    </xf>
    <xf numFmtId="0" fontId="0" fillId="0" borderId="7" xfId="0" applyBorder="1"/>
    <xf numFmtId="0" fontId="3" fillId="0" borderId="25" xfId="0" applyFont="1" applyBorder="1" applyAlignment="1">
      <alignment horizontal="center" vertical="center" wrapText="1"/>
    </xf>
    <xf numFmtId="10" fontId="31" fillId="0" borderId="0" xfId="0" applyNumberFormat="1" applyFont="1"/>
    <xf numFmtId="10" fontId="49" fillId="0" borderId="0" xfId="0" applyNumberFormat="1" applyFont="1"/>
    <xf numFmtId="170" fontId="53" fillId="0" borderId="29" xfId="1" applyNumberFormat="1" applyFont="1" applyBorder="1" applyAlignment="1">
      <alignment horizontal="center"/>
    </xf>
    <xf numFmtId="0" fontId="50" fillId="0" borderId="6" xfId="0" applyFont="1" applyBorder="1" applyAlignment="1">
      <alignment vertical="center"/>
    </xf>
    <xf numFmtId="10" fontId="40" fillId="0" borderId="0" xfId="0" applyNumberFormat="1" applyFont="1"/>
    <xf numFmtId="0" fontId="27" fillId="0" borderId="0" xfId="0" quotePrefix="1" applyFont="1" applyAlignment="1">
      <alignment horizontal="center" shrinkToFit="1"/>
    </xf>
    <xf numFmtId="0" fontId="54" fillId="0" borderId="0" xfId="0" applyFont="1"/>
    <xf numFmtId="0" fontId="55" fillId="0" borderId="0" xfId="0" applyFont="1"/>
    <xf numFmtId="0" fontId="3" fillId="0" borderId="0" xfId="0" applyFont="1" applyAlignment="1">
      <alignment horizontal="center"/>
    </xf>
    <xf numFmtId="0" fontId="3" fillId="8" borderId="0" xfId="0" applyFont="1" applyFill="1" applyAlignment="1">
      <alignment horizontal="center" vertical="center"/>
    </xf>
    <xf numFmtId="0" fontId="3" fillId="8" borderId="7" xfId="0" applyFont="1" applyFill="1" applyBorder="1" applyAlignment="1">
      <alignment horizontal="center" vertical="center"/>
    </xf>
    <xf numFmtId="43" fontId="3" fillId="8" borderId="8" xfId="1" applyFont="1" applyFill="1" applyBorder="1" applyAlignment="1">
      <alignment horizontal="center" vertical="center"/>
    </xf>
    <xf numFmtId="0" fontId="3" fillId="8" borderId="9" xfId="0" applyFont="1" applyFill="1" applyBorder="1" applyAlignment="1">
      <alignment horizontal="center" vertical="center"/>
    </xf>
    <xf numFmtId="43" fontId="0" fillId="0" borderId="0" xfId="1" applyFont="1" applyAlignment="1">
      <alignment horizontal="center"/>
    </xf>
    <xf numFmtId="43" fontId="0" fillId="0" borderId="0" xfId="1" applyFont="1" applyAlignment="1">
      <alignment horizontal="right"/>
    </xf>
    <xf numFmtId="165" fontId="0" fillId="0" borderId="0" xfId="0" applyNumberFormat="1" applyAlignment="1">
      <alignment horizontal="center"/>
    </xf>
    <xf numFmtId="10" fontId="0" fillId="0" borderId="0" xfId="3" applyNumberFormat="1" applyFont="1" applyAlignment="1">
      <alignment horizontal="center"/>
    </xf>
    <xf numFmtId="0" fontId="0" fillId="0" borderId="0" xfId="0" applyAlignment="1">
      <alignment horizontal="center" vertical="center"/>
    </xf>
    <xf numFmtId="0" fontId="3" fillId="8" borderId="4" xfId="0" applyFont="1" applyFill="1" applyBorder="1" applyAlignment="1">
      <alignment horizontal="center" vertical="center"/>
    </xf>
    <xf numFmtId="43" fontId="3" fillId="8" borderId="4" xfId="1" applyFont="1" applyFill="1" applyBorder="1" applyAlignment="1">
      <alignment horizontal="center" vertical="center"/>
    </xf>
    <xf numFmtId="43" fontId="1" fillId="0" borderId="0" xfId="1" applyFont="1" applyAlignment="1">
      <alignment horizontal="center"/>
    </xf>
    <xf numFmtId="10" fontId="0" fillId="0" borderId="23" xfId="3" applyNumberFormat="1" applyFont="1" applyBorder="1" applyAlignment="1">
      <alignment horizontal="center"/>
    </xf>
    <xf numFmtId="10" fontId="0" fillId="0" borderId="24" xfId="3" applyNumberFormat="1" applyFont="1" applyBorder="1" applyAlignment="1">
      <alignment horizontal="center"/>
    </xf>
    <xf numFmtId="165" fontId="0" fillId="0" borderId="7" xfId="0" applyNumberFormat="1" applyBorder="1" applyAlignment="1">
      <alignment horizontal="center"/>
    </xf>
    <xf numFmtId="165" fontId="0" fillId="0" borderId="9" xfId="0" applyNumberFormat="1" applyBorder="1" applyAlignment="1">
      <alignment horizontal="center"/>
    </xf>
    <xf numFmtId="179" fontId="0" fillId="0" borderId="0" xfId="3" applyNumberFormat="1" applyFont="1"/>
    <xf numFmtId="0" fontId="3" fillId="0" borderId="0" xfId="0" quotePrefix="1" applyFont="1" applyAlignment="1">
      <alignment horizontal="center" shrinkToFit="1"/>
    </xf>
    <xf numFmtId="179" fontId="0" fillId="0" borderId="2" xfId="0" applyNumberFormat="1" applyBorder="1"/>
    <xf numFmtId="180" fontId="3" fillId="8" borderId="0" xfId="1" applyNumberFormat="1" applyFont="1" applyFill="1" applyBorder="1"/>
    <xf numFmtId="0" fontId="3" fillId="8" borderId="0" xfId="0" applyFont="1" applyFill="1" applyAlignment="1">
      <alignment horizontal="right"/>
    </xf>
    <xf numFmtId="180" fontId="3" fillId="0" borderId="6" xfId="0" applyNumberFormat="1" applyFont="1" applyBorder="1"/>
    <xf numFmtId="0" fontId="3" fillId="8" borderId="0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/>
    </xf>
    <xf numFmtId="0" fontId="0" fillId="0" borderId="4" xfId="0" applyBorder="1" applyAlignment="1">
      <alignment horizontal="center"/>
    </xf>
    <xf numFmtId="0" fontId="3" fillId="0" borderId="4" xfId="0" applyFont="1" applyBorder="1"/>
    <xf numFmtId="0" fontId="34" fillId="0" borderId="0" xfId="0" applyFont="1"/>
  </cellXfs>
  <cellStyles count="5">
    <cellStyle name="Comma" xfId="1" builtinId="3"/>
    <cellStyle name="Currency" xfId="2" builtinId="4"/>
    <cellStyle name="Hyperlink" xfId="4" builtinId="8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 Hyatt Stock Price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'Technical Analysis'!$Q$21</c:f>
              <c:strCache>
                <c:ptCount val="1"/>
                <c:pt idx="0">
                  <c:v> Hyatt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'Technical Analysis'!$P$22:$P$283</c:f>
              <c:numCache>
                <c:formatCode>m/d/yyyy</c:formatCode>
                <c:ptCount val="262"/>
                <c:pt idx="0">
                  <c:v>42282</c:v>
                </c:pt>
                <c:pt idx="1">
                  <c:v>42289</c:v>
                </c:pt>
                <c:pt idx="2">
                  <c:v>42296</c:v>
                </c:pt>
                <c:pt idx="3">
                  <c:v>42303</c:v>
                </c:pt>
                <c:pt idx="4">
                  <c:v>42310</c:v>
                </c:pt>
                <c:pt idx="5">
                  <c:v>42317</c:v>
                </c:pt>
                <c:pt idx="6">
                  <c:v>42324</c:v>
                </c:pt>
                <c:pt idx="7">
                  <c:v>42331</c:v>
                </c:pt>
                <c:pt idx="8">
                  <c:v>42338</c:v>
                </c:pt>
                <c:pt idx="9">
                  <c:v>42345</c:v>
                </c:pt>
                <c:pt idx="10">
                  <c:v>42352</c:v>
                </c:pt>
                <c:pt idx="11">
                  <c:v>42359</c:v>
                </c:pt>
                <c:pt idx="12">
                  <c:v>42366</c:v>
                </c:pt>
                <c:pt idx="13">
                  <c:v>42373</c:v>
                </c:pt>
                <c:pt idx="14">
                  <c:v>42380</c:v>
                </c:pt>
                <c:pt idx="15">
                  <c:v>42387</c:v>
                </c:pt>
                <c:pt idx="16">
                  <c:v>42394</c:v>
                </c:pt>
                <c:pt idx="17">
                  <c:v>42401</c:v>
                </c:pt>
                <c:pt idx="18">
                  <c:v>42408</c:v>
                </c:pt>
                <c:pt idx="19">
                  <c:v>42415</c:v>
                </c:pt>
                <c:pt idx="20">
                  <c:v>42422</c:v>
                </c:pt>
                <c:pt idx="21">
                  <c:v>42429</c:v>
                </c:pt>
                <c:pt idx="22">
                  <c:v>42436</c:v>
                </c:pt>
                <c:pt idx="23">
                  <c:v>42443</c:v>
                </c:pt>
                <c:pt idx="24">
                  <c:v>42450</c:v>
                </c:pt>
                <c:pt idx="25">
                  <c:v>42457</c:v>
                </c:pt>
                <c:pt idx="26">
                  <c:v>42464</c:v>
                </c:pt>
                <c:pt idx="27">
                  <c:v>42471</c:v>
                </c:pt>
                <c:pt idx="28">
                  <c:v>42478</c:v>
                </c:pt>
                <c:pt idx="29">
                  <c:v>42485</c:v>
                </c:pt>
                <c:pt idx="30">
                  <c:v>42492</c:v>
                </c:pt>
                <c:pt idx="31">
                  <c:v>42499</c:v>
                </c:pt>
                <c:pt idx="32">
                  <c:v>42506</c:v>
                </c:pt>
                <c:pt idx="33">
                  <c:v>42513</c:v>
                </c:pt>
                <c:pt idx="34">
                  <c:v>42520</c:v>
                </c:pt>
                <c:pt idx="35">
                  <c:v>42527</c:v>
                </c:pt>
                <c:pt idx="36">
                  <c:v>42534</c:v>
                </c:pt>
                <c:pt idx="37">
                  <c:v>42541</c:v>
                </c:pt>
                <c:pt idx="38">
                  <c:v>42548</c:v>
                </c:pt>
                <c:pt idx="39">
                  <c:v>42555</c:v>
                </c:pt>
                <c:pt idx="40">
                  <c:v>42562</c:v>
                </c:pt>
                <c:pt idx="41">
                  <c:v>42569</c:v>
                </c:pt>
                <c:pt idx="42">
                  <c:v>42576</c:v>
                </c:pt>
                <c:pt idx="43">
                  <c:v>42583</c:v>
                </c:pt>
                <c:pt idx="44">
                  <c:v>42590</c:v>
                </c:pt>
                <c:pt idx="45">
                  <c:v>42597</c:v>
                </c:pt>
                <c:pt idx="46">
                  <c:v>42604</c:v>
                </c:pt>
                <c:pt idx="47">
                  <c:v>42611</c:v>
                </c:pt>
                <c:pt idx="48">
                  <c:v>42618</c:v>
                </c:pt>
                <c:pt idx="49">
                  <c:v>42625</c:v>
                </c:pt>
                <c:pt idx="50">
                  <c:v>42632</c:v>
                </c:pt>
                <c:pt idx="51">
                  <c:v>42639</c:v>
                </c:pt>
                <c:pt idx="52">
                  <c:v>42646</c:v>
                </c:pt>
                <c:pt idx="53">
                  <c:v>42653</c:v>
                </c:pt>
                <c:pt idx="54">
                  <c:v>42660</c:v>
                </c:pt>
                <c:pt idx="55">
                  <c:v>42667</c:v>
                </c:pt>
                <c:pt idx="56">
                  <c:v>42674</c:v>
                </c:pt>
                <c:pt idx="57">
                  <c:v>42681</c:v>
                </c:pt>
                <c:pt idx="58">
                  <c:v>42688</c:v>
                </c:pt>
                <c:pt idx="59">
                  <c:v>42695</c:v>
                </c:pt>
                <c:pt idx="60">
                  <c:v>42702</c:v>
                </c:pt>
                <c:pt idx="61">
                  <c:v>42709</c:v>
                </c:pt>
                <c:pt idx="62">
                  <c:v>42716</c:v>
                </c:pt>
                <c:pt idx="63">
                  <c:v>42723</c:v>
                </c:pt>
                <c:pt idx="64">
                  <c:v>42730</c:v>
                </c:pt>
                <c:pt idx="65">
                  <c:v>42737</c:v>
                </c:pt>
                <c:pt idx="66">
                  <c:v>42744</c:v>
                </c:pt>
                <c:pt idx="67">
                  <c:v>42751</c:v>
                </c:pt>
                <c:pt idx="68">
                  <c:v>42758</c:v>
                </c:pt>
                <c:pt idx="69">
                  <c:v>42765</c:v>
                </c:pt>
                <c:pt idx="70">
                  <c:v>42772</c:v>
                </c:pt>
                <c:pt idx="71">
                  <c:v>42779</c:v>
                </c:pt>
                <c:pt idx="72">
                  <c:v>42786</c:v>
                </c:pt>
                <c:pt idx="73">
                  <c:v>42793</c:v>
                </c:pt>
                <c:pt idx="74">
                  <c:v>42800</c:v>
                </c:pt>
                <c:pt idx="75">
                  <c:v>42807</c:v>
                </c:pt>
                <c:pt idx="76">
                  <c:v>42814</c:v>
                </c:pt>
                <c:pt idx="77">
                  <c:v>42821</c:v>
                </c:pt>
                <c:pt idx="78">
                  <c:v>42828</c:v>
                </c:pt>
                <c:pt idx="79">
                  <c:v>42835</c:v>
                </c:pt>
                <c:pt idx="80">
                  <c:v>42842</c:v>
                </c:pt>
                <c:pt idx="81">
                  <c:v>42849</c:v>
                </c:pt>
                <c:pt idx="82">
                  <c:v>42856</c:v>
                </c:pt>
                <c:pt idx="83">
                  <c:v>42863</c:v>
                </c:pt>
                <c:pt idx="84">
                  <c:v>42870</c:v>
                </c:pt>
                <c:pt idx="85">
                  <c:v>42877</c:v>
                </c:pt>
                <c:pt idx="86">
                  <c:v>42884</c:v>
                </c:pt>
                <c:pt idx="87">
                  <c:v>42891</c:v>
                </c:pt>
                <c:pt idx="88">
                  <c:v>42898</c:v>
                </c:pt>
                <c:pt idx="89">
                  <c:v>42905</c:v>
                </c:pt>
                <c:pt idx="90">
                  <c:v>42912</c:v>
                </c:pt>
                <c:pt idx="91">
                  <c:v>42919</c:v>
                </c:pt>
                <c:pt idx="92">
                  <c:v>42926</c:v>
                </c:pt>
                <c:pt idx="93">
                  <c:v>42933</c:v>
                </c:pt>
                <c:pt idx="94">
                  <c:v>42940</c:v>
                </c:pt>
                <c:pt idx="95">
                  <c:v>42947</c:v>
                </c:pt>
                <c:pt idx="96">
                  <c:v>42954</c:v>
                </c:pt>
                <c:pt idx="97">
                  <c:v>42961</c:v>
                </c:pt>
                <c:pt idx="98">
                  <c:v>42968</c:v>
                </c:pt>
                <c:pt idx="99">
                  <c:v>42975</c:v>
                </c:pt>
                <c:pt idx="100">
                  <c:v>42982</c:v>
                </c:pt>
                <c:pt idx="101">
                  <c:v>42989</c:v>
                </c:pt>
                <c:pt idx="102">
                  <c:v>42996</c:v>
                </c:pt>
                <c:pt idx="103">
                  <c:v>43003</c:v>
                </c:pt>
                <c:pt idx="104">
                  <c:v>43010</c:v>
                </c:pt>
                <c:pt idx="105">
                  <c:v>43017</c:v>
                </c:pt>
                <c:pt idx="106">
                  <c:v>43024</c:v>
                </c:pt>
                <c:pt idx="107">
                  <c:v>43031</c:v>
                </c:pt>
                <c:pt idx="108">
                  <c:v>43038</c:v>
                </c:pt>
                <c:pt idx="109">
                  <c:v>43045</c:v>
                </c:pt>
                <c:pt idx="110">
                  <c:v>43052</c:v>
                </c:pt>
                <c:pt idx="111">
                  <c:v>43059</c:v>
                </c:pt>
                <c:pt idx="112">
                  <c:v>43066</c:v>
                </c:pt>
                <c:pt idx="113">
                  <c:v>43073</c:v>
                </c:pt>
                <c:pt idx="114">
                  <c:v>43080</c:v>
                </c:pt>
                <c:pt idx="115">
                  <c:v>43087</c:v>
                </c:pt>
                <c:pt idx="116">
                  <c:v>43094</c:v>
                </c:pt>
                <c:pt idx="117">
                  <c:v>43101</c:v>
                </c:pt>
                <c:pt idx="118">
                  <c:v>43108</c:v>
                </c:pt>
                <c:pt idx="119">
                  <c:v>43115</c:v>
                </c:pt>
                <c:pt idx="120">
                  <c:v>43122</c:v>
                </c:pt>
                <c:pt idx="121">
                  <c:v>43129</c:v>
                </c:pt>
                <c:pt idx="122">
                  <c:v>43136</c:v>
                </c:pt>
                <c:pt idx="123">
                  <c:v>43143</c:v>
                </c:pt>
                <c:pt idx="124">
                  <c:v>43150</c:v>
                </c:pt>
                <c:pt idx="125">
                  <c:v>43157</c:v>
                </c:pt>
                <c:pt idx="126">
                  <c:v>43164</c:v>
                </c:pt>
                <c:pt idx="127">
                  <c:v>43171</c:v>
                </c:pt>
                <c:pt idx="128">
                  <c:v>43178</c:v>
                </c:pt>
                <c:pt idx="129">
                  <c:v>43185</c:v>
                </c:pt>
                <c:pt idx="130">
                  <c:v>43192</c:v>
                </c:pt>
                <c:pt idx="131">
                  <c:v>43199</c:v>
                </c:pt>
                <c:pt idx="132">
                  <c:v>43206</c:v>
                </c:pt>
                <c:pt idx="133">
                  <c:v>43213</c:v>
                </c:pt>
                <c:pt idx="134">
                  <c:v>43220</c:v>
                </c:pt>
                <c:pt idx="135">
                  <c:v>43227</c:v>
                </c:pt>
                <c:pt idx="136">
                  <c:v>43234</c:v>
                </c:pt>
                <c:pt idx="137">
                  <c:v>43241</c:v>
                </c:pt>
                <c:pt idx="138">
                  <c:v>43248</c:v>
                </c:pt>
                <c:pt idx="139">
                  <c:v>43255</c:v>
                </c:pt>
                <c:pt idx="140">
                  <c:v>43262</c:v>
                </c:pt>
                <c:pt idx="141">
                  <c:v>43269</c:v>
                </c:pt>
                <c:pt idx="142">
                  <c:v>43276</c:v>
                </c:pt>
                <c:pt idx="143">
                  <c:v>43283</c:v>
                </c:pt>
                <c:pt idx="144">
                  <c:v>43290</c:v>
                </c:pt>
                <c:pt idx="145">
                  <c:v>43297</c:v>
                </c:pt>
                <c:pt idx="146">
                  <c:v>43304</c:v>
                </c:pt>
                <c:pt idx="147">
                  <c:v>43311</c:v>
                </c:pt>
                <c:pt idx="148">
                  <c:v>43318</c:v>
                </c:pt>
                <c:pt idx="149">
                  <c:v>43325</c:v>
                </c:pt>
                <c:pt idx="150">
                  <c:v>43332</c:v>
                </c:pt>
                <c:pt idx="151">
                  <c:v>43339</c:v>
                </c:pt>
                <c:pt idx="152">
                  <c:v>43346</c:v>
                </c:pt>
                <c:pt idx="153">
                  <c:v>43353</c:v>
                </c:pt>
                <c:pt idx="154">
                  <c:v>43360</c:v>
                </c:pt>
                <c:pt idx="155">
                  <c:v>43367</c:v>
                </c:pt>
                <c:pt idx="156">
                  <c:v>43374</c:v>
                </c:pt>
                <c:pt idx="157">
                  <c:v>43381</c:v>
                </c:pt>
                <c:pt idx="158">
                  <c:v>43388</c:v>
                </c:pt>
                <c:pt idx="159">
                  <c:v>43395</c:v>
                </c:pt>
                <c:pt idx="160">
                  <c:v>43402</c:v>
                </c:pt>
                <c:pt idx="161">
                  <c:v>43409</c:v>
                </c:pt>
                <c:pt idx="162">
                  <c:v>43416</c:v>
                </c:pt>
                <c:pt idx="163">
                  <c:v>43423</c:v>
                </c:pt>
                <c:pt idx="164">
                  <c:v>43430</c:v>
                </c:pt>
                <c:pt idx="165">
                  <c:v>43437</c:v>
                </c:pt>
                <c:pt idx="166">
                  <c:v>43444</c:v>
                </c:pt>
                <c:pt idx="167">
                  <c:v>43451</c:v>
                </c:pt>
                <c:pt idx="168">
                  <c:v>43458</c:v>
                </c:pt>
                <c:pt idx="169">
                  <c:v>43465</c:v>
                </c:pt>
                <c:pt idx="170">
                  <c:v>43472</c:v>
                </c:pt>
                <c:pt idx="171">
                  <c:v>43479</c:v>
                </c:pt>
                <c:pt idx="172">
                  <c:v>43486</c:v>
                </c:pt>
                <c:pt idx="173">
                  <c:v>43493</c:v>
                </c:pt>
                <c:pt idx="174">
                  <c:v>43500</c:v>
                </c:pt>
                <c:pt idx="175">
                  <c:v>43507</c:v>
                </c:pt>
                <c:pt idx="176">
                  <c:v>43514</c:v>
                </c:pt>
                <c:pt idx="177">
                  <c:v>43521</c:v>
                </c:pt>
                <c:pt idx="178">
                  <c:v>43528</c:v>
                </c:pt>
                <c:pt idx="179">
                  <c:v>43535</c:v>
                </c:pt>
                <c:pt idx="180">
                  <c:v>43542</c:v>
                </c:pt>
                <c:pt idx="181">
                  <c:v>43549</c:v>
                </c:pt>
                <c:pt idx="182">
                  <c:v>43556</c:v>
                </c:pt>
                <c:pt idx="183">
                  <c:v>43563</c:v>
                </c:pt>
                <c:pt idx="184">
                  <c:v>43570</c:v>
                </c:pt>
                <c:pt idx="185">
                  <c:v>43577</c:v>
                </c:pt>
                <c:pt idx="186">
                  <c:v>43584</c:v>
                </c:pt>
                <c:pt idx="187">
                  <c:v>43591</c:v>
                </c:pt>
                <c:pt idx="188">
                  <c:v>43598</c:v>
                </c:pt>
                <c:pt idx="189">
                  <c:v>43605</c:v>
                </c:pt>
                <c:pt idx="190">
                  <c:v>43612</c:v>
                </c:pt>
                <c:pt idx="191">
                  <c:v>43619</c:v>
                </c:pt>
                <c:pt idx="192">
                  <c:v>43626</c:v>
                </c:pt>
                <c:pt idx="193">
                  <c:v>43633</c:v>
                </c:pt>
                <c:pt idx="194">
                  <c:v>43640</c:v>
                </c:pt>
                <c:pt idx="195">
                  <c:v>43647</c:v>
                </c:pt>
                <c:pt idx="196">
                  <c:v>43654</c:v>
                </c:pt>
                <c:pt idx="197">
                  <c:v>43661</c:v>
                </c:pt>
                <c:pt idx="198">
                  <c:v>43668</c:v>
                </c:pt>
                <c:pt idx="199">
                  <c:v>43675</c:v>
                </c:pt>
                <c:pt idx="200">
                  <c:v>43682</c:v>
                </c:pt>
                <c:pt idx="201">
                  <c:v>43689</c:v>
                </c:pt>
                <c:pt idx="202">
                  <c:v>43696</c:v>
                </c:pt>
                <c:pt idx="203">
                  <c:v>43703</c:v>
                </c:pt>
                <c:pt idx="204">
                  <c:v>43710</c:v>
                </c:pt>
                <c:pt idx="205">
                  <c:v>43717</c:v>
                </c:pt>
                <c:pt idx="206">
                  <c:v>43724</c:v>
                </c:pt>
                <c:pt idx="207">
                  <c:v>43731</c:v>
                </c:pt>
                <c:pt idx="208">
                  <c:v>43738</c:v>
                </c:pt>
                <c:pt idx="209">
                  <c:v>43745</c:v>
                </c:pt>
                <c:pt idx="210">
                  <c:v>43752</c:v>
                </c:pt>
                <c:pt idx="211">
                  <c:v>43759</c:v>
                </c:pt>
                <c:pt idx="212">
                  <c:v>43766</c:v>
                </c:pt>
                <c:pt idx="213">
                  <c:v>43773</c:v>
                </c:pt>
                <c:pt idx="214">
                  <c:v>43780</c:v>
                </c:pt>
                <c:pt idx="215">
                  <c:v>43787</c:v>
                </c:pt>
                <c:pt idx="216">
                  <c:v>43794</c:v>
                </c:pt>
                <c:pt idx="217">
                  <c:v>43801</c:v>
                </c:pt>
                <c:pt idx="218">
                  <c:v>43808</c:v>
                </c:pt>
                <c:pt idx="219">
                  <c:v>43815</c:v>
                </c:pt>
                <c:pt idx="220">
                  <c:v>43822</c:v>
                </c:pt>
                <c:pt idx="221">
                  <c:v>43829</c:v>
                </c:pt>
                <c:pt idx="222">
                  <c:v>43836</c:v>
                </c:pt>
                <c:pt idx="223">
                  <c:v>43843</c:v>
                </c:pt>
                <c:pt idx="224">
                  <c:v>43850</c:v>
                </c:pt>
                <c:pt idx="225">
                  <c:v>43857</c:v>
                </c:pt>
                <c:pt idx="226">
                  <c:v>43864</c:v>
                </c:pt>
                <c:pt idx="227">
                  <c:v>43871</c:v>
                </c:pt>
                <c:pt idx="228">
                  <c:v>43878</c:v>
                </c:pt>
                <c:pt idx="229">
                  <c:v>43885</c:v>
                </c:pt>
                <c:pt idx="230">
                  <c:v>43892</c:v>
                </c:pt>
                <c:pt idx="231">
                  <c:v>43899</c:v>
                </c:pt>
                <c:pt idx="232">
                  <c:v>43906</c:v>
                </c:pt>
                <c:pt idx="233">
                  <c:v>43913</c:v>
                </c:pt>
                <c:pt idx="234">
                  <c:v>43920</c:v>
                </c:pt>
                <c:pt idx="235">
                  <c:v>43927</c:v>
                </c:pt>
                <c:pt idx="236">
                  <c:v>43934</c:v>
                </c:pt>
                <c:pt idx="237">
                  <c:v>43941</c:v>
                </c:pt>
                <c:pt idx="238">
                  <c:v>43948</c:v>
                </c:pt>
                <c:pt idx="239">
                  <c:v>43955</c:v>
                </c:pt>
                <c:pt idx="240">
                  <c:v>43962</c:v>
                </c:pt>
                <c:pt idx="241">
                  <c:v>43969</c:v>
                </c:pt>
                <c:pt idx="242">
                  <c:v>43976</c:v>
                </c:pt>
                <c:pt idx="243">
                  <c:v>43983</c:v>
                </c:pt>
                <c:pt idx="244">
                  <c:v>43990</c:v>
                </c:pt>
                <c:pt idx="245">
                  <c:v>43997</c:v>
                </c:pt>
                <c:pt idx="246">
                  <c:v>44004</c:v>
                </c:pt>
                <c:pt idx="247">
                  <c:v>44011</c:v>
                </c:pt>
                <c:pt idx="248">
                  <c:v>44018</c:v>
                </c:pt>
                <c:pt idx="249">
                  <c:v>44025</c:v>
                </c:pt>
                <c:pt idx="250">
                  <c:v>44032</c:v>
                </c:pt>
                <c:pt idx="251">
                  <c:v>44039</c:v>
                </c:pt>
                <c:pt idx="252">
                  <c:v>44046</c:v>
                </c:pt>
                <c:pt idx="253">
                  <c:v>44053</c:v>
                </c:pt>
                <c:pt idx="254">
                  <c:v>44060</c:v>
                </c:pt>
                <c:pt idx="255">
                  <c:v>44067</c:v>
                </c:pt>
                <c:pt idx="256">
                  <c:v>44074</c:v>
                </c:pt>
                <c:pt idx="257">
                  <c:v>44081</c:v>
                </c:pt>
                <c:pt idx="258">
                  <c:v>44088</c:v>
                </c:pt>
                <c:pt idx="259">
                  <c:v>44095</c:v>
                </c:pt>
                <c:pt idx="260">
                  <c:v>44102</c:v>
                </c:pt>
                <c:pt idx="261">
                  <c:v>44109</c:v>
                </c:pt>
              </c:numCache>
            </c:numRef>
          </c:cat>
          <c:val>
            <c:numRef>
              <c:f>'Technical Analysis'!$Q$22:$Q$283</c:f>
              <c:numCache>
                <c:formatCode>_(* #,##0.00_);_(* \(#,##0.00\);_(* "-"??_);_(@_)</c:formatCode>
                <c:ptCount val="262"/>
                <c:pt idx="0">
                  <c:v>52.119999</c:v>
                </c:pt>
                <c:pt idx="1">
                  <c:v>49.799999</c:v>
                </c:pt>
                <c:pt idx="2">
                  <c:v>49.700001</c:v>
                </c:pt>
                <c:pt idx="3">
                  <c:v>50.400002000000001</c:v>
                </c:pt>
                <c:pt idx="4">
                  <c:v>51.959999000000003</c:v>
                </c:pt>
                <c:pt idx="5">
                  <c:v>49.529998999999997</c:v>
                </c:pt>
                <c:pt idx="6">
                  <c:v>49.509998000000003</c:v>
                </c:pt>
                <c:pt idx="7">
                  <c:v>49.549999</c:v>
                </c:pt>
                <c:pt idx="8">
                  <c:v>49.459999000000003</c:v>
                </c:pt>
                <c:pt idx="9">
                  <c:v>48.029998999999997</c:v>
                </c:pt>
                <c:pt idx="10">
                  <c:v>48.16</c:v>
                </c:pt>
                <c:pt idx="11">
                  <c:v>48.200001</c:v>
                </c:pt>
                <c:pt idx="12">
                  <c:v>47.02</c:v>
                </c:pt>
                <c:pt idx="13">
                  <c:v>41.259998000000003</c:v>
                </c:pt>
                <c:pt idx="14">
                  <c:v>36.990001999999997</c:v>
                </c:pt>
                <c:pt idx="15">
                  <c:v>38.659999999999997</c:v>
                </c:pt>
                <c:pt idx="16">
                  <c:v>38.68</c:v>
                </c:pt>
                <c:pt idx="17">
                  <c:v>39.630001</c:v>
                </c:pt>
                <c:pt idx="18">
                  <c:v>39.610000999999997</c:v>
                </c:pt>
                <c:pt idx="19">
                  <c:v>45.580002</c:v>
                </c:pt>
                <c:pt idx="20">
                  <c:v>46.119999</c:v>
                </c:pt>
                <c:pt idx="21">
                  <c:v>48.16</c:v>
                </c:pt>
                <c:pt idx="22">
                  <c:v>47.23</c:v>
                </c:pt>
                <c:pt idx="23">
                  <c:v>47.41</c:v>
                </c:pt>
                <c:pt idx="24">
                  <c:v>47.259998000000003</c:v>
                </c:pt>
                <c:pt idx="25">
                  <c:v>48.459999000000003</c:v>
                </c:pt>
                <c:pt idx="26">
                  <c:v>46.880001</c:v>
                </c:pt>
                <c:pt idx="27">
                  <c:v>48.09</c:v>
                </c:pt>
                <c:pt idx="28">
                  <c:v>46.5</c:v>
                </c:pt>
                <c:pt idx="29">
                  <c:v>47.880001</c:v>
                </c:pt>
                <c:pt idx="30">
                  <c:v>48.75</c:v>
                </c:pt>
                <c:pt idx="31">
                  <c:v>47.810001</c:v>
                </c:pt>
                <c:pt idx="32">
                  <c:v>45.66</c:v>
                </c:pt>
                <c:pt idx="33">
                  <c:v>46.380001</c:v>
                </c:pt>
                <c:pt idx="34">
                  <c:v>47.57</c:v>
                </c:pt>
                <c:pt idx="35">
                  <c:v>47.5</c:v>
                </c:pt>
                <c:pt idx="36">
                  <c:v>48.799999</c:v>
                </c:pt>
                <c:pt idx="37">
                  <c:v>47.330002</c:v>
                </c:pt>
                <c:pt idx="38">
                  <c:v>49.790000999999997</c:v>
                </c:pt>
                <c:pt idx="39">
                  <c:v>49.799999</c:v>
                </c:pt>
                <c:pt idx="40">
                  <c:v>50.880001</c:v>
                </c:pt>
                <c:pt idx="41">
                  <c:v>51.380001</c:v>
                </c:pt>
                <c:pt idx="42">
                  <c:v>50.439999</c:v>
                </c:pt>
                <c:pt idx="43">
                  <c:v>52.529998999999997</c:v>
                </c:pt>
                <c:pt idx="44">
                  <c:v>52.630001</c:v>
                </c:pt>
                <c:pt idx="45">
                  <c:v>54.110000999999997</c:v>
                </c:pt>
                <c:pt idx="46">
                  <c:v>54.080002</c:v>
                </c:pt>
                <c:pt idx="47">
                  <c:v>53.330002</c:v>
                </c:pt>
                <c:pt idx="48">
                  <c:v>50.439999</c:v>
                </c:pt>
                <c:pt idx="49">
                  <c:v>50.189999</c:v>
                </c:pt>
                <c:pt idx="50">
                  <c:v>50.349997999999999</c:v>
                </c:pt>
                <c:pt idx="51">
                  <c:v>49.220001000000003</c:v>
                </c:pt>
                <c:pt idx="52">
                  <c:v>49.990001999999997</c:v>
                </c:pt>
                <c:pt idx="53">
                  <c:v>50.07</c:v>
                </c:pt>
                <c:pt idx="54">
                  <c:v>50.32</c:v>
                </c:pt>
                <c:pt idx="55">
                  <c:v>49.939999</c:v>
                </c:pt>
                <c:pt idx="56">
                  <c:v>50.610000999999997</c:v>
                </c:pt>
                <c:pt idx="57">
                  <c:v>52.98</c:v>
                </c:pt>
                <c:pt idx="58">
                  <c:v>53.650002000000001</c:v>
                </c:pt>
                <c:pt idx="59">
                  <c:v>54.029998999999997</c:v>
                </c:pt>
                <c:pt idx="60">
                  <c:v>53.380001</c:v>
                </c:pt>
                <c:pt idx="61">
                  <c:v>56.509998000000003</c:v>
                </c:pt>
                <c:pt idx="62">
                  <c:v>57.689999</c:v>
                </c:pt>
                <c:pt idx="63">
                  <c:v>56.439999</c:v>
                </c:pt>
                <c:pt idx="64">
                  <c:v>55.259998000000003</c:v>
                </c:pt>
                <c:pt idx="65">
                  <c:v>54.970001000000003</c:v>
                </c:pt>
                <c:pt idx="66">
                  <c:v>55.310001</c:v>
                </c:pt>
                <c:pt idx="67">
                  <c:v>54.439999</c:v>
                </c:pt>
                <c:pt idx="68">
                  <c:v>55.599997999999999</c:v>
                </c:pt>
                <c:pt idx="69">
                  <c:v>55.740001999999997</c:v>
                </c:pt>
                <c:pt idx="70">
                  <c:v>56.150002000000001</c:v>
                </c:pt>
                <c:pt idx="71">
                  <c:v>53.549999</c:v>
                </c:pt>
                <c:pt idx="72">
                  <c:v>51.869999</c:v>
                </c:pt>
                <c:pt idx="73">
                  <c:v>51.82</c:v>
                </c:pt>
                <c:pt idx="74">
                  <c:v>51.400002000000001</c:v>
                </c:pt>
                <c:pt idx="75">
                  <c:v>53.259998000000003</c:v>
                </c:pt>
                <c:pt idx="76">
                  <c:v>52.619999</c:v>
                </c:pt>
                <c:pt idx="77">
                  <c:v>53.98</c:v>
                </c:pt>
                <c:pt idx="78">
                  <c:v>53.290000999999997</c:v>
                </c:pt>
                <c:pt idx="79">
                  <c:v>53.900002000000001</c:v>
                </c:pt>
                <c:pt idx="80">
                  <c:v>55.09</c:v>
                </c:pt>
                <c:pt idx="81">
                  <c:v>55.5</c:v>
                </c:pt>
                <c:pt idx="82">
                  <c:v>58.060001</c:v>
                </c:pt>
                <c:pt idx="83">
                  <c:v>58.41</c:v>
                </c:pt>
                <c:pt idx="84">
                  <c:v>58.02</c:v>
                </c:pt>
                <c:pt idx="85">
                  <c:v>57.52</c:v>
                </c:pt>
                <c:pt idx="86">
                  <c:v>57.91</c:v>
                </c:pt>
                <c:pt idx="87">
                  <c:v>56.560001</c:v>
                </c:pt>
                <c:pt idx="88">
                  <c:v>57.869999</c:v>
                </c:pt>
                <c:pt idx="89">
                  <c:v>57.700001</c:v>
                </c:pt>
                <c:pt idx="90">
                  <c:v>56.209999000000003</c:v>
                </c:pt>
                <c:pt idx="91">
                  <c:v>55.32</c:v>
                </c:pt>
                <c:pt idx="92">
                  <c:v>54.970001000000003</c:v>
                </c:pt>
                <c:pt idx="93">
                  <c:v>55.209999000000003</c:v>
                </c:pt>
                <c:pt idx="94">
                  <c:v>55.43</c:v>
                </c:pt>
                <c:pt idx="95">
                  <c:v>60.349997999999999</c:v>
                </c:pt>
                <c:pt idx="96">
                  <c:v>56.5</c:v>
                </c:pt>
                <c:pt idx="97">
                  <c:v>56.009998000000003</c:v>
                </c:pt>
                <c:pt idx="98">
                  <c:v>57.82</c:v>
                </c:pt>
                <c:pt idx="99">
                  <c:v>59.66</c:v>
                </c:pt>
                <c:pt idx="100">
                  <c:v>59.560001</c:v>
                </c:pt>
                <c:pt idx="101">
                  <c:v>60.52</c:v>
                </c:pt>
                <c:pt idx="102">
                  <c:v>61.290000999999997</c:v>
                </c:pt>
                <c:pt idx="103">
                  <c:v>61.790000999999997</c:v>
                </c:pt>
                <c:pt idx="104">
                  <c:v>61.599997999999999</c:v>
                </c:pt>
                <c:pt idx="105">
                  <c:v>61.419998</c:v>
                </c:pt>
                <c:pt idx="106">
                  <c:v>61.849997999999999</c:v>
                </c:pt>
                <c:pt idx="107">
                  <c:v>62.52</c:v>
                </c:pt>
                <c:pt idx="108">
                  <c:v>67.360000999999997</c:v>
                </c:pt>
                <c:pt idx="109">
                  <c:v>69.830001999999993</c:v>
                </c:pt>
                <c:pt idx="110">
                  <c:v>69.879997000000003</c:v>
                </c:pt>
                <c:pt idx="111">
                  <c:v>71.339995999999999</c:v>
                </c:pt>
                <c:pt idx="112">
                  <c:v>72.459998999999996</c:v>
                </c:pt>
                <c:pt idx="113">
                  <c:v>72.290001000000004</c:v>
                </c:pt>
                <c:pt idx="114">
                  <c:v>71.25</c:v>
                </c:pt>
                <c:pt idx="115">
                  <c:v>72.959998999999996</c:v>
                </c:pt>
                <c:pt idx="116">
                  <c:v>73.540001000000004</c:v>
                </c:pt>
                <c:pt idx="117">
                  <c:v>73.220000999999996</c:v>
                </c:pt>
                <c:pt idx="118">
                  <c:v>78.930000000000007</c:v>
                </c:pt>
                <c:pt idx="119">
                  <c:v>79.739998</c:v>
                </c:pt>
                <c:pt idx="120">
                  <c:v>81.629997000000003</c:v>
                </c:pt>
                <c:pt idx="121">
                  <c:v>79.300003000000004</c:v>
                </c:pt>
                <c:pt idx="122">
                  <c:v>76.980002999999996</c:v>
                </c:pt>
                <c:pt idx="123">
                  <c:v>79.730002999999996</c:v>
                </c:pt>
                <c:pt idx="124">
                  <c:v>79.940002000000007</c:v>
                </c:pt>
                <c:pt idx="125">
                  <c:v>76.559997999999993</c:v>
                </c:pt>
                <c:pt idx="126">
                  <c:v>80.139999000000003</c:v>
                </c:pt>
                <c:pt idx="127">
                  <c:v>79.980002999999996</c:v>
                </c:pt>
                <c:pt idx="128">
                  <c:v>76.360000999999997</c:v>
                </c:pt>
                <c:pt idx="129">
                  <c:v>76.260002</c:v>
                </c:pt>
                <c:pt idx="130">
                  <c:v>74.910004000000001</c:v>
                </c:pt>
                <c:pt idx="131">
                  <c:v>75.949996999999996</c:v>
                </c:pt>
                <c:pt idx="132">
                  <c:v>78.239998</c:v>
                </c:pt>
                <c:pt idx="133">
                  <c:v>77.069999999999993</c:v>
                </c:pt>
                <c:pt idx="134">
                  <c:v>78.459998999999996</c:v>
                </c:pt>
                <c:pt idx="135">
                  <c:v>81.599997999999999</c:v>
                </c:pt>
                <c:pt idx="136">
                  <c:v>81.190002000000007</c:v>
                </c:pt>
                <c:pt idx="137">
                  <c:v>80.860000999999997</c:v>
                </c:pt>
                <c:pt idx="138">
                  <c:v>84.18</c:v>
                </c:pt>
                <c:pt idx="139">
                  <c:v>82.629997000000003</c:v>
                </c:pt>
                <c:pt idx="140">
                  <c:v>83.690002000000007</c:v>
                </c:pt>
                <c:pt idx="141">
                  <c:v>79.260002</c:v>
                </c:pt>
                <c:pt idx="142">
                  <c:v>77.150002000000001</c:v>
                </c:pt>
                <c:pt idx="143">
                  <c:v>80.099997999999999</c:v>
                </c:pt>
                <c:pt idx="144">
                  <c:v>81.220000999999996</c:v>
                </c:pt>
                <c:pt idx="145">
                  <c:v>82.300003000000004</c:v>
                </c:pt>
                <c:pt idx="146">
                  <c:v>78.440002000000007</c:v>
                </c:pt>
                <c:pt idx="147">
                  <c:v>78.339995999999999</c:v>
                </c:pt>
                <c:pt idx="148">
                  <c:v>77.680000000000007</c:v>
                </c:pt>
                <c:pt idx="149">
                  <c:v>78.389999000000003</c:v>
                </c:pt>
                <c:pt idx="150">
                  <c:v>77.440002000000007</c:v>
                </c:pt>
                <c:pt idx="151">
                  <c:v>77.360000999999997</c:v>
                </c:pt>
                <c:pt idx="152">
                  <c:v>76.129997000000003</c:v>
                </c:pt>
                <c:pt idx="153">
                  <c:v>77.290001000000004</c:v>
                </c:pt>
                <c:pt idx="154">
                  <c:v>77.930000000000007</c:v>
                </c:pt>
                <c:pt idx="155">
                  <c:v>79.589995999999999</c:v>
                </c:pt>
                <c:pt idx="156">
                  <c:v>75.650002000000001</c:v>
                </c:pt>
                <c:pt idx="157">
                  <c:v>71.699996999999996</c:v>
                </c:pt>
                <c:pt idx="158">
                  <c:v>69.639999000000003</c:v>
                </c:pt>
                <c:pt idx="159">
                  <c:v>67.029999000000004</c:v>
                </c:pt>
                <c:pt idx="160">
                  <c:v>71.430000000000007</c:v>
                </c:pt>
                <c:pt idx="161">
                  <c:v>69.489998</c:v>
                </c:pt>
                <c:pt idx="162">
                  <c:v>71.029999000000004</c:v>
                </c:pt>
                <c:pt idx="163">
                  <c:v>69.940002000000007</c:v>
                </c:pt>
                <c:pt idx="164">
                  <c:v>71.309997999999993</c:v>
                </c:pt>
                <c:pt idx="165">
                  <c:v>69.430000000000007</c:v>
                </c:pt>
                <c:pt idx="166">
                  <c:v>67.620002999999997</c:v>
                </c:pt>
                <c:pt idx="167">
                  <c:v>65</c:v>
                </c:pt>
                <c:pt idx="168">
                  <c:v>67.610000999999997</c:v>
                </c:pt>
                <c:pt idx="169">
                  <c:v>67.180000000000007</c:v>
                </c:pt>
                <c:pt idx="170">
                  <c:v>68.279999000000004</c:v>
                </c:pt>
                <c:pt idx="171">
                  <c:v>68.120002999999997</c:v>
                </c:pt>
                <c:pt idx="172">
                  <c:v>67.610000999999997</c:v>
                </c:pt>
                <c:pt idx="173">
                  <c:v>70.449996999999996</c:v>
                </c:pt>
                <c:pt idx="174">
                  <c:v>70.199996999999996</c:v>
                </c:pt>
                <c:pt idx="175">
                  <c:v>72.339995999999999</c:v>
                </c:pt>
                <c:pt idx="176">
                  <c:v>75</c:v>
                </c:pt>
                <c:pt idx="177">
                  <c:v>74.069999999999993</c:v>
                </c:pt>
                <c:pt idx="178">
                  <c:v>72.669998000000007</c:v>
                </c:pt>
                <c:pt idx="179">
                  <c:v>72.379997000000003</c:v>
                </c:pt>
                <c:pt idx="180">
                  <c:v>72.980002999999996</c:v>
                </c:pt>
                <c:pt idx="181">
                  <c:v>72.569999999999993</c:v>
                </c:pt>
                <c:pt idx="182">
                  <c:v>76.660004000000001</c:v>
                </c:pt>
                <c:pt idx="183">
                  <c:v>76.199996999999996</c:v>
                </c:pt>
                <c:pt idx="184">
                  <c:v>76.029999000000004</c:v>
                </c:pt>
                <c:pt idx="185">
                  <c:v>76.919998000000007</c:v>
                </c:pt>
                <c:pt idx="186">
                  <c:v>77.610000999999997</c:v>
                </c:pt>
                <c:pt idx="187">
                  <c:v>76.379997000000003</c:v>
                </c:pt>
                <c:pt idx="188">
                  <c:v>77.389999000000003</c:v>
                </c:pt>
                <c:pt idx="189">
                  <c:v>74.470000999999996</c:v>
                </c:pt>
                <c:pt idx="190">
                  <c:v>72.239998</c:v>
                </c:pt>
                <c:pt idx="191">
                  <c:v>73.620002999999997</c:v>
                </c:pt>
                <c:pt idx="192">
                  <c:v>74.639999000000003</c:v>
                </c:pt>
                <c:pt idx="193">
                  <c:v>74.910004000000001</c:v>
                </c:pt>
                <c:pt idx="194">
                  <c:v>76.129997000000003</c:v>
                </c:pt>
                <c:pt idx="195">
                  <c:v>77.519997000000004</c:v>
                </c:pt>
                <c:pt idx="196">
                  <c:v>77.580001999999993</c:v>
                </c:pt>
                <c:pt idx="197">
                  <c:v>77.529999000000004</c:v>
                </c:pt>
                <c:pt idx="198">
                  <c:v>78.360000999999997</c:v>
                </c:pt>
                <c:pt idx="199">
                  <c:v>76.220000999999996</c:v>
                </c:pt>
                <c:pt idx="200">
                  <c:v>75.480002999999996</c:v>
                </c:pt>
                <c:pt idx="201">
                  <c:v>74.510002</c:v>
                </c:pt>
                <c:pt idx="202">
                  <c:v>72.260002</c:v>
                </c:pt>
                <c:pt idx="203">
                  <c:v>72.150002000000001</c:v>
                </c:pt>
                <c:pt idx="204">
                  <c:v>73.620002999999997</c:v>
                </c:pt>
                <c:pt idx="205">
                  <c:v>77.279999000000004</c:v>
                </c:pt>
                <c:pt idx="206">
                  <c:v>75.610000999999997</c:v>
                </c:pt>
                <c:pt idx="207">
                  <c:v>72.870002999999997</c:v>
                </c:pt>
                <c:pt idx="208">
                  <c:v>72.339995999999999</c:v>
                </c:pt>
                <c:pt idx="209">
                  <c:v>71.699996999999996</c:v>
                </c:pt>
                <c:pt idx="210">
                  <c:v>70</c:v>
                </c:pt>
                <c:pt idx="211">
                  <c:v>73.540001000000004</c:v>
                </c:pt>
                <c:pt idx="212">
                  <c:v>75.330001999999993</c:v>
                </c:pt>
                <c:pt idx="213">
                  <c:v>77.769997000000004</c:v>
                </c:pt>
                <c:pt idx="214">
                  <c:v>77.959998999999996</c:v>
                </c:pt>
                <c:pt idx="215">
                  <c:v>78.620002999999997</c:v>
                </c:pt>
                <c:pt idx="216">
                  <c:v>80.800003000000004</c:v>
                </c:pt>
                <c:pt idx="217">
                  <c:v>80.919998000000007</c:v>
                </c:pt>
                <c:pt idx="218">
                  <c:v>83.470000999999996</c:v>
                </c:pt>
                <c:pt idx="219">
                  <c:v>88.769997000000004</c:v>
                </c:pt>
                <c:pt idx="220">
                  <c:v>90.68</c:v>
                </c:pt>
                <c:pt idx="221">
                  <c:v>88.900002000000001</c:v>
                </c:pt>
                <c:pt idx="222">
                  <c:v>86.059997999999993</c:v>
                </c:pt>
                <c:pt idx="223">
                  <c:v>88.190002000000007</c:v>
                </c:pt>
                <c:pt idx="224">
                  <c:v>84.199996999999996</c:v>
                </c:pt>
                <c:pt idx="225">
                  <c:v>84.540001000000004</c:v>
                </c:pt>
                <c:pt idx="226">
                  <c:v>88.010002</c:v>
                </c:pt>
                <c:pt idx="227">
                  <c:v>87.940002000000007</c:v>
                </c:pt>
                <c:pt idx="228">
                  <c:v>91.760002</c:v>
                </c:pt>
                <c:pt idx="229">
                  <c:v>76.599997999999999</c:v>
                </c:pt>
                <c:pt idx="230">
                  <c:v>69.220000999999996</c:v>
                </c:pt>
                <c:pt idx="231">
                  <c:v>55.049999</c:v>
                </c:pt>
                <c:pt idx="232">
                  <c:v>46.720001000000003</c:v>
                </c:pt>
                <c:pt idx="233">
                  <c:v>49.139999000000003</c:v>
                </c:pt>
                <c:pt idx="234">
                  <c:v>39.919998</c:v>
                </c:pt>
                <c:pt idx="235">
                  <c:v>53.16</c:v>
                </c:pt>
                <c:pt idx="236">
                  <c:v>57.060001</c:v>
                </c:pt>
                <c:pt idx="237">
                  <c:v>52.630001</c:v>
                </c:pt>
                <c:pt idx="238">
                  <c:v>51.529998999999997</c:v>
                </c:pt>
                <c:pt idx="239">
                  <c:v>53.09</c:v>
                </c:pt>
                <c:pt idx="240">
                  <c:v>47.080002</c:v>
                </c:pt>
                <c:pt idx="241">
                  <c:v>52.740001999999997</c:v>
                </c:pt>
                <c:pt idx="242">
                  <c:v>55.09</c:v>
                </c:pt>
                <c:pt idx="243">
                  <c:v>63.490001999999997</c:v>
                </c:pt>
                <c:pt idx="244">
                  <c:v>55.919998</c:v>
                </c:pt>
                <c:pt idx="245">
                  <c:v>53.040000999999997</c:v>
                </c:pt>
                <c:pt idx="246">
                  <c:v>47.299999</c:v>
                </c:pt>
                <c:pt idx="247">
                  <c:v>51.59</c:v>
                </c:pt>
                <c:pt idx="248">
                  <c:v>49.860000999999997</c:v>
                </c:pt>
                <c:pt idx="249">
                  <c:v>52.619999</c:v>
                </c:pt>
                <c:pt idx="250">
                  <c:v>50.34</c:v>
                </c:pt>
                <c:pt idx="251">
                  <c:v>48</c:v>
                </c:pt>
                <c:pt idx="252">
                  <c:v>51.130001</c:v>
                </c:pt>
                <c:pt idx="253">
                  <c:v>56.060001</c:v>
                </c:pt>
                <c:pt idx="254">
                  <c:v>54.639999000000003</c:v>
                </c:pt>
                <c:pt idx="255">
                  <c:v>59.16</c:v>
                </c:pt>
                <c:pt idx="256">
                  <c:v>59.990001999999997</c:v>
                </c:pt>
                <c:pt idx="257">
                  <c:v>55.110000999999997</c:v>
                </c:pt>
                <c:pt idx="258">
                  <c:v>57.02</c:v>
                </c:pt>
                <c:pt idx="259">
                  <c:v>53.389999000000003</c:v>
                </c:pt>
                <c:pt idx="260">
                  <c:v>53.68</c:v>
                </c:pt>
                <c:pt idx="261">
                  <c:v>59.009998000000003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2D0-4D86-82F0-FAE26B44D0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2392408"/>
        <c:axId val="492394704"/>
      </c:lineChart>
      <c:dateAx>
        <c:axId val="49239240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2394704"/>
        <c:crosses val="autoZero"/>
        <c:auto val="1"/>
        <c:lblOffset val="100"/>
        <c:baseTimeUnit val="days"/>
      </c:dateAx>
      <c:valAx>
        <c:axId val="492394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2392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Hyatt</a:t>
            </a:r>
            <a:r>
              <a:rPr lang="en-US" baseline="0"/>
              <a:t> Vs S&amp;P500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'Technical Analysis'!$AA$21</c:f>
              <c:strCache>
                <c:ptCount val="1"/>
                <c:pt idx="0">
                  <c:v>Hyatt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'Technical Analysis'!$Z$22:$Z$283</c:f>
              <c:numCache>
                <c:formatCode>m/d/yyyy</c:formatCode>
                <c:ptCount val="262"/>
                <c:pt idx="1">
                  <c:v>42289</c:v>
                </c:pt>
                <c:pt idx="2">
                  <c:v>42296</c:v>
                </c:pt>
                <c:pt idx="3">
                  <c:v>42303</c:v>
                </c:pt>
                <c:pt idx="4">
                  <c:v>42310</c:v>
                </c:pt>
                <c:pt idx="5">
                  <c:v>42317</c:v>
                </c:pt>
                <c:pt idx="6">
                  <c:v>42324</c:v>
                </c:pt>
                <c:pt idx="7">
                  <c:v>42331</c:v>
                </c:pt>
                <c:pt idx="8">
                  <c:v>42338</c:v>
                </c:pt>
                <c:pt idx="9">
                  <c:v>42345</c:v>
                </c:pt>
                <c:pt idx="10">
                  <c:v>42352</c:v>
                </c:pt>
                <c:pt idx="11">
                  <c:v>42359</c:v>
                </c:pt>
                <c:pt idx="12">
                  <c:v>42366</c:v>
                </c:pt>
                <c:pt idx="13">
                  <c:v>42373</c:v>
                </c:pt>
                <c:pt idx="14">
                  <c:v>42380</c:v>
                </c:pt>
                <c:pt idx="15">
                  <c:v>42387</c:v>
                </c:pt>
                <c:pt idx="16">
                  <c:v>42394</c:v>
                </c:pt>
                <c:pt idx="17">
                  <c:v>42401</c:v>
                </c:pt>
                <c:pt idx="18">
                  <c:v>42408</c:v>
                </c:pt>
                <c:pt idx="19">
                  <c:v>42415</c:v>
                </c:pt>
                <c:pt idx="20">
                  <c:v>42422</c:v>
                </c:pt>
                <c:pt idx="21">
                  <c:v>42429</c:v>
                </c:pt>
                <c:pt idx="22">
                  <c:v>42436</c:v>
                </c:pt>
                <c:pt idx="23">
                  <c:v>42443</c:v>
                </c:pt>
                <c:pt idx="24">
                  <c:v>42450</c:v>
                </c:pt>
                <c:pt idx="25">
                  <c:v>42457</c:v>
                </c:pt>
                <c:pt idx="26">
                  <c:v>42464</c:v>
                </c:pt>
                <c:pt idx="27">
                  <c:v>42471</c:v>
                </c:pt>
                <c:pt idx="28">
                  <c:v>42478</c:v>
                </c:pt>
                <c:pt idx="29">
                  <c:v>42485</c:v>
                </c:pt>
                <c:pt idx="30">
                  <c:v>42492</c:v>
                </c:pt>
                <c:pt idx="31">
                  <c:v>42499</c:v>
                </c:pt>
                <c:pt idx="32">
                  <c:v>42506</c:v>
                </c:pt>
                <c:pt idx="33">
                  <c:v>42513</c:v>
                </c:pt>
                <c:pt idx="34">
                  <c:v>42520</c:v>
                </c:pt>
                <c:pt idx="35">
                  <c:v>42527</c:v>
                </c:pt>
                <c:pt idx="36">
                  <c:v>42534</c:v>
                </c:pt>
                <c:pt idx="37">
                  <c:v>42541</c:v>
                </c:pt>
                <c:pt idx="38">
                  <c:v>42548</c:v>
                </c:pt>
                <c:pt idx="39">
                  <c:v>42555</c:v>
                </c:pt>
                <c:pt idx="40">
                  <c:v>42562</c:v>
                </c:pt>
                <c:pt idx="41">
                  <c:v>42569</c:v>
                </c:pt>
                <c:pt idx="42">
                  <c:v>42576</c:v>
                </c:pt>
                <c:pt idx="43">
                  <c:v>42583</c:v>
                </c:pt>
                <c:pt idx="44">
                  <c:v>42590</c:v>
                </c:pt>
                <c:pt idx="45">
                  <c:v>42597</c:v>
                </c:pt>
                <c:pt idx="46">
                  <c:v>42604</c:v>
                </c:pt>
                <c:pt idx="47">
                  <c:v>42611</c:v>
                </c:pt>
                <c:pt idx="48">
                  <c:v>42618</c:v>
                </c:pt>
                <c:pt idx="49">
                  <c:v>42625</c:v>
                </c:pt>
                <c:pt idx="50">
                  <c:v>42632</c:v>
                </c:pt>
                <c:pt idx="51">
                  <c:v>42639</c:v>
                </c:pt>
                <c:pt idx="52">
                  <c:v>42646</c:v>
                </c:pt>
                <c:pt idx="53">
                  <c:v>42653</c:v>
                </c:pt>
                <c:pt idx="54">
                  <c:v>42660</c:v>
                </c:pt>
                <c:pt idx="55">
                  <c:v>42667</c:v>
                </c:pt>
                <c:pt idx="56">
                  <c:v>42674</c:v>
                </c:pt>
                <c:pt idx="57">
                  <c:v>42681</c:v>
                </c:pt>
                <c:pt idx="58">
                  <c:v>42688</c:v>
                </c:pt>
                <c:pt idx="59">
                  <c:v>42695</c:v>
                </c:pt>
                <c:pt idx="60">
                  <c:v>42702</c:v>
                </c:pt>
                <c:pt idx="61">
                  <c:v>42709</c:v>
                </c:pt>
                <c:pt idx="62">
                  <c:v>42716</c:v>
                </c:pt>
                <c:pt idx="63">
                  <c:v>42723</c:v>
                </c:pt>
                <c:pt idx="64">
                  <c:v>42730</c:v>
                </c:pt>
                <c:pt idx="65">
                  <c:v>42737</c:v>
                </c:pt>
                <c:pt idx="66">
                  <c:v>42744</c:v>
                </c:pt>
                <c:pt idx="67">
                  <c:v>42751</c:v>
                </c:pt>
                <c:pt idx="68">
                  <c:v>42758</c:v>
                </c:pt>
                <c:pt idx="69">
                  <c:v>42765</c:v>
                </c:pt>
                <c:pt idx="70">
                  <c:v>42772</c:v>
                </c:pt>
                <c:pt idx="71">
                  <c:v>42779</c:v>
                </c:pt>
                <c:pt idx="72">
                  <c:v>42786</c:v>
                </c:pt>
                <c:pt idx="73">
                  <c:v>42793</c:v>
                </c:pt>
                <c:pt idx="74">
                  <c:v>42800</c:v>
                </c:pt>
                <c:pt idx="75">
                  <c:v>42807</c:v>
                </c:pt>
                <c:pt idx="76">
                  <c:v>42814</c:v>
                </c:pt>
                <c:pt idx="77">
                  <c:v>42821</c:v>
                </c:pt>
                <c:pt idx="78">
                  <c:v>42828</c:v>
                </c:pt>
                <c:pt idx="79">
                  <c:v>42835</c:v>
                </c:pt>
                <c:pt idx="80">
                  <c:v>42842</c:v>
                </c:pt>
                <c:pt idx="81">
                  <c:v>42849</c:v>
                </c:pt>
                <c:pt idx="82">
                  <c:v>42856</c:v>
                </c:pt>
                <c:pt idx="83">
                  <c:v>42863</c:v>
                </c:pt>
                <c:pt idx="84">
                  <c:v>42870</c:v>
                </c:pt>
                <c:pt idx="85">
                  <c:v>42877</c:v>
                </c:pt>
                <c:pt idx="86">
                  <c:v>42884</c:v>
                </c:pt>
                <c:pt idx="87">
                  <c:v>42891</c:v>
                </c:pt>
                <c:pt idx="88">
                  <c:v>42898</c:v>
                </c:pt>
                <c:pt idx="89">
                  <c:v>42905</c:v>
                </c:pt>
                <c:pt idx="90">
                  <c:v>42912</c:v>
                </c:pt>
                <c:pt idx="91">
                  <c:v>42919</c:v>
                </c:pt>
                <c:pt idx="92">
                  <c:v>42926</c:v>
                </c:pt>
                <c:pt idx="93">
                  <c:v>42933</c:v>
                </c:pt>
                <c:pt idx="94">
                  <c:v>42940</c:v>
                </c:pt>
                <c:pt idx="95">
                  <c:v>42947</c:v>
                </c:pt>
                <c:pt idx="96">
                  <c:v>42954</c:v>
                </c:pt>
                <c:pt idx="97">
                  <c:v>42961</c:v>
                </c:pt>
                <c:pt idx="98">
                  <c:v>42968</c:v>
                </c:pt>
                <c:pt idx="99">
                  <c:v>42975</c:v>
                </c:pt>
                <c:pt idx="100">
                  <c:v>42982</c:v>
                </c:pt>
                <c:pt idx="101">
                  <c:v>42989</c:v>
                </c:pt>
                <c:pt idx="102">
                  <c:v>42996</c:v>
                </c:pt>
                <c:pt idx="103">
                  <c:v>43003</c:v>
                </c:pt>
                <c:pt idx="104">
                  <c:v>43010</c:v>
                </c:pt>
                <c:pt idx="105">
                  <c:v>43017</c:v>
                </c:pt>
                <c:pt idx="106">
                  <c:v>43024</c:v>
                </c:pt>
                <c:pt idx="107">
                  <c:v>43031</c:v>
                </c:pt>
                <c:pt idx="108">
                  <c:v>43038</c:v>
                </c:pt>
                <c:pt idx="109">
                  <c:v>43045</c:v>
                </c:pt>
                <c:pt idx="110">
                  <c:v>43052</c:v>
                </c:pt>
                <c:pt idx="111">
                  <c:v>43059</c:v>
                </c:pt>
                <c:pt idx="112">
                  <c:v>43066</c:v>
                </c:pt>
                <c:pt idx="113">
                  <c:v>43073</c:v>
                </c:pt>
                <c:pt idx="114">
                  <c:v>43080</c:v>
                </c:pt>
                <c:pt idx="115">
                  <c:v>43087</c:v>
                </c:pt>
                <c:pt idx="116">
                  <c:v>43094</c:v>
                </c:pt>
                <c:pt idx="117">
                  <c:v>43101</c:v>
                </c:pt>
                <c:pt idx="118">
                  <c:v>43108</c:v>
                </c:pt>
                <c:pt idx="119">
                  <c:v>43115</c:v>
                </c:pt>
                <c:pt idx="120">
                  <c:v>43122</c:v>
                </c:pt>
                <c:pt idx="121">
                  <c:v>43129</c:v>
                </c:pt>
                <c:pt idx="122">
                  <c:v>43136</c:v>
                </c:pt>
                <c:pt idx="123">
                  <c:v>43143</c:v>
                </c:pt>
                <c:pt idx="124">
                  <c:v>43150</c:v>
                </c:pt>
                <c:pt idx="125">
                  <c:v>43157</c:v>
                </c:pt>
                <c:pt idx="126">
                  <c:v>43164</c:v>
                </c:pt>
                <c:pt idx="127">
                  <c:v>43171</c:v>
                </c:pt>
                <c:pt idx="128">
                  <c:v>43178</c:v>
                </c:pt>
                <c:pt idx="129">
                  <c:v>43185</c:v>
                </c:pt>
                <c:pt idx="130">
                  <c:v>43192</c:v>
                </c:pt>
                <c:pt idx="131">
                  <c:v>43199</c:v>
                </c:pt>
                <c:pt idx="132">
                  <c:v>43206</c:v>
                </c:pt>
                <c:pt idx="133">
                  <c:v>43213</c:v>
                </c:pt>
                <c:pt idx="134">
                  <c:v>43220</c:v>
                </c:pt>
                <c:pt idx="135">
                  <c:v>43227</c:v>
                </c:pt>
                <c:pt idx="136">
                  <c:v>43234</c:v>
                </c:pt>
                <c:pt idx="137">
                  <c:v>43241</c:v>
                </c:pt>
                <c:pt idx="138">
                  <c:v>43248</c:v>
                </c:pt>
                <c:pt idx="139">
                  <c:v>43255</c:v>
                </c:pt>
                <c:pt idx="140">
                  <c:v>43262</c:v>
                </c:pt>
                <c:pt idx="141">
                  <c:v>43269</c:v>
                </c:pt>
                <c:pt idx="142">
                  <c:v>43276</c:v>
                </c:pt>
                <c:pt idx="143">
                  <c:v>43283</c:v>
                </c:pt>
                <c:pt idx="144">
                  <c:v>43290</c:v>
                </c:pt>
                <c:pt idx="145">
                  <c:v>43297</c:v>
                </c:pt>
                <c:pt idx="146">
                  <c:v>43304</c:v>
                </c:pt>
                <c:pt idx="147">
                  <c:v>43311</c:v>
                </c:pt>
                <c:pt idx="148">
                  <c:v>43318</c:v>
                </c:pt>
                <c:pt idx="149">
                  <c:v>43325</c:v>
                </c:pt>
                <c:pt idx="150">
                  <c:v>43332</c:v>
                </c:pt>
                <c:pt idx="151">
                  <c:v>43339</c:v>
                </c:pt>
                <c:pt idx="152">
                  <c:v>43346</c:v>
                </c:pt>
                <c:pt idx="153">
                  <c:v>43353</c:v>
                </c:pt>
                <c:pt idx="154">
                  <c:v>43360</c:v>
                </c:pt>
                <c:pt idx="155">
                  <c:v>43367</c:v>
                </c:pt>
                <c:pt idx="156">
                  <c:v>43374</c:v>
                </c:pt>
                <c:pt idx="157">
                  <c:v>43381</c:v>
                </c:pt>
                <c:pt idx="158">
                  <c:v>43388</c:v>
                </c:pt>
                <c:pt idx="159">
                  <c:v>43395</c:v>
                </c:pt>
                <c:pt idx="160">
                  <c:v>43402</c:v>
                </c:pt>
                <c:pt idx="161">
                  <c:v>43409</c:v>
                </c:pt>
                <c:pt idx="162">
                  <c:v>43416</c:v>
                </c:pt>
                <c:pt idx="163">
                  <c:v>43423</c:v>
                </c:pt>
                <c:pt idx="164">
                  <c:v>43430</c:v>
                </c:pt>
                <c:pt idx="165">
                  <c:v>43437</c:v>
                </c:pt>
                <c:pt idx="166">
                  <c:v>43444</c:v>
                </c:pt>
                <c:pt idx="167">
                  <c:v>43451</c:v>
                </c:pt>
                <c:pt idx="168">
                  <c:v>43458</c:v>
                </c:pt>
                <c:pt idx="169">
                  <c:v>43465</c:v>
                </c:pt>
                <c:pt idx="170">
                  <c:v>43472</c:v>
                </c:pt>
                <c:pt idx="171">
                  <c:v>43479</c:v>
                </c:pt>
                <c:pt idx="172">
                  <c:v>43486</c:v>
                </c:pt>
                <c:pt idx="173">
                  <c:v>43493</c:v>
                </c:pt>
                <c:pt idx="174">
                  <c:v>43500</c:v>
                </c:pt>
                <c:pt idx="175">
                  <c:v>43507</c:v>
                </c:pt>
                <c:pt idx="176">
                  <c:v>43514</c:v>
                </c:pt>
                <c:pt idx="177">
                  <c:v>43521</c:v>
                </c:pt>
                <c:pt idx="178">
                  <c:v>43528</c:v>
                </c:pt>
                <c:pt idx="179">
                  <c:v>43535</c:v>
                </c:pt>
                <c:pt idx="180">
                  <c:v>43542</c:v>
                </c:pt>
                <c:pt idx="181">
                  <c:v>43549</c:v>
                </c:pt>
                <c:pt idx="182">
                  <c:v>43556</c:v>
                </c:pt>
                <c:pt idx="183">
                  <c:v>43563</c:v>
                </c:pt>
                <c:pt idx="184">
                  <c:v>43570</c:v>
                </c:pt>
                <c:pt idx="185">
                  <c:v>43577</c:v>
                </c:pt>
                <c:pt idx="186">
                  <c:v>43584</c:v>
                </c:pt>
                <c:pt idx="187">
                  <c:v>43591</c:v>
                </c:pt>
                <c:pt idx="188">
                  <c:v>43598</c:v>
                </c:pt>
                <c:pt idx="189">
                  <c:v>43605</c:v>
                </c:pt>
                <c:pt idx="190">
                  <c:v>43612</c:v>
                </c:pt>
                <c:pt idx="191">
                  <c:v>43619</c:v>
                </c:pt>
                <c:pt idx="192">
                  <c:v>43626</c:v>
                </c:pt>
                <c:pt idx="193">
                  <c:v>43633</c:v>
                </c:pt>
                <c:pt idx="194">
                  <c:v>43640</c:v>
                </c:pt>
                <c:pt idx="195">
                  <c:v>43647</c:v>
                </c:pt>
                <c:pt idx="196">
                  <c:v>43654</c:v>
                </c:pt>
                <c:pt idx="197">
                  <c:v>43661</c:v>
                </c:pt>
                <c:pt idx="198">
                  <c:v>43668</c:v>
                </c:pt>
                <c:pt idx="199">
                  <c:v>43675</c:v>
                </c:pt>
                <c:pt idx="200">
                  <c:v>43682</c:v>
                </c:pt>
                <c:pt idx="201">
                  <c:v>43689</c:v>
                </c:pt>
                <c:pt idx="202">
                  <c:v>43696</c:v>
                </c:pt>
                <c:pt idx="203">
                  <c:v>43703</c:v>
                </c:pt>
                <c:pt idx="204">
                  <c:v>43710</c:v>
                </c:pt>
                <c:pt idx="205">
                  <c:v>43717</c:v>
                </c:pt>
                <c:pt idx="206">
                  <c:v>43724</c:v>
                </c:pt>
                <c:pt idx="207">
                  <c:v>43731</c:v>
                </c:pt>
                <c:pt idx="208">
                  <c:v>43738</c:v>
                </c:pt>
                <c:pt idx="209">
                  <c:v>43745</c:v>
                </c:pt>
                <c:pt idx="210">
                  <c:v>43752</c:v>
                </c:pt>
                <c:pt idx="211">
                  <c:v>43759</c:v>
                </c:pt>
                <c:pt idx="212">
                  <c:v>43766</c:v>
                </c:pt>
                <c:pt idx="213">
                  <c:v>43773</c:v>
                </c:pt>
                <c:pt idx="214">
                  <c:v>43780</c:v>
                </c:pt>
                <c:pt idx="215">
                  <c:v>43787</c:v>
                </c:pt>
                <c:pt idx="216">
                  <c:v>43794</c:v>
                </c:pt>
                <c:pt idx="217">
                  <c:v>43801</c:v>
                </c:pt>
                <c:pt idx="218">
                  <c:v>43808</c:v>
                </c:pt>
                <c:pt idx="219">
                  <c:v>43815</c:v>
                </c:pt>
                <c:pt idx="220">
                  <c:v>43822</c:v>
                </c:pt>
                <c:pt idx="221">
                  <c:v>43829</c:v>
                </c:pt>
                <c:pt idx="222">
                  <c:v>43836</c:v>
                </c:pt>
                <c:pt idx="223">
                  <c:v>43843</c:v>
                </c:pt>
                <c:pt idx="224">
                  <c:v>43850</c:v>
                </c:pt>
                <c:pt idx="225">
                  <c:v>43857</c:v>
                </c:pt>
                <c:pt idx="226">
                  <c:v>43864</c:v>
                </c:pt>
                <c:pt idx="227">
                  <c:v>43871</c:v>
                </c:pt>
                <c:pt idx="228">
                  <c:v>43878</c:v>
                </c:pt>
                <c:pt idx="229">
                  <c:v>43885</c:v>
                </c:pt>
                <c:pt idx="230">
                  <c:v>43892</c:v>
                </c:pt>
                <c:pt idx="231">
                  <c:v>43899</c:v>
                </c:pt>
                <c:pt idx="232">
                  <c:v>43906</c:v>
                </c:pt>
                <c:pt idx="233">
                  <c:v>43913</c:v>
                </c:pt>
                <c:pt idx="234">
                  <c:v>43920</c:v>
                </c:pt>
                <c:pt idx="235">
                  <c:v>43927</c:v>
                </c:pt>
                <c:pt idx="236">
                  <c:v>43934</c:v>
                </c:pt>
                <c:pt idx="237">
                  <c:v>43941</c:v>
                </c:pt>
                <c:pt idx="238">
                  <c:v>43948</c:v>
                </c:pt>
                <c:pt idx="239">
                  <c:v>43955</c:v>
                </c:pt>
                <c:pt idx="240">
                  <c:v>43962</c:v>
                </c:pt>
                <c:pt idx="241">
                  <c:v>43969</c:v>
                </c:pt>
                <c:pt idx="242">
                  <c:v>43976</c:v>
                </c:pt>
                <c:pt idx="243">
                  <c:v>43983</c:v>
                </c:pt>
                <c:pt idx="244">
                  <c:v>43990</c:v>
                </c:pt>
                <c:pt idx="245">
                  <c:v>43997</c:v>
                </c:pt>
                <c:pt idx="246">
                  <c:v>44004</c:v>
                </c:pt>
                <c:pt idx="247">
                  <c:v>44011</c:v>
                </c:pt>
                <c:pt idx="248">
                  <c:v>44018</c:v>
                </c:pt>
                <c:pt idx="249">
                  <c:v>44025</c:v>
                </c:pt>
                <c:pt idx="250">
                  <c:v>44032</c:v>
                </c:pt>
                <c:pt idx="251">
                  <c:v>44039</c:v>
                </c:pt>
                <c:pt idx="252">
                  <c:v>44046</c:v>
                </c:pt>
                <c:pt idx="253">
                  <c:v>44053</c:v>
                </c:pt>
                <c:pt idx="254">
                  <c:v>44060</c:v>
                </c:pt>
                <c:pt idx="255">
                  <c:v>44067</c:v>
                </c:pt>
                <c:pt idx="256">
                  <c:v>44074</c:v>
                </c:pt>
                <c:pt idx="257">
                  <c:v>44081</c:v>
                </c:pt>
                <c:pt idx="258">
                  <c:v>44088</c:v>
                </c:pt>
                <c:pt idx="259">
                  <c:v>44095</c:v>
                </c:pt>
                <c:pt idx="260">
                  <c:v>44102</c:v>
                </c:pt>
                <c:pt idx="261">
                  <c:v>44109</c:v>
                </c:pt>
              </c:numCache>
            </c:numRef>
          </c:cat>
          <c:val>
            <c:numRef>
              <c:f>'Technical Analysis'!$AA$22:$AA$283</c:f>
              <c:numCache>
                <c:formatCode>0.0%</c:formatCode>
                <c:ptCount val="262"/>
                <c:pt idx="1">
                  <c:v>-4.4512663939229924E-2</c:v>
                </c:pt>
                <c:pt idx="2">
                  <c:v>-4.6520655947422496E-2</c:v>
                </c:pt>
                <c:pt idx="3">
                  <c:v>-3.243612906783544E-2</c:v>
                </c:pt>
                <c:pt idx="4">
                  <c:v>-1.4838088675306338E-3</c:v>
                </c:pt>
                <c:pt idx="5">
                  <c:v>-4.8250553416544273E-2</c:v>
                </c:pt>
                <c:pt idx="6">
                  <c:v>-4.865436929386735E-2</c:v>
                </c:pt>
                <c:pt idx="7">
                  <c:v>-4.7846431470884743E-2</c:v>
                </c:pt>
                <c:pt idx="8">
                  <c:v>-4.9662778631658577E-2</c:v>
                </c:pt>
                <c:pt idx="9">
                  <c:v>-7.8575031541328166E-2</c:v>
                </c:pt>
                <c:pt idx="10">
                  <c:v>-7.5868368982372147E-2</c:v>
                </c:pt>
                <c:pt idx="11">
                  <c:v>-7.5037783434199423E-2</c:v>
                </c:pt>
                <c:pt idx="12">
                  <c:v>-9.9519131474005373E-2</c:v>
                </c:pt>
                <c:pt idx="13">
                  <c:v>-0.2220202373863831</c:v>
                </c:pt>
                <c:pt idx="14">
                  <c:v>-0.32551020847169454</c:v>
                </c:pt>
                <c:pt idx="15">
                  <c:v>-0.2803629278632751</c:v>
                </c:pt>
                <c:pt idx="16">
                  <c:v>-0.27984559728903813</c:v>
                </c:pt>
                <c:pt idx="17">
                  <c:v>-0.25528507505532572</c:v>
                </c:pt>
                <c:pt idx="18">
                  <c:v>-0.25578974322326253</c:v>
                </c:pt>
                <c:pt idx="19">
                  <c:v>-0.10507020650827981</c:v>
                </c:pt>
                <c:pt idx="20">
                  <c:v>-9.3222971398461363E-2</c:v>
                </c:pt>
                <c:pt idx="21">
                  <c:v>-4.8990511636265888E-2</c:v>
                </c:pt>
                <c:pt idx="22">
                  <c:v>-6.8301142865501818E-2</c:v>
                </c:pt>
                <c:pt idx="23">
                  <c:v>-6.4490005876300049E-2</c:v>
                </c:pt>
                <c:pt idx="24">
                  <c:v>-6.7653937536287234E-2</c:v>
                </c:pt>
                <c:pt idx="25">
                  <c:v>-4.2262463757553714E-2</c:v>
                </c:pt>
                <c:pt idx="26">
                  <c:v>-7.4866632816657508E-2</c:v>
                </c:pt>
                <c:pt idx="27">
                  <c:v>-4.9056074493503909E-2</c:v>
                </c:pt>
                <c:pt idx="28">
                  <c:v>-8.2119081355637502E-2</c:v>
                </c:pt>
                <c:pt idx="29">
                  <c:v>-5.2441640495422548E-2</c:v>
                </c:pt>
                <c:pt idx="30">
                  <c:v>-3.4271235695305768E-2</c:v>
                </c:pt>
                <c:pt idx="31">
                  <c:v>-5.3553266464536509E-2</c:v>
                </c:pt>
                <c:pt idx="32">
                  <c:v>-9.8522958056887711E-2</c:v>
                </c:pt>
                <c:pt idx="33">
                  <c:v>-8.2754210794513505E-2</c:v>
                </c:pt>
                <c:pt idx="34">
                  <c:v>-5.7096621869493824E-2</c:v>
                </c:pt>
                <c:pt idx="35">
                  <c:v>-5.8568137530624842E-2</c:v>
                </c:pt>
                <c:pt idx="36">
                  <c:v>-3.1199737530624772E-2</c:v>
                </c:pt>
                <c:pt idx="37">
                  <c:v>-6.1322627492159443E-2</c:v>
                </c:pt>
                <c:pt idx="38">
                  <c:v>-9.3471595849323741E-3</c:v>
                </c:pt>
                <c:pt idx="39">
                  <c:v>-9.1463562147937605E-3</c:v>
                </c:pt>
                <c:pt idx="40">
                  <c:v>1.2540431369278293E-2</c:v>
                </c:pt>
                <c:pt idx="41">
                  <c:v>2.2367475201293896E-2</c:v>
                </c:pt>
                <c:pt idx="42">
                  <c:v>4.072380189520719E-3</c:v>
                </c:pt>
                <c:pt idx="43">
                  <c:v>4.5507749765955396E-2</c:v>
                </c:pt>
                <c:pt idx="44">
                  <c:v>4.7411461966673341E-2</c:v>
                </c:pt>
                <c:pt idx="45">
                  <c:v>7.5532305057670057E-2</c:v>
                </c:pt>
                <c:pt idx="46">
                  <c:v>7.4977897379873149E-2</c:v>
                </c:pt>
                <c:pt idx="47">
                  <c:v>6.1109554697489354E-2</c:v>
                </c:pt>
                <c:pt idx="48">
                  <c:v>6.9186135458276787E-3</c:v>
                </c:pt>
                <c:pt idx="49">
                  <c:v>1.9622296252015392E-3</c:v>
                </c:pt>
                <c:pt idx="50">
                  <c:v>5.1500957975041395E-3</c:v>
                </c:pt>
                <c:pt idx="51">
                  <c:v>-1.7292745213134952E-2</c:v>
                </c:pt>
                <c:pt idx="52">
                  <c:v>-1.6486780787196009E-3</c:v>
                </c:pt>
                <c:pt idx="53">
                  <c:v>-4.8398086732404089E-5</c:v>
                </c:pt>
                <c:pt idx="54">
                  <c:v>4.9446116995667255E-3</c:v>
                </c:pt>
                <c:pt idx="55">
                  <c:v>-2.6070774896224114E-3</c:v>
                </c:pt>
                <c:pt idx="56">
                  <c:v>1.0809062146263426E-2</c:v>
                </c:pt>
                <c:pt idx="57">
                  <c:v>5.7637731444254547E-2</c:v>
                </c:pt>
                <c:pt idx="58">
                  <c:v>7.0284050810052956E-2</c:v>
                </c:pt>
                <c:pt idx="59">
                  <c:v>7.7366939642004806E-2</c:v>
                </c:pt>
                <c:pt idx="60">
                  <c:v>6.5336622928506505E-2</c:v>
                </c:pt>
                <c:pt idx="61">
                  <c:v>0.12397275896005133</c:v>
                </c:pt>
                <c:pt idx="62">
                  <c:v>0.14485403734905422</c:v>
                </c:pt>
                <c:pt idx="63">
                  <c:v>0.12318650360546723</c:v>
                </c:pt>
                <c:pt idx="64">
                  <c:v>0.10227932747316437</c:v>
                </c:pt>
                <c:pt idx="65">
                  <c:v>9.7031462643346611E-2</c:v>
                </c:pt>
                <c:pt idx="66">
                  <c:v>0.1032166544536941</c:v>
                </c:pt>
                <c:pt idx="67">
                  <c:v>8.7487094079974348E-2</c:v>
                </c:pt>
                <c:pt idx="68">
                  <c:v>0.10879493796880313</c:v>
                </c:pt>
                <c:pt idx="69">
                  <c:v>0.11131299561333763</c:v>
                </c:pt>
                <c:pt idx="70">
                  <c:v>0.11866857482555226</c:v>
                </c:pt>
                <c:pt idx="71">
                  <c:v>7.2363981639607222E-2</c:v>
                </c:pt>
                <c:pt idx="72">
                  <c:v>4.0991432034144126E-2</c:v>
                </c:pt>
                <c:pt idx="73">
                  <c:v>4.0027502962157846E-2</c:v>
                </c:pt>
                <c:pt idx="74">
                  <c:v>3.1922562784620245E-2</c:v>
                </c:pt>
                <c:pt idx="75">
                  <c:v>6.8109253983581697E-2</c:v>
                </c:pt>
                <c:pt idx="76">
                  <c:v>5.6092749589420787E-2</c:v>
                </c:pt>
                <c:pt idx="77">
                  <c:v>8.1938455135709409E-2</c:v>
                </c:pt>
                <c:pt idx="78">
                  <c:v>6.9155961619592365E-2</c:v>
                </c:pt>
                <c:pt idx="79">
                  <c:v>8.0602780695463783E-2</c:v>
                </c:pt>
                <c:pt idx="80">
                  <c:v>0.10268066484841809</c:v>
                </c:pt>
                <c:pt idx="81">
                  <c:v>0.1101230318841776</c:v>
                </c:pt>
                <c:pt idx="82">
                  <c:v>0.15624917602832167</c:v>
                </c:pt>
                <c:pt idx="83">
                  <c:v>0.16227740534233759</c:v>
                </c:pt>
                <c:pt idx="84">
                  <c:v>0.15560046646200898</c:v>
                </c:pt>
                <c:pt idx="85">
                  <c:v>0.14698274843374282</c:v>
                </c:pt>
                <c:pt idx="86">
                  <c:v>0.15376299878144783</c:v>
                </c:pt>
                <c:pt idx="87">
                  <c:v>0.13045098013181911</c:v>
                </c:pt>
                <c:pt idx="88">
                  <c:v>0.15361218905754026</c:v>
                </c:pt>
                <c:pt idx="89">
                  <c:v>0.1506746047662394</c:v>
                </c:pt>
                <c:pt idx="90">
                  <c:v>0.12485134698154721</c:v>
                </c:pt>
                <c:pt idx="91">
                  <c:v>0.10901788290338554</c:v>
                </c:pt>
                <c:pt idx="92">
                  <c:v>0.1026910752388881</c:v>
                </c:pt>
                <c:pt idx="93">
                  <c:v>0.10705705660388753</c:v>
                </c:pt>
                <c:pt idx="94">
                  <c:v>0.11104186015369377</c:v>
                </c:pt>
                <c:pt idx="95">
                  <c:v>0.19980242302578466</c:v>
                </c:pt>
                <c:pt idx="96">
                  <c:v>0.13600792215438451</c:v>
                </c:pt>
                <c:pt idx="97">
                  <c:v>0.12733532038447304</c:v>
                </c:pt>
                <c:pt idx="98">
                  <c:v>0.15965101516453706</c:v>
                </c:pt>
                <c:pt idx="99">
                  <c:v>0.19147391381552292</c:v>
                </c:pt>
                <c:pt idx="100">
                  <c:v>0.1897977656425428</c:v>
                </c:pt>
                <c:pt idx="101">
                  <c:v>0.20591594871644847</c:v>
                </c:pt>
                <c:pt idx="102">
                  <c:v>0.21863903199470347</c:v>
                </c:pt>
                <c:pt idx="103">
                  <c:v>0.22679696953495576</c:v>
                </c:pt>
                <c:pt idx="104">
                  <c:v>0.22372198981453151</c:v>
                </c:pt>
                <c:pt idx="105">
                  <c:v>0.22079991179758096</c:v>
                </c:pt>
                <c:pt idx="106">
                  <c:v>0.22780088890604655</c:v>
                </c:pt>
                <c:pt idx="107">
                  <c:v>0.23863358125310219</c:v>
                </c:pt>
                <c:pt idx="108">
                  <c:v>0.31604882437530302</c:v>
                </c:pt>
                <c:pt idx="109">
                  <c:v>0.35271748475730025</c:v>
                </c:pt>
                <c:pt idx="110">
                  <c:v>0.35343343776557901</c:v>
                </c:pt>
                <c:pt idx="111">
                  <c:v>0.37432638371118343</c:v>
                </c:pt>
                <c:pt idx="112">
                  <c:v>0.39002589398309317</c:v>
                </c:pt>
                <c:pt idx="113">
                  <c:v>0.38767979955380683</c:v>
                </c:pt>
                <c:pt idx="114">
                  <c:v>0.3732932870954655</c:v>
                </c:pt>
                <c:pt idx="115">
                  <c:v>0.39729327306037776</c:v>
                </c:pt>
                <c:pt idx="116">
                  <c:v>0.4052428619851256</c:v>
                </c:pt>
                <c:pt idx="117">
                  <c:v>0.40089148864206559</c:v>
                </c:pt>
                <c:pt idx="118">
                  <c:v>0.47887563125359067</c:v>
                </c:pt>
                <c:pt idx="119">
                  <c:v>0.4891378636113759</c:v>
                </c:pt>
                <c:pt idx="120">
                  <c:v>0.51283988326780983</c:v>
                </c:pt>
                <c:pt idx="121">
                  <c:v>0.48429652805979728</c:v>
                </c:pt>
                <c:pt idx="122">
                  <c:v>0.45504053925485355</c:v>
                </c:pt>
                <c:pt idx="123">
                  <c:v>0.49076410242488877</c:v>
                </c:pt>
                <c:pt idx="124">
                  <c:v>0.49339797916009975</c:v>
                </c:pt>
                <c:pt idx="125">
                  <c:v>0.4511162188969462</c:v>
                </c:pt>
                <c:pt idx="126">
                  <c:v>0.49787694373395586</c:v>
                </c:pt>
                <c:pt idx="127">
                  <c:v>0.49588048750739655</c:v>
                </c:pt>
                <c:pt idx="128">
                  <c:v>0.4506191488700374</c:v>
                </c:pt>
                <c:pt idx="129">
                  <c:v>0.44930957581227915</c:v>
                </c:pt>
                <c:pt idx="130">
                  <c:v>0.43160700612181413</c:v>
                </c:pt>
                <c:pt idx="131">
                  <c:v>0.44549023859367465</c:v>
                </c:pt>
                <c:pt idx="132">
                  <c:v>0.4756416683560748</c:v>
                </c:pt>
                <c:pt idx="133">
                  <c:v>0.46068770580612683</c:v>
                </c:pt>
                <c:pt idx="134">
                  <c:v>0.47872324492640705</c:v>
                </c:pt>
                <c:pt idx="135">
                  <c:v>0.51874362524784956</c:v>
                </c:pt>
                <c:pt idx="136">
                  <c:v>0.51371916434038734</c:v>
                </c:pt>
                <c:pt idx="137">
                  <c:v>0.50965461215574748</c:v>
                </c:pt>
                <c:pt idx="138">
                  <c:v>0.55071321911767424</c:v>
                </c:pt>
                <c:pt idx="139">
                  <c:v>0.53230025879455711</c:v>
                </c:pt>
                <c:pt idx="140">
                  <c:v>0.54512859037491523</c:v>
                </c:pt>
                <c:pt idx="141">
                  <c:v>0.49219514678388743</c:v>
                </c:pt>
                <c:pt idx="142">
                  <c:v>0.46557390092522599</c:v>
                </c:pt>
                <c:pt idx="143">
                  <c:v>0.50381104834616841</c:v>
                </c:pt>
                <c:pt idx="144">
                  <c:v>0.5177936079961698</c:v>
                </c:pt>
                <c:pt idx="145">
                  <c:v>0.53109084989105737</c:v>
                </c:pt>
                <c:pt idx="146">
                  <c:v>0.48418925986316885</c:v>
                </c:pt>
                <c:pt idx="147">
                  <c:v>0.48291432363866438</c:v>
                </c:pt>
                <c:pt idx="148">
                  <c:v>0.47448955935861525</c:v>
                </c:pt>
                <c:pt idx="149">
                  <c:v>0.48362960827725587</c:v>
                </c:pt>
                <c:pt idx="150">
                  <c:v>0.47151075367693884</c:v>
                </c:pt>
                <c:pt idx="151">
                  <c:v>0.47047768293915648</c:v>
                </c:pt>
                <c:pt idx="152">
                  <c:v>0.45457794167622667</c:v>
                </c:pt>
                <c:pt idx="153">
                  <c:v>0.46981508926208571</c:v>
                </c:pt>
                <c:pt idx="154">
                  <c:v>0.47809557822210003</c:v>
                </c:pt>
                <c:pt idx="155">
                  <c:v>0.4993966946086007</c:v>
                </c:pt>
                <c:pt idx="156">
                  <c:v>0.4498930610112325</c:v>
                </c:pt>
                <c:pt idx="157">
                  <c:v>0.39767885221319432</c:v>
                </c:pt>
                <c:pt idx="158">
                  <c:v>0.36894805603198955</c:v>
                </c:pt>
                <c:pt idx="159">
                  <c:v>0.33146959483901917</c:v>
                </c:pt>
                <c:pt idx="160">
                  <c:v>0.39711186047593205</c:v>
                </c:pt>
                <c:pt idx="161">
                  <c:v>0.36995237566562822</c:v>
                </c:pt>
                <c:pt idx="162">
                  <c:v>0.39211385277489508</c:v>
                </c:pt>
                <c:pt idx="163">
                  <c:v>0.37676826618689585</c:v>
                </c:pt>
                <c:pt idx="164">
                  <c:v>0.39635642690785189</c:v>
                </c:pt>
                <c:pt idx="165">
                  <c:v>0.36999269036700966</c:v>
                </c:pt>
                <c:pt idx="166">
                  <c:v>0.34392331113612951</c:v>
                </c:pt>
                <c:pt idx="167">
                  <c:v>0.30517733533367353</c:v>
                </c:pt>
                <c:pt idx="168">
                  <c:v>0.34533119687213509</c:v>
                </c:pt>
                <c:pt idx="169">
                  <c:v>0.33897117625920847</c:v>
                </c:pt>
                <c:pt idx="170">
                  <c:v>0.35534508218359062</c:v>
                </c:pt>
                <c:pt idx="171">
                  <c:v>0.35300184840586302</c:v>
                </c:pt>
                <c:pt idx="172">
                  <c:v>0.34551503135448969</c:v>
                </c:pt>
                <c:pt idx="173">
                  <c:v>0.38752059204069655</c:v>
                </c:pt>
                <c:pt idx="174">
                  <c:v>0.38397197584983989</c:v>
                </c:pt>
                <c:pt idx="175">
                  <c:v>0.41445629339190471</c:v>
                </c:pt>
                <c:pt idx="176">
                  <c:v>0.45122715525371637</c:v>
                </c:pt>
                <c:pt idx="177">
                  <c:v>0.43882715525371629</c:v>
                </c:pt>
                <c:pt idx="178">
                  <c:v>0.41992608869505577</c:v>
                </c:pt>
                <c:pt idx="179">
                  <c:v>0.41593543219331752</c:v>
                </c:pt>
                <c:pt idx="180">
                  <c:v>0.42422509819040233</c:v>
                </c:pt>
                <c:pt idx="181">
                  <c:v>0.41860707978610046</c:v>
                </c:pt>
                <c:pt idx="182">
                  <c:v>0.47496651205838936</c:v>
                </c:pt>
                <c:pt idx="183">
                  <c:v>0.468965899274701</c:v>
                </c:pt>
                <c:pt idx="184">
                  <c:v>0.46673495430497891</c:v>
                </c:pt>
                <c:pt idx="185">
                  <c:v>0.47844084686983346</c:v>
                </c:pt>
                <c:pt idx="186">
                  <c:v>0.48741124491898569</c:v>
                </c:pt>
                <c:pt idx="187">
                  <c:v>0.47156272044853764</c:v>
                </c:pt>
                <c:pt idx="188">
                  <c:v>0.48478610405249356</c:v>
                </c:pt>
                <c:pt idx="189">
                  <c:v>0.44705515641415583</c:v>
                </c:pt>
                <c:pt idx="190">
                  <c:v>0.41711017225872393</c:v>
                </c:pt>
                <c:pt idx="191">
                  <c:v>0.43621323203455609</c:v>
                </c:pt>
                <c:pt idx="192">
                  <c:v>0.45006810786225759</c:v>
                </c:pt>
                <c:pt idx="193">
                  <c:v>0.45368553824298419</c:v>
                </c:pt>
                <c:pt idx="194">
                  <c:v>0.46997165404668906</c:v>
                </c:pt>
                <c:pt idx="195">
                  <c:v>0.48822989724614707</c:v>
                </c:pt>
                <c:pt idx="196">
                  <c:v>0.48900395558363619</c:v>
                </c:pt>
                <c:pt idx="197">
                  <c:v>0.4883594209263673</c:v>
                </c:pt>
                <c:pt idx="198">
                  <c:v>0.49906498020284795</c:v>
                </c:pt>
                <c:pt idx="199">
                  <c:v>0.47175512858607727</c:v>
                </c:pt>
                <c:pt idx="200">
                  <c:v>0.46204641708920913</c:v>
                </c:pt>
                <c:pt idx="201">
                  <c:v>0.44919531797094336</c:v>
                </c:pt>
                <c:pt idx="202">
                  <c:v>0.4189980298269973</c:v>
                </c:pt>
                <c:pt idx="203">
                  <c:v>0.41747574921593389</c:v>
                </c:pt>
                <c:pt idx="204">
                  <c:v>0.43784998288539378</c:v>
                </c:pt>
                <c:pt idx="205">
                  <c:v>0.4875646779527113</c:v>
                </c:pt>
                <c:pt idx="206">
                  <c:v>0.46595497270413844</c:v>
                </c:pt>
                <c:pt idx="207">
                  <c:v>0.4297164068562157</c:v>
                </c:pt>
                <c:pt idx="208">
                  <c:v>0.42244308480077408</c:v>
                </c:pt>
                <c:pt idx="209">
                  <c:v>0.41359598726983138</c:v>
                </c:pt>
                <c:pt idx="210">
                  <c:v>0.38988612574780102</c:v>
                </c:pt>
                <c:pt idx="211">
                  <c:v>0.44045756860494389</c:v>
                </c:pt>
                <c:pt idx="212">
                  <c:v>0.46479807684072694</c:v>
                </c:pt>
                <c:pt idx="213">
                  <c:v>0.49718882335896031</c:v>
                </c:pt>
                <c:pt idx="214">
                  <c:v>0.49963195062306442</c:v>
                </c:pt>
                <c:pt idx="215">
                  <c:v>0.50809788197845096</c:v>
                </c:pt>
                <c:pt idx="216">
                  <c:v>0.5358261943266458</c:v>
                </c:pt>
                <c:pt idx="217">
                  <c:v>0.53731128090516989</c:v>
                </c:pt>
                <c:pt idx="218">
                  <c:v>0.56882392379969882</c:v>
                </c:pt>
                <c:pt idx="219">
                  <c:v>0.6323197418960711</c:v>
                </c:pt>
                <c:pt idx="220">
                  <c:v>0.65383605444027459</c:v>
                </c:pt>
                <c:pt idx="221">
                  <c:v>0.63420661024089209</c:v>
                </c:pt>
                <c:pt idx="222">
                  <c:v>0.60226055921605626</c:v>
                </c:pt>
                <c:pt idx="223">
                  <c:v>0.62701078056744441</c:v>
                </c:pt>
                <c:pt idx="224">
                  <c:v>0.58176750004228905</c:v>
                </c:pt>
                <c:pt idx="225">
                  <c:v>0.58580555244269483</c:v>
                </c:pt>
                <c:pt idx="226">
                  <c:v>0.62685122264560866</c:v>
                </c:pt>
                <c:pt idx="227">
                  <c:v>0.62605585850051981</c:v>
                </c:pt>
                <c:pt idx="228">
                  <c:v>0.66949456572274602</c:v>
                </c:pt>
                <c:pt idx="229">
                  <c:v>0.50428092503429001</c:v>
                </c:pt>
                <c:pt idx="230">
                  <c:v>0.40793631416367349</c:v>
                </c:pt>
                <c:pt idx="231">
                  <c:v>0.20322666673098999</c:v>
                </c:pt>
                <c:pt idx="232">
                  <c:v>5.1909715753388763E-2</c:v>
                </c:pt>
                <c:pt idx="233">
                  <c:v>0.10370761704196108</c:v>
                </c:pt>
                <c:pt idx="234">
                  <c:v>-8.3919594753464555E-2</c:v>
                </c:pt>
                <c:pt idx="235">
                  <c:v>0.2477437986164448</c:v>
                </c:pt>
                <c:pt idx="236">
                  <c:v>0.32110724857882267</c:v>
                </c:pt>
                <c:pt idx="237">
                  <c:v>0.24346967545645282</c:v>
                </c:pt>
                <c:pt idx="238">
                  <c:v>0.22256901083362668</c:v>
                </c:pt>
                <c:pt idx="239">
                  <c:v>0.25284265784068372</c:v>
                </c:pt>
                <c:pt idx="240">
                  <c:v>0.13963870229349962</c:v>
                </c:pt>
                <c:pt idx="241">
                  <c:v>0.25985959778114209</c:v>
                </c:pt>
                <c:pt idx="242">
                  <c:v>0.30441776825675204</c:v>
                </c:pt>
                <c:pt idx="243">
                  <c:v>0.45689556822044775</c:v>
                </c:pt>
                <c:pt idx="244">
                  <c:v>0.33766413395462436</c:v>
                </c:pt>
                <c:pt idx="245">
                  <c:v>0.2861620398379543</c:v>
                </c:pt>
                <c:pt idx="246">
                  <c:v>0.17794179300952762</c:v>
                </c:pt>
                <c:pt idx="247">
                  <c:v>0.26863949048728031</c:v>
                </c:pt>
                <c:pt idx="248">
                  <c:v>0.23510587932232574</c:v>
                </c:pt>
                <c:pt idx="249">
                  <c:v>0.29046083208295648</c:v>
                </c:pt>
                <c:pt idx="250">
                  <c:v>0.24713131776654618</c:v>
                </c:pt>
                <c:pt idx="251">
                  <c:v>0.20064740835057471</c:v>
                </c:pt>
                <c:pt idx="252">
                  <c:v>0.2658557625172413</c:v>
                </c:pt>
                <c:pt idx="253">
                  <c:v>0.36227664856416308</c:v>
                </c:pt>
                <c:pt idx="254">
                  <c:v>0.33694660977233371</c:v>
                </c:pt>
                <c:pt idx="255">
                  <c:v>0.41966990923652281</c:v>
                </c:pt>
                <c:pt idx="256">
                  <c:v>0.43369969287411569</c:v>
                </c:pt>
                <c:pt idx="257">
                  <c:v>0.35235278776816148</c:v>
                </c:pt>
                <c:pt idx="258">
                  <c:v>0.38701072580739326</c:v>
                </c:pt>
                <c:pt idx="259">
                  <c:v>0.3233488352426791</c:v>
                </c:pt>
                <c:pt idx="260">
                  <c:v>0.32878058286267808</c:v>
                </c:pt>
                <c:pt idx="261">
                  <c:v>0.42807264694613567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47D-4EAE-AD26-4256C0394B1B}"/>
            </c:ext>
          </c:extLst>
        </c:ser>
        <c:ser>
          <c:idx val="1"/>
          <c:order val="1"/>
          <c:tx>
            <c:strRef>
              <c:f>'Technical Analysis'!$AB$21</c:f>
              <c:strCache>
                <c:ptCount val="1"/>
                <c:pt idx="0">
                  <c:v>S&amp;P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'Technical Analysis'!$Z$22:$Z$283</c:f>
              <c:numCache>
                <c:formatCode>m/d/yyyy</c:formatCode>
                <c:ptCount val="262"/>
                <c:pt idx="1">
                  <c:v>42289</c:v>
                </c:pt>
                <c:pt idx="2">
                  <c:v>42296</c:v>
                </c:pt>
                <c:pt idx="3">
                  <c:v>42303</c:v>
                </c:pt>
                <c:pt idx="4">
                  <c:v>42310</c:v>
                </c:pt>
                <c:pt idx="5">
                  <c:v>42317</c:v>
                </c:pt>
                <c:pt idx="6">
                  <c:v>42324</c:v>
                </c:pt>
                <c:pt idx="7">
                  <c:v>42331</c:v>
                </c:pt>
                <c:pt idx="8">
                  <c:v>42338</c:v>
                </c:pt>
                <c:pt idx="9">
                  <c:v>42345</c:v>
                </c:pt>
                <c:pt idx="10">
                  <c:v>42352</c:v>
                </c:pt>
                <c:pt idx="11">
                  <c:v>42359</c:v>
                </c:pt>
                <c:pt idx="12">
                  <c:v>42366</c:v>
                </c:pt>
                <c:pt idx="13">
                  <c:v>42373</c:v>
                </c:pt>
                <c:pt idx="14">
                  <c:v>42380</c:v>
                </c:pt>
                <c:pt idx="15">
                  <c:v>42387</c:v>
                </c:pt>
                <c:pt idx="16">
                  <c:v>42394</c:v>
                </c:pt>
                <c:pt idx="17">
                  <c:v>42401</c:v>
                </c:pt>
                <c:pt idx="18">
                  <c:v>42408</c:v>
                </c:pt>
                <c:pt idx="19">
                  <c:v>42415</c:v>
                </c:pt>
                <c:pt idx="20">
                  <c:v>42422</c:v>
                </c:pt>
                <c:pt idx="21">
                  <c:v>42429</c:v>
                </c:pt>
                <c:pt idx="22">
                  <c:v>42436</c:v>
                </c:pt>
                <c:pt idx="23">
                  <c:v>42443</c:v>
                </c:pt>
                <c:pt idx="24">
                  <c:v>42450</c:v>
                </c:pt>
                <c:pt idx="25">
                  <c:v>42457</c:v>
                </c:pt>
                <c:pt idx="26">
                  <c:v>42464</c:v>
                </c:pt>
                <c:pt idx="27">
                  <c:v>42471</c:v>
                </c:pt>
                <c:pt idx="28">
                  <c:v>42478</c:v>
                </c:pt>
                <c:pt idx="29">
                  <c:v>42485</c:v>
                </c:pt>
                <c:pt idx="30">
                  <c:v>42492</c:v>
                </c:pt>
                <c:pt idx="31">
                  <c:v>42499</c:v>
                </c:pt>
                <c:pt idx="32">
                  <c:v>42506</c:v>
                </c:pt>
                <c:pt idx="33">
                  <c:v>42513</c:v>
                </c:pt>
                <c:pt idx="34">
                  <c:v>42520</c:v>
                </c:pt>
                <c:pt idx="35">
                  <c:v>42527</c:v>
                </c:pt>
                <c:pt idx="36">
                  <c:v>42534</c:v>
                </c:pt>
                <c:pt idx="37">
                  <c:v>42541</c:v>
                </c:pt>
                <c:pt idx="38">
                  <c:v>42548</c:v>
                </c:pt>
                <c:pt idx="39">
                  <c:v>42555</c:v>
                </c:pt>
                <c:pt idx="40">
                  <c:v>42562</c:v>
                </c:pt>
                <c:pt idx="41">
                  <c:v>42569</c:v>
                </c:pt>
                <c:pt idx="42">
                  <c:v>42576</c:v>
                </c:pt>
                <c:pt idx="43">
                  <c:v>42583</c:v>
                </c:pt>
                <c:pt idx="44">
                  <c:v>42590</c:v>
                </c:pt>
                <c:pt idx="45">
                  <c:v>42597</c:v>
                </c:pt>
                <c:pt idx="46">
                  <c:v>42604</c:v>
                </c:pt>
                <c:pt idx="47">
                  <c:v>42611</c:v>
                </c:pt>
                <c:pt idx="48">
                  <c:v>42618</c:v>
                </c:pt>
                <c:pt idx="49">
                  <c:v>42625</c:v>
                </c:pt>
                <c:pt idx="50">
                  <c:v>42632</c:v>
                </c:pt>
                <c:pt idx="51">
                  <c:v>42639</c:v>
                </c:pt>
                <c:pt idx="52">
                  <c:v>42646</c:v>
                </c:pt>
                <c:pt idx="53">
                  <c:v>42653</c:v>
                </c:pt>
                <c:pt idx="54">
                  <c:v>42660</c:v>
                </c:pt>
                <c:pt idx="55">
                  <c:v>42667</c:v>
                </c:pt>
                <c:pt idx="56">
                  <c:v>42674</c:v>
                </c:pt>
                <c:pt idx="57">
                  <c:v>42681</c:v>
                </c:pt>
                <c:pt idx="58">
                  <c:v>42688</c:v>
                </c:pt>
                <c:pt idx="59">
                  <c:v>42695</c:v>
                </c:pt>
                <c:pt idx="60">
                  <c:v>42702</c:v>
                </c:pt>
                <c:pt idx="61">
                  <c:v>42709</c:v>
                </c:pt>
                <c:pt idx="62">
                  <c:v>42716</c:v>
                </c:pt>
                <c:pt idx="63">
                  <c:v>42723</c:v>
                </c:pt>
                <c:pt idx="64">
                  <c:v>42730</c:v>
                </c:pt>
                <c:pt idx="65">
                  <c:v>42737</c:v>
                </c:pt>
                <c:pt idx="66">
                  <c:v>42744</c:v>
                </c:pt>
                <c:pt idx="67">
                  <c:v>42751</c:v>
                </c:pt>
                <c:pt idx="68">
                  <c:v>42758</c:v>
                </c:pt>
                <c:pt idx="69">
                  <c:v>42765</c:v>
                </c:pt>
                <c:pt idx="70">
                  <c:v>42772</c:v>
                </c:pt>
                <c:pt idx="71">
                  <c:v>42779</c:v>
                </c:pt>
                <c:pt idx="72">
                  <c:v>42786</c:v>
                </c:pt>
                <c:pt idx="73">
                  <c:v>42793</c:v>
                </c:pt>
                <c:pt idx="74">
                  <c:v>42800</c:v>
                </c:pt>
                <c:pt idx="75">
                  <c:v>42807</c:v>
                </c:pt>
                <c:pt idx="76">
                  <c:v>42814</c:v>
                </c:pt>
                <c:pt idx="77">
                  <c:v>42821</c:v>
                </c:pt>
                <c:pt idx="78">
                  <c:v>42828</c:v>
                </c:pt>
                <c:pt idx="79">
                  <c:v>42835</c:v>
                </c:pt>
                <c:pt idx="80">
                  <c:v>42842</c:v>
                </c:pt>
                <c:pt idx="81">
                  <c:v>42849</c:v>
                </c:pt>
                <c:pt idx="82">
                  <c:v>42856</c:v>
                </c:pt>
                <c:pt idx="83">
                  <c:v>42863</c:v>
                </c:pt>
                <c:pt idx="84">
                  <c:v>42870</c:v>
                </c:pt>
                <c:pt idx="85">
                  <c:v>42877</c:v>
                </c:pt>
                <c:pt idx="86">
                  <c:v>42884</c:v>
                </c:pt>
                <c:pt idx="87">
                  <c:v>42891</c:v>
                </c:pt>
                <c:pt idx="88">
                  <c:v>42898</c:v>
                </c:pt>
                <c:pt idx="89">
                  <c:v>42905</c:v>
                </c:pt>
                <c:pt idx="90">
                  <c:v>42912</c:v>
                </c:pt>
                <c:pt idx="91">
                  <c:v>42919</c:v>
                </c:pt>
                <c:pt idx="92">
                  <c:v>42926</c:v>
                </c:pt>
                <c:pt idx="93">
                  <c:v>42933</c:v>
                </c:pt>
                <c:pt idx="94">
                  <c:v>42940</c:v>
                </c:pt>
                <c:pt idx="95">
                  <c:v>42947</c:v>
                </c:pt>
                <c:pt idx="96">
                  <c:v>42954</c:v>
                </c:pt>
                <c:pt idx="97">
                  <c:v>42961</c:v>
                </c:pt>
                <c:pt idx="98">
                  <c:v>42968</c:v>
                </c:pt>
                <c:pt idx="99">
                  <c:v>42975</c:v>
                </c:pt>
                <c:pt idx="100">
                  <c:v>42982</c:v>
                </c:pt>
                <c:pt idx="101">
                  <c:v>42989</c:v>
                </c:pt>
                <c:pt idx="102">
                  <c:v>42996</c:v>
                </c:pt>
                <c:pt idx="103">
                  <c:v>43003</c:v>
                </c:pt>
                <c:pt idx="104">
                  <c:v>43010</c:v>
                </c:pt>
                <c:pt idx="105">
                  <c:v>43017</c:v>
                </c:pt>
                <c:pt idx="106">
                  <c:v>43024</c:v>
                </c:pt>
                <c:pt idx="107">
                  <c:v>43031</c:v>
                </c:pt>
                <c:pt idx="108">
                  <c:v>43038</c:v>
                </c:pt>
                <c:pt idx="109">
                  <c:v>43045</c:v>
                </c:pt>
                <c:pt idx="110">
                  <c:v>43052</c:v>
                </c:pt>
                <c:pt idx="111">
                  <c:v>43059</c:v>
                </c:pt>
                <c:pt idx="112">
                  <c:v>43066</c:v>
                </c:pt>
                <c:pt idx="113">
                  <c:v>43073</c:v>
                </c:pt>
                <c:pt idx="114">
                  <c:v>43080</c:v>
                </c:pt>
                <c:pt idx="115">
                  <c:v>43087</c:v>
                </c:pt>
                <c:pt idx="116">
                  <c:v>43094</c:v>
                </c:pt>
                <c:pt idx="117">
                  <c:v>43101</c:v>
                </c:pt>
                <c:pt idx="118">
                  <c:v>43108</c:v>
                </c:pt>
                <c:pt idx="119">
                  <c:v>43115</c:v>
                </c:pt>
                <c:pt idx="120">
                  <c:v>43122</c:v>
                </c:pt>
                <c:pt idx="121">
                  <c:v>43129</c:v>
                </c:pt>
                <c:pt idx="122">
                  <c:v>43136</c:v>
                </c:pt>
                <c:pt idx="123">
                  <c:v>43143</c:v>
                </c:pt>
                <c:pt idx="124">
                  <c:v>43150</c:v>
                </c:pt>
                <c:pt idx="125">
                  <c:v>43157</c:v>
                </c:pt>
                <c:pt idx="126">
                  <c:v>43164</c:v>
                </c:pt>
                <c:pt idx="127">
                  <c:v>43171</c:v>
                </c:pt>
                <c:pt idx="128">
                  <c:v>43178</c:v>
                </c:pt>
                <c:pt idx="129">
                  <c:v>43185</c:v>
                </c:pt>
                <c:pt idx="130">
                  <c:v>43192</c:v>
                </c:pt>
                <c:pt idx="131">
                  <c:v>43199</c:v>
                </c:pt>
                <c:pt idx="132">
                  <c:v>43206</c:v>
                </c:pt>
                <c:pt idx="133">
                  <c:v>43213</c:v>
                </c:pt>
                <c:pt idx="134">
                  <c:v>43220</c:v>
                </c:pt>
                <c:pt idx="135">
                  <c:v>43227</c:v>
                </c:pt>
                <c:pt idx="136">
                  <c:v>43234</c:v>
                </c:pt>
                <c:pt idx="137">
                  <c:v>43241</c:v>
                </c:pt>
                <c:pt idx="138">
                  <c:v>43248</c:v>
                </c:pt>
                <c:pt idx="139">
                  <c:v>43255</c:v>
                </c:pt>
                <c:pt idx="140">
                  <c:v>43262</c:v>
                </c:pt>
                <c:pt idx="141">
                  <c:v>43269</c:v>
                </c:pt>
                <c:pt idx="142">
                  <c:v>43276</c:v>
                </c:pt>
                <c:pt idx="143">
                  <c:v>43283</c:v>
                </c:pt>
                <c:pt idx="144">
                  <c:v>43290</c:v>
                </c:pt>
                <c:pt idx="145">
                  <c:v>43297</c:v>
                </c:pt>
                <c:pt idx="146">
                  <c:v>43304</c:v>
                </c:pt>
                <c:pt idx="147">
                  <c:v>43311</c:v>
                </c:pt>
                <c:pt idx="148">
                  <c:v>43318</c:v>
                </c:pt>
                <c:pt idx="149">
                  <c:v>43325</c:v>
                </c:pt>
                <c:pt idx="150">
                  <c:v>43332</c:v>
                </c:pt>
                <c:pt idx="151">
                  <c:v>43339</c:v>
                </c:pt>
                <c:pt idx="152">
                  <c:v>43346</c:v>
                </c:pt>
                <c:pt idx="153">
                  <c:v>43353</c:v>
                </c:pt>
                <c:pt idx="154">
                  <c:v>43360</c:v>
                </c:pt>
                <c:pt idx="155">
                  <c:v>43367</c:v>
                </c:pt>
                <c:pt idx="156">
                  <c:v>43374</c:v>
                </c:pt>
                <c:pt idx="157">
                  <c:v>43381</c:v>
                </c:pt>
                <c:pt idx="158">
                  <c:v>43388</c:v>
                </c:pt>
                <c:pt idx="159">
                  <c:v>43395</c:v>
                </c:pt>
                <c:pt idx="160">
                  <c:v>43402</c:v>
                </c:pt>
                <c:pt idx="161">
                  <c:v>43409</c:v>
                </c:pt>
                <c:pt idx="162">
                  <c:v>43416</c:v>
                </c:pt>
                <c:pt idx="163">
                  <c:v>43423</c:v>
                </c:pt>
                <c:pt idx="164">
                  <c:v>43430</c:v>
                </c:pt>
                <c:pt idx="165">
                  <c:v>43437</c:v>
                </c:pt>
                <c:pt idx="166">
                  <c:v>43444</c:v>
                </c:pt>
                <c:pt idx="167">
                  <c:v>43451</c:v>
                </c:pt>
                <c:pt idx="168">
                  <c:v>43458</c:v>
                </c:pt>
                <c:pt idx="169">
                  <c:v>43465</c:v>
                </c:pt>
                <c:pt idx="170">
                  <c:v>43472</c:v>
                </c:pt>
                <c:pt idx="171">
                  <c:v>43479</c:v>
                </c:pt>
                <c:pt idx="172">
                  <c:v>43486</c:v>
                </c:pt>
                <c:pt idx="173">
                  <c:v>43493</c:v>
                </c:pt>
                <c:pt idx="174">
                  <c:v>43500</c:v>
                </c:pt>
                <c:pt idx="175">
                  <c:v>43507</c:v>
                </c:pt>
                <c:pt idx="176">
                  <c:v>43514</c:v>
                </c:pt>
                <c:pt idx="177">
                  <c:v>43521</c:v>
                </c:pt>
                <c:pt idx="178">
                  <c:v>43528</c:v>
                </c:pt>
                <c:pt idx="179">
                  <c:v>43535</c:v>
                </c:pt>
                <c:pt idx="180">
                  <c:v>43542</c:v>
                </c:pt>
                <c:pt idx="181">
                  <c:v>43549</c:v>
                </c:pt>
                <c:pt idx="182">
                  <c:v>43556</c:v>
                </c:pt>
                <c:pt idx="183">
                  <c:v>43563</c:v>
                </c:pt>
                <c:pt idx="184">
                  <c:v>43570</c:v>
                </c:pt>
                <c:pt idx="185">
                  <c:v>43577</c:v>
                </c:pt>
                <c:pt idx="186">
                  <c:v>43584</c:v>
                </c:pt>
                <c:pt idx="187">
                  <c:v>43591</c:v>
                </c:pt>
                <c:pt idx="188">
                  <c:v>43598</c:v>
                </c:pt>
                <c:pt idx="189">
                  <c:v>43605</c:v>
                </c:pt>
                <c:pt idx="190">
                  <c:v>43612</c:v>
                </c:pt>
                <c:pt idx="191">
                  <c:v>43619</c:v>
                </c:pt>
                <c:pt idx="192">
                  <c:v>43626</c:v>
                </c:pt>
                <c:pt idx="193">
                  <c:v>43633</c:v>
                </c:pt>
                <c:pt idx="194">
                  <c:v>43640</c:v>
                </c:pt>
                <c:pt idx="195">
                  <c:v>43647</c:v>
                </c:pt>
                <c:pt idx="196">
                  <c:v>43654</c:v>
                </c:pt>
                <c:pt idx="197">
                  <c:v>43661</c:v>
                </c:pt>
                <c:pt idx="198">
                  <c:v>43668</c:v>
                </c:pt>
                <c:pt idx="199">
                  <c:v>43675</c:v>
                </c:pt>
                <c:pt idx="200">
                  <c:v>43682</c:v>
                </c:pt>
                <c:pt idx="201">
                  <c:v>43689</c:v>
                </c:pt>
                <c:pt idx="202">
                  <c:v>43696</c:v>
                </c:pt>
                <c:pt idx="203">
                  <c:v>43703</c:v>
                </c:pt>
                <c:pt idx="204">
                  <c:v>43710</c:v>
                </c:pt>
                <c:pt idx="205">
                  <c:v>43717</c:v>
                </c:pt>
                <c:pt idx="206">
                  <c:v>43724</c:v>
                </c:pt>
                <c:pt idx="207">
                  <c:v>43731</c:v>
                </c:pt>
                <c:pt idx="208">
                  <c:v>43738</c:v>
                </c:pt>
                <c:pt idx="209">
                  <c:v>43745</c:v>
                </c:pt>
                <c:pt idx="210">
                  <c:v>43752</c:v>
                </c:pt>
                <c:pt idx="211">
                  <c:v>43759</c:v>
                </c:pt>
                <c:pt idx="212">
                  <c:v>43766</c:v>
                </c:pt>
                <c:pt idx="213">
                  <c:v>43773</c:v>
                </c:pt>
                <c:pt idx="214">
                  <c:v>43780</c:v>
                </c:pt>
                <c:pt idx="215">
                  <c:v>43787</c:v>
                </c:pt>
                <c:pt idx="216">
                  <c:v>43794</c:v>
                </c:pt>
                <c:pt idx="217">
                  <c:v>43801</c:v>
                </c:pt>
                <c:pt idx="218">
                  <c:v>43808</c:v>
                </c:pt>
                <c:pt idx="219">
                  <c:v>43815</c:v>
                </c:pt>
                <c:pt idx="220">
                  <c:v>43822</c:v>
                </c:pt>
                <c:pt idx="221">
                  <c:v>43829</c:v>
                </c:pt>
                <c:pt idx="222">
                  <c:v>43836</c:v>
                </c:pt>
                <c:pt idx="223">
                  <c:v>43843</c:v>
                </c:pt>
                <c:pt idx="224">
                  <c:v>43850</c:v>
                </c:pt>
                <c:pt idx="225">
                  <c:v>43857</c:v>
                </c:pt>
                <c:pt idx="226">
                  <c:v>43864</c:v>
                </c:pt>
                <c:pt idx="227">
                  <c:v>43871</c:v>
                </c:pt>
                <c:pt idx="228">
                  <c:v>43878</c:v>
                </c:pt>
                <c:pt idx="229">
                  <c:v>43885</c:v>
                </c:pt>
                <c:pt idx="230">
                  <c:v>43892</c:v>
                </c:pt>
                <c:pt idx="231">
                  <c:v>43899</c:v>
                </c:pt>
                <c:pt idx="232">
                  <c:v>43906</c:v>
                </c:pt>
                <c:pt idx="233">
                  <c:v>43913</c:v>
                </c:pt>
                <c:pt idx="234">
                  <c:v>43920</c:v>
                </c:pt>
                <c:pt idx="235">
                  <c:v>43927</c:v>
                </c:pt>
                <c:pt idx="236">
                  <c:v>43934</c:v>
                </c:pt>
                <c:pt idx="237">
                  <c:v>43941</c:v>
                </c:pt>
                <c:pt idx="238">
                  <c:v>43948</c:v>
                </c:pt>
                <c:pt idx="239">
                  <c:v>43955</c:v>
                </c:pt>
                <c:pt idx="240">
                  <c:v>43962</c:v>
                </c:pt>
                <c:pt idx="241">
                  <c:v>43969</c:v>
                </c:pt>
                <c:pt idx="242">
                  <c:v>43976</c:v>
                </c:pt>
                <c:pt idx="243">
                  <c:v>43983</c:v>
                </c:pt>
                <c:pt idx="244">
                  <c:v>43990</c:v>
                </c:pt>
                <c:pt idx="245">
                  <c:v>43997</c:v>
                </c:pt>
                <c:pt idx="246">
                  <c:v>44004</c:v>
                </c:pt>
                <c:pt idx="247">
                  <c:v>44011</c:v>
                </c:pt>
                <c:pt idx="248">
                  <c:v>44018</c:v>
                </c:pt>
                <c:pt idx="249">
                  <c:v>44025</c:v>
                </c:pt>
                <c:pt idx="250">
                  <c:v>44032</c:v>
                </c:pt>
                <c:pt idx="251">
                  <c:v>44039</c:v>
                </c:pt>
                <c:pt idx="252">
                  <c:v>44046</c:v>
                </c:pt>
                <c:pt idx="253">
                  <c:v>44053</c:v>
                </c:pt>
                <c:pt idx="254">
                  <c:v>44060</c:v>
                </c:pt>
                <c:pt idx="255">
                  <c:v>44067</c:v>
                </c:pt>
                <c:pt idx="256">
                  <c:v>44074</c:v>
                </c:pt>
                <c:pt idx="257">
                  <c:v>44081</c:v>
                </c:pt>
                <c:pt idx="258">
                  <c:v>44088</c:v>
                </c:pt>
                <c:pt idx="259">
                  <c:v>44095</c:v>
                </c:pt>
                <c:pt idx="260">
                  <c:v>44102</c:v>
                </c:pt>
                <c:pt idx="261">
                  <c:v>44109</c:v>
                </c:pt>
              </c:numCache>
            </c:numRef>
          </c:cat>
          <c:val>
            <c:numRef>
              <c:f>'Technical Analysis'!$AB$22:$AB$283</c:f>
              <c:numCache>
                <c:formatCode>0.0%</c:formatCode>
                <c:ptCount val="262"/>
                <c:pt idx="1">
                  <c:v>9.0426623112727089E-3</c:v>
                </c:pt>
                <c:pt idx="2">
                  <c:v>2.9720302630864115E-2</c:v>
                </c:pt>
                <c:pt idx="3">
                  <c:v>3.1749170519367986E-2</c:v>
                </c:pt>
                <c:pt idx="4">
                  <c:v>4.1290492358337039E-2</c:v>
                </c:pt>
                <c:pt idx="5">
                  <c:v>5.0100456273243221E-3</c:v>
                </c:pt>
                <c:pt idx="6">
                  <c:v>3.7698416457932593E-2</c:v>
                </c:pt>
                <c:pt idx="7">
                  <c:v>3.8148444476285404E-2</c:v>
                </c:pt>
                <c:pt idx="8">
                  <c:v>3.8904306090804752E-2</c:v>
                </c:pt>
                <c:pt idx="9">
                  <c:v>9.8284151557304078E-4</c:v>
                </c:pt>
                <c:pt idx="10">
                  <c:v>-2.4061704538684836E-3</c:v>
                </c:pt>
                <c:pt idx="11">
                  <c:v>2.5237089322990958E-2</c:v>
                </c:pt>
                <c:pt idx="12">
                  <c:v>1.6964342204990657E-2</c:v>
                </c:pt>
                <c:pt idx="13">
                  <c:v>-4.2680224425648894E-2</c:v>
                </c:pt>
                <c:pt idx="14">
                  <c:v>-6.4376073278591073E-2</c:v>
                </c:pt>
                <c:pt idx="15">
                  <c:v>-5.024553841410262E-2</c:v>
                </c:pt>
                <c:pt idx="16">
                  <c:v>-3.2761682113097046E-2</c:v>
                </c:pt>
                <c:pt idx="17">
                  <c:v>-6.3783587295043187E-2</c:v>
                </c:pt>
                <c:pt idx="18">
                  <c:v>-7.1905722132954542E-2</c:v>
                </c:pt>
                <c:pt idx="19">
                  <c:v>-4.3484139331887328E-2</c:v>
                </c:pt>
                <c:pt idx="20">
                  <c:v>-2.7700254036249983E-2</c:v>
                </c:pt>
                <c:pt idx="21">
                  <c:v>-1.0377249977057135E-3</c:v>
                </c:pt>
                <c:pt idx="22">
                  <c:v>1.0062306057949777E-2</c:v>
                </c:pt>
                <c:pt idx="23">
                  <c:v>2.3607095518456744E-2</c:v>
                </c:pt>
                <c:pt idx="24">
                  <c:v>1.6952006924255469E-2</c:v>
                </c:pt>
                <c:pt idx="25">
                  <c:v>3.5046886472571037E-2</c:v>
                </c:pt>
                <c:pt idx="26">
                  <c:v>2.2898924485428629E-2</c:v>
                </c:pt>
                <c:pt idx="27">
                  <c:v>3.9078844581305838E-2</c:v>
                </c:pt>
                <c:pt idx="28">
                  <c:v>4.4293407789550598E-2</c:v>
                </c:pt>
                <c:pt idx="29">
                  <c:v>3.1728730359112722E-2</c:v>
                </c:pt>
                <c:pt idx="30">
                  <c:v>2.7777655064290085E-2</c:v>
                </c:pt>
                <c:pt idx="31">
                  <c:v>2.2658942410945015E-2</c:v>
                </c:pt>
                <c:pt idx="32">
                  <c:v>2.54489625133828E-2</c:v>
                </c:pt>
                <c:pt idx="33">
                  <c:v>4.8223183615039855E-2</c:v>
                </c:pt>
                <c:pt idx="34">
                  <c:v>4.8256448027699572E-2</c:v>
                </c:pt>
                <c:pt idx="35">
                  <c:v>4.6798789297394117E-2</c:v>
                </c:pt>
                <c:pt idx="36">
                  <c:v>3.4943223312564609E-2</c:v>
                </c:pt>
                <c:pt idx="37">
                  <c:v>1.8619540906356313E-2</c:v>
                </c:pt>
                <c:pt idx="38">
                  <c:v>5.0787791727879394E-2</c:v>
                </c:pt>
                <c:pt idx="39">
                  <c:v>6.3603099570648025E-2</c:v>
                </c:pt>
                <c:pt idx="40">
                  <c:v>7.8552200216223778E-2</c:v>
                </c:pt>
                <c:pt idx="41">
                  <c:v>8.4700043648587631E-2</c:v>
                </c:pt>
                <c:pt idx="42">
                  <c:v>8.4042613185129844E-2</c:v>
                </c:pt>
                <c:pt idx="43">
                  <c:v>8.8307435867337802E-2</c:v>
                </c:pt>
                <c:pt idx="44">
                  <c:v>8.8847977418944901E-2</c:v>
                </c:pt>
                <c:pt idx="45">
                  <c:v>8.8765592860000186E-2</c:v>
                </c:pt>
                <c:pt idx="46">
                  <c:v>8.1974860258936855E-2</c:v>
                </c:pt>
                <c:pt idx="47">
                  <c:v>8.7018538938581691E-2</c:v>
                </c:pt>
                <c:pt idx="48">
                  <c:v>6.3087162743099334E-2</c:v>
                </c:pt>
                <c:pt idx="49">
                  <c:v>6.8421216387593464E-2</c:v>
                </c:pt>
                <c:pt idx="50">
                  <c:v>8.0355821583205422E-2</c:v>
                </c:pt>
                <c:pt idx="51">
                  <c:v>8.2009674604920813E-2</c:v>
                </c:pt>
                <c:pt idx="52">
                  <c:v>7.5308465868935137E-2</c:v>
                </c:pt>
                <c:pt idx="53">
                  <c:v>6.5669414685231242E-2</c:v>
                </c:pt>
                <c:pt idx="54">
                  <c:v>6.9504393014469867E-2</c:v>
                </c:pt>
                <c:pt idx="55">
                  <c:v>6.2615603476923187E-2</c:v>
                </c:pt>
                <c:pt idx="56">
                  <c:v>4.3226124634049845E-2</c:v>
                </c:pt>
                <c:pt idx="57">
                  <c:v>8.1242037689556956E-2</c:v>
                </c:pt>
                <c:pt idx="58">
                  <c:v>8.9304109529997455E-2</c:v>
                </c:pt>
                <c:pt idx="59">
                  <c:v>0.10371824281410069</c:v>
                </c:pt>
                <c:pt idx="60">
                  <c:v>9.4049574933977587E-2</c:v>
                </c:pt>
                <c:pt idx="61">
                  <c:v>0.12488060644049948</c:v>
                </c:pt>
                <c:pt idx="62">
                  <c:v>0.12423447163314483</c:v>
                </c:pt>
                <c:pt idx="63">
                  <c:v>0.12676759541927518</c:v>
                </c:pt>
                <c:pt idx="64">
                  <c:v>0.11574185514743185</c:v>
                </c:pt>
                <c:pt idx="65">
                  <c:v>0.13278196121661612</c:v>
                </c:pt>
                <c:pt idx="66">
                  <c:v>0.13175424598830743</c:v>
                </c:pt>
                <c:pt idx="67">
                  <c:v>0.13029035097343167</c:v>
                </c:pt>
                <c:pt idx="68">
                  <c:v>0.14058391785451785</c:v>
                </c:pt>
                <c:pt idx="69">
                  <c:v>0.14177361278942935</c:v>
                </c:pt>
                <c:pt idx="70">
                  <c:v>0.14990454950723153</c:v>
                </c:pt>
                <c:pt idx="71">
                  <c:v>0.16504198421062588</c:v>
                </c:pt>
                <c:pt idx="72">
                  <c:v>0.17192376877892279</c:v>
                </c:pt>
                <c:pt idx="73">
                  <c:v>0.178589489973773</c:v>
                </c:pt>
                <c:pt idx="74">
                  <c:v>0.17417510107035372</c:v>
                </c:pt>
                <c:pt idx="75">
                  <c:v>0.17655641345618844</c:v>
                </c:pt>
                <c:pt idx="76">
                  <c:v>0.1621466499746369</c:v>
                </c:pt>
                <c:pt idx="77">
                  <c:v>0.170141594965592</c:v>
                </c:pt>
                <c:pt idx="78">
                  <c:v>0.16710275325429047</c:v>
                </c:pt>
                <c:pt idx="79">
                  <c:v>0.15581443399002182</c:v>
                </c:pt>
                <c:pt idx="80">
                  <c:v>0.16429035250064672</c:v>
                </c:pt>
                <c:pt idx="81">
                  <c:v>0.17940942351130595</c:v>
                </c:pt>
                <c:pt idx="82">
                  <c:v>0.18573862756722859</c:v>
                </c:pt>
                <c:pt idx="83">
                  <c:v>0.18224170270044726</c:v>
                </c:pt>
                <c:pt idx="84">
                  <c:v>0.17840635936703153</c:v>
                </c:pt>
                <c:pt idx="85">
                  <c:v>0.19271952176842166</c:v>
                </c:pt>
                <c:pt idx="86">
                  <c:v>0.20234358289282817</c:v>
                </c:pt>
                <c:pt idx="87">
                  <c:v>0.19935061926469178</c:v>
                </c:pt>
                <c:pt idx="88">
                  <c:v>0.1999180586148982</c:v>
                </c:pt>
                <c:pt idx="89">
                  <c:v>0.20203471694152519</c:v>
                </c:pt>
                <c:pt idx="90">
                  <c:v>0.19592794718359219</c:v>
                </c:pt>
                <c:pt idx="91">
                  <c:v>0.19665833125573595</c:v>
                </c:pt>
                <c:pt idx="92">
                  <c:v>0.21071505651153433</c:v>
                </c:pt>
                <c:pt idx="93">
                  <c:v>0.21611097436198667</c:v>
                </c:pt>
                <c:pt idx="94">
                  <c:v>0.21593304357297582</c:v>
                </c:pt>
                <c:pt idx="95">
                  <c:v>0.21784638842653847</c:v>
                </c:pt>
                <c:pt idx="96">
                  <c:v>0.2035095106909961</c:v>
                </c:pt>
                <c:pt idx="97">
                  <c:v>0.19704988288278358</c:v>
                </c:pt>
                <c:pt idx="98">
                  <c:v>0.20426474122273608</c:v>
                </c:pt>
                <c:pt idx="99">
                  <c:v>0.21797710868475861</c:v>
                </c:pt>
                <c:pt idx="100">
                  <c:v>0.21187179415412549</c:v>
                </c:pt>
                <c:pt idx="101">
                  <c:v>0.22763500865622333</c:v>
                </c:pt>
                <c:pt idx="102">
                  <c:v>0.22843093183765806</c:v>
                </c:pt>
                <c:pt idx="103">
                  <c:v>0.23528090354224407</c:v>
                </c:pt>
                <c:pt idx="104">
                  <c:v>0.24717676984445669</c:v>
                </c:pt>
                <c:pt idx="105">
                  <c:v>0.24868298672595701</c:v>
                </c:pt>
                <c:pt idx="106">
                  <c:v>0.25731540825422528</c:v>
                </c:pt>
                <c:pt idx="107">
                  <c:v>0.2595909924158073</c:v>
                </c:pt>
                <c:pt idx="108">
                  <c:v>0.26221394329340431</c:v>
                </c:pt>
                <c:pt idx="109">
                  <c:v>0.2600731467945443</c:v>
                </c:pt>
                <c:pt idx="110">
                  <c:v>0.25873714751694832</c:v>
                </c:pt>
                <c:pt idx="111">
                  <c:v>0.26787681174880096</c:v>
                </c:pt>
                <c:pt idx="112">
                  <c:v>0.28317028866370741</c:v>
                </c:pt>
                <c:pt idx="113">
                  <c:v>0.28668249775373555</c:v>
                </c:pt>
                <c:pt idx="114">
                  <c:v>0.29585091525326412</c:v>
                </c:pt>
                <c:pt idx="115">
                  <c:v>0.29866502717973409</c:v>
                </c:pt>
                <c:pt idx="116">
                  <c:v>0.29503895643174627</c:v>
                </c:pt>
                <c:pt idx="117">
                  <c:v>0.32104865575848518</c:v>
                </c:pt>
                <c:pt idx="118">
                  <c:v>0.33675690705331351</c:v>
                </c:pt>
                <c:pt idx="119">
                  <c:v>0.34539222170185535</c:v>
                </c:pt>
                <c:pt idx="120">
                  <c:v>0.36765677242919292</c:v>
                </c:pt>
                <c:pt idx="121">
                  <c:v>0.32910987351277388</c:v>
                </c:pt>
                <c:pt idx="122">
                  <c:v>0.27749034798736971</c:v>
                </c:pt>
                <c:pt idx="123">
                  <c:v>0.32050152162118184</c:v>
                </c:pt>
                <c:pt idx="124">
                  <c:v>0.32602087151250136</c:v>
                </c:pt>
                <c:pt idx="125">
                  <c:v>0.30561900495249394</c:v>
                </c:pt>
                <c:pt idx="126">
                  <c:v>0.34103751605328358</c:v>
                </c:pt>
                <c:pt idx="127">
                  <c:v>0.32863515144136313</c:v>
                </c:pt>
                <c:pt idx="128">
                  <c:v>0.26913318763854976</c:v>
                </c:pt>
                <c:pt idx="129">
                  <c:v>0.28945962578492435</c:v>
                </c:pt>
                <c:pt idx="130">
                  <c:v>0.27567623455879686</c:v>
                </c:pt>
                <c:pt idx="131">
                  <c:v>0.29557666673006877</c:v>
                </c:pt>
                <c:pt idx="132">
                  <c:v>0.30078686277144229</c:v>
                </c:pt>
                <c:pt idx="133">
                  <c:v>0.30070073207821424</c:v>
                </c:pt>
                <c:pt idx="134">
                  <c:v>0.29826994219619218</c:v>
                </c:pt>
                <c:pt idx="135">
                  <c:v>0.32241185405503126</c:v>
                </c:pt>
                <c:pt idx="136">
                  <c:v>0.31700440748543612</c:v>
                </c:pt>
                <c:pt idx="137">
                  <c:v>0.32008594067207818</c:v>
                </c:pt>
                <c:pt idx="138">
                  <c:v>0.32496959631805811</c:v>
                </c:pt>
                <c:pt idx="139">
                  <c:v>0.34120947977533334</c:v>
                </c:pt>
                <c:pt idx="140">
                  <c:v>0.34143613547657692</c:v>
                </c:pt>
                <c:pt idx="141">
                  <c:v>0.33252136540235933</c:v>
                </c:pt>
                <c:pt idx="142">
                  <c:v>0.31926860392070744</c:v>
                </c:pt>
                <c:pt idx="143">
                  <c:v>0.33451669348025004</c:v>
                </c:pt>
                <c:pt idx="144">
                  <c:v>0.34955027899586921</c:v>
                </c:pt>
                <c:pt idx="145">
                  <c:v>0.34973591321309183</c:v>
                </c:pt>
                <c:pt idx="146">
                  <c:v>0.35579980343020579</c:v>
                </c:pt>
                <c:pt idx="147">
                  <c:v>0.36343776168245989</c:v>
                </c:pt>
                <c:pt idx="148">
                  <c:v>0.36094860761480529</c:v>
                </c:pt>
                <c:pt idx="149">
                  <c:v>0.36689572679382521</c:v>
                </c:pt>
                <c:pt idx="150">
                  <c:v>0.37551289829414591</c:v>
                </c:pt>
                <c:pt idx="151">
                  <c:v>0.38484610624027538</c:v>
                </c:pt>
                <c:pt idx="152">
                  <c:v>0.37456181118309362</c:v>
                </c:pt>
                <c:pt idx="153">
                  <c:v>0.38615782772690388</c:v>
                </c:pt>
                <c:pt idx="154">
                  <c:v>0.39465700574877782</c:v>
                </c:pt>
                <c:pt idx="155">
                  <c:v>0.38930147341314569</c:v>
                </c:pt>
                <c:pt idx="156">
                  <c:v>0.3795519513865736</c:v>
                </c:pt>
                <c:pt idx="157">
                  <c:v>0.33850627160445301</c:v>
                </c:pt>
                <c:pt idx="158">
                  <c:v>0.3387412247969267</c:v>
                </c:pt>
                <c:pt idx="159">
                  <c:v>0.29932693361157758</c:v>
                </c:pt>
                <c:pt idx="160">
                  <c:v>0.32353815019886745</c:v>
                </c:pt>
                <c:pt idx="161">
                  <c:v>0.34481933744571847</c:v>
                </c:pt>
                <c:pt idx="162">
                  <c:v>0.32873166072426718</c:v>
                </c:pt>
                <c:pt idx="163">
                  <c:v>0.29082971382503531</c:v>
                </c:pt>
                <c:pt idx="164">
                  <c:v>0.33930338969189244</c:v>
                </c:pt>
                <c:pt idx="165">
                  <c:v>0.2932591795195304</c:v>
                </c:pt>
                <c:pt idx="166">
                  <c:v>0.28067690855982441</c:v>
                </c:pt>
                <c:pt idx="167">
                  <c:v>0.21016407659954484</c:v>
                </c:pt>
                <c:pt idx="168">
                  <c:v>0.23876595428556102</c:v>
                </c:pt>
                <c:pt idx="169">
                  <c:v>0.25735194927532656</c:v>
                </c:pt>
                <c:pt idx="170">
                  <c:v>0.28275542269839538</c:v>
                </c:pt>
                <c:pt idx="171">
                  <c:v>0.31143126822744172</c:v>
                </c:pt>
                <c:pt idx="172">
                  <c:v>0.30920341455299327</c:v>
                </c:pt>
                <c:pt idx="173">
                  <c:v>0.32487837921894835</c:v>
                </c:pt>
                <c:pt idx="174">
                  <c:v>0.32537711892829446</c:v>
                </c:pt>
                <c:pt idx="175">
                  <c:v>0.35038569313616297</c:v>
                </c:pt>
                <c:pt idx="176">
                  <c:v>0.35653565112625685</c:v>
                </c:pt>
                <c:pt idx="177">
                  <c:v>0.36048170250640277</c:v>
                </c:pt>
                <c:pt idx="178">
                  <c:v>0.33886024140490212</c:v>
                </c:pt>
                <c:pt idx="179">
                  <c:v>0.36780952451887627</c:v>
                </c:pt>
                <c:pt idx="180">
                  <c:v>0.3600964427063349</c:v>
                </c:pt>
                <c:pt idx="181">
                  <c:v>0.37212551443069541</c:v>
                </c:pt>
                <c:pt idx="182">
                  <c:v>0.39270838559112486</c:v>
                </c:pt>
                <c:pt idx="183">
                  <c:v>0.39777967511272472</c:v>
                </c:pt>
                <c:pt idx="184">
                  <c:v>0.39696111733379669</c:v>
                </c:pt>
                <c:pt idx="185">
                  <c:v>0.4089575007281524</c:v>
                </c:pt>
                <c:pt idx="186">
                  <c:v>0.41091676785103981</c:v>
                </c:pt>
                <c:pt idx="187">
                  <c:v>0.3891082666989949</c:v>
                </c:pt>
                <c:pt idx="188">
                  <c:v>0.38151825012933371</c:v>
                </c:pt>
                <c:pt idx="189">
                  <c:v>0.36981354003342159</c:v>
                </c:pt>
                <c:pt idx="190">
                  <c:v>0.34362867543214171</c:v>
                </c:pt>
                <c:pt idx="191">
                  <c:v>0.38769749166432399</c:v>
                </c:pt>
                <c:pt idx="192">
                  <c:v>0.3924445426858737</c:v>
                </c:pt>
                <c:pt idx="193">
                  <c:v>0.41443291165267204</c:v>
                </c:pt>
                <c:pt idx="194">
                  <c:v>0.41148423547505963</c:v>
                </c:pt>
                <c:pt idx="195">
                  <c:v>0.42802192102201908</c:v>
                </c:pt>
                <c:pt idx="196">
                  <c:v>0.43583359523640008</c:v>
                </c:pt>
                <c:pt idx="197">
                  <c:v>0.42350355254787408</c:v>
                </c:pt>
                <c:pt idx="198">
                  <c:v>0.44004921967578592</c:v>
                </c:pt>
                <c:pt idx="199">
                  <c:v>0.40904644536279622</c:v>
                </c:pt>
                <c:pt idx="200">
                  <c:v>0.40447621403111411</c:v>
                </c:pt>
                <c:pt idx="201">
                  <c:v>0.39420777793692441</c:v>
                </c:pt>
                <c:pt idx="202">
                  <c:v>0.37981718223973382</c:v>
                </c:pt>
                <c:pt idx="203">
                  <c:v>0.40768749670523619</c:v>
                </c:pt>
                <c:pt idx="204">
                  <c:v>0.42554183289856162</c:v>
                </c:pt>
                <c:pt idx="205">
                  <c:v>0.43517013923771652</c:v>
                </c:pt>
                <c:pt idx="206">
                  <c:v>0.43007607909085677</c:v>
                </c:pt>
                <c:pt idx="207">
                  <c:v>0.4199559855396251</c:v>
                </c:pt>
                <c:pt idx="208">
                  <c:v>0.4166539185898348</c:v>
                </c:pt>
                <c:pt idx="209">
                  <c:v>0.42283953785878836</c:v>
                </c:pt>
                <c:pt idx="210">
                  <c:v>0.42820266339711899</c:v>
                </c:pt>
                <c:pt idx="211">
                  <c:v>0.44037535732132427</c:v>
                </c:pt>
                <c:pt idx="212">
                  <c:v>0.45505166119747553</c:v>
                </c:pt>
                <c:pt idx="213">
                  <c:v>0.46358473414415813</c:v>
                </c:pt>
                <c:pt idx="214">
                  <c:v>0.47243671414776145</c:v>
                </c:pt>
                <c:pt idx="215">
                  <c:v>0.46917760423220245</c:v>
                </c:pt>
                <c:pt idx="216">
                  <c:v>0.47904483224476024</c:v>
                </c:pt>
                <c:pt idx="217">
                  <c:v>0.48061438443273685</c:v>
                </c:pt>
                <c:pt idx="218">
                  <c:v>0.48789054225044359</c:v>
                </c:pt>
                <c:pt idx="219">
                  <c:v>0.50443305714233233</c:v>
                </c:pt>
                <c:pt idx="220">
                  <c:v>0.51026937045506893</c:v>
                </c:pt>
                <c:pt idx="221">
                  <c:v>0.50867372537630795</c:v>
                </c:pt>
                <c:pt idx="222">
                  <c:v>0.5181022921030497</c:v>
                </c:pt>
                <c:pt idx="223">
                  <c:v>0.53778472034845126</c:v>
                </c:pt>
                <c:pt idx="224">
                  <c:v>0.52752825120182401</c:v>
                </c:pt>
                <c:pt idx="225">
                  <c:v>0.50630215853050342</c:v>
                </c:pt>
                <c:pt idx="226">
                  <c:v>0.53798385337857946</c:v>
                </c:pt>
                <c:pt idx="227">
                  <c:v>0.55374542864045662</c:v>
                </c:pt>
                <c:pt idx="228">
                  <c:v>0.54119871099865524</c:v>
                </c:pt>
                <c:pt idx="229">
                  <c:v>0.42629195375200701</c:v>
                </c:pt>
                <c:pt idx="230">
                  <c:v>0.43243575691432057</c:v>
                </c:pt>
                <c:pt idx="231">
                  <c:v>0.34450925829113443</c:v>
                </c:pt>
                <c:pt idx="232">
                  <c:v>0.19471320551244642</c:v>
                </c:pt>
                <c:pt idx="233">
                  <c:v>0.29734152103099298</c:v>
                </c:pt>
                <c:pt idx="234">
                  <c:v>0.27655824615357372</c:v>
                </c:pt>
                <c:pt idx="235">
                  <c:v>0.39757573670456081</c:v>
                </c:pt>
                <c:pt idx="236">
                  <c:v>0.42795045225413719</c:v>
                </c:pt>
                <c:pt idx="237">
                  <c:v>0.41479363234996147</c:v>
                </c:pt>
                <c:pt idx="238">
                  <c:v>0.41266794264231932</c:v>
                </c:pt>
                <c:pt idx="239">
                  <c:v>0.44767332622637068</c:v>
                </c:pt>
                <c:pt idx="240">
                  <c:v>0.42511202617363797</c:v>
                </c:pt>
                <c:pt idx="241">
                  <c:v>0.45715099728440711</c:v>
                </c:pt>
                <c:pt idx="242">
                  <c:v>0.48721752166250842</c:v>
                </c:pt>
                <c:pt idx="243">
                  <c:v>0.53636490484631849</c:v>
                </c:pt>
                <c:pt idx="244">
                  <c:v>0.48858055257518662</c:v>
                </c:pt>
                <c:pt idx="245">
                  <c:v>0.50713503400104776</c:v>
                </c:pt>
                <c:pt idx="246">
                  <c:v>0.47850450294088598</c:v>
                </c:pt>
                <c:pt idx="247">
                  <c:v>0.51870322314502448</c:v>
                </c:pt>
                <c:pt idx="248">
                  <c:v>0.53628464583191227</c:v>
                </c:pt>
                <c:pt idx="249">
                  <c:v>0.54874600911589211</c:v>
                </c:pt>
                <c:pt idx="250">
                  <c:v>0.54592403733641304</c:v>
                </c:pt>
                <c:pt idx="251">
                  <c:v>0.56318044930514077</c:v>
                </c:pt>
                <c:pt idx="252">
                  <c:v>0.58768578971847785</c:v>
                </c:pt>
                <c:pt idx="253">
                  <c:v>0.59412215696124637</c:v>
                </c:pt>
                <c:pt idx="254">
                  <c:v>0.6013296560476763</c:v>
                </c:pt>
                <c:pt idx="255">
                  <c:v>0.63395988272862736</c:v>
                </c:pt>
                <c:pt idx="256">
                  <c:v>0.61085560173485676</c:v>
                </c:pt>
                <c:pt idx="257">
                  <c:v>0.58576339436196767</c:v>
                </c:pt>
                <c:pt idx="258">
                  <c:v>0.57932813747949863</c:v>
                </c:pt>
                <c:pt idx="259">
                  <c:v>0.57299881075458459</c:v>
                </c:pt>
                <c:pt idx="260">
                  <c:v>0.58814526139843404</c:v>
                </c:pt>
                <c:pt idx="261">
                  <c:v>0.61753528961843684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47D-4EAE-AD26-4256C0394B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1460728"/>
        <c:axId val="891461384"/>
      </c:lineChart>
      <c:dateAx>
        <c:axId val="8914607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91461384"/>
        <c:crosses val="autoZero"/>
        <c:auto val="1"/>
        <c:lblOffset val="100"/>
        <c:baseTimeUnit val="days"/>
      </c:dateAx>
      <c:valAx>
        <c:axId val="891461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91460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784860</xdr:colOff>
      <xdr:row>18</xdr:row>
      <xdr:rowOff>190500</xdr:rowOff>
    </xdr:from>
    <xdr:to>
      <xdr:col>1</xdr:col>
      <xdr:colOff>541020</xdr:colOff>
      <xdr:row>18</xdr:row>
      <xdr:rowOff>190500</xdr:rowOff>
    </xdr:to>
    <xdr:sp macro="" textlink="">
      <xdr:nvSpPr>
        <xdr:cNvPr id="2" name="Line 14">
          <a:extLst>
            <a:ext uri="{FF2B5EF4-FFF2-40B4-BE49-F238E27FC236}">
              <a16:creationId xmlns:a16="http://schemas.microsoft.com/office/drawing/2014/main" id="{002975E4-224A-4C3D-BC40-DE402343F1F4}"/>
            </a:ext>
          </a:extLst>
        </xdr:cNvPr>
        <xdr:cNvSpPr>
          <a:spLocks noChangeShapeType="1"/>
        </xdr:cNvSpPr>
      </xdr:nvSpPr>
      <xdr:spPr bwMode="auto">
        <a:xfrm>
          <a:off x="1534160" y="4250267"/>
          <a:ext cx="2164927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411480</xdr:colOff>
      <xdr:row>114</xdr:row>
      <xdr:rowOff>0</xdr:rowOff>
    </xdr:from>
    <xdr:to>
      <xdr:col>5</xdr:col>
      <xdr:colOff>411480</xdr:colOff>
      <xdr:row>115</xdr:row>
      <xdr:rowOff>91440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638E1BF5-323B-44DC-BC8A-CE3543930509}"/>
            </a:ext>
          </a:extLst>
        </xdr:cNvPr>
        <xdr:cNvSpPr>
          <a:spLocks noChangeShapeType="1"/>
        </xdr:cNvSpPr>
      </xdr:nvSpPr>
      <xdr:spPr bwMode="auto">
        <a:xfrm>
          <a:off x="6981613" y="21086233"/>
          <a:ext cx="0" cy="27770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361950</xdr:colOff>
      <xdr:row>114</xdr:row>
      <xdr:rowOff>0</xdr:rowOff>
    </xdr:from>
    <xdr:to>
      <xdr:col>6</xdr:col>
      <xdr:colOff>361950</xdr:colOff>
      <xdr:row>116</xdr:row>
      <xdr:rowOff>102870</xdr:rowOff>
    </xdr:to>
    <xdr:sp macro="" textlink="">
      <xdr:nvSpPr>
        <xdr:cNvPr id="4" name="Line 2">
          <a:extLst>
            <a:ext uri="{FF2B5EF4-FFF2-40B4-BE49-F238E27FC236}">
              <a16:creationId xmlns:a16="http://schemas.microsoft.com/office/drawing/2014/main" id="{4BB2AC47-F010-4D66-9A1A-18956E86BAB0}"/>
            </a:ext>
          </a:extLst>
        </xdr:cNvPr>
        <xdr:cNvSpPr>
          <a:spLocks noChangeShapeType="1"/>
        </xdr:cNvSpPr>
      </xdr:nvSpPr>
      <xdr:spPr bwMode="auto">
        <a:xfrm>
          <a:off x="7821083" y="21086233"/>
          <a:ext cx="0" cy="4711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411480</xdr:colOff>
      <xdr:row>114</xdr:row>
      <xdr:rowOff>0</xdr:rowOff>
    </xdr:from>
    <xdr:to>
      <xdr:col>7</xdr:col>
      <xdr:colOff>411480</xdr:colOff>
      <xdr:row>117</xdr:row>
      <xdr:rowOff>72390</xdr:rowOff>
    </xdr:to>
    <xdr:sp macro="" textlink="">
      <xdr:nvSpPr>
        <xdr:cNvPr id="5" name="Line 3">
          <a:extLst>
            <a:ext uri="{FF2B5EF4-FFF2-40B4-BE49-F238E27FC236}">
              <a16:creationId xmlns:a16="http://schemas.microsoft.com/office/drawing/2014/main" id="{8B9164D9-B6EF-4255-B201-09E8DAFEC21B}"/>
            </a:ext>
          </a:extLst>
        </xdr:cNvPr>
        <xdr:cNvSpPr>
          <a:spLocks noChangeShapeType="1"/>
        </xdr:cNvSpPr>
      </xdr:nvSpPr>
      <xdr:spPr bwMode="auto">
        <a:xfrm>
          <a:off x="8649547" y="21086233"/>
          <a:ext cx="0" cy="62272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411480</xdr:colOff>
      <xdr:row>114</xdr:row>
      <xdr:rowOff>0</xdr:rowOff>
    </xdr:from>
    <xdr:to>
      <xdr:col>8</xdr:col>
      <xdr:colOff>411480</xdr:colOff>
      <xdr:row>118</xdr:row>
      <xdr:rowOff>87630</xdr:rowOff>
    </xdr:to>
    <xdr:sp macro="" textlink="">
      <xdr:nvSpPr>
        <xdr:cNvPr id="6" name="Line 4">
          <a:extLst>
            <a:ext uri="{FF2B5EF4-FFF2-40B4-BE49-F238E27FC236}">
              <a16:creationId xmlns:a16="http://schemas.microsoft.com/office/drawing/2014/main" id="{C71F37F2-1FCD-43FA-8CEB-2229713C99AA}"/>
            </a:ext>
          </a:extLst>
        </xdr:cNvPr>
        <xdr:cNvSpPr>
          <a:spLocks noChangeShapeType="1"/>
        </xdr:cNvSpPr>
      </xdr:nvSpPr>
      <xdr:spPr bwMode="auto">
        <a:xfrm>
          <a:off x="9534313" y="21086233"/>
          <a:ext cx="0" cy="81999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114</xdr:row>
      <xdr:rowOff>53340</xdr:rowOff>
    </xdr:from>
    <xdr:to>
      <xdr:col>4</xdr:col>
      <xdr:colOff>491490</xdr:colOff>
      <xdr:row>114</xdr:row>
      <xdr:rowOff>53340</xdr:rowOff>
    </xdr:to>
    <xdr:sp macro="" textlink="">
      <xdr:nvSpPr>
        <xdr:cNvPr id="7" name="Line 6">
          <a:extLst>
            <a:ext uri="{FF2B5EF4-FFF2-40B4-BE49-F238E27FC236}">
              <a16:creationId xmlns:a16="http://schemas.microsoft.com/office/drawing/2014/main" id="{7282B1FD-58CB-4E87-97AB-3F37B65EDAF7}"/>
            </a:ext>
          </a:extLst>
        </xdr:cNvPr>
        <xdr:cNvSpPr>
          <a:spLocks noChangeShapeType="1"/>
        </xdr:cNvSpPr>
      </xdr:nvSpPr>
      <xdr:spPr bwMode="auto">
        <a:xfrm flipH="1">
          <a:off x="5770033" y="21139573"/>
          <a:ext cx="49149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115</xdr:row>
      <xdr:rowOff>91440</xdr:rowOff>
    </xdr:from>
    <xdr:to>
      <xdr:col>5</xdr:col>
      <xdr:colOff>411480</xdr:colOff>
      <xdr:row>115</xdr:row>
      <xdr:rowOff>91440</xdr:rowOff>
    </xdr:to>
    <xdr:sp macro="" textlink="">
      <xdr:nvSpPr>
        <xdr:cNvPr id="8" name="Line 7">
          <a:extLst>
            <a:ext uri="{FF2B5EF4-FFF2-40B4-BE49-F238E27FC236}">
              <a16:creationId xmlns:a16="http://schemas.microsoft.com/office/drawing/2014/main" id="{9BE96A42-9A0E-45D5-A0C7-209613D1818C}"/>
            </a:ext>
          </a:extLst>
        </xdr:cNvPr>
        <xdr:cNvSpPr>
          <a:spLocks noChangeShapeType="1"/>
        </xdr:cNvSpPr>
      </xdr:nvSpPr>
      <xdr:spPr bwMode="auto">
        <a:xfrm flipH="1">
          <a:off x="5770033" y="21363940"/>
          <a:ext cx="12115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116</xdr:row>
      <xdr:rowOff>91440</xdr:rowOff>
    </xdr:from>
    <xdr:to>
      <xdr:col>6</xdr:col>
      <xdr:colOff>361950</xdr:colOff>
      <xdr:row>116</xdr:row>
      <xdr:rowOff>91440</xdr:rowOff>
    </xdr:to>
    <xdr:sp macro="" textlink="">
      <xdr:nvSpPr>
        <xdr:cNvPr id="9" name="Line 8">
          <a:extLst>
            <a:ext uri="{FF2B5EF4-FFF2-40B4-BE49-F238E27FC236}">
              <a16:creationId xmlns:a16="http://schemas.microsoft.com/office/drawing/2014/main" id="{047F6021-D458-4F5F-9D45-861AA72722A1}"/>
            </a:ext>
          </a:extLst>
        </xdr:cNvPr>
        <xdr:cNvSpPr>
          <a:spLocks noChangeShapeType="1"/>
        </xdr:cNvSpPr>
      </xdr:nvSpPr>
      <xdr:spPr bwMode="auto">
        <a:xfrm flipH="1">
          <a:off x="5770033" y="21545973"/>
          <a:ext cx="2051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117</xdr:row>
      <xdr:rowOff>64770</xdr:rowOff>
    </xdr:from>
    <xdr:to>
      <xdr:col>7</xdr:col>
      <xdr:colOff>411480</xdr:colOff>
      <xdr:row>117</xdr:row>
      <xdr:rowOff>64770</xdr:rowOff>
    </xdr:to>
    <xdr:sp macro="" textlink="">
      <xdr:nvSpPr>
        <xdr:cNvPr id="10" name="Line 9">
          <a:extLst>
            <a:ext uri="{FF2B5EF4-FFF2-40B4-BE49-F238E27FC236}">
              <a16:creationId xmlns:a16="http://schemas.microsoft.com/office/drawing/2014/main" id="{48100384-EE4D-431D-BB08-02A6AC0D997B}"/>
            </a:ext>
          </a:extLst>
        </xdr:cNvPr>
        <xdr:cNvSpPr>
          <a:spLocks noChangeShapeType="1"/>
        </xdr:cNvSpPr>
      </xdr:nvSpPr>
      <xdr:spPr bwMode="auto">
        <a:xfrm flipH="1">
          <a:off x="5770033" y="21701337"/>
          <a:ext cx="2879514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118</xdr:row>
      <xdr:rowOff>80010</xdr:rowOff>
    </xdr:from>
    <xdr:to>
      <xdr:col>20</xdr:col>
      <xdr:colOff>422910</xdr:colOff>
      <xdr:row>118</xdr:row>
      <xdr:rowOff>80010</xdr:rowOff>
    </xdr:to>
    <xdr:sp macro="" textlink="">
      <xdr:nvSpPr>
        <xdr:cNvPr id="11" name="Line 10">
          <a:extLst>
            <a:ext uri="{FF2B5EF4-FFF2-40B4-BE49-F238E27FC236}">
              <a16:creationId xmlns:a16="http://schemas.microsoft.com/office/drawing/2014/main" id="{9498ECB5-D466-42D4-9AB3-FD401657FDE1}"/>
            </a:ext>
          </a:extLst>
        </xdr:cNvPr>
        <xdr:cNvSpPr>
          <a:spLocks noChangeShapeType="1"/>
        </xdr:cNvSpPr>
      </xdr:nvSpPr>
      <xdr:spPr bwMode="auto">
        <a:xfrm flipH="1">
          <a:off x="5770033" y="21898610"/>
          <a:ext cx="377571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480060</xdr:colOff>
      <xdr:row>114</xdr:row>
      <xdr:rowOff>0</xdr:rowOff>
    </xdr:from>
    <xdr:to>
      <xdr:col>4</xdr:col>
      <xdr:colOff>480060</xdr:colOff>
      <xdr:row>114</xdr:row>
      <xdr:rowOff>53340</xdr:rowOff>
    </xdr:to>
    <xdr:sp macro="" textlink="">
      <xdr:nvSpPr>
        <xdr:cNvPr id="12" name="Line 12">
          <a:extLst>
            <a:ext uri="{FF2B5EF4-FFF2-40B4-BE49-F238E27FC236}">
              <a16:creationId xmlns:a16="http://schemas.microsoft.com/office/drawing/2014/main" id="{58BC617E-03C3-474A-B5EF-9ABBD851ABEB}"/>
            </a:ext>
          </a:extLst>
        </xdr:cNvPr>
        <xdr:cNvSpPr>
          <a:spLocks noChangeShapeType="1"/>
        </xdr:cNvSpPr>
      </xdr:nvSpPr>
      <xdr:spPr bwMode="auto">
        <a:xfrm>
          <a:off x="6250093" y="21086233"/>
          <a:ext cx="0" cy="533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461010</xdr:colOff>
      <xdr:row>104</xdr:row>
      <xdr:rowOff>83820</xdr:rowOff>
    </xdr:from>
    <xdr:to>
      <xdr:col>9</xdr:col>
      <xdr:colOff>461010</xdr:colOff>
      <xdr:row>107</xdr:row>
      <xdr:rowOff>110490</xdr:rowOff>
    </xdr:to>
    <xdr:sp macro="" textlink="">
      <xdr:nvSpPr>
        <xdr:cNvPr id="13" name="Line 21">
          <a:extLst>
            <a:ext uri="{FF2B5EF4-FFF2-40B4-BE49-F238E27FC236}">
              <a16:creationId xmlns:a16="http://schemas.microsoft.com/office/drawing/2014/main" id="{7B74A0F0-9FF4-42E9-A731-DED3C036BAE5}"/>
            </a:ext>
          </a:extLst>
        </xdr:cNvPr>
        <xdr:cNvSpPr>
          <a:spLocks noChangeShapeType="1"/>
        </xdr:cNvSpPr>
      </xdr:nvSpPr>
      <xdr:spPr bwMode="auto">
        <a:xfrm flipV="1">
          <a:off x="10333143" y="19430153"/>
          <a:ext cx="0" cy="48810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11430</xdr:colOff>
      <xdr:row>107</xdr:row>
      <xdr:rowOff>91440</xdr:rowOff>
    </xdr:from>
    <xdr:to>
      <xdr:col>9</xdr:col>
      <xdr:colOff>472440</xdr:colOff>
      <xdr:row>107</xdr:row>
      <xdr:rowOff>91440</xdr:rowOff>
    </xdr:to>
    <xdr:sp macro="" textlink="">
      <xdr:nvSpPr>
        <xdr:cNvPr id="14" name="Line 22">
          <a:extLst>
            <a:ext uri="{FF2B5EF4-FFF2-40B4-BE49-F238E27FC236}">
              <a16:creationId xmlns:a16="http://schemas.microsoft.com/office/drawing/2014/main" id="{40D317B4-EB82-489E-B533-433A3A5C8E67}"/>
            </a:ext>
          </a:extLst>
        </xdr:cNvPr>
        <xdr:cNvSpPr>
          <a:spLocks noChangeShapeType="1"/>
        </xdr:cNvSpPr>
      </xdr:nvSpPr>
      <xdr:spPr bwMode="auto">
        <a:xfrm>
          <a:off x="9883563" y="19899207"/>
          <a:ext cx="46101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7</xdr:col>
      <xdr:colOff>148166</xdr:colOff>
      <xdr:row>16</xdr:row>
      <xdr:rowOff>148167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34C1B748-556C-4553-B86F-459036469C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33867</xdr:colOff>
      <xdr:row>2</xdr:row>
      <xdr:rowOff>29634</xdr:rowOff>
    </xdr:from>
    <xdr:to>
      <xdr:col>15</xdr:col>
      <xdr:colOff>558800</xdr:colOff>
      <xdr:row>16</xdr:row>
      <xdr:rowOff>143934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CE1FC95E-5764-40C4-9D57-3A8355B7C7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finance.yahoo.com/quote/H?p=H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EEDBC5-E6C8-40C2-8C13-3227A2C3EF8C}">
  <dimension ref="B1:M195"/>
  <sheetViews>
    <sheetView workbookViewId="0">
      <selection activeCell="I121" sqref="I121"/>
    </sheetView>
  </sheetViews>
  <sheetFormatPr defaultColWidth="24.46875" defaultRowHeight="12.7"/>
  <cols>
    <col min="1" max="1" width="3.8203125" style="1" customWidth="1"/>
    <col min="2" max="2" width="37.9375" style="18" customWidth="1"/>
    <col min="3" max="3" width="12" style="18" customWidth="1"/>
    <col min="4" max="7" width="12" style="3" customWidth="1"/>
    <col min="8" max="8" width="7.5859375" style="4" customWidth="1"/>
    <col min="9" max="10" width="7.5859375" style="1" customWidth="1"/>
    <col min="11" max="11" width="11.3515625" style="286" customWidth="1"/>
    <col min="12" max="257" width="24.46875" style="1"/>
    <col min="258" max="258" width="3.8203125" style="1" customWidth="1"/>
    <col min="259" max="259" width="32.234375" style="1" customWidth="1"/>
    <col min="260" max="263" width="13.87890625" style="1" customWidth="1"/>
    <col min="264" max="267" width="7.5859375" style="1" customWidth="1"/>
    <col min="268" max="513" width="24.46875" style="1"/>
    <col min="514" max="514" width="3.8203125" style="1" customWidth="1"/>
    <col min="515" max="515" width="32.234375" style="1" customWidth="1"/>
    <col min="516" max="519" width="13.87890625" style="1" customWidth="1"/>
    <col min="520" max="523" width="7.5859375" style="1" customWidth="1"/>
    <col min="524" max="769" width="24.46875" style="1"/>
    <col min="770" max="770" width="3.8203125" style="1" customWidth="1"/>
    <col min="771" max="771" width="32.234375" style="1" customWidth="1"/>
    <col min="772" max="775" width="13.87890625" style="1" customWidth="1"/>
    <col min="776" max="779" width="7.5859375" style="1" customWidth="1"/>
    <col min="780" max="1025" width="24.46875" style="1"/>
    <col min="1026" max="1026" width="3.8203125" style="1" customWidth="1"/>
    <col min="1027" max="1027" width="32.234375" style="1" customWidth="1"/>
    <col min="1028" max="1031" width="13.87890625" style="1" customWidth="1"/>
    <col min="1032" max="1035" width="7.5859375" style="1" customWidth="1"/>
    <col min="1036" max="1281" width="24.46875" style="1"/>
    <col min="1282" max="1282" width="3.8203125" style="1" customWidth="1"/>
    <col min="1283" max="1283" width="32.234375" style="1" customWidth="1"/>
    <col min="1284" max="1287" width="13.87890625" style="1" customWidth="1"/>
    <col min="1288" max="1291" width="7.5859375" style="1" customWidth="1"/>
    <col min="1292" max="1537" width="24.46875" style="1"/>
    <col min="1538" max="1538" width="3.8203125" style="1" customWidth="1"/>
    <col min="1539" max="1539" width="32.234375" style="1" customWidth="1"/>
    <col min="1540" max="1543" width="13.87890625" style="1" customWidth="1"/>
    <col min="1544" max="1547" width="7.5859375" style="1" customWidth="1"/>
    <col min="1548" max="1793" width="24.46875" style="1"/>
    <col min="1794" max="1794" width="3.8203125" style="1" customWidth="1"/>
    <col min="1795" max="1795" width="32.234375" style="1" customWidth="1"/>
    <col min="1796" max="1799" width="13.87890625" style="1" customWidth="1"/>
    <col min="1800" max="1803" width="7.5859375" style="1" customWidth="1"/>
    <col min="1804" max="2049" width="24.46875" style="1"/>
    <col min="2050" max="2050" width="3.8203125" style="1" customWidth="1"/>
    <col min="2051" max="2051" width="32.234375" style="1" customWidth="1"/>
    <col min="2052" max="2055" width="13.87890625" style="1" customWidth="1"/>
    <col min="2056" max="2059" width="7.5859375" style="1" customWidth="1"/>
    <col min="2060" max="2305" width="24.46875" style="1"/>
    <col min="2306" max="2306" width="3.8203125" style="1" customWidth="1"/>
    <col min="2307" max="2307" width="32.234375" style="1" customWidth="1"/>
    <col min="2308" max="2311" width="13.87890625" style="1" customWidth="1"/>
    <col min="2312" max="2315" width="7.5859375" style="1" customWidth="1"/>
    <col min="2316" max="2561" width="24.46875" style="1"/>
    <col min="2562" max="2562" width="3.8203125" style="1" customWidth="1"/>
    <col min="2563" max="2563" width="32.234375" style="1" customWidth="1"/>
    <col min="2564" max="2567" width="13.87890625" style="1" customWidth="1"/>
    <col min="2568" max="2571" width="7.5859375" style="1" customWidth="1"/>
    <col min="2572" max="2817" width="24.46875" style="1"/>
    <col min="2818" max="2818" width="3.8203125" style="1" customWidth="1"/>
    <col min="2819" max="2819" width="32.234375" style="1" customWidth="1"/>
    <col min="2820" max="2823" width="13.87890625" style="1" customWidth="1"/>
    <col min="2824" max="2827" width="7.5859375" style="1" customWidth="1"/>
    <col min="2828" max="3073" width="24.46875" style="1"/>
    <col min="3074" max="3074" width="3.8203125" style="1" customWidth="1"/>
    <col min="3075" max="3075" width="32.234375" style="1" customWidth="1"/>
    <col min="3076" max="3079" width="13.87890625" style="1" customWidth="1"/>
    <col min="3080" max="3083" width="7.5859375" style="1" customWidth="1"/>
    <col min="3084" max="3329" width="24.46875" style="1"/>
    <col min="3330" max="3330" width="3.8203125" style="1" customWidth="1"/>
    <col min="3331" max="3331" width="32.234375" style="1" customWidth="1"/>
    <col min="3332" max="3335" width="13.87890625" style="1" customWidth="1"/>
    <col min="3336" max="3339" width="7.5859375" style="1" customWidth="1"/>
    <col min="3340" max="3585" width="24.46875" style="1"/>
    <col min="3586" max="3586" width="3.8203125" style="1" customWidth="1"/>
    <col min="3587" max="3587" width="32.234375" style="1" customWidth="1"/>
    <col min="3588" max="3591" width="13.87890625" style="1" customWidth="1"/>
    <col min="3592" max="3595" width="7.5859375" style="1" customWidth="1"/>
    <col min="3596" max="3841" width="24.46875" style="1"/>
    <col min="3842" max="3842" width="3.8203125" style="1" customWidth="1"/>
    <col min="3843" max="3843" width="32.234375" style="1" customWidth="1"/>
    <col min="3844" max="3847" width="13.87890625" style="1" customWidth="1"/>
    <col min="3848" max="3851" width="7.5859375" style="1" customWidth="1"/>
    <col min="3852" max="4097" width="24.46875" style="1"/>
    <col min="4098" max="4098" width="3.8203125" style="1" customWidth="1"/>
    <col min="4099" max="4099" width="32.234375" style="1" customWidth="1"/>
    <col min="4100" max="4103" width="13.87890625" style="1" customWidth="1"/>
    <col min="4104" max="4107" width="7.5859375" style="1" customWidth="1"/>
    <col min="4108" max="4353" width="24.46875" style="1"/>
    <col min="4354" max="4354" width="3.8203125" style="1" customWidth="1"/>
    <col min="4355" max="4355" width="32.234375" style="1" customWidth="1"/>
    <col min="4356" max="4359" width="13.87890625" style="1" customWidth="1"/>
    <col min="4360" max="4363" width="7.5859375" style="1" customWidth="1"/>
    <col min="4364" max="4609" width="24.46875" style="1"/>
    <col min="4610" max="4610" width="3.8203125" style="1" customWidth="1"/>
    <col min="4611" max="4611" width="32.234375" style="1" customWidth="1"/>
    <col min="4612" max="4615" width="13.87890625" style="1" customWidth="1"/>
    <col min="4616" max="4619" width="7.5859375" style="1" customWidth="1"/>
    <col min="4620" max="4865" width="24.46875" style="1"/>
    <col min="4866" max="4866" width="3.8203125" style="1" customWidth="1"/>
    <col min="4867" max="4867" width="32.234375" style="1" customWidth="1"/>
    <col min="4868" max="4871" width="13.87890625" style="1" customWidth="1"/>
    <col min="4872" max="4875" width="7.5859375" style="1" customWidth="1"/>
    <col min="4876" max="5121" width="24.46875" style="1"/>
    <col min="5122" max="5122" width="3.8203125" style="1" customWidth="1"/>
    <col min="5123" max="5123" width="32.234375" style="1" customWidth="1"/>
    <col min="5124" max="5127" width="13.87890625" style="1" customWidth="1"/>
    <col min="5128" max="5131" width="7.5859375" style="1" customWidth="1"/>
    <col min="5132" max="5377" width="24.46875" style="1"/>
    <col min="5378" max="5378" width="3.8203125" style="1" customWidth="1"/>
    <col min="5379" max="5379" width="32.234375" style="1" customWidth="1"/>
    <col min="5380" max="5383" width="13.87890625" style="1" customWidth="1"/>
    <col min="5384" max="5387" width="7.5859375" style="1" customWidth="1"/>
    <col min="5388" max="5633" width="24.46875" style="1"/>
    <col min="5634" max="5634" width="3.8203125" style="1" customWidth="1"/>
    <col min="5635" max="5635" width="32.234375" style="1" customWidth="1"/>
    <col min="5636" max="5639" width="13.87890625" style="1" customWidth="1"/>
    <col min="5640" max="5643" width="7.5859375" style="1" customWidth="1"/>
    <col min="5644" max="5889" width="24.46875" style="1"/>
    <col min="5890" max="5890" width="3.8203125" style="1" customWidth="1"/>
    <col min="5891" max="5891" width="32.234375" style="1" customWidth="1"/>
    <col min="5892" max="5895" width="13.87890625" style="1" customWidth="1"/>
    <col min="5896" max="5899" width="7.5859375" style="1" customWidth="1"/>
    <col min="5900" max="6145" width="24.46875" style="1"/>
    <col min="6146" max="6146" width="3.8203125" style="1" customWidth="1"/>
    <col min="6147" max="6147" width="32.234375" style="1" customWidth="1"/>
    <col min="6148" max="6151" width="13.87890625" style="1" customWidth="1"/>
    <col min="6152" max="6155" width="7.5859375" style="1" customWidth="1"/>
    <col min="6156" max="6401" width="24.46875" style="1"/>
    <col min="6402" max="6402" width="3.8203125" style="1" customWidth="1"/>
    <col min="6403" max="6403" width="32.234375" style="1" customWidth="1"/>
    <col min="6404" max="6407" width="13.87890625" style="1" customWidth="1"/>
    <col min="6408" max="6411" width="7.5859375" style="1" customWidth="1"/>
    <col min="6412" max="6657" width="24.46875" style="1"/>
    <col min="6658" max="6658" width="3.8203125" style="1" customWidth="1"/>
    <col min="6659" max="6659" width="32.234375" style="1" customWidth="1"/>
    <col min="6660" max="6663" width="13.87890625" style="1" customWidth="1"/>
    <col min="6664" max="6667" width="7.5859375" style="1" customWidth="1"/>
    <col min="6668" max="6913" width="24.46875" style="1"/>
    <col min="6914" max="6914" width="3.8203125" style="1" customWidth="1"/>
    <col min="6915" max="6915" width="32.234375" style="1" customWidth="1"/>
    <col min="6916" max="6919" width="13.87890625" style="1" customWidth="1"/>
    <col min="6920" max="6923" width="7.5859375" style="1" customWidth="1"/>
    <col min="6924" max="7169" width="24.46875" style="1"/>
    <col min="7170" max="7170" width="3.8203125" style="1" customWidth="1"/>
    <col min="7171" max="7171" width="32.234375" style="1" customWidth="1"/>
    <col min="7172" max="7175" width="13.87890625" style="1" customWidth="1"/>
    <col min="7176" max="7179" width="7.5859375" style="1" customWidth="1"/>
    <col min="7180" max="7425" width="24.46875" style="1"/>
    <col min="7426" max="7426" width="3.8203125" style="1" customWidth="1"/>
    <col min="7427" max="7427" width="32.234375" style="1" customWidth="1"/>
    <col min="7428" max="7431" width="13.87890625" style="1" customWidth="1"/>
    <col min="7432" max="7435" width="7.5859375" style="1" customWidth="1"/>
    <col min="7436" max="7681" width="24.46875" style="1"/>
    <col min="7682" max="7682" width="3.8203125" style="1" customWidth="1"/>
    <col min="7683" max="7683" width="32.234375" style="1" customWidth="1"/>
    <col min="7684" max="7687" width="13.87890625" style="1" customWidth="1"/>
    <col min="7688" max="7691" width="7.5859375" style="1" customWidth="1"/>
    <col min="7692" max="7937" width="24.46875" style="1"/>
    <col min="7938" max="7938" width="3.8203125" style="1" customWidth="1"/>
    <col min="7939" max="7939" width="32.234375" style="1" customWidth="1"/>
    <col min="7940" max="7943" width="13.87890625" style="1" customWidth="1"/>
    <col min="7944" max="7947" width="7.5859375" style="1" customWidth="1"/>
    <col min="7948" max="8193" width="24.46875" style="1"/>
    <col min="8194" max="8194" width="3.8203125" style="1" customWidth="1"/>
    <col min="8195" max="8195" width="32.234375" style="1" customWidth="1"/>
    <col min="8196" max="8199" width="13.87890625" style="1" customWidth="1"/>
    <col min="8200" max="8203" width="7.5859375" style="1" customWidth="1"/>
    <col min="8204" max="8449" width="24.46875" style="1"/>
    <col min="8450" max="8450" width="3.8203125" style="1" customWidth="1"/>
    <col min="8451" max="8451" width="32.234375" style="1" customWidth="1"/>
    <col min="8452" max="8455" width="13.87890625" style="1" customWidth="1"/>
    <col min="8456" max="8459" width="7.5859375" style="1" customWidth="1"/>
    <col min="8460" max="8705" width="24.46875" style="1"/>
    <col min="8706" max="8706" width="3.8203125" style="1" customWidth="1"/>
    <col min="8707" max="8707" width="32.234375" style="1" customWidth="1"/>
    <col min="8708" max="8711" width="13.87890625" style="1" customWidth="1"/>
    <col min="8712" max="8715" width="7.5859375" style="1" customWidth="1"/>
    <col min="8716" max="8961" width="24.46875" style="1"/>
    <col min="8962" max="8962" width="3.8203125" style="1" customWidth="1"/>
    <col min="8963" max="8963" width="32.234375" style="1" customWidth="1"/>
    <col min="8964" max="8967" width="13.87890625" style="1" customWidth="1"/>
    <col min="8968" max="8971" width="7.5859375" style="1" customWidth="1"/>
    <col min="8972" max="9217" width="24.46875" style="1"/>
    <col min="9218" max="9218" width="3.8203125" style="1" customWidth="1"/>
    <col min="9219" max="9219" width="32.234375" style="1" customWidth="1"/>
    <col min="9220" max="9223" width="13.87890625" style="1" customWidth="1"/>
    <col min="9224" max="9227" width="7.5859375" style="1" customWidth="1"/>
    <col min="9228" max="9473" width="24.46875" style="1"/>
    <col min="9474" max="9474" width="3.8203125" style="1" customWidth="1"/>
    <col min="9475" max="9475" width="32.234375" style="1" customWidth="1"/>
    <col min="9476" max="9479" width="13.87890625" style="1" customWidth="1"/>
    <col min="9480" max="9483" width="7.5859375" style="1" customWidth="1"/>
    <col min="9484" max="9729" width="24.46875" style="1"/>
    <col min="9730" max="9730" width="3.8203125" style="1" customWidth="1"/>
    <col min="9731" max="9731" width="32.234375" style="1" customWidth="1"/>
    <col min="9732" max="9735" width="13.87890625" style="1" customWidth="1"/>
    <col min="9736" max="9739" width="7.5859375" style="1" customWidth="1"/>
    <col min="9740" max="9985" width="24.46875" style="1"/>
    <col min="9986" max="9986" width="3.8203125" style="1" customWidth="1"/>
    <col min="9987" max="9987" width="32.234375" style="1" customWidth="1"/>
    <col min="9988" max="9991" width="13.87890625" style="1" customWidth="1"/>
    <col min="9992" max="9995" width="7.5859375" style="1" customWidth="1"/>
    <col min="9996" max="10241" width="24.46875" style="1"/>
    <col min="10242" max="10242" width="3.8203125" style="1" customWidth="1"/>
    <col min="10243" max="10243" width="32.234375" style="1" customWidth="1"/>
    <col min="10244" max="10247" width="13.87890625" style="1" customWidth="1"/>
    <col min="10248" max="10251" width="7.5859375" style="1" customWidth="1"/>
    <col min="10252" max="10497" width="24.46875" style="1"/>
    <col min="10498" max="10498" width="3.8203125" style="1" customWidth="1"/>
    <col min="10499" max="10499" width="32.234375" style="1" customWidth="1"/>
    <col min="10500" max="10503" width="13.87890625" style="1" customWidth="1"/>
    <col min="10504" max="10507" width="7.5859375" style="1" customWidth="1"/>
    <col min="10508" max="10753" width="24.46875" style="1"/>
    <col min="10754" max="10754" width="3.8203125" style="1" customWidth="1"/>
    <col min="10755" max="10755" width="32.234375" style="1" customWidth="1"/>
    <col min="10756" max="10759" width="13.87890625" style="1" customWidth="1"/>
    <col min="10760" max="10763" width="7.5859375" style="1" customWidth="1"/>
    <col min="10764" max="11009" width="24.46875" style="1"/>
    <col min="11010" max="11010" width="3.8203125" style="1" customWidth="1"/>
    <col min="11011" max="11011" width="32.234375" style="1" customWidth="1"/>
    <col min="11012" max="11015" width="13.87890625" style="1" customWidth="1"/>
    <col min="11016" max="11019" width="7.5859375" style="1" customWidth="1"/>
    <col min="11020" max="11265" width="24.46875" style="1"/>
    <col min="11266" max="11266" width="3.8203125" style="1" customWidth="1"/>
    <col min="11267" max="11267" width="32.234375" style="1" customWidth="1"/>
    <col min="11268" max="11271" width="13.87890625" style="1" customWidth="1"/>
    <col min="11272" max="11275" width="7.5859375" style="1" customWidth="1"/>
    <col min="11276" max="11521" width="24.46875" style="1"/>
    <col min="11522" max="11522" width="3.8203125" style="1" customWidth="1"/>
    <col min="11523" max="11523" width="32.234375" style="1" customWidth="1"/>
    <col min="11524" max="11527" width="13.87890625" style="1" customWidth="1"/>
    <col min="11528" max="11531" width="7.5859375" style="1" customWidth="1"/>
    <col min="11532" max="11777" width="24.46875" style="1"/>
    <col min="11778" max="11778" width="3.8203125" style="1" customWidth="1"/>
    <col min="11779" max="11779" width="32.234375" style="1" customWidth="1"/>
    <col min="11780" max="11783" width="13.87890625" style="1" customWidth="1"/>
    <col min="11784" max="11787" width="7.5859375" style="1" customWidth="1"/>
    <col min="11788" max="12033" width="24.46875" style="1"/>
    <col min="12034" max="12034" width="3.8203125" style="1" customWidth="1"/>
    <col min="12035" max="12035" width="32.234375" style="1" customWidth="1"/>
    <col min="12036" max="12039" width="13.87890625" style="1" customWidth="1"/>
    <col min="12040" max="12043" width="7.5859375" style="1" customWidth="1"/>
    <col min="12044" max="12289" width="24.46875" style="1"/>
    <col min="12290" max="12290" width="3.8203125" style="1" customWidth="1"/>
    <col min="12291" max="12291" width="32.234375" style="1" customWidth="1"/>
    <col min="12292" max="12295" width="13.87890625" style="1" customWidth="1"/>
    <col min="12296" max="12299" width="7.5859375" style="1" customWidth="1"/>
    <col min="12300" max="12545" width="24.46875" style="1"/>
    <col min="12546" max="12546" width="3.8203125" style="1" customWidth="1"/>
    <col min="12547" max="12547" width="32.234375" style="1" customWidth="1"/>
    <col min="12548" max="12551" width="13.87890625" style="1" customWidth="1"/>
    <col min="12552" max="12555" width="7.5859375" style="1" customWidth="1"/>
    <col min="12556" max="12801" width="24.46875" style="1"/>
    <col min="12802" max="12802" width="3.8203125" style="1" customWidth="1"/>
    <col min="12803" max="12803" width="32.234375" style="1" customWidth="1"/>
    <col min="12804" max="12807" width="13.87890625" style="1" customWidth="1"/>
    <col min="12808" max="12811" width="7.5859375" style="1" customWidth="1"/>
    <col min="12812" max="13057" width="24.46875" style="1"/>
    <col min="13058" max="13058" width="3.8203125" style="1" customWidth="1"/>
    <col min="13059" max="13059" width="32.234375" style="1" customWidth="1"/>
    <col min="13060" max="13063" width="13.87890625" style="1" customWidth="1"/>
    <col min="13064" max="13067" width="7.5859375" style="1" customWidth="1"/>
    <col min="13068" max="13313" width="24.46875" style="1"/>
    <col min="13314" max="13314" width="3.8203125" style="1" customWidth="1"/>
    <col min="13315" max="13315" width="32.234375" style="1" customWidth="1"/>
    <col min="13316" max="13319" width="13.87890625" style="1" customWidth="1"/>
    <col min="13320" max="13323" width="7.5859375" style="1" customWidth="1"/>
    <col min="13324" max="13569" width="24.46875" style="1"/>
    <col min="13570" max="13570" width="3.8203125" style="1" customWidth="1"/>
    <col min="13571" max="13571" width="32.234375" style="1" customWidth="1"/>
    <col min="13572" max="13575" width="13.87890625" style="1" customWidth="1"/>
    <col min="13576" max="13579" width="7.5859375" style="1" customWidth="1"/>
    <col min="13580" max="13825" width="24.46875" style="1"/>
    <col min="13826" max="13826" width="3.8203125" style="1" customWidth="1"/>
    <col min="13827" max="13827" width="32.234375" style="1" customWidth="1"/>
    <col min="13828" max="13831" width="13.87890625" style="1" customWidth="1"/>
    <col min="13832" max="13835" width="7.5859375" style="1" customWidth="1"/>
    <col min="13836" max="14081" width="24.46875" style="1"/>
    <col min="14082" max="14082" width="3.8203125" style="1" customWidth="1"/>
    <col min="14083" max="14083" width="32.234375" style="1" customWidth="1"/>
    <col min="14084" max="14087" width="13.87890625" style="1" customWidth="1"/>
    <col min="14088" max="14091" width="7.5859375" style="1" customWidth="1"/>
    <col min="14092" max="14337" width="24.46875" style="1"/>
    <col min="14338" max="14338" width="3.8203125" style="1" customWidth="1"/>
    <col min="14339" max="14339" width="32.234375" style="1" customWidth="1"/>
    <col min="14340" max="14343" width="13.87890625" style="1" customWidth="1"/>
    <col min="14344" max="14347" width="7.5859375" style="1" customWidth="1"/>
    <col min="14348" max="14593" width="24.46875" style="1"/>
    <col min="14594" max="14594" width="3.8203125" style="1" customWidth="1"/>
    <col min="14595" max="14595" width="32.234375" style="1" customWidth="1"/>
    <col min="14596" max="14599" width="13.87890625" style="1" customWidth="1"/>
    <col min="14600" max="14603" width="7.5859375" style="1" customWidth="1"/>
    <col min="14604" max="14849" width="24.46875" style="1"/>
    <col min="14850" max="14850" width="3.8203125" style="1" customWidth="1"/>
    <col min="14851" max="14851" width="32.234375" style="1" customWidth="1"/>
    <col min="14852" max="14855" width="13.87890625" style="1" customWidth="1"/>
    <col min="14856" max="14859" width="7.5859375" style="1" customWidth="1"/>
    <col min="14860" max="15105" width="24.46875" style="1"/>
    <col min="15106" max="15106" width="3.8203125" style="1" customWidth="1"/>
    <col min="15107" max="15107" width="32.234375" style="1" customWidth="1"/>
    <col min="15108" max="15111" width="13.87890625" style="1" customWidth="1"/>
    <col min="15112" max="15115" width="7.5859375" style="1" customWidth="1"/>
    <col min="15116" max="15361" width="24.46875" style="1"/>
    <col min="15362" max="15362" width="3.8203125" style="1" customWidth="1"/>
    <col min="15363" max="15363" width="32.234375" style="1" customWidth="1"/>
    <col min="15364" max="15367" width="13.87890625" style="1" customWidth="1"/>
    <col min="15368" max="15371" width="7.5859375" style="1" customWidth="1"/>
    <col min="15372" max="15617" width="24.46875" style="1"/>
    <col min="15618" max="15618" width="3.8203125" style="1" customWidth="1"/>
    <col min="15619" max="15619" width="32.234375" style="1" customWidth="1"/>
    <col min="15620" max="15623" width="13.87890625" style="1" customWidth="1"/>
    <col min="15624" max="15627" width="7.5859375" style="1" customWidth="1"/>
    <col min="15628" max="15873" width="24.46875" style="1"/>
    <col min="15874" max="15874" width="3.8203125" style="1" customWidth="1"/>
    <col min="15875" max="15875" width="32.234375" style="1" customWidth="1"/>
    <col min="15876" max="15879" width="13.87890625" style="1" customWidth="1"/>
    <col min="15880" max="15883" width="7.5859375" style="1" customWidth="1"/>
    <col min="15884" max="16129" width="24.46875" style="1"/>
    <col min="16130" max="16130" width="3.8203125" style="1" customWidth="1"/>
    <col min="16131" max="16131" width="32.234375" style="1" customWidth="1"/>
    <col min="16132" max="16135" width="13.87890625" style="1" customWidth="1"/>
    <col min="16136" max="16139" width="7.5859375" style="1" customWidth="1"/>
    <col min="16140" max="16384" width="24.46875" style="1"/>
  </cols>
  <sheetData>
    <row r="1" spans="2:11" ht="19.350000000000001" customHeight="1">
      <c r="B1" s="2" t="s">
        <v>0</v>
      </c>
      <c r="C1" s="2"/>
    </row>
    <row r="2" spans="2:11" ht="10.7" customHeight="1">
      <c r="B2" s="275" t="s">
        <v>290</v>
      </c>
      <c r="C2" s="2"/>
    </row>
    <row r="3" spans="2:11" ht="19.7" customHeight="1">
      <c r="B3" s="5" t="s">
        <v>91</v>
      </c>
      <c r="C3" s="5"/>
    </row>
    <row r="4" spans="2:11" ht="19.7" customHeight="1">
      <c r="B4" s="307"/>
      <c r="C4" s="281" t="s">
        <v>287</v>
      </c>
      <c r="D4" s="274" t="s">
        <v>288</v>
      </c>
      <c r="E4" s="274" t="s">
        <v>288</v>
      </c>
      <c r="F4" s="274" t="s">
        <v>288</v>
      </c>
      <c r="G4" s="274" t="s">
        <v>288</v>
      </c>
    </row>
    <row r="5" spans="2:11" s="6" customFormat="1" ht="15" customHeight="1" thickBot="1">
      <c r="B5" s="7" t="s">
        <v>1</v>
      </c>
      <c r="C5" s="8">
        <v>2020</v>
      </c>
      <c r="D5" s="8">
        <v>2019</v>
      </c>
      <c r="E5" s="8">
        <v>2018</v>
      </c>
      <c r="F5" s="8">
        <v>2017</v>
      </c>
      <c r="G5" s="8">
        <v>2016</v>
      </c>
      <c r="H5" s="9"/>
      <c r="K5" s="287"/>
    </row>
    <row r="6" spans="2:11" ht="11.45" customHeight="1">
      <c r="B6" s="10" t="s">
        <v>2</v>
      </c>
      <c r="C6" s="11">
        <v>3733000</v>
      </c>
      <c r="D6" s="11">
        <v>5042000</v>
      </c>
      <c r="E6" s="11">
        <v>4474000</v>
      </c>
      <c r="F6" s="11">
        <v>4685000</v>
      </c>
      <c r="G6" s="11">
        <v>4429000</v>
      </c>
    </row>
    <row r="7" spans="2:11" ht="11.45" customHeight="1">
      <c r="B7" s="12" t="s">
        <v>3</v>
      </c>
      <c r="C7" s="13">
        <v>3235000</v>
      </c>
      <c r="D7" s="13">
        <v>4099000</v>
      </c>
      <c r="E7" s="13">
        <v>3495000</v>
      </c>
      <c r="F7" s="13">
        <v>3638000</v>
      </c>
      <c r="G7" s="13">
        <v>3473000</v>
      </c>
    </row>
    <row r="8" spans="2:11" ht="11.45" customHeight="1" thickBot="1">
      <c r="B8" s="12" t="s">
        <v>4</v>
      </c>
      <c r="C8" s="14">
        <f>+C6-C7</f>
        <v>498000</v>
      </c>
      <c r="D8" s="14">
        <f>+D6-D7</f>
        <v>943000</v>
      </c>
      <c r="E8" s="14">
        <f>+E6-E7</f>
        <v>979000</v>
      </c>
      <c r="F8" s="14">
        <f>+F6-F7</f>
        <v>1047000</v>
      </c>
      <c r="G8" s="14">
        <f>+G6-G7</f>
        <v>956000</v>
      </c>
    </row>
    <row r="9" spans="2:11" ht="11.45" customHeight="1" thickTop="1">
      <c r="B9" s="10" t="s">
        <v>5</v>
      </c>
      <c r="C9" s="15">
        <v>661000</v>
      </c>
      <c r="D9" s="15">
        <v>746000</v>
      </c>
      <c r="E9" s="15">
        <v>647000</v>
      </c>
      <c r="F9" s="15">
        <v>745000</v>
      </c>
      <c r="G9" s="15">
        <v>657000</v>
      </c>
    </row>
    <row r="10" spans="2:11" ht="11.45" customHeight="1">
      <c r="B10" s="10" t="s">
        <v>6</v>
      </c>
      <c r="C10" s="13">
        <f>+C8-C9</f>
        <v>-163000</v>
      </c>
      <c r="D10" s="13">
        <f>+D8-D9</f>
        <v>197000</v>
      </c>
      <c r="E10" s="13">
        <f>+E8-E9</f>
        <v>332000</v>
      </c>
      <c r="F10" s="13">
        <f>+F8-F9</f>
        <v>302000</v>
      </c>
      <c r="G10" s="13">
        <f>+G8-G9</f>
        <v>299000</v>
      </c>
    </row>
    <row r="11" spans="2:11" ht="11.45" customHeight="1">
      <c r="B11" s="12" t="s">
        <v>7</v>
      </c>
      <c r="C11" s="16">
        <v>88000</v>
      </c>
      <c r="D11" s="16">
        <v>75000</v>
      </c>
      <c r="E11" s="16">
        <v>76000</v>
      </c>
      <c r="F11" s="16">
        <v>80000</v>
      </c>
      <c r="G11" s="16">
        <v>76000</v>
      </c>
    </row>
    <row r="12" spans="2:11" ht="11.45" customHeight="1">
      <c r="B12" s="12" t="s">
        <v>8</v>
      </c>
      <c r="C12" s="13">
        <f>+C10-C11</f>
        <v>-251000</v>
      </c>
      <c r="D12" s="13">
        <f>+D10-D11</f>
        <v>122000</v>
      </c>
      <c r="E12" s="13">
        <f>+E10-E11</f>
        <v>256000</v>
      </c>
      <c r="F12" s="13">
        <f>+F10-F11</f>
        <v>222000</v>
      </c>
      <c r="G12" s="13">
        <f>+G10-G11</f>
        <v>223000</v>
      </c>
    </row>
    <row r="13" spans="2:11" ht="11.45" customHeight="1">
      <c r="B13" s="12" t="s">
        <v>9</v>
      </c>
      <c r="C13" s="16">
        <v>601000</v>
      </c>
      <c r="D13" s="16">
        <f>+D14-D12</f>
        <v>884000</v>
      </c>
      <c r="E13" s="16">
        <f>+E14-E12</f>
        <v>695000</v>
      </c>
      <c r="F13" s="16">
        <f>+F14-F12</f>
        <v>351000</v>
      </c>
      <c r="G13" s="16">
        <f>+G14-G12</f>
        <v>66000</v>
      </c>
    </row>
    <row r="14" spans="2:11" ht="11.45" customHeight="1">
      <c r="B14" s="12" t="s">
        <v>10</v>
      </c>
      <c r="C14" s="17">
        <f>+C12+C13</f>
        <v>350000</v>
      </c>
      <c r="D14" s="17">
        <v>1006000</v>
      </c>
      <c r="E14" s="17">
        <v>951000</v>
      </c>
      <c r="F14" s="17">
        <v>573000</v>
      </c>
      <c r="G14" s="17">
        <v>289000</v>
      </c>
    </row>
    <row r="15" spans="2:11" ht="11.45" customHeight="1">
      <c r="B15" s="12" t="s">
        <v>11</v>
      </c>
      <c r="C15" s="13">
        <v>72000</v>
      </c>
      <c r="D15" s="13">
        <v>240000</v>
      </c>
      <c r="E15" s="13">
        <v>182000</v>
      </c>
      <c r="F15" s="17">
        <v>323000</v>
      </c>
      <c r="G15" s="17">
        <v>85000</v>
      </c>
    </row>
    <row r="16" spans="2:11" ht="11.45" customHeight="1" thickBot="1">
      <c r="B16" s="10" t="s">
        <v>12</v>
      </c>
      <c r="C16" s="14">
        <f>+C14-C15</f>
        <v>278000</v>
      </c>
      <c r="D16" s="14">
        <f>+D14-D15</f>
        <v>766000</v>
      </c>
      <c r="E16" s="14">
        <f>+E14-E15</f>
        <v>769000</v>
      </c>
      <c r="F16" s="14">
        <f>+F14-F15</f>
        <v>250000</v>
      </c>
      <c r="G16" s="14">
        <f>+G14-G15</f>
        <v>204000</v>
      </c>
    </row>
    <row r="17" spans="2:13" ht="11.45" customHeight="1" thickTop="1"/>
    <row r="18" spans="2:13" ht="11.45" customHeight="1">
      <c r="B18" s="5" t="s">
        <v>296</v>
      </c>
      <c r="C18" s="5"/>
    </row>
    <row r="19" spans="2:13" ht="19.7" customHeight="1">
      <c r="B19" s="307"/>
      <c r="C19" s="274" t="s">
        <v>289</v>
      </c>
      <c r="D19" s="274" t="s">
        <v>288</v>
      </c>
      <c r="E19" s="274" t="s">
        <v>288</v>
      </c>
      <c r="F19" s="274" t="s">
        <v>288</v>
      </c>
      <c r="G19" s="274" t="s">
        <v>288</v>
      </c>
    </row>
    <row r="20" spans="2:13" s="6" customFormat="1" ht="20.350000000000001" customHeight="1" thickBot="1">
      <c r="B20" s="7" t="s">
        <v>1</v>
      </c>
      <c r="C20" s="8">
        <f>C5</f>
        <v>2020</v>
      </c>
      <c r="D20" s="8">
        <v>2019</v>
      </c>
      <c r="E20" s="8">
        <v>2018</v>
      </c>
      <c r="F20" s="8">
        <v>2017</v>
      </c>
      <c r="G20" s="8">
        <v>2016</v>
      </c>
      <c r="H20" s="9"/>
      <c r="K20" s="287"/>
    </row>
    <row r="21" spans="2:13" ht="11.45" customHeight="1">
      <c r="B21" s="282" t="s">
        <v>13</v>
      </c>
      <c r="C21" s="283"/>
      <c r="D21" s="284"/>
      <c r="E21" s="284"/>
      <c r="F21" s="284"/>
      <c r="G21" s="284"/>
    </row>
    <row r="22" spans="2:13" ht="11.45" customHeight="1">
      <c r="B22" s="19" t="s">
        <v>14</v>
      </c>
      <c r="C22" s="19"/>
      <c r="D22" s="17"/>
      <c r="E22" s="17"/>
      <c r="F22" s="17"/>
      <c r="G22" s="17"/>
    </row>
    <row r="23" spans="2:13" ht="11.45" customHeight="1">
      <c r="B23" s="12" t="s">
        <v>15</v>
      </c>
      <c r="C23" s="17">
        <v>1438000</v>
      </c>
      <c r="D23" s="17">
        <v>929000</v>
      </c>
      <c r="E23" s="17">
        <v>570000</v>
      </c>
      <c r="F23" s="17">
        <v>503000</v>
      </c>
      <c r="G23" s="17">
        <v>482000</v>
      </c>
      <c r="I23" s="4"/>
      <c r="J23" s="4"/>
      <c r="L23"/>
      <c r="M23" s="285"/>
    </row>
    <row r="24" spans="2:13" ht="11.45" customHeight="1">
      <c r="B24" s="12" t="s">
        <v>16</v>
      </c>
      <c r="C24" s="20">
        <v>65000</v>
      </c>
      <c r="D24" s="20">
        <v>32000</v>
      </c>
      <c r="E24" s="20">
        <v>116000</v>
      </c>
      <c r="F24" s="20">
        <v>49000</v>
      </c>
      <c r="G24" s="20">
        <v>56000</v>
      </c>
      <c r="I24" s="4"/>
      <c r="J24" s="4"/>
      <c r="L24"/>
      <c r="M24" s="63"/>
    </row>
    <row r="25" spans="2:13" ht="11.45" customHeight="1">
      <c r="B25" s="12" t="s">
        <v>17</v>
      </c>
      <c r="C25" s="17">
        <f>+C23+C24</f>
        <v>1503000</v>
      </c>
      <c r="D25" s="17">
        <f>+D23+D24</f>
        <v>961000</v>
      </c>
      <c r="E25" s="17">
        <f>+E24+E23</f>
        <v>686000</v>
      </c>
      <c r="F25" s="17">
        <f>+F24+F23</f>
        <v>552000</v>
      </c>
      <c r="G25" s="17">
        <f>+G24+G23</f>
        <v>538000</v>
      </c>
      <c r="I25" s="4"/>
      <c r="J25" s="4"/>
      <c r="L25"/>
      <c r="M25" s="63"/>
    </row>
    <row r="26" spans="2:13" ht="11.45" customHeight="1">
      <c r="B26" s="12" t="s">
        <v>18</v>
      </c>
      <c r="C26" s="17">
        <v>313000</v>
      </c>
      <c r="D26" s="17">
        <v>421000</v>
      </c>
      <c r="E26" s="17">
        <v>427000</v>
      </c>
      <c r="F26" s="17">
        <v>350000</v>
      </c>
      <c r="G26" s="17">
        <v>304000</v>
      </c>
      <c r="I26" s="4"/>
      <c r="J26" s="4"/>
      <c r="L26"/>
      <c r="M26" s="63"/>
    </row>
    <row r="27" spans="2:13" ht="11.45" customHeight="1">
      <c r="B27" s="12" t="s">
        <v>19</v>
      </c>
      <c r="C27" s="20">
        <v>11000</v>
      </c>
      <c r="D27" s="20">
        <v>12000</v>
      </c>
      <c r="E27" s="20">
        <v>14000</v>
      </c>
      <c r="F27" s="20">
        <v>14000</v>
      </c>
      <c r="G27" s="20">
        <v>28000</v>
      </c>
      <c r="I27" s="4"/>
      <c r="J27" s="4"/>
      <c r="L27"/>
      <c r="M27" s="63"/>
    </row>
    <row r="28" spans="2:13" ht="11.45" customHeight="1">
      <c r="B28" s="12" t="s">
        <v>20</v>
      </c>
      <c r="C28" s="17">
        <f>SUM(C25:C27)</f>
        <v>1827000</v>
      </c>
      <c r="D28" s="17">
        <f>SUM(D25:D27)</f>
        <v>1394000</v>
      </c>
      <c r="E28" s="17">
        <f>SUM(E25:E27)</f>
        <v>1127000</v>
      </c>
      <c r="F28" s="17">
        <f>SUM(F25:F27)</f>
        <v>916000</v>
      </c>
      <c r="G28" s="17">
        <f>SUM(G25:G27)</f>
        <v>870000</v>
      </c>
      <c r="I28" s="4"/>
      <c r="J28" s="4"/>
      <c r="L28"/>
      <c r="M28" s="63"/>
    </row>
    <row r="29" spans="2:13" ht="11.45" customHeight="1">
      <c r="B29" s="22"/>
      <c r="C29" s="17"/>
      <c r="D29" s="17"/>
      <c r="E29" s="17"/>
      <c r="F29" s="17"/>
      <c r="G29" s="17"/>
      <c r="I29" s="4"/>
      <c r="J29" s="4"/>
      <c r="L29"/>
      <c r="M29" s="63"/>
    </row>
    <row r="30" spans="2:13" ht="11.45" customHeight="1">
      <c r="B30" s="19" t="s">
        <v>21</v>
      </c>
      <c r="C30" s="17"/>
      <c r="D30" s="17"/>
      <c r="E30" s="17"/>
      <c r="F30" s="17"/>
      <c r="G30" s="17"/>
      <c r="I30" s="4"/>
      <c r="J30" s="4"/>
      <c r="L30"/>
      <c r="M30" s="63"/>
    </row>
    <row r="31" spans="2:13" ht="11.45" customHeight="1">
      <c r="B31" s="12" t="s">
        <v>22</v>
      </c>
      <c r="C31" s="17">
        <v>5949000</v>
      </c>
      <c r="D31" s="17">
        <v>6098000</v>
      </c>
      <c r="E31" s="17">
        <v>5847000</v>
      </c>
      <c r="F31" s="17">
        <v>6332000</v>
      </c>
      <c r="G31" s="17">
        <v>6634000</v>
      </c>
      <c r="I31" s="4"/>
      <c r="J31" s="4"/>
      <c r="L31"/>
      <c r="M31" s="63"/>
    </row>
    <row r="32" spans="2:13" ht="11.45" customHeight="1">
      <c r="B32" s="12" t="s">
        <v>23</v>
      </c>
      <c r="C32" s="17">
        <v>-2239000</v>
      </c>
      <c r="D32" s="17">
        <v>-2149000</v>
      </c>
      <c r="E32" s="17">
        <v>-2239000</v>
      </c>
      <c r="F32" s="17">
        <v>-2298000</v>
      </c>
      <c r="G32" s="17">
        <v>-2364000</v>
      </c>
      <c r="I32" s="4"/>
      <c r="J32" s="4"/>
      <c r="L32"/>
      <c r="M32" s="63"/>
    </row>
    <row r="33" spans="2:13" ht="11.45" customHeight="1">
      <c r="B33" s="12" t="s">
        <v>24</v>
      </c>
      <c r="C33" s="23">
        <f>+C31+C32</f>
        <v>3710000</v>
      </c>
      <c r="D33" s="23">
        <f>+D31+D32</f>
        <v>3949000</v>
      </c>
      <c r="E33" s="23">
        <f>+E31+E32</f>
        <v>3608000</v>
      </c>
      <c r="F33" s="23">
        <f>+F31+F32</f>
        <v>4034000</v>
      </c>
      <c r="G33" s="23">
        <f>+G31+G32</f>
        <v>4270000</v>
      </c>
      <c r="I33" s="24"/>
      <c r="L33"/>
      <c r="M33"/>
    </row>
    <row r="34" spans="2:13" ht="11.45" customHeight="1">
      <c r="B34" s="12" t="s">
        <v>25</v>
      </c>
      <c r="C34" s="17">
        <v>1772000</v>
      </c>
      <c r="D34" s="17">
        <v>1784000</v>
      </c>
      <c r="E34" s="17">
        <v>1513000</v>
      </c>
      <c r="F34" s="17">
        <f>7672000-6789000</f>
        <v>883000</v>
      </c>
      <c r="G34" s="17">
        <f>7749999-6962000</f>
        <v>787999</v>
      </c>
      <c r="I34" s="24"/>
      <c r="L34"/>
      <c r="M34" s="63"/>
    </row>
    <row r="35" spans="2:13" ht="11.45" customHeight="1">
      <c r="B35" s="12" t="s">
        <v>26</v>
      </c>
      <c r="C35" s="17">
        <v>288000</v>
      </c>
      <c r="D35" s="17">
        <v>326000</v>
      </c>
      <c r="E35" s="17">
        <v>283000</v>
      </c>
      <c r="F35" s="17">
        <v>150000</v>
      </c>
      <c r="G35" s="17">
        <v>125000</v>
      </c>
      <c r="I35" s="24"/>
      <c r="L35"/>
      <c r="M35" s="63"/>
    </row>
    <row r="36" spans="2:13" ht="11.45" customHeight="1">
      <c r="B36" s="12" t="s">
        <v>27</v>
      </c>
      <c r="C36" s="17">
        <v>418000</v>
      </c>
      <c r="D36" s="17">
        <v>437000</v>
      </c>
      <c r="E36" s="17">
        <v>628000</v>
      </c>
      <c r="F36" s="17">
        <v>683000</v>
      </c>
      <c r="G36" s="17">
        <v>599000</v>
      </c>
      <c r="I36" s="24"/>
      <c r="L36"/>
      <c r="M36" s="63"/>
    </row>
    <row r="37" spans="2:13" ht="11.45" customHeight="1">
      <c r="B37" s="12" t="s">
        <v>28</v>
      </c>
      <c r="C37" s="20">
        <v>565000</v>
      </c>
      <c r="D37" s="20">
        <v>527000</v>
      </c>
      <c r="E37" s="20">
        <v>484000</v>
      </c>
      <c r="F37" s="20">
        <v>1006000</v>
      </c>
      <c r="G37" s="20">
        <v>1098000</v>
      </c>
      <c r="L37"/>
      <c r="M37"/>
    </row>
    <row r="38" spans="2:13" ht="11.45" customHeight="1">
      <c r="B38" s="12" t="s">
        <v>29</v>
      </c>
      <c r="C38" s="17">
        <f>SUM(C33:C37)</f>
        <v>6753000</v>
      </c>
      <c r="D38" s="17">
        <f>SUM(D33:D37)</f>
        <v>7023000</v>
      </c>
      <c r="E38" s="17">
        <f>SUM(E33:E37)</f>
        <v>6516000</v>
      </c>
      <c r="F38" s="17">
        <f>SUM(F33:F37)</f>
        <v>6756000</v>
      </c>
      <c r="G38" s="17">
        <f>SUM(G33:G37)</f>
        <v>6879999</v>
      </c>
      <c r="L38"/>
      <c r="M38"/>
    </row>
    <row r="39" spans="2:13" ht="11.45" customHeight="1" thickBot="1">
      <c r="B39" s="10" t="s">
        <v>30</v>
      </c>
      <c r="C39" s="25">
        <v>8580000</v>
      </c>
      <c r="D39" s="25">
        <f>+D38+D28</f>
        <v>8417000</v>
      </c>
      <c r="E39" s="25">
        <f>+E38+E28</f>
        <v>7643000</v>
      </c>
      <c r="F39" s="25">
        <f>+F38+F28</f>
        <v>7672000</v>
      </c>
      <c r="G39" s="25">
        <f>+G38+G28</f>
        <v>7749999</v>
      </c>
      <c r="L39"/>
      <c r="M39"/>
    </row>
    <row r="40" spans="2:13" ht="11.45" customHeight="1" thickTop="1">
      <c r="B40" s="22"/>
      <c r="C40" s="17"/>
      <c r="D40" s="17"/>
      <c r="E40" s="17"/>
      <c r="F40" s="17"/>
      <c r="G40" s="17"/>
      <c r="L40"/>
      <c r="M40"/>
    </row>
    <row r="41" spans="2:13" ht="11.45" customHeight="1">
      <c r="B41" s="19" t="s">
        <v>31</v>
      </c>
      <c r="C41" s="17"/>
      <c r="D41" s="17"/>
      <c r="E41" s="17"/>
      <c r="F41" s="17"/>
      <c r="G41" s="17"/>
      <c r="L41"/>
      <c r="M41" s="63"/>
    </row>
    <row r="42" spans="2:13" ht="11.45" customHeight="1">
      <c r="B42" s="12" t="s">
        <v>32</v>
      </c>
      <c r="C42" s="17"/>
      <c r="D42" s="17"/>
      <c r="E42" s="17"/>
      <c r="F42" s="17"/>
      <c r="G42" s="17"/>
      <c r="L42"/>
      <c r="M42" s="63"/>
    </row>
    <row r="43" spans="2:13" ht="11.45" customHeight="1">
      <c r="B43" s="12" t="s">
        <v>33</v>
      </c>
      <c r="C43" s="17">
        <v>93000</v>
      </c>
      <c r="D43" s="17">
        <v>150000</v>
      </c>
      <c r="E43" s="17">
        <v>151000</v>
      </c>
      <c r="F43" s="17">
        <v>175000</v>
      </c>
      <c r="G43" s="17">
        <v>162000</v>
      </c>
      <c r="I43" s="24"/>
      <c r="L43"/>
      <c r="M43" s="63"/>
    </row>
    <row r="44" spans="2:13" ht="11.45" customHeight="1">
      <c r="B44" s="12" t="s">
        <v>34</v>
      </c>
      <c r="C44" s="17">
        <v>223000</v>
      </c>
      <c r="D44" s="17">
        <f>304000-21000</f>
        <v>283000</v>
      </c>
      <c r="E44" s="17">
        <f>561000-222000</f>
        <v>339000</v>
      </c>
      <c r="F44" s="17">
        <v>540000</v>
      </c>
      <c r="G44" s="17">
        <v>520000</v>
      </c>
      <c r="I44" s="24"/>
      <c r="L44"/>
      <c r="M44"/>
    </row>
    <row r="45" spans="2:13" ht="11.45" customHeight="1">
      <c r="B45" s="12" t="s">
        <v>35</v>
      </c>
      <c r="C45" s="17">
        <v>376000</v>
      </c>
      <c r="D45" s="17">
        <v>200000</v>
      </c>
      <c r="E45" s="17">
        <v>238000</v>
      </c>
      <c r="F45" s="17">
        <v>540000</v>
      </c>
      <c r="G45" s="17">
        <v>407000</v>
      </c>
      <c r="I45" s="24"/>
      <c r="L45"/>
      <c r="M45"/>
    </row>
    <row r="46" spans="2:13" ht="11.45" customHeight="1">
      <c r="B46" s="12" t="s">
        <v>36</v>
      </c>
      <c r="C46" s="17">
        <v>9000</v>
      </c>
      <c r="D46" s="17">
        <v>11000</v>
      </c>
      <c r="E46" s="17">
        <v>11000</v>
      </c>
      <c r="F46" s="17">
        <v>11000</v>
      </c>
      <c r="G46" s="17">
        <v>119000</v>
      </c>
      <c r="I46" s="24"/>
      <c r="L46"/>
      <c r="M46"/>
    </row>
    <row r="47" spans="2:13" ht="11.45" customHeight="1">
      <c r="B47" s="12" t="s">
        <v>37</v>
      </c>
      <c r="C47" s="23">
        <f>SUM(C43:C46)</f>
        <v>701000</v>
      </c>
      <c r="D47" s="23">
        <f>SUM(D43:D46)</f>
        <v>644000</v>
      </c>
      <c r="E47" s="23">
        <f>SUM(E43:E46)</f>
        <v>739000</v>
      </c>
      <c r="F47" s="23">
        <f>SUM(F43:F46)</f>
        <v>1266000</v>
      </c>
      <c r="G47" s="23">
        <f>SUM(G43:G46)</f>
        <v>1208000</v>
      </c>
      <c r="L47"/>
      <c r="M47"/>
    </row>
    <row r="48" spans="2:13" ht="11.45" customHeight="1">
      <c r="B48" s="26"/>
      <c r="C48" s="17"/>
      <c r="D48" s="17"/>
      <c r="E48" s="17"/>
      <c r="F48" s="17"/>
      <c r="G48" s="17"/>
      <c r="L48"/>
      <c r="M48" s="63"/>
    </row>
    <row r="49" spans="2:13" ht="11.45" customHeight="1">
      <c r="B49" s="19" t="s">
        <v>38</v>
      </c>
      <c r="C49" s="17"/>
      <c r="D49" s="17"/>
      <c r="E49" s="17"/>
      <c r="F49" s="17"/>
      <c r="G49" s="17"/>
      <c r="L49"/>
      <c r="M49"/>
    </row>
    <row r="50" spans="2:13" ht="11.45" customHeight="1">
      <c r="B50" s="12" t="s">
        <v>39</v>
      </c>
      <c r="C50" s="17">
        <v>1512000</v>
      </c>
      <c r="D50" s="17">
        <v>1612000</v>
      </c>
      <c r="E50" s="17">
        <v>1623000</v>
      </c>
      <c r="F50" s="17">
        <v>1440000</v>
      </c>
      <c r="G50" s="17">
        <v>1445000</v>
      </c>
      <c r="I50" s="24"/>
      <c r="L50"/>
      <c r="M50"/>
    </row>
    <row r="51" spans="2:13" ht="11.45" customHeight="1">
      <c r="B51" s="12" t="s">
        <v>40</v>
      </c>
      <c r="C51" s="17">
        <v>45000</v>
      </c>
      <c r="D51" s="17">
        <v>47000</v>
      </c>
      <c r="E51" s="17">
        <v>54000</v>
      </c>
      <c r="F51" s="17">
        <v>62000</v>
      </c>
      <c r="G51" s="17">
        <v>57000</v>
      </c>
      <c r="I51" s="24"/>
      <c r="L51"/>
      <c r="M51"/>
    </row>
    <row r="52" spans="2:13" ht="11.45" customHeight="1">
      <c r="B52" s="12" t="s">
        <v>35</v>
      </c>
      <c r="C52" s="20">
        <v>351000</v>
      </c>
      <c r="D52" s="20">
        <v>421000</v>
      </c>
      <c r="E52" s="20">
        <v>300000</v>
      </c>
      <c r="F52" s="20">
        <v>746000</v>
      </c>
      <c r="G52" s="20">
        <f>1131000+999</f>
        <v>1131999</v>
      </c>
      <c r="I52" s="24"/>
      <c r="L52"/>
      <c r="M52" s="63"/>
    </row>
    <row r="53" spans="2:13" ht="11.45" customHeight="1">
      <c r="B53" s="12" t="s">
        <v>41</v>
      </c>
      <c r="C53" s="17">
        <f>SUM(C50:C52)</f>
        <v>1908000</v>
      </c>
      <c r="D53" s="17">
        <f>SUM(D50:D52)</f>
        <v>2080000</v>
      </c>
      <c r="E53" s="17">
        <f>SUM(E50:E52)</f>
        <v>1977000</v>
      </c>
      <c r="F53" s="17">
        <f>SUM(F50:F52)</f>
        <v>2248000</v>
      </c>
      <c r="G53" s="17">
        <f>SUM(G50:G52)</f>
        <v>2633999</v>
      </c>
      <c r="L53"/>
      <c r="M53" s="63"/>
    </row>
    <row r="54" spans="2:13" ht="11.45" customHeight="1">
      <c r="B54" s="12" t="s">
        <v>42</v>
      </c>
      <c r="C54" s="23">
        <f>+C53+C47</f>
        <v>2609000</v>
      </c>
      <c r="D54" s="23">
        <f>+D53+D47</f>
        <v>2724000</v>
      </c>
      <c r="E54" s="23">
        <f>+E53+E47</f>
        <v>2716000</v>
      </c>
      <c r="F54" s="23">
        <f>+F53+F47</f>
        <v>3514000</v>
      </c>
      <c r="G54" s="23">
        <f>+G53+G47</f>
        <v>3841999</v>
      </c>
      <c r="I54" s="24"/>
      <c r="J54" s="24"/>
      <c r="L54"/>
      <c r="M54" s="63"/>
    </row>
    <row r="55" spans="2:13" ht="11.45" customHeight="1">
      <c r="B55" s="22"/>
      <c r="C55" s="17"/>
      <c r="D55" s="17"/>
      <c r="E55" s="17"/>
      <c r="F55" s="17"/>
      <c r="G55" s="17"/>
      <c r="I55" s="24"/>
      <c r="J55" s="24"/>
      <c r="L55"/>
      <c r="M55" s="63"/>
    </row>
    <row r="56" spans="2:13" ht="11.45" customHeight="1">
      <c r="B56" s="19" t="s">
        <v>43</v>
      </c>
      <c r="C56" s="17"/>
      <c r="D56" s="17"/>
      <c r="E56" s="17"/>
      <c r="F56" s="17"/>
      <c r="G56" s="17"/>
      <c r="I56" s="24"/>
      <c r="J56" s="24"/>
      <c r="L56"/>
      <c r="M56" s="63"/>
    </row>
    <row r="57" spans="2:13" ht="11.45" customHeight="1">
      <c r="B57" s="12" t="s">
        <v>44</v>
      </c>
      <c r="C57" s="17">
        <v>1000</v>
      </c>
      <c r="D57" s="17">
        <v>1000</v>
      </c>
      <c r="E57" s="17">
        <v>1000</v>
      </c>
      <c r="F57" s="17">
        <v>1000</v>
      </c>
      <c r="G57" s="17">
        <v>1000</v>
      </c>
      <c r="I57" s="24"/>
      <c r="J57" s="24"/>
      <c r="L57"/>
      <c r="M57" s="63"/>
    </row>
    <row r="58" spans="2:13" ht="11.45" customHeight="1">
      <c r="B58" s="12" t="s">
        <v>45</v>
      </c>
      <c r="C58" s="17">
        <v>5970000</v>
      </c>
      <c r="D58" s="17">
        <f>+E58+D16</f>
        <v>5692000</v>
      </c>
      <c r="E58" s="17">
        <f>+F58+E16</f>
        <v>4926000</v>
      </c>
      <c r="F58" s="17">
        <f>+G58+F16</f>
        <v>4157000</v>
      </c>
      <c r="G58" s="17">
        <v>3907000</v>
      </c>
      <c r="I58" s="24"/>
      <c r="L58"/>
      <c r="M58" s="63"/>
    </row>
    <row r="59" spans="2:13" ht="11.45" customHeight="1">
      <c r="B59" s="12" t="s">
        <v>46</v>
      </c>
      <c r="C59" s="23">
        <f>+C58+C57</f>
        <v>5971000</v>
      </c>
      <c r="D59" s="23">
        <f>+D58+D57</f>
        <v>5693000</v>
      </c>
      <c r="E59" s="23">
        <f>+E58+E57</f>
        <v>4927000</v>
      </c>
      <c r="F59" s="23">
        <f>+F58+F57</f>
        <v>4158000</v>
      </c>
      <c r="G59" s="23">
        <f>+G58+G57</f>
        <v>3908000</v>
      </c>
      <c r="L59"/>
      <c r="M59" s="63"/>
    </row>
    <row r="60" spans="2:13" ht="11.45" customHeight="1">
      <c r="B60" s="26"/>
      <c r="C60" s="17"/>
      <c r="D60" s="17"/>
      <c r="E60" s="17"/>
      <c r="F60" s="17"/>
      <c r="G60" s="17"/>
      <c r="L60"/>
      <c r="M60" s="63"/>
    </row>
    <row r="61" spans="2:13" ht="11.45" customHeight="1" thickBot="1">
      <c r="B61" s="27" t="s">
        <v>47</v>
      </c>
      <c r="C61" s="14">
        <f>+C59+C54</f>
        <v>8580000</v>
      </c>
      <c r="D61" s="14">
        <f>+D59+D54</f>
        <v>8417000</v>
      </c>
      <c r="E61" s="14">
        <f>+E59+E54</f>
        <v>7643000</v>
      </c>
      <c r="F61" s="14">
        <f>+F59+F54</f>
        <v>7672000</v>
      </c>
      <c r="G61" s="14">
        <f>+G59+G54</f>
        <v>7749999</v>
      </c>
      <c r="L61"/>
      <c r="M61"/>
    </row>
    <row r="62" spans="2:13" ht="11.45" customHeight="1" thickTop="1">
      <c r="B62" s="28" t="s">
        <v>48</v>
      </c>
      <c r="C62" s="29">
        <f>+C39-C61</f>
        <v>0</v>
      </c>
      <c r="D62" s="29">
        <f>+D39-D61</f>
        <v>0</v>
      </c>
      <c r="E62" s="29">
        <f>+E39-E61</f>
        <v>0</v>
      </c>
      <c r="F62" s="29">
        <f>+F39-F61</f>
        <v>0</v>
      </c>
      <c r="G62" s="29">
        <f>+G39-G61</f>
        <v>0</v>
      </c>
      <c r="L62"/>
      <c r="M62" s="63"/>
    </row>
    <row r="63" spans="2:13" ht="17" customHeight="1">
      <c r="L63"/>
      <c r="M63" s="63"/>
    </row>
    <row r="64" spans="2:13" ht="17" customHeight="1">
      <c r="B64" s="5" t="s">
        <v>49</v>
      </c>
      <c r="C64" s="5"/>
      <c r="L64"/>
      <c r="M64" s="63"/>
    </row>
    <row r="65" spans="2:13" ht="19.7" customHeight="1">
      <c r="B65" s="307"/>
      <c r="C65" s="281" t="s">
        <v>287</v>
      </c>
      <c r="D65" s="274" t="s">
        <v>288</v>
      </c>
      <c r="E65" s="274" t="s">
        <v>288</v>
      </c>
      <c r="F65" s="274" t="s">
        <v>288</v>
      </c>
      <c r="L65"/>
      <c r="M65" s="63"/>
    </row>
    <row r="66" spans="2:13" ht="17" customHeight="1" thickBot="1">
      <c r="B66" s="7" t="s">
        <v>1</v>
      </c>
      <c r="C66" s="8">
        <v>2020</v>
      </c>
      <c r="D66" s="8">
        <v>2019</v>
      </c>
      <c r="E66" s="8">
        <v>2018</v>
      </c>
      <c r="F66" s="8">
        <v>2017</v>
      </c>
      <c r="L66"/>
      <c r="M66" s="63"/>
    </row>
    <row r="67" spans="2:13" ht="11.45" hidden="1" customHeight="1">
      <c r="B67" s="30" t="s">
        <v>12</v>
      </c>
      <c r="C67" s="17">
        <f>+C16</f>
        <v>278000</v>
      </c>
      <c r="D67" s="17">
        <f>+D16</f>
        <v>766000</v>
      </c>
      <c r="E67" s="17">
        <f>+E16</f>
        <v>769000</v>
      </c>
      <c r="F67" s="17">
        <f>+F16</f>
        <v>250000</v>
      </c>
      <c r="G67" s="17"/>
      <c r="H67" s="21"/>
      <c r="I67" s="21"/>
      <c r="L67"/>
      <c r="M67" s="63"/>
    </row>
    <row r="68" spans="2:13" ht="11.45" hidden="1" customHeight="1">
      <c r="B68" s="30" t="s">
        <v>50</v>
      </c>
      <c r="C68" s="17">
        <f>(D32-C32)</f>
        <v>90000</v>
      </c>
      <c r="D68" s="17">
        <f>(E32-D32)</f>
        <v>-90000</v>
      </c>
      <c r="E68" s="17">
        <f>(F32-E32)</f>
        <v>-59000</v>
      </c>
      <c r="F68" s="17">
        <f>(G32-F32)</f>
        <v>-66000</v>
      </c>
      <c r="G68" s="31"/>
      <c r="H68" s="21"/>
      <c r="I68" s="21"/>
      <c r="L68"/>
      <c r="M68" s="63"/>
    </row>
    <row r="69" spans="2:13" ht="11.45" hidden="1" customHeight="1">
      <c r="B69" s="30" t="s">
        <v>51</v>
      </c>
      <c r="C69" s="17">
        <f>+C36-D36</f>
        <v>-19000</v>
      </c>
      <c r="D69" s="17">
        <f>+D36-E36</f>
        <v>-191000</v>
      </c>
      <c r="E69" s="17">
        <f>+E36-F36</f>
        <v>-55000</v>
      </c>
      <c r="F69" s="17">
        <f>+F36-G36</f>
        <v>84000</v>
      </c>
      <c r="G69" s="31"/>
      <c r="H69" s="21"/>
      <c r="I69" s="21"/>
      <c r="L69"/>
      <c r="M69" s="63"/>
    </row>
    <row r="70" spans="2:13" ht="11.45" hidden="1" customHeight="1">
      <c r="B70" s="30" t="s">
        <v>52</v>
      </c>
      <c r="C70" s="17">
        <f>+C51-D51</f>
        <v>-2000</v>
      </c>
      <c r="D70" s="17">
        <f>+D51-E51</f>
        <v>-7000</v>
      </c>
      <c r="E70" s="17">
        <f>+E51-F51</f>
        <v>-8000</v>
      </c>
      <c r="F70" s="17">
        <f>+F51-G51</f>
        <v>5000</v>
      </c>
      <c r="G70" s="31"/>
      <c r="H70" s="21"/>
      <c r="I70" s="21"/>
      <c r="L70"/>
      <c r="M70"/>
    </row>
    <row r="71" spans="2:13" ht="11.45" hidden="1" customHeight="1">
      <c r="B71" s="30" t="s">
        <v>53</v>
      </c>
      <c r="C71" s="17">
        <f>+C45-D45</f>
        <v>176000</v>
      </c>
      <c r="D71" s="17">
        <f>+D45-E45</f>
        <v>-38000</v>
      </c>
      <c r="E71" s="17">
        <f>+E45-F45</f>
        <v>-302000</v>
      </c>
      <c r="F71" s="17">
        <f>+F45-G45</f>
        <v>133000</v>
      </c>
      <c r="G71" s="31"/>
      <c r="H71" s="21"/>
      <c r="I71" s="21"/>
      <c r="L71"/>
      <c r="M71"/>
    </row>
    <row r="72" spans="2:13" ht="11.45" hidden="1" customHeight="1">
      <c r="B72" s="30" t="s">
        <v>54</v>
      </c>
      <c r="C72" s="23">
        <f>SUM(C67:C71)</f>
        <v>523000</v>
      </c>
      <c r="D72" s="23">
        <f>SUM(D67:D71)</f>
        <v>440000</v>
      </c>
      <c r="E72" s="23">
        <f>SUM(E67:E71)</f>
        <v>345000</v>
      </c>
      <c r="F72" s="23">
        <f>SUM(F67:F71)</f>
        <v>406000</v>
      </c>
      <c r="G72" s="31"/>
      <c r="H72" s="21"/>
      <c r="I72" s="21"/>
      <c r="L72"/>
      <c r="M72" s="63"/>
    </row>
    <row r="73" spans="2:13" ht="11.45" hidden="1" customHeight="1">
      <c r="B73" s="26"/>
      <c r="C73" s="17"/>
      <c r="D73" s="17"/>
      <c r="E73" s="17"/>
      <c r="F73" s="17"/>
      <c r="G73" s="17"/>
      <c r="H73" s="31"/>
      <c r="I73" s="21"/>
      <c r="L73"/>
      <c r="M73" s="63"/>
    </row>
    <row r="74" spans="2:13" ht="11.45" hidden="1" customHeight="1">
      <c r="B74" s="32" t="s">
        <v>55</v>
      </c>
      <c r="C74" s="17"/>
      <c r="D74" s="17"/>
      <c r="E74" s="17"/>
      <c r="F74" s="17"/>
      <c r="G74" s="17"/>
      <c r="H74" s="31"/>
      <c r="I74" s="21"/>
      <c r="L74"/>
      <c r="M74" s="63"/>
    </row>
    <row r="75" spans="2:13" ht="11.45" hidden="1" customHeight="1">
      <c r="B75" s="30" t="s">
        <v>18</v>
      </c>
      <c r="C75" s="17">
        <f t="shared" ref="C75:F76" si="0">+D26-C26</f>
        <v>108000</v>
      </c>
      <c r="D75" s="17">
        <f t="shared" si="0"/>
        <v>6000</v>
      </c>
      <c r="E75" s="17">
        <f t="shared" si="0"/>
        <v>-77000</v>
      </c>
      <c r="F75" s="17">
        <f t="shared" si="0"/>
        <v>-46000</v>
      </c>
      <c r="G75" s="17"/>
      <c r="H75" s="31"/>
      <c r="I75" s="21"/>
      <c r="L75"/>
      <c r="M75" s="63"/>
    </row>
    <row r="76" spans="2:13" ht="11.45" hidden="1" customHeight="1">
      <c r="B76" s="30" t="s">
        <v>19</v>
      </c>
      <c r="C76" s="17">
        <f t="shared" si="0"/>
        <v>1000</v>
      </c>
      <c r="D76" s="17">
        <f t="shared" si="0"/>
        <v>2000</v>
      </c>
      <c r="E76" s="17">
        <f t="shared" si="0"/>
        <v>0</v>
      </c>
      <c r="F76" s="17">
        <f t="shared" si="0"/>
        <v>14000</v>
      </c>
      <c r="G76" s="17"/>
      <c r="H76" s="31"/>
      <c r="I76" s="21"/>
      <c r="L76"/>
      <c r="M76" s="63"/>
    </row>
    <row r="77" spans="2:13" ht="11.45" hidden="1" customHeight="1">
      <c r="B77" s="30" t="s">
        <v>33</v>
      </c>
      <c r="C77" s="17">
        <f t="shared" ref="C77:F78" si="1">+C43-D43</f>
        <v>-57000</v>
      </c>
      <c r="D77" s="17">
        <f t="shared" si="1"/>
        <v>-1000</v>
      </c>
      <c r="E77" s="17">
        <f t="shared" si="1"/>
        <v>-24000</v>
      </c>
      <c r="F77" s="17">
        <f t="shared" si="1"/>
        <v>13000</v>
      </c>
      <c r="G77" s="17"/>
      <c r="H77" s="31"/>
      <c r="I77" s="21"/>
      <c r="L77"/>
      <c r="M77" s="63"/>
    </row>
    <row r="78" spans="2:13" ht="11.45" hidden="1" customHeight="1">
      <c r="B78" s="30" t="s">
        <v>34</v>
      </c>
      <c r="C78" s="17">
        <f t="shared" si="1"/>
        <v>-60000</v>
      </c>
      <c r="D78" s="17">
        <f t="shared" si="1"/>
        <v>-56000</v>
      </c>
      <c r="E78" s="17">
        <f t="shared" si="1"/>
        <v>-201000</v>
      </c>
      <c r="F78" s="17">
        <f t="shared" si="1"/>
        <v>20000</v>
      </c>
      <c r="G78" s="17"/>
      <c r="H78" s="31"/>
      <c r="I78" s="21"/>
      <c r="L78"/>
      <c r="M78" s="63"/>
    </row>
    <row r="79" spans="2:13" ht="11.45" customHeight="1">
      <c r="B79" s="27" t="s">
        <v>56</v>
      </c>
      <c r="C79" s="33">
        <f>SUM(C75:C78)</f>
        <v>-8000</v>
      </c>
      <c r="D79" s="33">
        <f>SUM(D75:D78)</f>
        <v>-49000</v>
      </c>
      <c r="E79" s="33">
        <f>SUM(E75:E78)</f>
        <v>-302000</v>
      </c>
      <c r="F79" s="33">
        <f>SUM(F75:F78)</f>
        <v>1000</v>
      </c>
      <c r="G79" s="17"/>
      <c r="H79" s="31"/>
      <c r="I79" s="21"/>
      <c r="L79"/>
      <c r="M79" s="63"/>
    </row>
    <row r="80" spans="2:13" ht="11.45" customHeight="1">
      <c r="B80" s="26"/>
      <c r="C80" s="17"/>
      <c r="D80" s="17"/>
      <c r="E80" s="17"/>
      <c r="F80" s="17"/>
      <c r="G80" s="17"/>
      <c r="H80" s="31"/>
      <c r="I80" s="21"/>
      <c r="L80"/>
      <c r="M80"/>
    </row>
    <row r="81" spans="2:13" ht="11.45" customHeight="1">
      <c r="B81" s="27" t="s">
        <v>57</v>
      </c>
      <c r="C81" s="34">
        <f>+C72+C79</f>
        <v>515000</v>
      </c>
      <c r="D81" s="34">
        <f>+D72+D79</f>
        <v>391000</v>
      </c>
      <c r="E81" s="34">
        <f>+E72+E79</f>
        <v>43000</v>
      </c>
      <c r="F81" s="34">
        <f>+F72+F79</f>
        <v>407000</v>
      </c>
      <c r="G81" s="17"/>
      <c r="H81" s="31"/>
      <c r="I81" s="21"/>
      <c r="L81"/>
      <c r="M81" s="63"/>
    </row>
    <row r="82" spans="2:13" ht="11.45" customHeight="1">
      <c r="B82" s="26"/>
      <c r="C82" s="17"/>
      <c r="D82" s="17"/>
      <c r="E82" s="17"/>
      <c r="F82" s="17"/>
      <c r="G82" s="17"/>
      <c r="H82" s="31"/>
      <c r="I82" s="21"/>
      <c r="L82"/>
      <c r="M82"/>
    </row>
    <row r="83" spans="2:13" ht="11.45" customHeight="1">
      <c r="B83" s="32" t="s">
        <v>58</v>
      </c>
      <c r="C83" s="17"/>
      <c r="D83" s="17"/>
      <c r="E83" s="17"/>
      <c r="F83" s="17"/>
      <c r="G83" s="17"/>
      <c r="H83" s="31"/>
      <c r="I83" s="21"/>
      <c r="L83"/>
      <c r="M83" s="63"/>
    </row>
    <row r="84" spans="2:13" ht="11.45" customHeight="1">
      <c r="B84" s="30" t="s">
        <v>59</v>
      </c>
      <c r="C84" s="71">
        <v>-369000</v>
      </c>
      <c r="D84" s="71">
        <v>-297000</v>
      </c>
      <c r="E84" s="71">
        <v>-298000</v>
      </c>
      <c r="F84" s="71">
        <v>-211000</v>
      </c>
      <c r="G84" s="17"/>
      <c r="H84" s="31"/>
      <c r="I84" s="21"/>
      <c r="L84"/>
      <c r="M84" s="63"/>
    </row>
    <row r="85" spans="2:13" ht="11.45" hidden="1" customHeight="1">
      <c r="B85" s="30" t="s">
        <v>60</v>
      </c>
      <c r="C85" s="17">
        <f>+D34-C34</f>
        <v>12000</v>
      </c>
      <c r="D85" s="17">
        <f>+E34-D34</f>
        <v>-271000</v>
      </c>
      <c r="E85" s="17">
        <f>+F34-E34</f>
        <v>-630000</v>
      </c>
      <c r="F85" s="17">
        <f>+G34-F34</f>
        <v>-95001</v>
      </c>
      <c r="G85" s="17"/>
      <c r="H85" s="31"/>
      <c r="I85" s="21"/>
      <c r="L85"/>
      <c r="M85" s="63"/>
    </row>
    <row r="86" spans="2:13" ht="11.45" hidden="1" customHeight="1">
      <c r="B86" s="30" t="s">
        <v>61</v>
      </c>
      <c r="C86" s="17">
        <f>SUM(D35:D37)-SUM(C35:C37)-C69</f>
        <v>38000</v>
      </c>
      <c r="D86" s="17">
        <f>SUM(E35:E37)-SUM(D35:D37)-D69</f>
        <v>296000</v>
      </c>
      <c r="E86" s="17">
        <f>SUM(F35:F37)-SUM(E35:E37)-E69</f>
        <v>499000</v>
      </c>
      <c r="F86" s="17">
        <f>SUM(G35:G37)-SUM(F35:F37)-F69</f>
        <v>-101000</v>
      </c>
      <c r="G86" s="17"/>
      <c r="H86" s="31"/>
      <c r="I86" s="21"/>
      <c r="L86"/>
      <c r="M86" s="63"/>
    </row>
    <row r="87" spans="2:13" ht="11.45" hidden="1" customHeight="1">
      <c r="B87" s="27" t="s">
        <v>62</v>
      </c>
      <c r="C87" s="33">
        <f>SUM(C84:C86)</f>
        <v>-319000</v>
      </c>
      <c r="D87" s="33">
        <f>SUM(D84:D86)</f>
        <v>-272000</v>
      </c>
      <c r="E87" s="33">
        <f>SUM(E84:E86)</f>
        <v>-429000</v>
      </c>
      <c r="F87" s="33">
        <f>SUM(F84:F86)</f>
        <v>-407001</v>
      </c>
      <c r="G87" s="17"/>
      <c r="H87" s="31"/>
      <c r="I87" s="21"/>
      <c r="L87"/>
      <c r="M87" s="63"/>
    </row>
    <row r="88" spans="2:13" ht="11.45" customHeight="1">
      <c r="B88" s="26"/>
      <c r="C88" s="17"/>
      <c r="D88" s="17"/>
      <c r="E88" s="17"/>
      <c r="F88" s="17"/>
      <c r="G88" s="17"/>
      <c r="H88" s="31"/>
      <c r="I88" s="21"/>
      <c r="L88"/>
      <c r="M88" s="63"/>
    </row>
    <row r="89" spans="2:13" ht="11.45" customHeight="1">
      <c r="B89" s="26"/>
      <c r="C89" s="17"/>
      <c r="D89" s="17"/>
      <c r="E89" s="17"/>
      <c r="F89" s="17"/>
      <c r="G89" s="17"/>
      <c r="H89" s="31"/>
      <c r="I89" s="21"/>
      <c r="L89"/>
      <c r="M89" s="63"/>
    </row>
    <row r="90" spans="2:13" ht="11.45" customHeight="1">
      <c r="B90" s="32" t="s">
        <v>63</v>
      </c>
      <c r="C90" s="17"/>
      <c r="D90" s="17"/>
      <c r="E90" s="17"/>
      <c r="F90" s="17"/>
      <c r="G90" s="17"/>
      <c r="H90" s="31"/>
      <c r="I90" s="21"/>
      <c r="L90"/>
      <c r="M90"/>
    </row>
    <row r="91" spans="2:13" ht="11.45" customHeight="1">
      <c r="B91" s="30" t="s">
        <v>64</v>
      </c>
      <c r="C91" s="17">
        <f>+C46-D46</f>
        <v>-2000</v>
      </c>
      <c r="D91" s="17">
        <f>+D46-E46</f>
        <v>0</v>
      </c>
      <c r="E91" s="17">
        <f>+E46-F46</f>
        <v>0</v>
      </c>
      <c r="F91" s="17">
        <f>+F46-G46</f>
        <v>-108000</v>
      </c>
      <c r="G91" s="17"/>
      <c r="H91" s="31"/>
      <c r="I91" s="21"/>
      <c r="L91"/>
      <c r="M91" s="63"/>
    </row>
    <row r="92" spans="2:13" ht="11.45" customHeight="1">
      <c r="B92" s="30" t="s">
        <v>65</v>
      </c>
      <c r="C92" s="17">
        <f>+C50-D50</f>
        <v>-100000</v>
      </c>
      <c r="D92" s="17">
        <f>+D50-E50</f>
        <v>-11000</v>
      </c>
      <c r="E92" s="17">
        <f>+E50-F50</f>
        <v>183000</v>
      </c>
      <c r="F92" s="17">
        <f>+F50-G50</f>
        <v>-5000</v>
      </c>
      <c r="G92" s="17"/>
      <c r="H92" s="31"/>
      <c r="I92" s="21"/>
      <c r="L92"/>
      <c r="M92" s="63"/>
    </row>
    <row r="93" spans="2:13" ht="11.45" customHeight="1">
      <c r="B93" s="30" t="s">
        <v>66</v>
      </c>
      <c r="C93" s="17">
        <f>+C52-D52</f>
        <v>-70000</v>
      </c>
      <c r="D93" s="17">
        <f>+D52-E52</f>
        <v>121000</v>
      </c>
      <c r="E93" s="17">
        <f>+E52-F52</f>
        <v>-446000</v>
      </c>
      <c r="F93" s="17">
        <f>+F52-G52</f>
        <v>-385999</v>
      </c>
      <c r="G93" s="31"/>
      <c r="H93" s="21"/>
      <c r="I93" s="21"/>
      <c r="L93"/>
      <c r="M93" s="63"/>
    </row>
    <row r="94" spans="2:13" ht="11.45" customHeight="1">
      <c r="B94" s="30" t="s">
        <v>67</v>
      </c>
      <c r="C94" s="20">
        <v>0</v>
      </c>
      <c r="D94" s="20">
        <v>0</v>
      </c>
      <c r="E94" s="20">
        <v>0</v>
      </c>
      <c r="F94" s="20">
        <v>0</v>
      </c>
      <c r="G94" s="17"/>
      <c r="H94" s="31"/>
      <c r="I94" s="21"/>
      <c r="L94"/>
      <c r="M94" s="63"/>
    </row>
    <row r="95" spans="2:13" ht="11.45" customHeight="1">
      <c r="B95" s="27" t="s">
        <v>68</v>
      </c>
      <c r="C95" s="34">
        <f>SUM(C91:C94)</f>
        <v>-172000</v>
      </c>
      <c r="D95" s="34">
        <f>SUM(D91:D94)</f>
        <v>110000</v>
      </c>
      <c r="E95" s="34">
        <f>SUM(E91:E94)</f>
        <v>-263000</v>
      </c>
      <c r="F95" s="34">
        <f>SUM(F91:F94)</f>
        <v>-498999</v>
      </c>
      <c r="G95" s="17"/>
      <c r="H95" s="31"/>
      <c r="I95" s="21"/>
      <c r="L95"/>
      <c r="M95"/>
    </row>
    <row r="96" spans="2:13" ht="11.45" customHeight="1">
      <c r="B96" s="26"/>
      <c r="C96" s="17"/>
      <c r="D96" s="17"/>
      <c r="E96" s="17"/>
      <c r="F96" s="17"/>
      <c r="G96" s="17"/>
      <c r="H96" s="31"/>
      <c r="I96" s="21"/>
      <c r="L96"/>
      <c r="M96" s="63"/>
    </row>
    <row r="97" spans="2:13" ht="11.45" hidden="1" customHeight="1">
      <c r="B97" s="27" t="s">
        <v>69</v>
      </c>
      <c r="C97" s="33" t="e">
        <f>+#REF!+C95</f>
        <v>#REF!</v>
      </c>
      <c r="D97" s="33" t="e">
        <f>+#REF!+D95</f>
        <v>#REF!</v>
      </c>
      <c r="E97" s="33" t="e">
        <f>+#REF!+E95</f>
        <v>#REF!</v>
      </c>
      <c r="F97" s="33" t="e">
        <f>+#REF!+F95</f>
        <v>#REF!</v>
      </c>
      <c r="G97" s="17"/>
      <c r="H97" s="31"/>
      <c r="I97" s="21"/>
      <c r="L97"/>
      <c r="M97" s="63"/>
    </row>
    <row r="98" spans="2:13" ht="11.45" hidden="1" customHeight="1">
      <c r="B98" s="30" t="s">
        <v>70</v>
      </c>
      <c r="C98" s="17">
        <f t="shared" ref="C98" si="2">+C106-C102</f>
        <v>509000</v>
      </c>
      <c r="D98" s="17">
        <f t="shared" ref="D98:F99" si="3">+D106-D102</f>
        <v>359000</v>
      </c>
      <c r="E98" s="17">
        <f t="shared" si="3"/>
        <v>67000</v>
      </c>
      <c r="F98" s="17">
        <f t="shared" si="3"/>
        <v>21000</v>
      </c>
      <c r="G98" s="17"/>
      <c r="H98" s="31"/>
      <c r="I98" s="21"/>
      <c r="L98"/>
      <c r="M98" s="63"/>
    </row>
    <row r="99" spans="2:13" ht="11.45" hidden="1" customHeight="1">
      <c r="B99" s="30" t="s">
        <v>71</v>
      </c>
      <c r="C99" s="17">
        <f t="shared" ref="C99" si="4">+C107-C103</f>
        <v>33000</v>
      </c>
      <c r="D99" s="17">
        <f t="shared" si="3"/>
        <v>-84000</v>
      </c>
      <c r="E99" s="17">
        <f t="shared" si="3"/>
        <v>67000</v>
      </c>
      <c r="F99" s="17">
        <f t="shared" si="3"/>
        <v>-7000</v>
      </c>
      <c r="G99" s="17"/>
      <c r="H99" s="31"/>
      <c r="I99" s="21"/>
      <c r="L99"/>
      <c r="M99"/>
    </row>
    <row r="100" spans="2:13" ht="11.45" hidden="1" customHeight="1">
      <c r="B100" s="26"/>
      <c r="C100" s="17"/>
      <c r="D100" s="17"/>
      <c r="E100" s="17"/>
      <c r="F100" s="17"/>
      <c r="G100" s="17"/>
      <c r="H100" s="31"/>
      <c r="I100" s="21"/>
      <c r="L100"/>
      <c r="M100" s="63"/>
    </row>
    <row r="101" spans="2:13" ht="11.45" hidden="1" customHeight="1">
      <c r="B101" s="27" t="s">
        <v>72</v>
      </c>
      <c r="C101" s="35">
        <f>+D25</f>
        <v>961000</v>
      </c>
      <c r="D101" s="35">
        <f>+E25</f>
        <v>686000</v>
      </c>
      <c r="E101" s="35">
        <f>+F25</f>
        <v>552000</v>
      </c>
      <c r="F101" s="35">
        <f>+G25</f>
        <v>538000</v>
      </c>
      <c r="G101" s="17"/>
      <c r="H101" s="31"/>
      <c r="I101" s="21"/>
      <c r="L101"/>
      <c r="M101" s="63"/>
    </row>
    <row r="102" spans="2:13" ht="11.45" hidden="1" customHeight="1">
      <c r="B102" s="30" t="s">
        <v>70</v>
      </c>
      <c r="C102" s="17">
        <f t="shared" ref="C102:F103" si="5">+D23</f>
        <v>929000</v>
      </c>
      <c r="D102" s="17">
        <f t="shared" si="5"/>
        <v>570000</v>
      </c>
      <c r="E102" s="17">
        <f t="shared" si="5"/>
        <v>503000</v>
      </c>
      <c r="F102" s="17">
        <f t="shared" si="5"/>
        <v>482000</v>
      </c>
      <c r="G102" s="17"/>
      <c r="H102" s="31"/>
      <c r="I102" s="21"/>
      <c r="L102"/>
      <c r="M102" s="63"/>
    </row>
    <row r="103" spans="2:13" ht="11.45" hidden="1" customHeight="1">
      <c r="B103" s="30" t="s">
        <v>71</v>
      </c>
      <c r="C103" s="17">
        <f t="shared" si="5"/>
        <v>32000</v>
      </c>
      <c r="D103" s="17">
        <f t="shared" si="5"/>
        <v>116000</v>
      </c>
      <c r="E103" s="17">
        <f t="shared" si="5"/>
        <v>49000</v>
      </c>
      <c r="F103" s="17">
        <f t="shared" si="5"/>
        <v>56000</v>
      </c>
      <c r="G103" s="17"/>
      <c r="H103" s="31"/>
      <c r="I103" s="21"/>
      <c r="L103"/>
      <c r="M103" s="63"/>
    </row>
    <row r="104" spans="2:13" ht="11.45" hidden="1" customHeight="1">
      <c r="B104" s="26"/>
      <c r="C104" s="17"/>
      <c r="D104" s="17"/>
      <c r="E104" s="17"/>
      <c r="F104" s="17"/>
      <c r="G104" s="17"/>
      <c r="H104" s="31"/>
      <c r="I104" s="21"/>
      <c r="L104"/>
      <c r="M104" s="63"/>
    </row>
    <row r="105" spans="2:13" ht="11.45" hidden="1" customHeight="1" thickBot="1">
      <c r="B105" s="27" t="s">
        <v>73</v>
      </c>
      <c r="C105" s="25" t="e">
        <f>+C97+C101</f>
        <v>#REF!</v>
      </c>
      <c r="D105" s="25" t="e">
        <f>+D97+D101</f>
        <v>#REF!</v>
      </c>
      <c r="E105" s="25" t="e">
        <f>+E97+E101</f>
        <v>#REF!</v>
      </c>
      <c r="F105" s="25" t="e">
        <f>+F97+F101</f>
        <v>#REF!</v>
      </c>
      <c r="G105" s="17"/>
      <c r="H105" s="31"/>
      <c r="I105" s="21"/>
      <c r="L105"/>
      <c r="M105" s="63"/>
    </row>
    <row r="106" spans="2:13" ht="11.45" hidden="1" customHeight="1" thickTop="1">
      <c r="B106" s="30" t="s">
        <v>70</v>
      </c>
      <c r="C106" s="17">
        <f t="shared" ref="C106" si="6">+C23</f>
        <v>1438000</v>
      </c>
      <c r="D106" s="17">
        <f t="shared" ref="D106:F107" si="7">+D23</f>
        <v>929000</v>
      </c>
      <c r="E106" s="17">
        <f t="shared" si="7"/>
        <v>570000</v>
      </c>
      <c r="F106" s="17">
        <f t="shared" si="7"/>
        <v>503000</v>
      </c>
      <c r="G106" s="17"/>
      <c r="H106" s="31"/>
      <c r="I106" s="21"/>
      <c r="L106"/>
      <c r="M106" s="63"/>
    </row>
    <row r="107" spans="2:13" ht="11.45" hidden="1" customHeight="1">
      <c r="B107" s="30" t="s">
        <v>71</v>
      </c>
      <c r="C107" s="17">
        <f t="shared" ref="C107" si="8">+C24</f>
        <v>65000</v>
      </c>
      <c r="D107" s="17">
        <f t="shared" si="7"/>
        <v>32000</v>
      </c>
      <c r="E107" s="17">
        <f t="shared" si="7"/>
        <v>116000</v>
      </c>
      <c r="F107" s="17">
        <f t="shared" si="7"/>
        <v>49000</v>
      </c>
      <c r="G107" s="17"/>
      <c r="H107" s="31"/>
      <c r="I107" s="21"/>
      <c r="L107"/>
      <c r="M107" s="63"/>
    </row>
    <row r="108" spans="2:13" ht="11.45" customHeight="1">
      <c r="B108" s="30"/>
      <c r="C108" s="17"/>
      <c r="D108" s="17"/>
      <c r="E108" s="17"/>
      <c r="F108" s="17"/>
      <c r="G108" s="17"/>
      <c r="H108" s="31"/>
      <c r="I108" s="21"/>
      <c r="L108"/>
      <c r="M108" s="63"/>
    </row>
    <row r="109" spans="2:13" ht="11.45" customHeight="1">
      <c r="B109" s="5" t="s">
        <v>74</v>
      </c>
      <c r="C109" s="5"/>
      <c r="G109" s="17"/>
      <c r="H109" s="31"/>
      <c r="I109" s="21"/>
      <c r="L109"/>
      <c r="M109" s="63"/>
    </row>
    <row r="110" spans="2:13" ht="19.7" customHeight="1">
      <c r="B110" s="5"/>
      <c r="C110" s="273" t="s">
        <v>287</v>
      </c>
      <c r="D110" s="274" t="s">
        <v>288</v>
      </c>
      <c r="E110" s="274" t="s">
        <v>288</v>
      </c>
      <c r="F110" s="274" t="s">
        <v>288</v>
      </c>
      <c r="L110"/>
      <c r="M110" s="63"/>
    </row>
    <row r="111" spans="2:13" ht="20" customHeight="1" thickBot="1">
      <c r="B111" s="37"/>
      <c r="C111" s="8">
        <v>2020</v>
      </c>
      <c r="D111" s="8">
        <v>2019</v>
      </c>
      <c r="E111" s="8">
        <v>2018</v>
      </c>
      <c r="F111" s="8">
        <v>2017</v>
      </c>
      <c r="G111" s="17"/>
      <c r="H111" s="31"/>
      <c r="I111" s="21"/>
      <c r="L111"/>
      <c r="M111" s="63"/>
    </row>
    <row r="112" spans="2:13" ht="11.45" customHeight="1">
      <c r="B112" s="38" t="s">
        <v>75</v>
      </c>
      <c r="C112" s="360">
        <v>217000</v>
      </c>
      <c r="D112" s="34">
        <v>618000</v>
      </c>
      <c r="E112" s="34">
        <v>707000</v>
      </c>
      <c r="F112" s="34">
        <v>658000</v>
      </c>
      <c r="G112" s="1"/>
      <c r="H112" s="31"/>
      <c r="I112" s="21"/>
      <c r="L112"/>
      <c r="M112" s="63"/>
    </row>
    <row r="113" spans="2:13" ht="11.45" customHeight="1">
      <c r="B113" s="26"/>
      <c r="C113" s="361" t="s">
        <v>310</v>
      </c>
      <c r="D113" s="1"/>
      <c r="E113" s="1"/>
      <c r="F113" s="1"/>
      <c r="G113" s="1"/>
      <c r="H113" s="31"/>
      <c r="I113" s="21"/>
      <c r="L113"/>
      <c r="M113"/>
    </row>
    <row r="114" spans="2:13" ht="11.45" customHeight="1">
      <c r="B114" s="39" t="s">
        <v>76</v>
      </c>
      <c r="C114" s="39"/>
      <c r="D114" s="37"/>
      <c r="E114" s="37"/>
      <c r="F114" s="37"/>
      <c r="G114" s="37"/>
      <c r="H114" s="37"/>
      <c r="I114" s="21"/>
    </row>
    <row r="115" spans="2:13" ht="11.45" customHeight="1">
      <c r="B115" s="30" t="s">
        <v>77</v>
      </c>
      <c r="C115" s="40">
        <f>+C6/D6-1</f>
        <v>-0.25961919873066241</v>
      </c>
      <c r="D115" s="40">
        <f>+D6/E6-1</f>
        <v>0.12695574430040235</v>
      </c>
      <c r="E115" s="40">
        <f>+E6/F6-1</f>
        <v>-4.5037353255069412E-2</v>
      </c>
      <c r="F115" s="40">
        <f>+F6/G6-1</f>
        <v>5.7800857981485709E-2</v>
      </c>
      <c r="G115" s="17"/>
      <c r="H115" s="31"/>
      <c r="I115" s="21"/>
    </row>
    <row r="116" spans="2:13" ht="11.45" customHeight="1">
      <c r="B116" s="26"/>
      <c r="C116" s="17"/>
      <c r="D116" s="17"/>
      <c r="E116" s="17"/>
      <c r="F116" s="17"/>
      <c r="G116" s="17"/>
      <c r="H116" s="31"/>
      <c r="I116" s="21"/>
    </row>
    <row r="117" spans="2:13" ht="11.45" customHeight="1">
      <c r="B117" s="32" t="s">
        <v>78</v>
      </c>
      <c r="C117" s="17"/>
      <c r="D117" s="17"/>
      <c r="E117" s="17"/>
      <c r="F117" s="17"/>
      <c r="G117" s="17"/>
      <c r="H117" s="31"/>
      <c r="I117" s="21"/>
    </row>
    <row r="118" spans="2:13" ht="11.45" customHeight="1">
      <c r="B118" s="30" t="s">
        <v>79</v>
      </c>
      <c r="C118" s="41">
        <f>+C28/C47</f>
        <v>2.6062767475035664</v>
      </c>
      <c r="D118" s="41">
        <f>+D28/D47</f>
        <v>2.1645962732919255</v>
      </c>
      <c r="E118" s="41">
        <f>+E28/E47</f>
        <v>1.5250338294993233</v>
      </c>
      <c r="F118" s="41">
        <f>+F28/F47</f>
        <v>0.7235387045813586</v>
      </c>
      <c r="G118" s="17"/>
      <c r="H118" s="31"/>
      <c r="I118" s="21"/>
    </row>
    <row r="119" spans="2:13" ht="11.45" customHeight="1">
      <c r="B119" s="30" t="s">
        <v>80</v>
      </c>
      <c r="C119" s="41">
        <f>+(C25+C26)/C47</f>
        <v>2.5905848787446506</v>
      </c>
      <c r="D119" s="41">
        <f>+(D25+D26)/D47</f>
        <v>2.1459627329192545</v>
      </c>
      <c r="E119" s="41">
        <f>+(E25+E26)/E47</f>
        <v>1.5060893098782138</v>
      </c>
      <c r="F119" s="41">
        <f>+(F25+F26)/F47</f>
        <v>0.71248025276461291</v>
      </c>
      <c r="G119" s="17"/>
      <c r="H119" s="31"/>
      <c r="I119" s="21"/>
    </row>
    <row r="120" spans="2:13" ht="11.45" customHeight="1">
      <c r="B120" s="30" t="s">
        <v>81</v>
      </c>
      <c r="C120" s="41">
        <f>+C6/((C26+D26)/2)</f>
        <v>10.1716621253406</v>
      </c>
      <c r="D120" s="41">
        <f>+D6/((D26+E26)/2)</f>
        <v>11.891509433962264</v>
      </c>
      <c r="E120" s="41">
        <f>+E6/((E26+F26)/2)</f>
        <v>11.516087516087516</v>
      </c>
      <c r="F120" s="41">
        <f>+F6/((F26+G26)/2)</f>
        <v>14.327217125382264</v>
      </c>
      <c r="G120" s="17"/>
      <c r="H120" s="31"/>
      <c r="I120" s="21"/>
    </row>
    <row r="121" spans="2:13" ht="11.45" customHeight="1">
      <c r="B121" s="30" t="s">
        <v>82</v>
      </c>
      <c r="C121" s="42">
        <f>365/C120</f>
        <v>35.884007500669703</v>
      </c>
      <c r="D121" s="42">
        <f>365/D120</f>
        <v>30.694168980563269</v>
      </c>
      <c r="E121" s="42">
        <f>365/E120</f>
        <v>31.694792132320071</v>
      </c>
      <c r="F121" s="42">
        <f>365/F120</f>
        <v>25.47598719316969</v>
      </c>
      <c r="G121" s="17"/>
      <c r="H121" s="31"/>
      <c r="I121" s="21"/>
    </row>
    <row r="122" spans="2:13" ht="11.45" customHeight="1">
      <c r="B122" s="26"/>
      <c r="C122" s="17"/>
      <c r="D122" s="17"/>
      <c r="E122" s="17"/>
      <c r="F122" s="17"/>
      <c r="G122" s="17"/>
      <c r="H122" s="31"/>
      <c r="I122" s="21"/>
    </row>
    <row r="123" spans="2:13" ht="11.45" customHeight="1">
      <c r="B123" s="32" t="s">
        <v>83</v>
      </c>
      <c r="C123" s="17"/>
      <c r="D123" s="17"/>
      <c r="E123" s="17"/>
      <c r="F123" s="17"/>
      <c r="G123" s="17"/>
      <c r="H123" s="31"/>
      <c r="I123" s="21"/>
    </row>
    <row r="124" spans="2:13" ht="11.45" customHeight="1">
      <c r="B124" s="30" t="s">
        <v>84</v>
      </c>
      <c r="C124" s="40">
        <f>+(C46+C50)/(C46+C50+C59)</f>
        <v>0.20301655098772023</v>
      </c>
      <c r="D124" s="40">
        <f>+(D46+D50)/(D46+D50+D59)</f>
        <v>0.22184253690541281</v>
      </c>
      <c r="E124" s="40">
        <f>+(E46+E50)/(E46+E50+E59)</f>
        <v>0.2490474013107758</v>
      </c>
      <c r="F124" s="40">
        <f>+(F46+F50)/(F46+F50+F59)</f>
        <v>0.25869138883936532</v>
      </c>
      <c r="G124" s="17"/>
      <c r="H124" s="31"/>
      <c r="I124" s="21"/>
    </row>
    <row r="125" spans="2:13" ht="11.45" customHeight="1">
      <c r="B125" s="30" t="s">
        <v>85</v>
      </c>
      <c r="C125" s="41">
        <f>+C112/C11</f>
        <v>2.4659090909090908</v>
      </c>
      <c r="D125" s="41">
        <f>+D112/D11</f>
        <v>8.24</v>
      </c>
      <c r="E125" s="41">
        <f>+E112/E11</f>
        <v>9.3026315789473681</v>
      </c>
      <c r="F125" s="41">
        <f>+F112/F11</f>
        <v>8.2249999999999996</v>
      </c>
      <c r="G125" s="17"/>
      <c r="H125" s="31"/>
      <c r="I125" s="21"/>
    </row>
    <row r="126" spans="2:13" ht="11.45" customHeight="1">
      <c r="B126" s="30" t="s">
        <v>86</v>
      </c>
      <c r="C126" s="41">
        <f>+C112/(C50+C46)</f>
        <v>0.14266929651545035</v>
      </c>
      <c r="D126" s="41">
        <f>+D112/(D50+D46)</f>
        <v>0.38077634011090572</v>
      </c>
      <c r="E126" s="41">
        <f>+E112/(E50+E46)</f>
        <v>0.43268053855569155</v>
      </c>
      <c r="F126" s="41">
        <f>+F112/(F50+F46)</f>
        <v>0.45348035837353551</v>
      </c>
      <c r="G126" s="17"/>
      <c r="H126" s="31"/>
      <c r="I126" s="21"/>
    </row>
    <row r="127" spans="2:13" ht="11.45" customHeight="1">
      <c r="B127" s="26"/>
      <c r="C127" s="17"/>
      <c r="D127" s="17"/>
      <c r="E127" s="17"/>
      <c r="F127" s="17"/>
      <c r="G127" s="17"/>
      <c r="H127" s="31"/>
      <c r="I127" s="21"/>
    </row>
    <row r="128" spans="2:13" ht="11.45" customHeight="1">
      <c r="B128" s="32" t="s">
        <v>87</v>
      </c>
      <c r="C128" s="17"/>
      <c r="D128" s="17"/>
      <c r="E128" s="17"/>
      <c r="F128" s="17"/>
      <c r="G128" s="17"/>
      <c r="H128" s="31"/>
      <c r="I128" s="21"/>
    </row>
    <row r="129" spans="2:9" ht="11.45" customHeight="1">
      <c r="B129" s="30" t="s">
        <v>4</v>
      </c>
      <c r="C129" s="40">
        <f>+C8/C6</f>
        <v>0.13340476828288239</v>
      </c>
      <c r="D129" s="40">
        <f>+D8/D6</f>
        <v>0.1870289567631892</v>
      </c>
      <c r="E129" s="40">
        <f>+E8/E6</f>
        <v>0.21881984801072865</v>
      </c>
      <c r="F129" s="40">
        <f>+F8/F6</f>
        <v>0.22347918890074706</v>
      </c>
      <c r="G129" s="17"/>
      <c r="H129" s="31"/>
      <c r="I129" s="21"/>
    </row>
    <row r="130" spans="2:9" ht="11.45" customHeight="1">
      <c r="B130" s="30" t="s">
        <v>88</v>
      </c>
      <c r="C130" s="40">
        <f>+C112/C6</f>
        <v>5.8130190195553176E-2</v>
      </c>
      <c r="D130" s="40">
        <f>+D112/D6</f>
        <v>0.12257040856802856</v>
      </c>
      <c r="E130" s="40">
        <f>+E112/E6</f>
        <v>0.15802413947250782</v>
      </c>
      <c r="F130" s="40">
        <f>+F112/F6</f>
        <v>0.14044823906083245</v>
      </c>
      <c r="G130" s="17"/>
      <c r="H130" s="31"/>
      <c r="I130" s="21"/>
    </row>
    <row r="131" spans="2:9" ht="11.45" customHeight="1">
      <c r="B131" s="30" t="s">
        <v>89</v>
      </c>
      <c r="C131" s="40">
        <f>+C16/((C39+D39)/2)</f>
        <v>3.2711654997940813E-2</v>
      </c>
      <c r="D131" s="40">
        <f>+D16/((D39+E39)/2)</f>
        <v>9.5392278953922785E-2</v>
      </c>
      <c r="E131" s="40">
        <f>+E16/((E39+F39)/2)</f>
        <v>0.10042442050277506</v>
      </c>
      <c r="F131" s="40">
        <f>+F16/((F39+G39)/2)</f>
        <v>3.2421218546311671E-2</v>
      </c>
      <c r="G131" s="17"/>
      <c r="H131" s="31"/>
      <c r="I131" s="21"/>
    </row>
    <row r="132" spans="2:9" ht="11.45" customHeight="1">
      <c r="B132" s="30" t="s">
        <v>90</v>
      </c>
      <c r="C132" s="40">
        <f>+C16/(C59+D59)/2</f>
        <v>1.1917009602194788E-2</v>
      </c>
      <c r="D132" s="40">
        <f>+D16/(D59+E59)/2</f>
        <v>3.6064030131826741E-2</v>
      </c>
      <c r="E132" s="40">
        <f>+E16/(E59+F59)/2</f>
        <v>4.2322509631260316E-2</v>
      </c>
      <c r="F132" s="40">
        <f>+F16/(F59+G59)/2</f>
        <v>1.5497148524671461E-2</v>
      </c>
      <c r="G132" s="17"/>
      <c r="H132" s="31"/>
      <c r="I132" s="21"/>
    </row>
    <row r="133" spans="2:9" ht="11.45" customHeight="1">
      <c r="B133" s="36"/>
      <c r="C133" s="36"/>
      <c r="D133" s="17"/>
      <c r="E133" s="17"/>
      <c r="F133" s="17"/>
      <c r="G133" s="17"/>
      <c r="H133" s="31"/>
      <c r="I133" s="21"/>
    </row>
    <row r="134" spans="2:9" ht="11.45" customHeight="1">
      <c r="B134" s="36"/>
      <c r="C134" s="36"/>
      <c r="D134" s="17"/>
      <c r="E134" s="17"/>
      <c r="F134" s="17"/>
      <c r="G134" s="17"/>
      <c r="H134" s="31"/>
      <c r="I134" s="21"/>
    </row>
    <row r="135" spans="2:9" ht="11.45" customHeight="1">
      <c r="B135" s="36"/>
      <c r="C135" s="36"/>
      <c r="D135" s="17"/>
      <c r="E135" s="17"/>
      <c r="F135" s="17"/>
      <c r="G135" s="17"/>
      <c r="H135" s="31"/>
      <c r="I135" s="21"/>
    </row>
    <row r="136" spans="2:9" ht="11.45" customHeight="1">
      <c r="B136" s="36"/>
      <c r="C136" s="36"/>
      <c r="D136" s="17"/>
      <c r="E136" s="17"/>
      <c r="F136" s="17"/>
      <c r="G136" s="17"/>
      <c r="H136" s="31"/>
      <c r="I136" s="21"/>
    </row>
    <row r="137" spans="2:9" ht="11.45" customHeight="1">
      <c r="B137" s="36"/>
      <c r="C137" s="36"/>
      <c r="D137" s="17"/>
      <c r="E137" s="17"/>
      <c r="F137" s="17"/>
      <c r="G137" s="17"/>
      <c r="H137" s="31"/>
      <c r="I137" s="21"/>
    </row>
    <row r="138" spans="2:9" ht="11.45" customHeight="1">
      <c r="B138" s="36"/>
      <c r="C138" s="36"/>
      <c r="D138" s="17"/>
      <c r="E138" s="17"/>
      <c r="F138" s="17"/>
      <c r="G138" s="17"/>
      <c r="H138" s="31"/>
      <c r="I138" s="21"/>
    </row>
    <row r="139" spans="2:9" ht="11.45" customHeight="1">
      <c r="B139" s="36"/>
      <c r="C139" s="36"/>
      <c r="D139" s="17"/>
      <c r="E139" s="17"/>
      <c r="F139" s="17"/>
      <c r="G139" s="17"/>
      <c r="H139" s="31"/>
      <c r="I139" s="21"/>
    </row>
    <row r="140" spans="2:9" ht="11.45" customHeight="1">
      <c r="B140" s="36"/>
      <c r="C140" s="36"/>
      <c r="D140" s="17"/>
      <c r="E140" s="17"/>
      <c r="F140" s="17"/>
      <c r="G140" s="17"/>
      <c r="H140" s="31"/>
      <c r="I140" s="21"/>
    </row>
    <row r="141" spans="2:9" ht="11.45" customHeight="1">
      <c r="B141" s="36"/>
      <c r="C141" s="36"/>
      <c r="D141" s="17"/>
      <c r="E141" s="17"/>
      <c r="F141" s="17"/>
      <c r="G141" s="17"/>
      <c r="H141" s="31"/>
      <c r="I141" s="21"/>
    </row>
    <row r="142" spans="2:9" ht="11.45" customHeight="1">
      <c r="B142" s="36"/>
      <c r="C142" s="36"/>
      <c r="D142" s="17"/>
      <c r="E142" s="17"/>
      <c r="F142" s="17"/>
      <c r="G142" s="17"/>
      <c r="H142" s="31"/>
      <c r="I142" s="21"/>
    </row>
    <row r="143" spans="2:9" ht="11.45" customHeight="1">
      <c r="B143" s="36"/>
      <c r="C143" s="36"/>
      <c r="D143" s="17"/>
      <c r="E143" s="17"/>
      <c r="F143" s="17"/>
      <c r="G143" s="17"/>
      <c r="H143" s="31"/>
      <c r="I143" s="21"/>
    </row>
    <row r="144" spans="2:9" ht="11.45" customHeight="1">
      <c r="B144" s="36"/>
      <c r="C144" s="36"/>
      <c r="D144" s="17"/>
      <c r="E144" s="17"/>
      <c r="F144" s="17"/>
      <c r="G144" s="17"/>
      <c r="H144" s="31"/>
      <c r="I144" s="21"/>
    </row>
    <row r="145" spans="2:9" ht="11.45" customHeight="1">
      <c r="B145" s="36"/>
      <c r="C145" s="36"/>
      <c r="D145" s="17"/>
      <c r="E145" s="17"/>
      <c r="F145" s="17"/>
      <c r="G145" s="17"/>
      <c r="H145" s="31"/>
      <c r="I145" s="21"/>
    </row>
    <row r="146" spans="2:9" ht="11.45" customHeight="1">
      <c r="B146" s="36"/>
      <c r="C146" s="36"/>
      <c r="D146" s="17"/>
      <c r="E146" s="17"/>
      <c r="F146" s="17"/>
      <c r="G146" s="17"/>
      <c r="H146" s="31"/>
      <c r="I146" s="21"/>
    </row>
    <row r="147" spans="2:9" ht="11.45" customHeight="1">
      <c r="B147" s="36"/>
      <c r="C147" s="36"/>
      <c r="D147" s="17"/>
      <c r="E147" s="17"/>
      <c r="F147" s="17"/>
      <c r="G147" s="17"/>
      <c r="H147" s="31"/>
      <c r="I147" s="21"/>
    </row>
    <row r="148" spans="2:9" ht="11.45" customHeight="1">
      <c r="B148" s="36"/>
      <c r="C148" s="36"/>
      <c r="D148" s="17"/>
      <c r="E148" s="17"/>
      <c r="F148" s="17"/>
      <c r="G148" s="17"/>
      <c r="H148" s="31"/>
      <c r="I148" s="21"/>
    </row>
    <row r="149" spans="2:9" ht="11.45" customHeight="1">
      <c r="B149" s="36"/>
      <c r="C149" s="36"/>
      <c r="D149" s="17"/>
      <c r="E149" s="17"/>
      <c r="F149" s="17"/>
      <c r="G149" s="17"/>
      <c r="H149" s="31"/>
      <c r="I149" s="21"/>
    </row>
    <row r="150" spans="2:9" ht="11.45" customHeight="1">
      <c r="B150" s="36"/>
      <c r="C150" s="36"/>
      <c r="D150" s="17"/>
      <c r="E150" s="17"/>
      <c r="F150" s="17"/>
      <c r="G150" s="17"/>
      <c r="H150" s="31"/>
      <c r="I150" s="21"/>
    </row>
    <row r="151" spans="2:9" ht="11.45" customHeight="1">
      <c r="B151" s="36"/>
      <c r="C151" s="36"/>
      <c r="D151" s="17"/>
      <c r="E151" s="17"/>
      <c r="F151" s="17"/>
      <c r="G151" s="17"/>
      <c r="H151" s="31"/>
      <c r="I151" s="21"/>
    </row>
    <row r="152" spans="2:9" ht="11.45" customHeight="1">
      <c r="B152" s="36"/>
      <c r="C152" s="36"/>
      <c r="D152" s="17"/>
      <c r="E152" s="17"/>
      <c r="F152" s="17"/>
      <c r="G152" s="17"/>
      <c r="H152" s="31"/>
      <c r="I152" s="21"/>
    </row>
    <row r="153" spans="2:9" ht="11.45" customHeight="1">
      <c r="B153" s="36"/>
      <c r="C153" s="36"/>
      <c r="D153" s="17"/>
      <c r="E153" s="17"/>
      <c r="F153" s="17"/>
      <c r="G153" s="17"/>
      <c r="H153" s="31"/>
      <c r="I153" s="21"/>
    </row>
    <row r="154" spans="2:9" ht="11.45" customHeight="1">
      <c r="B154" s="36"/>
      <c r="C154" s="36"/>
      <c r="D154" s="17"/>
      <c r="E154" s="17"/>
      <c r="F154" s="17"/>
      <c r="G154" s="17"/>
      <c r="H154" s="31"/>
      <c r="I154" s="21"/>
    </row>
    <row r="155" spans="2:9" ht="11.45" customHeight="1">
      <c r="B155" s="36"/>
      <c r="C155" s="36"/>
      <c r="D155" s="17"/>
      <c r="E155" s="17"/>
      <c r="F155" s="17"/>
      <c r="G155" s="17"/>
      <c r="H155" s="31"/>
      <c r="I155" s="21"/>
    </row>
    <row r="156" spans="2:9" ht="11.45" customHeight="1">
      <c r="B156" s="36"/>
      <c r="C156" s="36"/>
      <c r="D156" s="17"/>
      <c r="E156" s="17"/>
      <c r="F156" s="17"/>
      <c r="G156" s="17"/>
      <c r="H156" s="31"/>
      <c r="I156" s="21"/>
    </row>
    <row r="157" spans="2:9" ht="11.45" customHeight="1">
      <c r="B157" s="36"/>
      <c r="C157" s="36"/>
      <c r="D157" s="17"/>
      <c r="E157" s="17"/>
      <c r="F157" s="17"/>
      <c r="G157" s="17"/>
      <c r="H157" s="31"/>
      <c r="I157" s="21"/>
    </row>
    <row r="158" spans="2:9" ht="11.45" customHeight="1">
      <c r="B158" s="36"/>
      <c r="C158" s="36"/>
      <c r="D158" s="17"/>
      <c r="E158" s="17"/>
      <c r="F158" s="17"/>
      <c r="G158" s="17"/>
      <c r="H158" s="31"/>
      <c r="I158" s="21"/>
    </row>
    <row r="159" spans="2:9" ht="11.45" customHeight="1">
      <c r="B159" s="36"/>
      <c r="C159" s="36"/>
      <c r="D159" s="17"/>
      <c r="E159" s="17"/>
      <c r="F159" s="17"/>
      <c r="G159" s="17"/>
      <c r="H159" s="31"/>
      <c r="I159" s="21"/>
    </row>
    <row r="160" spans="2:9" ht="11.45" customHeight="1">
      <c r="B160" s="36"/>
      <c r="C160" s="36"/>
      <c r="D160" s="17"/>
      <c r="E160" s="17"/>
      <c r="F160" s="17"/>
      <c r="G160" s="17"/>
      <c r="H160" s="31"/>
      <c r="I160" s="21"/>
    </row>
    <row r="161" spans="2:9" ht="11.45" customHeight="1">
      <c r="B161" s="36"/>
      <c r="C161" s="36"/>
      <c r="D161" s="17"/>
      <c r="E161" s="17"/>
      <c r="F161" s="17"/>
      <c r="G161" s="17"/>
      <c r="H161" s="31"/>
      <c r="I161" s="21"/>
    </row>
    <row r="162" spans="2:9" ht="11.45" customHeight="1">
      <c r="B162" s="36"/>
      <c r="C162" s="36"/>
      <c r="D162" s="17"/>
      <c r="E162" s="17"/>
      <c r="F162" s="17"/>
      <c r="G162" s="17"/>
      <c r="H162" s="31"/>
      <c r="I162" s="21"/>
    </row>
    <row r="163" spans="2:9" ht="11.45" customHeight="1">
      <c r="B163" s="36"/>
      <c r="C163" s="36"/>
      <c r="D163" s="17"/>
      <c r="E163" s="17"/>
      <c r="F163" s="17"/>
      <c r="G163" s="17"/>
      <c r="H163" s="31"/>
      <c r="I163" s="21"/>
    </row>
    <row r="164" spans="2:9" ht="11.45" customHeight="1">
      <c r="B164" s="36"/>
      <c r="C164" s="36"/>
      <c r="D164" s="17"/>
      <c r="E164" s="17"/>
      <c r="F164" s="17"/>
      <c r="G164" s="17"/>
      <c r="H164" s="31"/>
      <c r="I164" s="21"/>
    </row>
    <row r="165" spans="2:9" ht="11.45" customHeight="1">
      <c r="B165" s="36"/>
      <c r="C165" s="36"/>
      <c r="D165" s="17"/>
      <c r="E165" s="17"/>
      <c r="F165" s="17"/>
      <c r="G165" s="17"/>
      <c r="H165" s="31"/>
      <c r="I165" s="21"/>
    </row>
    <row r="166" spans="2:9" ht="11.45" customHeight="1">
      <c r="B166" s="36"/>
      <c r="C166" s="36"/>
      <c r="D166" s="17"/>
      <c r="E166" s="17"/>
      <c r="F166" s="17"/>
      <c r="G166" s="17"/>
      <c r="H166" s="31"/>
      <c r="I166" s="21"/>
    </row>
    <row r="167" spans="2:9" ht="11.45" customHeight="1">
      <c r="B167" s="36"/>
      <c r="C167" s="36"/>
      <c r="D167" s="17"/>
      <c r="E167" s="17"/>
      <c r="F167" s="17"/>
      <c r="G167" s="17"/>
      <c r="H167" s="31"/>
      <c r="I167" s="21"/>
    </row>
    <row r="168" spans="2:9" ht="11.45" customHeight="1">
      <c r="B168" s="36"/>
      <c r="C168" s="36"/>
      <c r="D168" s="17"/>
      <c r="E168" s="17"/>
      <c r="F168" s="17"/>
      <c r="G168" s="17"/>
      <c r="H168" s="31"/>
      <c r="I168" s="21"/>
    </row>
    <row r="169" spans="2:9" ht="11.45" customHeight="1">
      <c r="B169" s="36"/>
      <c r="C169" s="36"/>
      <c r="D169" s="17"/>
      <c r="E169" s="17"/>
      <c r="F169" s="17"/>
      <c r="G169" s="17"/>
      <c r="H169" s="31"/>
      <c r="I169" s="21"/>
    </row>
    <row r="170" spans="2:9" ht="11.45" customHeight="1">
      <c r="B170" s="36"/>
      <c r="C170" s="36"/>
      <c r="D170" s="17"/>
      <c r="E170" s="17"/>
      <c r="F170" s="17"/>
      <c r="G170" s="17"/>
      <c r="H170" s="31"/>
      <c r="I170" s="21"/>
    </row>
    <row r="171" spans="2:9" ht="11.45" customHeight="1">
      <c r="B171" s="36"/>
      <c r="C171" s="36"/>
      <c r="D171" s="17"/>
      <c r="E171" s="17"/>
      <c r="F171" s="17"/>
      <c r="G171" s="17"/>
      <c r="H171" s="31"/>
      <c r="I171" s="21"/>
    </row>
    <row r="172" spans="2:9" ht="11.45" customHeight="1">
      <c r="B172" s="36"/>
      <c r="C172" s="36"/>
      <c r="D172" s="17"/>
      <c r="E172" s="17"/>
      <c r="F172" s="17"/>
      <c r="G172" s="17"/>
      <c r="H172" s="31"/>
      <c r="I172" s="21"/>
    </row>
    <row r="173" spans="2:9" ht="11.45" customHeight="1">
      <c r="B173" s="36"/>
      <c r="C173" s="36"/>
      <c r="D173" s="17"/>
      <c r="E173" s="17"/>
      <c r="F173" s="17"/>
      <c r="G173" s="17"/>
      <c r="H173" s="31"/>
      <c r="I173" s="21"/>
    </row>
    <row r="174" spans="2:9" ht="11.45" customHeight="1">
      <c r="B174" s="36"/>
      <c r="C174" s="36"/>
      <c r="D174" s="17"/>
      <c r="E174" s="17"/>
      <c r="F174" s="17"/>
      <c r="G174" s="17"/>
      <c r="H174" s="31"/>
      <c r="I174" s="21"/>
    </row>
    <row r="175" spans="2:9" ht="11.45" customHeight="1">
      <c r="B175" s="36"/>
      <c r="C175" s="36"/>
      <c r="D175" s="17"/>
      <c r="E175" s="17"/>
      <c r="F175" s="17"/>
      <c r="G175" s="17"/>
      <c r="H175" s="31"/>
      <c r="I175" s="21"/>
    </row>
    <row r="176" spans="2:9" ht="11.45" customHeight="1">
      <c r="B176" s="36"/>
      <c r="C176" s="36"/>
      <c r="D176" s="17"/>
      <c r="E176" s="17"/>
      <c r="F176" s="17"/>
      <c r="G176" s="17"/>
      <c r="H176" s="31"/>
      <c r="I176" s="21"/>
    </row>
    <row r="177" spans="2:9" ht="11.45" customHeight="1">
      <c r="B177" s="36"/>
      <c r="C177" s="36"/>
      <c r="D177" s="17"/>
      <c r="E177" s="17"/>
      <c r="F177" s="17"/>
      <c r="G177" s="17"/>
      <c r="H177" s="31"/>
      <c r="I177" s="21"/>
    </row>
    <row r="178" spans="2:9" ht="11.45" customHeight="1">
      <c r="B178" s="36"/>
      <c r="C178" s="36"/>
      <c r="D178" s="17"/>
      <c r="E178" s="17"/>
      <c r="F178" s="17"/>
      <c r="G178" s="17"/>
      <c r="H178" s="31"/>
      <c r="I178" s="21"/>
    </row>
    <row r="179" spans="2:9" ht="11.45" customHeight="1">
      <c r="B179" s="36"/>
      <c r="C179" s="36"/>
      <c r="D179" s="17"/>
      <c r="E179" s="17"/>
      <c r="F179" s="17"/>
      <c r="G179" s="17"/>
      <c r="H179" s="31"/>
      <c r="I179" s="21"/>
    </row>
    <row r="180" spans="2:9" ht="11.45" customHeight="1">
      <c r="B180" s="36"/>
      <c r="C180" s="36"/>
      <c r="D180" s="17"/>
      <c r="E180" s="17"/>
      <c r="F180" s="17"/>
      <c r="G180" s="17"/>
      <c r="H180" s="31"/>
      <c r="I180" s="21"/>
    </row>
    <row r="181" spans="2:9" ht="11.45" customHeight="1">
      <c r="B181" s="36"/>
      <c r="C181" s="36"/>
      <c r="D181" s="17"/>
      <c r="E181" s="17"/>
      <c r="F181" s="17"/>
      <c r="G181" s="17"/>
      <c r="H181" s="31"/>
      <c r="I181" s="21"/>
    </row>
    <row r="182" spans="2:9" ht="11.45" customHeight="1">
      <c r="B182" s="36"/>
      <c r="C182" s="36"/>
      <c r="D182" s="17"/>
      <c r="E182" s="17"/>
      <c r="F182" s="17"/>
      <c r="G182" s="17"/>
      <c r="H182" s="31"/>
      <c r="I182" s="21"/>
    </row>
    <row r="183" spans="2:9" ht="11.45" customHeight="1">
      <c r="B183" s="36"/>
      <c r="C183" s="36"/>
      <c r="D183" s="17"/>
      <c r="E183" s="17"/>
      <c r="F183" s="17"/>
      <c r="G183" s="17"/>
      <c r="H183" s="31"/>
      <c r="I183" s="21"/>
    </row>
    <row r="184" spans="2:9" ht="11.45" customHeight="1">
      <c r="B184" s="36"/>
      <c r="C184" s="36"/>
      <c r="D184" s="17"/>
      <c r="E184" s="17"/>
      <c r="F184" s="17"/>
      <c r="G184" s="17"/>
      <c r="H184" s="31"/>
      <c r="I184" s="21"/>
    </row>
    <row r="185" spans="2:9" ht="11.45" customHeight="1">
      <c r="B185" s="36"/>
      <c r="C185" s="36"/>
      <c r="D185" s="17"/>
      <c r="E185" s="17"/>
      <c r="F185" s="17"/>
      <c r="G185" s="17"/>
      <c r="H185" s="31"/>
      <c r="I185" s="21"/>
    </row>
    <row r="186" spans="2:9" ht="11.45" customHeight="1">
      <c r="B186" s="36"/>
      <c r="C186" s="36"/>
      <c r="D186" s="17"/>
      <c r="E186" s="17"/>
      <c r="F186" s="17"/>
      <c r="G186" s="17"/>
      <c r="H186" s="31"/>
      <c r="I186" s="21"/>
    </row>
    <row r="187" spans="2:9" ht="11.45" customHeight="1">
      <c r="B187" s="36"/>
      <c r="C187" s="36"/>
      <c r="D187" s="17"/>
      <c r="E187" s="17"/>
      <c r="F187" s="17"/>
      <c r="G187" s="17"/>
      <c r="H187" s="31"/>
      <c r="I187" s="21"/>
    </row>
    <row r="188" spans="2:9" ht="11.45" customHeight="1">
      <c r="B188" s="36"/>
      <c r="C188" s="36"/>
      <c r="D188" s="17"/>
      <c r="E188" s="17"/>
      <c r="F188" s="17"/>
      <c r="G188" s="17"/>
      <c r="H188" s="31"/>
      <c r="I188" s="21"/>
    </row>
    <row r="189" spans="2:9" ht="11.45" customHeight="1">
      <c r="B189" s="36"/>
      <c r="C189" s="36"/>
      <c r="D189" s="17"/>
      <c r="E189" s="17"/>
      <c r="F189" s="17"/>
      <c r="G189" s="17"/>
      <c r="H189" s="31"/>
      <c r="I189" s="21"/>
    </row>
    <row r="190" spans="2:9" ht="11.45" customHeight="1">
      <c r="B190" s="36"/>
      <c r="C190" s="36"/>
      <c r="D190" s="17"/>
      <c r="E190" s="17"/>
      <c r="F190" s="17"/>
      <c r="G190" s="17"/>
      <c r="H190" s="31"/>
      <c r="I190" s="21"/>
    </row>
    <row r="191" spans="2:9" ht="11.45" customHeight="1">
      <c r="B191" s="36"/>
      <c r="C191" s="36"/>
      <c r="D191" s="17"/>
      <c r="E191" s="17"/>
      <c r="F191" s="17"/>
      <c r="G191" s="17"/>
      <c r="H191" s="31"/>
      <c r="I191" s="21"/>
    </row>
    <row r="192" spans="2:9" ht="11.45" customHeight="1">
      <c r="B192" s="36"/>
      <c r="C192" s="36"/>
      <c r="D192" s="17"/>
      <c r="E192" s="17"/>
      <c r="F192" s="17"/>
      <c r="G192" s="17"/>
      <c r="H192" s="31"/>
      <c r="I192" s="21"/>
    </row>
    <row r="193" spans="2:9" ht="11.45" customHeight="1">
      <c r="B193" s="36"/>
      <c r="C193" s="36"/>
      <c r="D193" s="17"/>
      <c r="E193" s="17"/>
      <c r="F193" s="17"/>
      <c r="G193" s="17"/>
      <c r="H193" s="31"/>
      <c r="I193" s="21"/>
    </row>
    <row r="194" spans="2:9" ht="17" customHeight="1">
      <c r="B194" s="36"/>
      <c r="C194" s="36"/>
      <c r="D194" s="17"/>
      <c r="E194" s="17"/>
      <c r="F194" s="17"/>
      <c r="G194" s="17"/>
      <c r="H194" s="31"/>
      <c r="I194" s="21"/>
    </row>
    <row r="195" spans="2:9" ht="17" customHeight="1">
      <c r="B195" s="36"/>
      <c r="C195" s="36"/>
      <c r="D195" s="17"/>
      <c r="E195" s="17"/>
      <c r="F195" s="17"/>
      <c r="G195" s="17"/>
      <c r="H195" s="31"/>
      <c r="I195" s="21"/>
    </row>
  </sheetData>
  <phoneticPr fontId="38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FBE1DE-7F91-4F27-A935-163C5D6FF376}">
  <dimension ref="B1:Q98"/>
  <sheetViews>
    <sheetView workbookViewId="0">
      <selection activeCell="N36" sqref="N36"/>
    </sheetView>
  </sheetViews>
  <sheetFormatPr defaultColWidth="24.46875" defaultRowHeight="14.35"/>
  <cols>
    <col min="1" max="1" width="3.8203125" style="1" customWidth="1"/>
    <col min="2" max="2" width="26.703125" style="18" customWidth="1"/>
    <col min="3" max="6" width="10.1171875" style="3" customWidth="1"/>
    <col min="7" max="7" width="10.1171875" style="18" customWidth="1"/>
    <col min="8" max="8" width="10.1171875" customWidth="1"/>
    <col min="9" max="9" width="10.1171875" style="4" customWidth="1"/>
    <col min="10" max="11" width="10.1171875" style="1" customWidth="1"/>
    <col min="12" max="12" width="10.1171875" style="286" customWidth="1"/>
    <col min="13" max="13" width="10.1171875" style="1" customWidth="1"/>
    <col min="14" max="14" width="5.87890625" style="1" customWidth="1"/>
    <col min="15" max="16" width="11.17578125" style="1" customWidth="1"/>
    <col min="17" max="258" width="24.46875" style="1"/>
    <col min="259" max="259" width="3.8203125" style="1" customWidth="1"/>
    <col min="260" max="260" width="32.234375" style="1" customWidth="1"/>
    <col min="261" max="264" width="13.87890625" style="1" customWidth="1"/>
    <col min="265" max="268" width="7.5859375" style="1" customWidth="1"/>
    <col min="269" max="514" width="24.46875" style="1"/>
    <col min="515" max="515" width="3.8203125" style="1" customWidth="1"/>
    <col min="516" max="516" width="32.234375" style="1" customWidth="1"/>
    <col min="517" max="520" width="13.87890625" style="1" customWidth="1"/>
    <col min="521" max="524" width="7.5859375" style="1" customWidth="1"/>
    <col min="525" max="770" width="24.46875" style="1"/>
    <col min="771" max="771" width="3.8203125" style="1" customWidth="1"/>
    <col min="772" max="772" width="32.234375" style="1" customWidth="1"/>
    <col min="773" max="776" width="13.87890625" style="1" customWidth="1"/>
    <col min="777" max="780" width="7.5859375" style="1" customWidth="1"/>
    <col min="781" max="1026" width="24.46875" style="1"/>
    <col min="1027" max="1027" width="3.8203125" style="1" customWidth="1"/>
    <col min="1028" max="1028" width="32.234375" style="1" customWidth="1"/>
    <col min="1029" max="1032" width="13.87890625" style="1" customWidth="1"/>
    <col min="1033" max="1036" width="7.5859375" style="1" customWidth="1"/>
    <col min="1037" max="1282" width="24.46875" style="1"/>
    <col min="1283" max="1283" width="3.8203125" style="1" customWidth="1"/>
    <col min="1284" max="1284" width="32.234375" style="1" customWidth="1"/>
    <col min="1285" max="1288" width="13.87890625" style="1" customWidth="1"/>
    <col min="1289" max="1292" width="7.5859375" style="1" customWidth="1"/>
    <col min="1293" max="1538" width="24.46875" style="1"/>
    <col min="1539" max="1539" width="3.8203125" style="1" customWidth="1"/>
    <col min="1540" max="1540" width="32.234375" style="1" customWidth="1"/>
    <col min="1541" max="1544" width="13.87890625" style="1" customWidth="1"/>
    <col min="1545" max="1548" width="7.5859375" style="1" customWidth="1"/>
    <col min="1549" max="1794" width="24.46875" style="1"/>
    <col min="1795" max="1795" width="3.8203125" style="1" customWidth="1"/>
    <col min="1796" max="1796" width="32.234375" style="1" customWidth="1"/>
    <col min="1797" max="1800" width="13.87890625" style="1" customWidth="1"/>
    <col min="1801" max="1804" width="7.5859375" style="1" customWidth="1"/>
    <col min="1805" max="2050" width="24.46875" style="1"/>
    <col min="2051" max="2051" width="3.8203125" style="1" customWidth="1"/>
    <col min="2052" max="2052" width="32.234375" style="1" customWidth="1"/>
    <col min="2053" max="2056" width="13.87890625" style="1" customWidth="1"/>
    <col min="2057" max="2060" width="7.5859375" style="1" customWidth="1"/>
    <col min="2061" max="2306" width="24.46875" style="1"/>
    <col min="2307" max="2307" width="3.8203125" style="1" customWidth="1"/>
    <col min="2308" max="2308" width="32.234375" style="1" customWidth="1"/>
    <col min="2309" max="2312" width="13.87890625" style="1" customWidth="1"/>
    <col min="2313" max="2316" width="7.5859375" style="1" customWidth="1"/>
    <col min="2317" max="2562" width="24.46875" style="1"/>
    <col min="2563" max="2563" width="3.8203125" style="1" customWidth="1"/>
    <col min="2564" max="2564" width="32.234375" style="1" customWidth="1"/>
    <col min="2565" max="2568" width="13.87890625" style="1" customWidth="1"/>
    <col min="2569" max="2572" width="7.5859375" style="1" customWidth="1"/>
    <col min="2573" max="2818" width="24.46875" style="1"/>
    <col min="2819" max="2819" width="3.8203125" style="1" customWidth="1"/>
    <col min="2820" max="2820" width="32.234375" style="1" customWidth="1"/>
    <col min="2821" max="2824" width="13.87890625" style="1" customWidth="1"/>
    <col min="2825" max="2828" width="7.5859375" style="1" customWidth="1"/>
    <col min="2829" max="3074" width="24.46875" style="1"/>
    <col min="3075" max="3075" width="3.8203125" style="1" customWidth="1"/>
    <col min="3076" max="3076" width="32.234375" style="1" customWidth="1"/>
    <col min="3077" max="3080" width="13.87890625" style="1" customWidth="1"/>
    <col min="3081" max="3084" width="7.5859375" style="1" customWidth="1"/>
    <col min="3085" max="3330" width="24.46875" style="1"/>
    <col min="3331" max="3331" width="3.8203125" style="1" customWidth="1"/>
    <col min="3332" max="3332" width="32.234375" style="1" customWidth="1"/>
    <col min="3333" max="3336" width="13.87890625" style="1" customWidth="1"/>
    <col min="3337" max="3340" width="7.5859375" style="1" customWidth="1"/>
    <col min="3341" max="3586" width="24.46875" style="1"/>
    <col min="3587" max="3587" width="3.8203125" style="1" customWidth="1"/>
    <col min="3588" max="3588" width="32.234375" style="1" customWidth="1"/>
    <col min="3589" max="3592" width="13.87890625" style="1" customWidth="1"/>
    <col min="3593" max="3596" width="7.5859375" style="1" customWidth="1"/>
    <col min="3597" max="3842" width="24.46875" style="1"/>
    <col min="3843" max="3843" width="3.8203125" style="1" customWidth="1"/>
    <col min="3844" max="3844" width="32.234375" style="1" customWidth="1"/>
    <col min="3845" max="3848" width="13.87890625" style="1" customWidth="1"/>
    <col min="3849" max="3852" width="7.5859375" style="1" customWidth="1"/>
    <col min="3853" max="4098" width="24.46875" style="1"/>
    <col min="4099" max="4099" width="3.8203125" style="1" customWidth="1"/>
    <col min="4100" max="4100" width="32.234375" style="1" customWidth="1"/>
    <col min="4101" max="4104" width="13.87890625" style="1" customWidth="1"/>
    <col min="4105" max="4108" width="7.5859375" style="1" customWidth="1"/>
    <col min="4109" max="4354" width="24.46875" style="1"/>
    <col min="4355" max="4355" width="3.8203125" style="1" customWidth="1"/>
    <col min="4356" max="4356" width="32.234375" style="1" customWidth="1"/>
    <col min="4357" max="4360" width="13.87890625" style="1" customWidth="1"/>
    <col min="4361" max="4364" width="7.5859375" style="1" customWidth="1"/>
    <col min="4365" max="4610" width="24.46875" style="1"/>
    <col min="4611" max="4611" width="3.8203125" style="1" customWidth="1"/>
    <col min="4612" max="4612" width="32.234375" style="1" customWidth="1"/>
    <col min="4613" max="4616" width="13.87890625" style="1" customWidth="1"/>
    <col min="4617" max="4620" width="7.5859375" style="1" customWidth="1"/>
    <col min="4621" max="4866" width="24.46875" style="1"/>
    <col min="4867" max="4867" width="3.8203125" style="1" customWidth="1"/>
    <col min="4868" max="4868" width="32.234375" style="1" customWidth="1"/>
    <col min="4869" max="4872" width="13.87890625" style="1" customWidth="1"/>
    <col min="4873" max="4876" width="7.5859375" style="1" customWidth="1"/>
    <col min="4877" max="5122" width="24.46875" style="1"/>
    <col min="5123" max="5123" width="3.8203125" style="1" customWidth="1"/>
    <col min="5124" max="5124" width="32.234375" style="1" customWidth="1"/>
    <col min="5125" max="5128" width="13.87890625" style="1" customWidth="1"/>
    <col min="5129" max="5132" width="7.5859375" style="1" customWidth="1"/>
    <col min="5133" max="5378" width="24.46875" style="1"/>
    <col min="5379" max="5379" width="3.8203125" style="1" customWidth="1"/>
    <col min="5380" max="5380" width="32.234375" style="1" customWidth="1"/>
    <col min="5381" max="5384" width="13.87890625" style="1" customWidth="1"/>
    <col min="5385" max="5388" width="7.5859375" style="1" customWidth="1"/>
    <col min="5389" max="5634" width="24.46875" style="1"/>
    <col min="5635" max="5635" width="3.8203125" style="1" customWidth="1"/>
    <col min="5636" max="5636" width="32.234375" style="1" customWidth="1"/>
    <col min="5637" max="5640" width="13.87890625" style="1" customWidth="1"/>
    <col min="5641" max="5644" width="7.5859375" style="1" customWidth="1"/>
    <col min="5645" max="5890" width="24.46875" style="1"/>
    <col min="5891" max="5891" width="3.8203125" style="1" customWidth="1"/>
    <col min="5892" max="5892" width="32.234375" style="1" customWidth="1"/>
    <col min="5893" max="5896" width="13.87890625" style="1" customWidth="1"/>
    <col min="5897" max="5900" width="7.5859375" style="1" customWidth="1"/>
    <col min="5901" max="6146" width="24.46875" style="1"/>
    <col min="6147" max="6147" width="3.8203125" style="1" customWidth="1"/>
    <col min="6148" max="6148" width="32.234375" style="1" customWidth="1"/>
    <col min="6149" max="6152" width="13.87890625" style="1" customWidth="1"/>
    <col min="6153" max="6156" width="7.5859375" style="1" customWidth="1"/>
    <col min="6157" max="6402" width="24.46875" style="1"/>
    <col min="6403" max="6403" width="3.8203125" style="1" customWidth="1"/>
    <col min="6404" max="6404" width="32.234375" style="1" customWidth="1"/>
    <col min="6405" max="6408" width="13.87890625" style="1" customWidth="1"/>
    <col min="6409" max="6412" width="7.5859375" style="1" customWidth="1"/>
    <col min="6413" max="6658" width="24.46875" style="1"/>
    <col min="6659" max="6659" width="3.8203125" style="1" customWidth="1"/>
    <col min="6660" max="6660" width="32.234375" style="1" customWidth="1"/>
    <col min="6661" max="6664" width="13.87890625" style="1" customWidth="1"/>
    <col min="6665" max="6668" width="7.5859375" style="1" customWidth="1"/>
    <col min="6669" max="6914" width="24.46875" style="1"/>
    <col min="6915" max="6915" width="3.8203125" style="1" customWidth="1"/>
    <col min="6916" max="6916" width="32.234375" style="1" customWidth="1"/>
    <col min="6917" max="6920" width="13.87890625" style="1" customWidth="1"/>
    <col min="6921" max="6924" width="7.5859375" style="1" customWidth="1"/>
    <col min="6925" max="7170" width="24.46875" style="1"/>
    <col min="7171" max="7171" width="3.8203125" style="1" customWidth="1"/>
    <col min="7172" max="7172" width="32.234375" style="1" customWidth="1"/>
    <col min="7173" max="7176" width="13.87890625" style="1" customWidth="1"/>
    <col min="7177" max="7180" width="7.5859375" style="1" customWidth="1"/>
    <col min="7181" max="7426" width="24.46875" style="1"/>
    <col min="7427" max="7427" width="3.8203125" style="1" customWidth="1"/>
    <col min="7428" max="7428" width="32.234375" style="1" customWidth="1"/>
    <col min="7429" max="7432" width="13.87890625" style="1" customWidth="1"/>
    <col min="7433" max="7436" width="7.5859375" style="1" customWidth="1"/>
    <col min="7437" max="7682" width="24.46875" style="1"/>
    <col min="7683" max="7683" width="3.8203125" style="1" customWidth="1"/>
    <col min="7684" max="7684" width="32.234375" style="1" customWidth="1"/>
    <col min="7685" max="7688" width="13.87890625" style="1" customWidth="1"/>
    <col min="7689" max="7692" width="7.5859375" style="1" customWidth="1"/>
    <col min="7693" max="7938" width="24.46875" style="1"/>
    <col min="7939" max="7939" width="3.8203125" style="1" customWidth="1"/>
    <col min="7940" max="7940" width="32.234375" style="1" customWidth="1"/>
    <col min="7941" max="7944" width="13.87890625" style="1" customWidth="1"/>
    <col min="7945" max="7948" width="7.5859375" style="1" customWidth="1"/>
    <col min="7949" max="8194" width="24.46875" style="1"/>
    <col min="8195" max="8195" width="3.8203125" style="1" customWidth="1"/>
    <col min="8196" max="8196" width="32.234375" style="1" customWidth="1"/>
    <col min="8197" max="8200" width="13.87890625" style="1" customWidth="1"/>
    <col min="8201" max="8204" width="7.5859375" style="1" customWidth="1"/>
    <col min="8205" max="8450" width="24.46875" style="1"/>
    <col min="8451" max="8451" width="3.8203125" style="1" customWidth="1"/>
    <col min="8452" max="8452" width="32.234375" style="1" customWidth="1"/>
    <col min="8453" max="8456" width="13.87890625" style="1" customWidth="1"/>
    <col min="8457" max="8460" width="7.5859375" style="1" customWidth="1"/>
    <col min="8461" max="8706" width="24.46875" style="1"/>
    <col min="8707" max="8707" width="3.8203125" style="1" customWidth="1"/>
    <col min="8708" max="8708" width="32.234375" style="1" customWidth="1"/>
    <col min="8709" max="8712" width="13.87890625" style="1" customWidth="1"/>
    <col min="8713" max="8716" width="7.5859375" style="1" customWidth="1"/>
    <col min="8717" max="8962" width="24.46875" style="1"/>
    <col min="8963" max="8963" width="3.8203125" style="1" customWidth="1"/>
    <col min="8964" max="8964" width="32.234375" style="1" customWidth="1"/>
    <col min="8965" max="8968" width="13.87890625" style="1" customWidth="1"/>
    <col min="8969" max="8972" width="7.5859375" style="1" customWidth="1"/>
    <col min="8973" max="9218" width="24.46875" style="1"/>
    <col min="9219" max="9219" width="3.8203125" style="1" customWidth="1"/>
    <col min="9220" max="9220" width="32.234375" style="1" customWidth="1"/>
    <col min="9221" max="9224" width="13.87890625" style="1" customWidth="1"/>
    <col min="9225" max="9228" width="7.5859375" style="1" customWidth="1"/>
    <col min="9229" max="9474" width="24.46875" style="1"/>
    <col min="9475" max="9475" width="3.8203125" style="1" customWidth="1"/>
    <col min="9476" max="9476" width="32.234375" style="1" customWidth="1"/>
    <col min="9477" max="9480" width="13.87890625" style="1" customWidth="1"/>
    <col min="9481" max="9484" width="7.5859375" style="1" customWidth="1"/>
    <col min="9485" max="9730" width="24.46875" style="1"/>
    <col min="9731" max="9731" width="3.8203125" style="1" customWidth="1"/>
    <col min="9732" max="9732" width="32.234375" style="1" customWidth="1"/>
    <col min="9733" max="9736" width="13.87890625" style="1" customWidth="1"/>
    <col min="9737" max="9740" width="7.5859375" style="1" customWidth="1"/>
    <col min="9741" max="9986" width="24.46875" style="1"/>
    <col min="9987" max="9987" width="3.8203125" style="1" customWidth="1"/>
    <col min="9988" max="9988" width="32.234375" style="1" customWidth="1"/>
    <col min="9989" max="9992" width="13.87890625" style="1" customWidth="1"/>
    <col min="9993" max="9996" width="7.5859375" style="1" customWidth="1"/>
    <col min="9997" max="10242" width="24.46875" style="1"/>
    <col min="10243" max="10243" width="3.8203125" style="1" customWidth="1"/>
    <col min="10244" max="10244" width="32.234375" style="1" customWidth="1"/>
    <col min="10245" max="10248" width="13.87890625" style="1" customWidth="1"/>
    <col min="10249" max="10252" width="7.5859375" style="1" customWidth="1"/>
    <col min="10253" max="10498" width="24.46875" style="1"/>
    <col min="10499" max="10499" width="3.8203125" style="1" customWidth="1"/>
    <col min="10500" max="10500" width="32.234375" style="1" customWidth="1"/>
    <col min="10501" max="10504" width="13.87890625" style="1" customWidth="1"/>
    <col min="10505" max="10508" width="7.5859375" style="1" customWidth="1"/>
    <col min="10509" max="10754" width="24.46875" style="1"/>
    <col min="10755" max="10755" width="3.8203125" style="1" customWidth="1"/>
    <col min="10756" max="10756" width="32.234375" style="1" customWidth="1"/>
    <col min="10757" max="10760" width="13.87890625" style="1" customWidth="1"/>
    <col min="10761" max="10764" width="7.5859375" style="1" customWidth="1"/>
    <col min="10765" max="11010" width="24.46875" style="1"/>
    <col min="11011" max="11011" width="3.8203125" style="1" customWidth="1"/>
    <col min="11012" max="11012" width="32.234375" style="1" customWidth="1"/>
    <col min="11013" max="11016" width="13.87890625" style="1" customWidth="1"/>
    <col min="11017" max="11020" width="7.5859375" style="1" customWidth="1"/>
    <col min="11021" max="11266" width="24.46875" style="1"/>
    <col min="11267" max="11267" width="3.8203125" style="1" customWidth="1"/>
    <col min="11268" max="11268" width="32.234375" style="1" customWidth="1"/>
    <col min="11269" max="11272" width="13.87890625" style="1" customWidth="1"/>
    <col min="11273" max="11276" width="7.5859375" style="1" customWidth="1"/>
    <col min="11277" max="11522" width="24.46875" style="1"/>
    <col min="11523" max="11523" width="3.8203125" style="1" customWidth="1"/>
    <col min="11524" max="11524" width="32.234375" style="1" customWidth="1"/>
    <col min="11525" max="11528" width="13.87890625" style="1" customWidth="1"/>
    <col min="11529" max="11532" width="7.5859375" style="1" customWidth="1"/>
    <col min="11533" max="11778" width="24.46875" style="1"/>
    <col min="11779" max="11779" width="3.8203125" style="1" customWidth="1"/>
    <col min="11780" max="11780" width="32.234375" style="1" customWidth="1"/>
    <col min="11781" max="11784" width="13.87890625" style="1" customWidth="1"/>
    <col min="11785" max="11788" width="7.5859375" style="1" customWidth="1"/>
    <col min="11789" max="12034" width="24.46875" style="1"/>
    <col min="12035" max="12035" width="3.8203125" style="1" customWidth="1"/>
    <col min="12036" max="12036" width="32.234375" style="1" customWidth="1"/>
    <col min="12037" max="12040" width="13.87890625" style="1" customWidth="1"/>
    <col min="12041" max="12044" width="7.5859375" style="1" customWidth="1"/>
    <col min="12045" max="12290" width="24.46875" style="1"/>
    <col min="12291" max="12291" width="3.8203125" style="1" customWidth="1"/>
    <col min="12292" max="12292" width="32.234375" style="1" customWidth="1"/>
    <col min="12293" max="12296" width="13.87890625" style="1" customWidth="1"/>
    <col min="12297" max="12300" width="7.5859375" style="1" customWidth="1"/>
    <col min="12301" max="12546" width="24.46875" style="1"/>
    <col min="12547" max="12547" width="3.8203125" style="1" customWidth="1"/>
    <col min="12548" max="12548" width="32.234375" style="1" customWidth="1"/>
    <col min="12549" max="12552" width="13.87890625" style="1" customWidth="1"/>
    <col min="12553" max="12556" width="7.5859375" style="1" customWidth="1"/>
    <col min="12557" max="12802" width="24.46875" style="1"/>
    <col min="12803" max="12803" width="3.8203125" style="1" customWidth="1"/>
    <col min="12804" max="12804" width="32.234375" style="1" customWidth="1"/>
    <col min="12805" max="12808" width="13.87890625" style="1" customWidth="1"/>
    <col min="12809" max="12812" width="7.5859375" style="1" customWidth="1"/>
    <col min="12813" max="13058" width="24.46875" style="1"/>
    <col min="13059" max="13059" width="3.8203125" style="1" customWidth="1"/>
    <col min="13060" max="13060" width="32.234375" style="1" customWidth="1"/>
    <col min="13061" max="13064" width="13.87890625" style="1" customWidth="1"/>
    <col min="13065" max="13068" width="7.5859375" style="1" customWidth="1"/>
    <col min="13069" max="13314" width="24.46875" style="1"/>
    <col min="13315" max="13315" width="3.8203125" style="1" customWidth="1"/>
    <col min="13316" max="13316" width="32.234375" style="1" customWidth="1"/>
    <col min="13317" max="13320" width="13.87890625" style="1" customWidth="1"/>
    <col min="13321" max="13324" width="7.5859375" style="1" customWidth="1"/>
    <col min="13325" max="13570" width="24.46875" style="1"/>
    <col min="13571" max="13571" width="3.8203125" style="1" customWidth="1"/>
    <col min="13572" max="13572" width="32.234375" style="1" customWidth="1"/>
    <col min="13573" max="13576" width="13.87890625" style="1" customWidth="1"/>
    <col min="13577" max="13580" width="7.5859375" style="1" customWidth="1"/>
    <col min="13581" max="13826" width="24.46875" style="1"/>
    <col min="13827" max="13827" width="3.8203125" style="1" customWidth="1"/>
    <col min="13828" max="13828" width="32.234375" style="1" customWidth="1"/>
    <col min="13829" max="13832" width="13.87890625" style="1" customWidth="1"/>
    <col min="13833" max="13836" width="7.5859375" style="1" customWidth="1"/>
    <col min="13837" max="14082" width="24.46875" style="1"/>
    <col min="14083" max="14083" width="3.8203125" style="1" customWidth="1"/>
    <col min="14084" max="14084" width="32.234375" style="1" customWidth="1"/>
    <col min="14085" max="14088" width="13.87890625" style="1" customWidth="1"/>
    <col min="14089" max="14092" width="7.5859375" style="1" customWidth="1"/>
    <col min="14093" max="14338" width="24.46875" style="1"/>
    <col min="14339" max="14339" width="3.8203125" style="1" customWidth="1"/>
    <col min="14340" max="14340" width="32.234375" style="1" customWidth="1"/>
    <col min="14341" max="14344" width="13.87890625" style="1" customWidth="1"/>
    <col min="14345" max="14348" width="7.5859375" style="1" customWidth="1"/>
    <col min="14349" max="14594" width="24.46875" style="1"/>
    <col min="14595" max="14595" width="3.8203125" style="1" customWidth="1"/>
    <col min="14596" max="14596" width="32.234375" style="1" customWidth="1"/>
    <col min="14597" max="14600" width="13.87890625" style="1" customWidth="1"/>
    <col min="14601" max="14604" width="7.5859375" style="1" customWidth="1"/>
    <col min="14605" max="14850" width="24.46875" style="1"/>
    <col min="14851" max="14851" width="3.8203125" style="1" customWidth="1"/>
    <col min="14852" max="14852" width="32.234375" style="1" customWidth="1"/>
    <col min="14853" max="14856" width="13.87890625" style="1" customWidth="1"/>
    <col min="14857" max="14860" width="7.5859375" style="1" customWidth="1"/>
    <col min="14861" max="15106" width="24.46875" style="1"/>
    <col min="15107" max="15107" width="3.8203125" style="1" customWidth="1"/>
    <col min="15108" max="15108" width="32.234375" style="1" customWidth="1"/>
    <col min="15109" max="15112" width="13.87890625" style="1" customWidth="1"/>
    <col min="15113" max="15116" width="7.5859375" style="1" customWidth="1"/>
    <col min="15117" max="15362" width="24.46875" style="1"/>
    <col min="15363" max="15363" width="3.8203125" style="1" customWidth="1"/>
    <col min="15364" max="15364" width="32.234375" style="1" customWidth="1"/>
    <col min="15365" max="15368" width="13.87890625" style="1" customWidth="1"/>
    <col min="15369" max="15372" width="7.5859375" style="1" customWidth="1"/>
    <col min="15373" max="15618" width="24.46875" style="1"/>
    <col min="15619" max="15619" width="3.8203125" style="1" customWidth="1"/>
    <col min="15620" max="15620" width="32.234375" style="1" customWidth="1"/>
    <col min="15621" max="15624" width="13.87890625" style="1" customWidth="1"/>
    <col min="15625" max="15628" width="7.5859375" style="1" customWidth="1"/>
    <col min="15629" max="15874" width="24.46875" style="1"/>
    <col min="15875" max="15875" width="3.8203125" style="1" customWidth="1"/>
    <col min="15876" max="15876" width="32.234375" style="1" customWidth="1"/>
    <col min="15877" max="15880" width="13.87890625" style="1" customWidth="1"/>
    <col min="15881" max="15884" width="7.5859375" style="1" customWidth="1"/>
    <col min="15885" max="16130" width="24.46875" style="1"/>
    <col min="16131" max="16131" width="3.8203125" style="1" customWidth="1"/>
    <col min="16132" max="16132" width="32.234375" style="1" customWidth="1"/>
    <col min="16133" max="16136" width="13.87890625" style="1" customWidth="1"/>
    <col min="16137" max="16140" width="7.5859375" style="1" customWidth="1"/>
    <col min="16141" max="16384" width="24.46875" style="1"/>
  </cols>
  <sheetData>
    <row r="1" spans="2:13" ht="19.350000000000001" customHeight="1">
      <c r="B1" s="2" t="s">
        <v>0</v>
      </c>
      <c r="G1" s="2"/>
    </row>
    <row r="2" spans="2:13" ht="10.7" customHeight="1">
      <c r="B2" s="275" t="s">
        <v>305</v>
      </c>
      <c r="G2" s="2"/>
    </row>
    <row r="3" spans="2:13" ht="19.7" customHeight="1">
      <c r="B3" s="5"/>
      <c r="G3" s="5"/>
    </row>
    <row r="4" spans="2:13" ht="19.7" customHeight="1">
      <c r="B4" s="345"/>
      <c r="C4" s="346" t="s">
        <v>307</v>
      </c>
      <c r="D4" s="347"/>
      <c r="E4" s="347"/>
      <c r="F4" s="347"/>
      <c r="G4" s="347"/>
      <c r="H4" s="346" t="s">
        <v>308</v>
      </c>
      <c r="I4" s="347"/>
      <c r="J4" s="347"/>
      <c r="K4" s="347"/>
      <c r="L4" s="347"/>
      <c r="M4" s="348"/>
    </row>
    <row r="5" spans="2:13" ht="30.45" customHeight="1">
      <c r="B5" s="307"/>
      <c r="C5" s="274" t="s">
        <v>288</v>
      </c>
      <c r="D5" s="274" t="s">
        <v>288</v>
      </c>
      <c r="E5" s="274" t="s">
        <v>288</v>
      </c>
      <c r="F5" s="274" t="s">
        <v>288</v>
      </c>
      <c r="G5" s="308" t="s">
        <v>301</v>
      </c>
      <c r="H5" s="274" t="s">
        <v>288</v>
      </c>
      <c r="I5" s="274" t="str">
        <f>+H5</f>
        <v>Dec 31</v>
      </c>
      <c r="J5" s="274" t="str">
        <f t="shared" ref="J5:M5" si="0">+I5</f>
        <v>Dec 31</v>
      </c>
      <c r="K5" s="274" t="str">
        <f t="shared" si="0"/>
        <v>Dec 31</v>
      </c>
      <c r="L5" s="274" t="str">
        <f t="shared" si="0"/>
        <v>Dec 31</v>
      </c>
      <c r="M5" s="274" t="str">
        <f t="shared" si="0"/>
        <v>Dec 31</v>
      </c>
    </row>
    <row r="6" spans="2:13" s="6" customFormat="1" ht="15" customHeight="1" thickBot="1">
      <c r="B6" s="7" t="s">
        <v>1</v>
      </c>
      <c r="C6" s="8">
        <v>2016</v>
      </c>
      <c r="D6" s="8">
        <v>2017</v>
      </c>
      <c r="E6" s="8">
        <v>2018</v>
      </c>
      <c r="F6" s="8">
        <v>2019</v>
      </c>
      <c r="G6" s="8">
        <v>2020</v>
      </c>
      <c r="H6" s="8">
        <v>2020</v>
      </c>
      <c r="I6" s="8">
        <v>2021</v>
      </c>
      <c r="J6" s="8">
        <v>2022</v>
      </c>
      <c r="K6" s="8">
        <v>2023</v>
      </c>
      <c r="L6" s="8">
        <v>2024</v>
      </c>
      <c r="M6" s="8">
        <v>2025</v>
      </c>
    </row>
    <row r="7" spans="2:13" ht="14.45" customHeight="1">
      <c r="B7" s="10" t="s">
        <v>2</v>
      </c>
      <c r="C7" s="326">
        <f>+'Historical Analysis'!G6</f>
        <v>4429000</v>
      </c>
      <c r="D7" s="326">
        <f>+'Historical Analysis'!F6</f>
        <v>4685000</v>
      </c>
      <c r="E7" s="326">
        <f>+'Historical Analysis'!E6</f>
        <v>4474000</v>
      </c>
      <c r="F7" s="326">
        <f>+'Historical Analysis'!D6</f>
        <v>5042000</v>
      </c>
      <c r="G7" s="326">
        <f>+'Historical Analysis'!C6</f>
        <v>3733000</v>
      </c>
      <c r="H7" s="326">
        <f>+G7*(1+H36)</f>
        <v>2613100</v>
      </c>
      <c r="I7" s="326">
        <f>+H7*(1+I36)</f>
        <v>4572925</v>
      </c>
      <c r="J7" s="326">
        <f>+I7*(1+J36)</f>
        <v>5716156.25</v>
      </c>
      <c r="K7" s="326">
        <f>+J7*(1+K36)</f>
        <v>6287771.8750000009</v>
      </c>
      <c r="L7" s="326">
        <f>+K7*(1+L36)</f>
        <v>6916549.0625000019</v>
      </c>
      <c r="M7" s="326">
        <f>+L7*(1+M36)</f>
        <v>7608203.9687500028</v>
      </c>
    </row>
    <row r="8" spans="2:13" ht="14.45" customHeight="1">
      <c r="B8" s="339" t="s">
        <v>243</v>
      </c>
      <c r="C8" s="340"/>
      <c r="D8" s="342">
        <f>+D7/C7-1</f>
        <v>5.7800857981485709E-2</v>
      </c>
      <c r="E8" s="342">
        <f t="shared" ref="E8:M8" si="1">+E7/D7-1</f>
        <v>-4.5037353255069412E-2</v>
      </c>
      <c r="F8" s="342">
        <f t="shared" si="1"/>
        <v>0.12695574430040235</v>
      </c>
      <c r="G8" s="342">
        <f t="shared" si="1"/>
        <v>-0.25961919873066241</v>
      </c>
      <c r="H8" s="342">
        <f>+H7/G7-1</f>
        <v>-0.30000000000000004</v>
      </c>
      <c r="I8" s="342">
        <f t="shared" si="1"/>
        <v>0.75</v>
      </c>
      <c r="J8" s="342">
        <f t="shared" si="1"/>
        <v>0.25</v>
      </c>
      <c r="K8" s="342">
        <f t="shared" si="1"/>
        <v>0.10000000000000009</v>
      </c>
      <c r="L8" s="342">
        <f t="shared" si="1"/>
        <v>0.10000000000000009</v>
      </c>
      <c r="M8" s="342">
        <f t="shared" si="1"/>
        <v>0.10000000000000009</v>
      </c>
    </row>
    <row r="9" spans="2:13" ht="14.45" customHeight="1">
      <c r="B9" s="10"/>
      <c r="C9" s="326"/>
      <c r="D9" s="326"/>
      <c r="E9" s="326"/>
      <c r="F9" s="326"/>
      <c r="G9" s="326"/>
      <c r="H9" s="326"/>
      <c r="I9" s="326"/>
      <c r="J9" s="326"/>
      <c r="K9" s="326"/>
      <c r="L9" s="326"/>
      <c r="M9" s="326"/>
    </row>
    <row r="10" spans="2:13" ht="14.45" customHeight="1">
      <c r="B10" s="12" t="s">
        <v>3</v>
      </c>
      <c r="C10" s="327">
        <f>+'Historical Analysis'!G7</f>
        <v>3473000</v>
      </c>
      <c r="D10" s="327">
        <f>+'Historical Analysis'!F7</f>
        <v>3638000</v>
      </c>
      <c r="E10" s="327">
        <f>+'Historical Analysis'!E7</f>
        <v>3495000</v>
      </c>
      <c r="F10" s="327">
        <f>+'Historical Analysis'!D7</f>
        <v>4099000</v>
      </c>
      <c r="G10" s="327">
        <f>+'Historical Analysis'!C7</f>
        <v>3235000</v>
      </c>
      <c r="H10" s="327">
        <f>+H7*H38</f>
        <v>2101673.0356459045</v>
      </c>
      <c r="I10" s="327">
        <f>+I7*I38</f>
        <v>3677927.812380333</v>
      </c>
      <c r="J10" s="327">
        <f>+J7*J38</f>
        <v>4597409.7654754166</v>
      </c>
      <c r="K10" s="327">
        <f>+K7*K38</f>
        <v>5057150.7420229586</v>
      </c>
      <c r="L10" s="327">
        <f>+L7*L38</f>
        <v>5562865.8162252558</v>
      </c>
      <c r="M10" s="327">
        <f>+M7*M38</f>
        <v>6119152.3978477819</v>
      </c>
    </row>
    <row r="11" spans="2:13" ht="14.45" customHeight="1">
      <c r="B11" s="12" t="s">
        <v>4</v>
      </c>
      <c r="C11" s="328">
        <f>+C7-C10</f>
        <v>956000</v>
      </c>
      <c r="D11" s="328">
        <f t="shared" ref="D11:M11" si="2">+D7-D10</f>
        <v>1047000</v>
      </c>
      <c r="E11" s="328">
        <f t="shared" si="2"/>
        <v>979000</v>
      </c>
      <c r="F11" s="328">
        <f t="shared" si="2"/>
        <v>943000</v>
      </c>
      <c r="G11" s="328">
        <f t="shared" si="2"/>
        <v>498000</v>
      </c>
      <c r="H11" s="328">
        <f t="shared" si="2"/>
        <v>511426.96435409551</v>
      </c>
      <c r="I11" s="328">
        <f t="shared" si="2"/>
        <v>894997.18761966703</v>
      </c>
      <c r="J11" s="328">
        <f t="shared" si="2"/>
        <v>1118746.4845245834</v>
      </c>
      <c r="K11" s="328">
        <f t="shared" si="2"/>
        <v>1230621.1329770423</v>
      </c>
      <c r="L11" s="328">
        <f t="shared" si="2"/>
        <v>1353683.246274746</v>
      </c>
      <c r="M11" s="328">
        <f t="shared" si="2"/>
        <v>1489051.5709022209</v>
      </c>
    </row>
    <row r="12" spans="2:13" ht="14.45" customHeight="1">
      <c r="B12" s="339" t="s">
        <v>306</v>
      </c>
      <c r="C12" s="341">
        <f>+C11/C7</f>
        <v>0.21585007902461051</v>
      </c>
      <c r="D12" s="341">
        <f t="shared" ref="D12:M12" si="3">+D11/D7</f>
        <v>0.22347918890074706</v>
      </c>
      <c r="E12" s="341">
        <f t="shared" si="3"/>
        <v>0.21881984801072865</v>
      </c>
      <c r="F12" s="341">
        <f t="shared" si="3"/>
        <v>0.1870289567631892</v>
      </c>
      <c r="G12" s="341">
        <f t="shared" si="3"/>
        <v>0.13340476828288239</v>
      </c>
      <c r="H12" s="341">
        <f t="shared" si="3"/>
        <v>0.19571656819643163</v>
      </c>
      <c r="I12" s="341">
        <f t="shared" si="3"/>
        <v>0.1957165681964316</v>
      </c>
      <c r="J12" s="341">
        <f t="shared" si="3"/>
        <v>0.19571656819643155</v>
      </c>
      <c r="K12" s="341">
        <f t="shared" si="3"/>
        <v>0.1957165681964316</v>
      </c>
      <c r="L12" s="341">
        <f t="shared" si="3"/>
        <v>0.19571656819643152</v>
      </c>
      <c r="M12" s="341">
        <f t="shared" si="3"/>
        <v>0.19571656819643152</v>
      </c>
    </row>
    <row r="13" spans="2:13" ht="14.45" customHeight="1">
      <c r="B13" s="12"/>
      <c r="C13" s="334"/>
      <c r="D13" s="334"/>
      <c r="E13" s="334"/>
      <c r="F13" s="334"/>
      <c r="G13" s="334"/>
      <c r="H13" s="334"/>
      <c r="I13" s="334"/>
      <c r="J13" s="334"/>
      <c r="K13" s="334"/>
      <c r="L13" s="334"/>
      <c r="M13" s="334"/>
    </row>
    <row r="14" spans="2:13" ht="14.45" customHeight="1">
      <c r="B14" s="10" t="s">
        <v>5</v>
      </c>
      <c r="C14" s="329">
        <f>+'Historical Analysis'!G9</f>
        <v>657000</v>
      </c>
      <c r="D14" s="329">
        <f>+'Historical Analysis'!F9</f>
        <v>745000</v>
      </c>
      <c r="E14" s="329">
        <f>+'Historical Analysis'!E9</f>
        <v>647000</v>
      </c>
      <c r="F14" s="329">
        <f>+'Historical Analysis'!D9</f>
        <v>746000</v>
      </c>
      <c r="G14" s="329">
        <f>+'Historical Analysis'!C9</f>
        <v>661000</v>
      </c>
      <c r="H14" s="329">
        <f>+H7*H39</f>
        <v>406074.95013993932</v>
      </c>
      <c r="I14" s="329">
        <f>+I7*I39</f>
        <v>710631.16274489381</v>
      </c>
      <c r="J14" s="329">
        <f>+J7*J39</f>
        <v>888288.95343111723</v>
      </c>
      <c r="K14" s="329">
        <f>+K7*K39</f>
        <v>977117.84877422906</v>
      </c>
      <c r="L14" s="329">
        <f>+L7*L39</f>
        <v>1074829.6336516521</v>
      </c>
      <c r="M14" s="329">
        <f>+M7*M39</f>
        <v>1182312.5970168174</v>
      </c>
    </row>
    <row r="15" spans="2:13" ht="14.45" customHeight="1" thickBot="1">
      <c r="B15" s="10" t="s">
        <v>6</v>
      </c>
      <c r="C15" s="337">
        <f>+C11-C14</f>
        <v>299000</v>
      </c>
      <c r="D15" s="337">
        <f t="shared" ref="D15:M15" si="4">+D11-D14</f>
        <v>302000</v>
      </c>
      <c r="E15" s="337">
        <f t="shared" si="4"/>
        <v>332000</v>
      </c>
      <c r="F15" s="337">
        <f t="shared" si="4"/>
        <v>197000</v>
      </c>
      <c r="G15" s="337">
        <f t="shared" si="4"/>
        <v>-163000</v>
      </c>
      <c r="H15" s="336">
        <f t="shared" si="4"/>
        <v>105352.0142141562</v>
      </c>
      <c r="I15" s="336">
        <f t="shared" si="4"/>
        <v>184366.02487477323</v>
      </c>
      <c r="J15" s="336">
        <f t="shared" si="4"/>
        <v>230457.53109346621</v>
      </c>
      <c r="K15" s="336">
        <f t="shared" si="4"/>
        <v>253503.28420281329</v>
      </c>
      <c r="L15" s="336">
        <f t="shared" si="4"/>
        <v>278853.61262309388</v>
      </c>
      <c r="M15" s="336">
        <f t="shared" si="4"/>
        <v>306738.97388540348</v>
      </c>
    </row>
    <row r="16" spans="2:13" ht="14.45" customHeight="1" thickTop="1">
      <c r="B16" s="10"/>
      <c r="C16" s="330"/>
      <c r="D16" s="330"/>
      <c r="E16" s="330"/>
      <c r="F16" s="330"/>
      <c r="G16" s="330"/>
      <c r="H16" s="338"/>
      <c r="I16" s="338"/>
      <c r="J16" s="338"/>
      <c r="K16" s="338"/>
      <c r="L16" s="338"/>
      <c r="M16" s="338"/>
    </row>
    <row r="17" spans="2:14" ht="14.45" customHeight="1">
      <c r="B17" s="12" t="s">
        <v>7</v>
      </c>
      <c r="C17" s="329">
        <f>+'Historical Analysis'!G11</f>
        <v>76000</v>
      </c>
      <c r="D17" s="329">
        <f>+'Historical Analysis'!F11</f>
        <v>80000</v>
      </c>
      <c r="E17" s="329">
        <f>+'Historical Analysis'!E11</f>
        <v>76000</v>
      </c>
      <c r="F17" s="329">
        <f>+'Historical Analysis'!D11</f>
        <v>75000</v>
      </c>
      <c r="G17" s="329">
        <f>+'Historical Analysis'!C11</f>
        <v>88000</v>
      </c>
      <c r="H17" s="330"/>
      <c r="I17" s="330"/>
      <c r="J17" s="330"/>
      <c r="K17" s="330"/>
      <c r="L17" s="330"/>
      <c r="M17" s="330"/>
    </row>
    <row r="18" spans="2:14" ht="14.45" customHeight="1">
      <c r="B18" s="12" t="s">
        <v>8</v>
      </c>
      <c r="C18" s="327">
        <f>+C15-C17</f>
        <v>223000</v>
      </c>
      <c r="D18" s="327">
        <f>+D15-D17</f>
        <v>222000</v>
      </c>
      <c r="E18" s="327">
        <f>+E15-E17</f>
        <v>256000</v>
      </c>
      <c r="F18" s="327">
        <f>+F15-F17</f>
        <v>122000</v>
      </c>
      <c r="G18" s="327">
        <f>+G15-G17</f>
        <v>-251000</v>
      </c>
      <c r="H18" s="330"/>
      <c r="I18" s="330"/>
      <c r="J18" s="330"/>
      <c r="K18" s="330"/>
      <c r="L18" s="330"/>
      <c r="M18" s="330"/>
    </row>
    <row r="19" spans="2:14" ht="14.45" customHeight="1">
      <c r="B19" s="12" t="s">
        <v>9</v>
      </c>
      <c r="C19" s="329">
        <f>+'Historical Analysis'!G13</f>
        <v>66000</v>
      </c>
      <c r="D19" s="329">
        <f>+'Historical Analysis'!F13</f>
        <v>351000</v>
      </c>
      <c r="E19" s="329">
        <f>+'Historical Analysis'!E13</f>
        <v>695000</v>
      </c>
      <c r="F19" s="329">
        <f>+'Historical Analysis'!D13</f>
        <v>884000</v>
      </c>
      <c r="G19" s="329">
        <f>+'Historical Analysis'!C13</f>
        <v>601000</v>
      </c>
      <c r="H19" s="330"/>
      <c r="I19" s="330"/>
      <c r="J19" s="330"/>
      <c r="K19" s="330"/>
      <c r="L19" s="330"/>
      <c r="M19" s="330"/>
    </row>
    <row r="20" spans="2:14" ht="14.45" customHeight="1">
      <c r="B20" s="12" t="s">
        <v>10</v>
      </c>
      <c r="C20" s="331">
        <f>+'Historical Analysis'!G14</f>
        <v>289000</v>
      </c>
      <c r="D20" s="331">
        <f>+'Historical Analysis'!F14</f>
        <v>573000</v>
      </c>
      <c r="E20" s="331">
        <f>+'Historical Analysis'!E14</f>
        <v>951000</v>
      </c>
      <c r="F20" s="331">
        <f>+'Historical Analysis'!D14</f>
        <v>1006000</v>
      </c>
      <c r="G20" s="331">
        <f>+'Historical Analysis'!C14</f>
        <v>350000</v>
      </c>
      <c r="H20" s="330"/>
      <c r="I20" s="330"/>
      <c r="J20" s="330"/>
      <c r="K20" s="330"/>
      <c r="L20" s="330"/>
      <c r="M20" s="330"/>
    </row>
    <row r="21" spans="2:14" ht="14.45" customHeight="1">
      <c r="B21" s="12" t="s">
        <v>11</v>
      </c>
      <c r="C21" s="331">
        <f>+'Historical Analysis'!G15</f>
        <v>85000</v>
      </c>
      <c r="D21" s="331">
        <f>+'Historical Analysis'!F15</f>
        <v>323000</v>
      </c>
      <c r="E21" s="327">
        <f>+'Historical Analysis'!E15</f>
        <v>182000</v>
      </c>
      <c r="F21" s="327">
        <f>+'Historical Analysis'!D15</f>
        <v>240000</v>
      </c>
      <c r="G21" s="327">
        <f>+'Historical Analysis'!C15</f>
        <v>72000</v>
      </c>
      <c r="H21" s="330"/>
      <c r="I21" s="330"/>
      <c r="J21" s="330"/>
      <c r="K21" s="330"/>
      <c r="L21" s="330"/>
      <c r="M21" s="330"/>
    </row>
    <row r="22" spans="2:14" ht="14.45" customHeight="1" thickBot="1">
      <c r="B22" s="10" t="s">
        <v>12</v>
      </c>
      <c r="C22" s="332">
        <f>+'Historical Analysis'!G16</f>
        <v>204000</v>
      </c>
      <c r="D22" s="332">
        <f>+'Historical Analysis'!F16</f>
        <v>250000</v>
      </c>
      <c r="E22" s="332">
        <f>+'Historical Analysis'!E16</f>
        <v>769000</v>
      </c>
      <c r="F22" s="332">
        <f>+'Historical Analysis'!D16</f>
        <v>766000</v>
      </c>
      <c r="G22" s="332">
        <f>+'Historical Analysis'!C16</f>
        <v>278000</v>
      </c>
      <c r="H22" s="330"/>
      <c r="I22" s="330"/>
      <c r="J22" s="330"/>
      <c r="K22" s="330"/>
      <c r="L22" s="330"/>
      <c r="M22" s="330"/>
    </row>
    <row r="23" spans="2:14" ht="14.45" customHeight="1" thickTop="1">
      <c r="C23" s="333"/>
      <c r="D23" s="333"/>
      <c r="E23" s="333"/>
      <c r="F23" s="333"/>
      <c r="G23" s="286"/>
      <c r="H23" s="330"/>
      <c r="I23" s="330"/>
      <c r="J23" s="330"/>
      <c r="K23" s="330"/>
      <c r="L23" s="330"/>
      <c r="M23" s="330"/>
    </row>
    <row r="24" spans="2:14" ht="14.45" customHeight="1">
      <c r="B24" s="18" t="s">
        <v>50</v>
      </c>
      <c r="C24" s="333"/>
      <c r="D24" s="333"/>
      <c r="E24" s="333"/>
      <c r="F24" s="333"/>
      <c r="G24" s="321">
        <v>90000</v>
      </c>
      <c r="H24" s="334">
        <f>+H44*H7</f>
        <v>175990.79819515446</v>
      </c>
      <c r="I24" s="334">
        <f>+I44*I7</f>
        <v>307983.89684152027</v>
      </c>
      <c r="J24" s="334">
        <f>+J44*J7</f>
        <v>384979.87105190038</v>
      </c>
      <c r="K24" s="334">
        <f>+K44*K7</f>
        <v>423477.85815709049</v>
      </c>
      <c r="L24" s="334">
        <f>+L44*L7</f>
        <v>465825.64397279959</v>
      </c>
      <c r="M24" s="334">
        <f>+M44*M7</f>
        <v>512408.20837007958</v>
      </c>
    </row>
    <row r="25" spans="2:14" ht="14.45" customHeight="1">
      <c r="B25" s="30" t="s">
        <v>300</v>
      </c>
      <c r="C25" s="331"/>
      <c r="D25" s="335">
        <f>+'Historical Analysis'!F79</f>
        <v>1000</v>
      </c>
      <c r="E25" s="335">
        <f>+'Historical Analysis'!E79</f>
        <v>-302000</v>
      </c>
      <c r="F25" s="335">
        <f>+'Historical Analysis'!D79</f>
        <v>-49000</v>
      </c>
      <c r="G25" s="335">
        <f>+'Historical Analysis'!C79</f>
        <v>-8000</v>
      </c>
      <c r="H25" s="334">
        <f>-H7*H41</f>
        <v>-51706.118249057952</v>
      </c>
      <c r="I25" s="334">
        <f>-I7*I41</f>
        <v>-90485.706935851413</v>
      </c>
      <c r="J25" s="334">
        <f>-J7*J41</f>
        <v>-113107.13366981427</v>
      </c>
      <c r="K25" s="334">
        <f>-K7*K41</f>
        <v>-124417.84703679572</v>
      </c>
      <c r="L25" s="334">
        <f>-L7*L41</f>
        <v>-136859.63174047531</v>
      </c>
      <c r="M25" s="334">
        <f>-M7*M41</f>
        <v>-150545.59491452284</v>
      </c>
      <c r="N25" s="63"/>
    </row>
    <row r="26" spans="2:14" ht="14.45" customHeight="1">
      <c r="B26" s="30" t="s">
        <v>59</v>
      </c>
      <c r="C26" s="331"/>
      <c r="D26" s="331">
        <f>+'Historical Analysis'!F84</f>
        <v>-211000</v>
      </c>
      <c r="E26" s="331">
        <f>+'Historical Analysis'!E84</f>
        <v>-298000</v>
      </c>
      <c r="F26" s="331">
        <f>+'Historical Analysis'!D84</f>
        <v>-297000</v>
      </c>
      <c r="G26" s="331">
        <f>+'Historical Analysis'!C84</f>
        <v>-369000</v>
      </c>
      <c r="H26" s="334">
        <f>-H7*H42</f>
        <v>-175990.79819515446</v>
      </c>
      <c r="I26" s="334">
        <f>-I7*I42</f>
        <v>-307983.89684152027</v>
      </c>
      <c r="J26" s="334">
        <f>-J7*J42</f>
        <v>-384979.87105190038</v>
      </c>
      <c r="K26" s="334">
        <f>-K7*K42</f>
        <v>-423477.85815709049</v>
      </c>
      <c r="L26" s="334">
        <f>-L7*L42</f>
        <v>-465825.64397279959</v>
      </c>
      <c r="M26" s="334">
        <f>-M7*M42</f>
        <v>-512408.20837007958</v>
      </c>
      <c r="N26" s="63"/>
    </row>
    <row r="27" spans="2:14" ht="14.45" customHeight="1">
      <c r="B27" s="30"/>
      <c r="C27" s="331"/>
      <c r="D27" s="331"/>
      <c r="E27" s="331"/>
      <c r="F27" s="331"/>
      <c r="G27" s="331"/>
      <c r="H27" s="334"/>
      <c r="I27" s="334"/>
      <c r="J27" s="334"/>
      <c r="K27" s="334"/>
      <c r="L27" s="334"/>
      <c r="M27" s="334"/>
      <c r="N27" s="63"/>
    </row>
    <row r="28" spans="2:14" ht="14.45" customHeight="1">
      <c r="B28" s="12" t="s">
        <v>36</v>
      </c>
      <c r="C28" s="331">
        <f>+'Historical Analysis'!G46</f>
        <v>119000</v>
      </c>
      <c r="D28" s="331">
        <f>+'Historical Analysis'!F46</f>
        <v>11000</v>
      </c>
      <c r="E28" s="331">
        <f>+'Historical Analysis'!E46</f>
        <v>11000</v>
      </c>
      <c r="F28" s="331">
        <f>+'Historical Analysis'!D46</f>
        <v>11000</v>
      </c>
      <c r="G28" s="331">
        <f>+'Historical Analysis'!C46</f>
        <v>9000</v>
      </c>
      <c r="H28" s="334"/>
      <c r="I28" s="334"/>
      <c r="J28" s="334"/>
      <c r="K28" s="334"/>
      <c r="L28" s="334"/>
      <c r="M28" s="334"/>
      <c r="N28"/>
    </row>
    <row r="29" spans="2:14" ht="14.45" customHeight="1">
      <c r="B29" s="12" t="s">
        <v>39</v>
      </c>
      <c r="C29" s="331">
        <f>+'Historical Analysis'!G50</f>
        <v>1445000</v>
      </c>
      <c r="D29" s="331">
        <f>+'Historical Analysis'!F50</f>
        <v>1440000</v>
      </c>
      <c r="E29" s="331">
        <f>+'Historical Analysis'!E50</f>
        <v>1623000</v>
      </c>
      <c r="F29" s="331">
        <f>+'Historical Analysis'!D50</f>
        <v>1612000</v>
      </c>
      <c r="G29" s="331">
        <f>+'Historical Analysis'!C50</f>
        <v>1512000</v>
      </c>
      <c r="H29" s="334"/>
      <c r="I29" s="334"/>
      <c r="J29" s="334"/>
      <c r="K29" s="334"/>
      <c r="L29" s="334"/>
      <c r="M29" s="334"/>
      <c r="N29"/>
    </row>
    <row r="30" spans="2:14" ht="14.45" customHeight="1">
      <c r="B30" s="12" t="s">
        <v>156</v>
      </c>
      <c r="C30" s="343">
        <f>SUM(C28:C29)</f>
        <v>1564000</v>
      </c>
      <c r="D30" s="343">
        <f t="shared" ref="D30:G30" si="5">SUM(D28:D29)</f>
        <v>1451000</v>
      </c>
      <c r="E30" s="343">
        <f t="shared" si="5"/>
        <v>1634000</v>
      </c>
      <c r="F30" s="343">
        <f t="shared" si="5"/>
        <v>1623000</v>
      </c>
      <c r="G30" s="343">
        <f t="shared" si="5"/>
        <v>1521000</v>
      </c>
      <c r="H30" s="343">
        <f>+H46</f>
        <v>1436400</v>
      </c>
      <c r="I30" s="343">
        <f t="shared" ref="I30:M30" si="6">+I46</f>
        <v>1360800</v>
      </c>
      <c r="J30" s="343">
        <f t="shared" si="6"/>
        <v>1285200</v>
      </c>
      <c r="K30" s="343">
        <f t="shared" si="6"/>
        <v>1209600</v>
      </c>
      <c r="L30" s="343">
        <f t="shared" si="6"/>
        <v>1134000</v>
      </c>
      <c r="M30" s="343">
        <f t="shared" si="6"/>
        <v>1058400</v>
      </c>
      <c r="N30"/>
    </row>
    <row r="31" spans="2:14" ht="11.45" customHeight="1">
      <c r="B31" s="5"/>
      <c r="C31" s="17"/>
      <c r="G31" s="5"/>
      <c r="I31" s="31"/>
      <c r="J31" s="21"/>
      <c r="M31"/>
      <c r="N31" s="63"/>
    </row>
    <row r="32" spans="2:14" ht="19.7" customHeight="1">
      <c r="B32" s="307" t="s">
        <v>174</v>
      </c>
      <c r="C32" s="274" t="s">
        <v>288</v>
      </c>
      <c r="D32" s="274" t="s">
        <v>288</v>
      </c>
      <c r="E32" s="274" t="s">
        <v>288</v>
      </c>
      <c r="F32" s="274" t="s">
        <v>288</v>
      </c>
      <c r="G32" s="273" t="s">
        <v>287</v>
      </c>
      <c r="H32" s="274" t="s">
        <v>288</v>
      </c>
      <c r="I32" s="274" t="str">
        <f>+H32</f>
        <v>Dec 31</v>
      </c>
      <c r="J32" s="274" t="str">
        <f t="shared" ref="J32:M32" si="7">+I32</f>
        <v>Dec 31</v>
      </c>
      <c r="K32" s="274" t="str">
        <f t="shared" si="7"/>
        <v>Dec 31</v>
      </c>
      <c r="L32" s="274" t="str">
        <f t="shared" si="7"/>
        <v>Dec 31</v>
      </c>
      <c r="M32" s="274" t="str">
        <f t="shared" si="7"/>
        <v>Dec 31</v>
      </c>
      <c r="N32" s="63"/>
    </row>
    <row r="33" spans="2:17" ht="20" customHeight="1" thickBot="1">
      <c r="B33" s="7"/>
      <c r="C33" s="8">
        <f>+C6</f>
        <v>2016</v>
      </c>
      <c r="D33" s="8">
        <f t="shared" ref="D33:M33" si="8">+D6</f>
        <v>2017</v>
      </c>
      <c r="E33" s="8">
        <f t="shared" si="8"/>
        <v>2018</v>
      </c>
      <c r="F33" s="8">
        <f t="shared" si="8"/>
        <v>2019</v>
      </c>
      <c r="G33" s="8">
        <f t="shared" si="8"/>
        <v>2020</v>
      </c>
      <c r="H33" s="8">
        <f t="shared" si="8"/>
        <v>2020</v>
      </c>
      <c r="I33" s="8">
        <f t="shared" si="8"/>
        <v>2021</v>
      </c>
      <c r="J33" s="8">
        <f t="shared" si="8"/>
        <v>2022</v>
      </c>
      <c r="K33" s="8">
        <f t="shared" si="8"/>
        <v>2023</v>
      </c>
      <c r="L33" s="8">
        <f t="shared" si="8"/>
        <v>2024</v>
      </c>
      <c r="M33" s="8">
        <f t="shared" si="8"/>
        <v>2025</v>
      </c>
      <c r="N33" s="63"/>
      <c r="O33" s="364" t="s">
        <v>311</v>
      </c>
      <c r="P33" s="365"/>
      <c r="Q33" s="365"/>
    </row>
    <row r="34" spans="2:17" ht="14.45" customHeight="1">
      <c r="B34" s="38" t="s">
        <v>75</v>
      </c>
      <c r="C34" s="1"/>
      <c r="D34" s="34">
        <v>658000</v>
      </c>
      <c r="E34" s="34">
        <v>707000</v>
      </c>
      <c r="F34" s="34">
        <v>618000</v>
      </c>
      <c r="G34" s="34">
        <f>+'Historical Analysis'!C112</f>
        <v>217000</v>
      </c>
      <c r="H34" s="344">
        <f>+H15+H24</f>
        <v>281342.81240931066</v>
      </c>
      <c r="I34" s="344">
        <f>+I15+I24</f>
        <v>492349.92171629349</v>
      </c>
      <c r="J34" s="344">
        <f>+J15+J24</f>
        <v>615437.40214536665</v>
      </c>
      <c r="K34" s="344">
        <f>+K15+K24</f>
        <v>676981.14235990378</v>
      </c>
      <c r="L34" s="344">
        <f>+L15+L24</f>
        <v>744679.25659589353</v>
      </c>
      <c r="M34" s="344">
        <f>+M15+M24</f>
        <v>819147.182255483</v>
      </c>
      <c r="N34" s="63"/>
    </row>
    <row r="35" spans="2:17" ht="14.45" customHeight="1">
      <c r="B35" s="38"/>
      <c r="C35" s="1"/>
      <c r="D35" s="34"/>
      <c r="E35" s="34"/>
      <c r="F35" s="34"/>
      <c r="G35" s="34"/>
      <c r="H35" s="72"/>
      <c r="I35" s="72"/>
      <c r="J35" s="72"/>
      <c r="K35" s="72"/>
      <c r="L35" s="72"/>
      <c r="M35" s="72"/>
      <c r="N35" s="63"/>
    </row>
    <row r="36" spans="2:17" ht="14.45" customHeight="1">
      <c r="B36" s="36" t="s">
        <v>77</v>
      </c>
      <c r="C36" s="17"/>
      <c r="D36" s="309">
        <f>+D7/C7-1</f>
        <v>5.7800857981485709E-2</v>
      </c>
      <c r="E36" s="309">
        <f>+E7/D7-1</f>
        <v>-4.5037353255069412E-2</v>
      </c>
      <c r="F36" s="309">
        <f>+F7/E7-1</f>
        <v>0.12695574430040235</v>
      </c>
      <c r="G36" s="309">
        <f>+G7/F7-1</f>
        <v>-0.25961919873066241</v>
      </c>
      <c r="H36" s="316">
        <v>-0.3</v>
      </c>
      <c r="I36" s="316">
        <v>0.75</v>
      </c>
      <c r="J36" s="316">
        <v>0.25</v>
      </c>
      <c r="K36" s="316">
        <v>0.1</v>
      </c>
      <c r="L36" s="316">
        <v>0.1</v>
      </c>
      <c r="M36" s="316">
        <v>0.1</v>
      </c>
      <c r="O36" s="362" t="s">
        <v>312</v>
      </c>
      <c r="P36" s="363"/>
      <c r="Q36" s="363"/>
    </row>
    <row r="37" spans="2:17" ht="14.45" customHeight="1">
      <c r="B37" s="36"/>
      <c r="C37" s="17"/>
      <c r="D37" s="309"/>
      <c r="E37" s="309"/>
      <c r="F37" s="309"/>
      <c r="G37" s="309"/>
      <c r="H37" s="313" t="s">
        <v>302</v>
      </c>
      <c r="I37" s="312"/>
      <c r="J37" s="312"/>
      <c r="K37" s="312"/>
      <c r="L37" s="312"/>
      <c r="M37" s="312"/>
      <c r="O37" s="363"/>
      <c r="P37" s="363"/>
      <c r="Q37" s="363"/>
    </row>
    <row r="38" spans="2:17" ht="14.45" customHeight="1">
      <c r="B38" s="36" t="s">
        <v>297</v>
      </c>
      <c r="C38" s="309">
        <f>+C10/C7</f>
        <v>0.78414992097538949</v>
      </c>
      <c r="D38" s="309">
        <f>+D10/D7</f>
        <v>0.77652081109925297</v>
      </c>
      <c r="E38" s="309">
        <f>+E10/E7</f>
        <v>0.78118015198927138</v>
      </c>
      <c r="F38" s="309">
        <f>+F10/F7</f>
        <v>0.8129710432368108</v>
      </c>
      <c r="G38" s="309">
        <f>+G10/G7</f>
        <v>0.86659523171711761</v>
      </c>
      <c r="H38" s="322">
        <f>AVERAGE(C38:G38)</f>
        <v>0.80428343180356843</v>
      </c>
      <c r="I38" s="317">
        <f>+H38</f>
        <v>0.80428343180356843</v>
      </c>
      <c r="J38" s="317">
        <f t="shared" ref="J38:M41" si="9">+I38</f>
        <v>0.80428343180356843</v>
      </c>
      <c r="K38" s="317">
        <f t="shared" si="9"/>
        <v>0.80428343180356843</v>
      </c>
      <c r="L38" s="317">
        <f t="shared" si="9"/>
        <v>0.80428343180356843</v>
      </c>
      <c r="M38" s="317">
        <f t="shared" si="9"/>
        <v>0.80428343180356843</v>
      </c>
      <c r="O38" s="363"/>
      <c r="P38" s="363"/>
      <c r="Q38" s="363"/>
    </row>
    <row r="39" spans="2:17" ht="14.45" customHeight="1">
      <c r="B39" s="36" t="s">
        <v>298</v>
      </c>
      <c r="C39" s="309">
        <f>+C14/C7</f>
        <v>0.14834048317904719</v>
      </c>
      <c r="D39" s="309">
        <f>+D14/D7</f>
        <v>0.15901814300960512</v>
      </c>
      <c r="E39" s="309">
        <f>+E14/E7</f>
        <v>0.14461332141260616</v>
      </c>
      <c r="F39" s="309">
        <f>+F14/F7</f>
        <v>0.14795715985719951</v>
      </c>
      <c r="G39" s="309">
        <f>+G14/G7</f>
        <v>0.17706938119474952</v>
      </c>
      <c r="H39" s="322">
        <f>AVERAGE(C39:G39)</f>
        <v>0.1553996977306415</v>
      </c>
      <c r="I39" s="317">
        <f>+H39</f>
        <v>0.1553996977306415</v>
      </c>
      <c r="J39" s="317">
        <f t="shared" si="9"/>
        <v>0.1553996977306415</v>
      </c>
      <c r="K39" s="317">
        <f t="shared" si="9"/>
        <v>0.1553996977306415</v>
      </c>
      <c r="L39" s="317">
        <f t="shared" si="9"/>
        <v>0.1553996977306415</v>
      </c>
      <c r="M39" s="317">
        <f t="shared" si="9"/>
        <v>0.1553996977306415</v>
      </c>
    </row>
    <row r="40" spans="2:17" ht="14.45" customHeight="1">
      <c r="B40" s="36"/>
      <c r="C40" s="17"/>
      <c r="D40" s="309"/>
      <c r="E40" s="309"/>
      <c r="F40" s="309"/>
      <c r="G40" s="310"/>
      <c r="H40" s="323"/>
      <c r="I40" s="318"/>
      <c r="J40" s="319"/>
      <c r="K40" s="320"/>
      <c r="L40" s="321"/>
      <c r="M40" s="320"/>
    </row>
    <row r="41" spans="2:17" ht="14.45" customHeight="1">
      <c r="B41" s="36" t="s">
        <v>299</v>
      </c>
      <c r="C41" s="309"/>
      <c r="D41" s="309">
        <f>-D25/D7</f>
        <v>-2.1344717182497332E-4</v>
      </c>
      <c r="E41" s="309">
        <f>-E25/E7</f>
        <v>6.7501117568171662E-2</v>
      </c>
      <c r="F41" s="309">
        <f>-F25/F7</f>
        <v>9.71836572788576E-3</v>
      </c>
      <c r="G41" s="309">
        <f>-G25/G7</f>
        <v>2.1430484864720066E-3</v>
      </c>
      <c r="H41" s="322">
        <f>AVERAGE(C41:G41)</f>
        <v>1.9787271152676113E-2</v>
      </c>
      <c r="I41" s="317">
        <f>+H41</f>
        <v>1.9787271152676113E-2</v>
      </c>
      <c r="J41" s="317">
        <f t="shared" si="9"/>
        <v>1.9787271152676113E-2</v>
      </c>
      <c r="K41" s="317">
        <f t="shared" si="9"/>
        <v>1.9787271152676113E-2</v>
      </c>
      <c r="L41" s="317">
        <f t="shared" si="9"/>
        <v>1.9787271152676113E-2</v>
      </c>
      <c r="M41" s="317">
        <f t="shared" si="9"/>
        <v>1.9787271152676113E-2</v>
      </c>
    </row>
    <row r="42" spans="2:17" ht="14.45" customHeight="1">
      <c r="B42" s="36" t="s">
        <v>190</v>
      </c>
      <c r="C42" s="309"/>
      <c r="D42" s="309">
        <f>-D26/D7</f>
        <v>4.5037353255069371E-2</v>
      </c>
      <c r="E42" s="309">
        <f>-E26/E7</f>
        <v>6.6607063030844876E-2</v>
      </c>
      <c r="F42" s="311">
        <f>-F26/F7</f>
        <v>5.8905196350654505E-2</v>
      </c>
      <c r="G42" s="309">
        <f>-G26/G7</f>
        <v>9.8848111438521291E-2</v>
      </c>
      <c r="H42" s="324">
        <f>AVERAGE(D42:G42)</f>
        <v>6.7349431018772513E-2</v>
      </c>
      <c r="I42" s="317">
        <f>+H42</f>
        <v>6.7349431018772513E-2</v>
      </c>
      <c r="J42" s="317">
        <f>+I42</f>
        <v>6.7349431018772513E-2</v>
      </c>
      <c r="K42" s="317">
        <f>+J42</f>
        <v>6.7349431018772513E-2</v>
      </c>
      <c r="L42" s="317">
        <f>+K42</f>
        <v>6.7349431018772513E-2</v>
      </c>
      <c r="M42" s="317">
        <f>+L42</f>
        <v>6.7349431018772513E-2</v>
      </c>
    </row>
    <row r="43" spans="2:17" ht="14.45" customHeight="1">
      <c r="B43" s="36"/>
      <c r="C43" s="309"/>
      <c r="D43" s="309"/>
      <c r="E43" s="309"/>
      <c r="F43" s="309"/>
      <c r="G43" s="309"/>
      <c r="H43" s="314" t="s">
        <v>313</v>
      </c>
      <c r="I43" s="309"/>
      <c r="J43" s="309"/>
      <c r="K43" s="317"/>
      <c r="L43" s="317"/>
      <c r="M43" s="317"/>
    </row>
    <row r="44" spans="2:17" ht="14.45" customHeight="1">
      <c r="B44" s="36" t="s">
        <v>188</v>
      </c>
      <c r="C44" s="309"/>
      <c r="D44" s="309"/>
      <c r="E44" s="309"/>
      <c r="F44" s="309"/>
      <c r="G44" s="311">
        <f>+G24/G7</f>
        <v>2.4109295472810072E-2</v>
      </c>
      <c r="H44" s="324">
        <f>+H42</f>
        <v>6.7349431018772513E-2</v>
      </c>
      <c r="I44" s="317">
        <f>+H44</f>
        <v>6.7349431018772513E-2</v>
      </c>
      <c r="J44" s="317">
        <f t="shared" ref="J44:M44" si="10">+I44</f>
        <v>6.7349431018772513E-2</v>
      </c>
      <c r="K44" s="317">
        <f t="shared" si="10"/>
        <v>6.7349431018772513E-2</v>
      </c>
      <c r="L44" s="317">
        <f t="shared" si="10"/>
        <v>6.7349431018772513E-2</v>
      </c>
      <c r="M44" s="317">
        <f t="shared" si="10"/>
        <v>6.7349431018772513E-2</v>
      </c>
    </row>
    <row r="45" spans="2:17" ht="14.45" customHeight="1">
      <c r="B45" s="36"/>
      <c r="C45" s="17"/>
      <c r="D45" s="17"/>
      <c r="E45" s="17"/>
      <c r="F45" s="17"/>
      <c r="G45" s="36"/>
      <c r="H45" s="323"/>
      <c r="I45" s="318"/>
      <c r="J45" s="319"/>
      <c r="K45" s="320"/>
      <c r="L45" s="321"/>
      <c r="M45" s="320"/>
    </row>
    <row r="46" spans="2:17" ht="14.45" customHeight="1">
      <c r="B46" s="36" t="s">
        <v>156</v>
      </c>
      <c r="C46" s="17"/>
      <c r="D46" s="17">
        <f>+D29</f>
        <v>1440000</v>
      </c>
      <c r="E46" s="17">
        <f>+E29</f>
        <v>1623000</v>
      </c>
      <c r="F46" s="17">
        <f>+F29</f>
        <v>1612000</v>
      </c>
      <c r="G46" s="17">
        <f>+G29</f>
        <v>1512000</v>
      </c>
      <c r="H46" s="277">
        <f>+G46-H47</f>
        <v>1436400</v>
      </c>
      <c r="I46" s="277">
        <f t="shared" ref="I46:M46" si="11">+H46-I47</f>
        <v>1360800</v>
      </c>
      <c r="J46" s="277">
        <f t="shared" si="11"/>
        <v>1285200</v>
      </c>
      <c r="K46" s="277">
        <f t="shared" si="11"/>
        <v>1209600</v>
      </c>
      <c r="L46" s="277">
        <f t="shared" si="11"/>
        <v>1134000</v>
      </c>
      <c r="M46" s="277">
        <f t="shared" si="11"/>
        <v>1058400</v>
      </c>
    </row>
    <row r="47" spans="2:17" ht="14.45" customHeight="1">
      <c r="B47" s="36" t="s">
        <v>304</v>
      </c>
      <c r="C47" s="17"/>
      <c r="D47" s="17"/>
      <c r="E47" s="17"/>
      <c r="F47" s="17"/>
      <c r="G47" s="17"/>
      <c r="H47" s="71">
        <f>+$G$46*H48</f>
        <v>75600</v>
      </c>
      <c r="I47" s="71">
        <f t="shared" ref="I47:M47" si="12">+$G$46*I48</f>
        <v>75600</v>
      </c>
      <c r="J47" s="71">
        <f t="shared" si="12"/>
        <v>75600</v>
      </c>
      <c r="K47" s="71">
        <f t="shared" si="12"/>
        <v>75600</v>
      </c>
      <c r="L47" s="71">
        <f t="shared" si="12"/>
        <v>75600</v>
      </c>
      <c r="M47" s="71">
        <f t="shared" si="12"/>
        <v>75600</v>
      </c>
    </row>
    <row r="48" spans="2:17" ht="14.45" customHeight="1">
      <c r="B48" s="36" t="s">
        <v>303</v>
      </c>
      <c r="C48" s="17"/>
      <c r="D48" s="17"/>
      <c r="E48" s="17"/>
      <c r="F48" s="17"/>
      <c r="G48" s="36"/>
      <c r="H48" s="315">
        <v>0.05</v>
      </c>
      <c r="I48" s="317">
        <f>+H48</f>
        <v>0.05</v>
      </c>
      <c r="J48" s="317">
        <f t="shared" ref="J48:M48" si="13">+I48</f>
        <v>0.05</v>
      </c>
      <c r="K48" s="317">
        <f t="shared" si="13"/>
        <v>0.05</v>
      </c>
      <c r="L48" s="317">
        <f t="shared" si="13"/>
        <v>0.05</v>
      </c>
      <c r="M48" s="317">
        <f t="shared" si="13"/>
        <v>0.05</v>
      </c>
    </row>
    <row r="49" spans="2:10" ht="14.45" customHeight="1">
      <c r="B49" s="36"/>
      <c r="C49" s="17"/>
      <c r="D49" s="17"/>
      <c r="E49" s="17"/>
      <c r="F49" s="17"/>
      <c r="G49" s="36"/>
      <c r="I49" s="31"/>
      <c r="J49" s="21"/>
    </row>
    <row r="50" spans="2:10" ht="11.45" customHeight="1">
      <c r="B50" s="36"/>
      <c r="C50" s="17"/>
      <c r="D50" s="17"/>
      <c r="E50" s="17"/>
      <c r="F50" s="17"/>
      <c r="G50" s="36"/>
      <c r="I50" s="31"/>
      <c r="J50" s="21"/>
    </row>
    <row r="51" spans="2:10" ht="11.45" customHeight="1">
      <c r="B51" s="36"/>
      <c r="C51" s="17"/>
      <c r="D51" s="17"/>
      <c r="E51" s="17"/>
      <c r="F51" s="17"/>
      <c r="G51" s="36"/>
      <c r="I51" s="31"/>
      <c r="J51" s="21"/>
    </row>
    <row r="52" spans="2:10" ht="11.45" customHeight="1">
      <c r="B52" s="36"/>
      <c r="C52" s="17"/>
      <c r="D52" s="17"/>
      <c r="E52" s="17"/>
      <c r="F52" s="17"/>
      <c r="G52" s="36"/>
      <c r="I52" s="31"/>
      <c r="J52" s="21"/>
    </row>
    <row r="53" spans="2:10" ht="11.45" customHeight="1">
      <c r="B53" s="36"/>
      <c r="C53" s="17"/>
      <c r="D53" s="17"/>
      <c r="E53" s="17"/>
      <c r="F53" s="17"/>
      <c r="G53" s="36"/>
      <c r="I53" s="31"/>
      <c r="J53" s="21"/>
    </row>
    <row r="54" spans="2:10" ht="11.45" customHeight="1">
      <c r="B54" s="36"/>
      <c r="C54" s="17"/>
      <c r="D54" s="17"/>
      <c r="E54" s="17"/>
      <c r="F54" s="17"/>
      <c r="G54" s="36"/>
      <c r="I54" s="31"/>
      <c r="J54" s="21"/>
    </row>
    <row r="55" spans="2:10" ht="11.45" customHeight="1">
      <c r="B55" s="36"/>
      <c r="C55" s="17"/>
      <c r="D55" s="17"/>
      <c r="E55" s="17"/>
      <c r="F55" s="17"/>
      <c r="G55" s="36"/>
      <c r="I55" s="31"/>
      <c r="J55" s="21"/>
    </row>
    <row r="56" spans="2:10" ht="11.45" customHeight="1">
      <c r="B56" s="36"/>
      <c r="C56" s="17"/>
      <c r="D56" s="17"/>
      <c r="E56" s="17"/>
      <c r="F56" s="17"/>
      <c r="G56" s="36"/>
      <c r="I56" s="31"/>
      <c r="J56" s="21"/>
    </row>
    <row r="57" spans="2:10" ht="11.45" customHeight="1">
      <c r="B57" s="36"/>
      <c r="C57" s="17"/>
      <c r="D57" s="17"/>
      <c r="E57" s="17"/>
      <c r="F57" s="17"/>
      <c r="G57" s="36"/>
      <c r="I57" s="31"/>
      <c r="J57" s="21"/>
    </row>
    <row r="58" spans="2:10" ht="11.45" customHeight="1">
      <c r="B58" s="36"/>
      <c r="C58" s="17"/>
      <c r="D58" s="17"/>
      <c r="E58" s="17"/>
      <c r="F58" s="17"/>
      <c r="G58" s="36"/>
      <c r="I58" s="31"/>
      <c r="J58" s="21"/>
    </row>
    <row r="59" spans="2:10" ht="11.45" customHeight="1">
      <c r="B59" s="36"/>
      <c r="C59" s="17"/>
      <c r="D59" s="17"/>
      <c r="E59" s="17"/>
      <c r="F59" s="17"/>
      <c r="G59" s="36"/>
      <c r="I59" s="31"/>
      <c r="J59" s="21"/>
    </row>
    <row r="60" spans="2:10" ht="11.45" customHeight="1">
      <c r="B60" s="36"/>
      <c r="C60" s="17"/>
      <c r="D60" s="17"/>
      <c r="E60" s="17"/>
      <c r="F60" s="17"/>
      <c r="G60" s="36"/>
      <c r="I60" s="31"/>
      <c r="J60" s="21"/>
    </row>
    <row r="61" spans="2:10" ht="11.45" customHeight="1">
      <c r="B61" s="36"/>
      <c r="C61" s="17"/>
      <c r="D61" s="17"/>
      <c r="E61" s="17"/>
      <c r="F61" s="17"/>
      <c r="G61" s="36"/>
      <c r="I61" s="31"/>
      <c r="J61" s="21"/>
    </row>
    <row r="62" spans="2:10" ht="11.45" customHeight="1">
      <c r="B62" s="36"/>
      <c r="C62" s="17"/>
      <c r="D62" s="17"/>
      <c r="E62" s="17"/>
      <c r="F62" s="17"/>
      <c r="G62" s="36"/>
      <c r="I62" s="31"/>
      <c r="J62" s="21"/>
    </row>
    <row r="63" spans="2:10" ht="11.45" customHeight="1">
      <c r="B63" s="36"/>
      <c r="C63" s="17"/>
      <c r="D63" s="17"/>
      <c r="E63" s="17"/>
      <c r="F63" s="17"/>
      <c r="G63" s="36"/>
      <c r="I63" s="31"/>
      <c r="J63" s="21"/>
    </row>
    <row r="64" spans="2:10" ht="11.45" customHeight="1">
      <c r="B64" s="36"/>
      <c r="C64" s="17"/>
      <c r="D64" s="17"/>
      <c r="E64" s="17"/>
      <c r="F64" s="17"/>
      <c r="G64" s="36"/>
      <c r="I64" s="31"/>
      <c r="J64" s="21"/>
    </row>
    <row r="65" spans="2:10" ht="11.45" customHeight="1">
      <c r="B65" s="36"/>
      <c r="C65" s="17"/>
      <c r="D65" s="17"/>
      <c r="E65" s="17"/>
      <c r="F65" s="17"/>
      <c r="G65" s="36"/>
      <c r="I65" s="31"/>
      <c r="J65" s="21"/>
    </row>
    <row r="66" spans="2:10" ht="11.45" customHeight="1">
      <c r="B66" s="36"/>
      <c r="C66" s="17"/>
      <c r="D66" s="17"/>
      <c r="E66" s="17"/>
      <c r="F66" s="17"/>
      <c r="G66" s="36"/>
      <c r="I66" s="31"/>
      <c r="J66" s="21"/>
    </row>
    <row r="67" spans="2:10" ht="11.45" customHeight="1">
      <c r="B67" s="36"/>
      <c r="C67" s="17"/>
      <c r="D67" s="17"/>
      <c r="E67" s="17"/>
      <c r="F67" s="17"/>
      <c r="G67" s="36"/>
      <c r="I67" s="31"/>
      <c r="J67" s="21"/>
    </row>
    <row r="68" spans="2:10" ht="11.45" customHeight="1">
      <c r="B68" s="36"/>
      <c r="C68" s="17"/>
      <c r="D68" s="17"/>
      <c r="E68" s="17"/>
      <c r="F68" s="17"/>
      <c r="G68" s="36"/>
      <c r="I68" s="31"/>
      <c r="J68" s="21"/>
    </row>
    <row r="69" spans="2:10" ht="11.45" customHeight="1">
      <c r="B69" s="36"/>
      <c r="C69" s="17"/>
      <c r="D69" s="17"/>
      <c r="E69" s="17"/>
      <c r="F69" s="17"/>
      <c r="G69" s="36"/>
      <c r="I69" s="31"/>
      <c r="J69" s="21"/>
    </row>
    <row r="70" spans="2:10" ht="11.45" customHeight="1">
      <c r="B70" s="36"/>
      <c r="C70" s="17"/>
      <c r="D70" s="17"/>
      <c r="E70" s="17"/>
      <c r="F70" s="17"/>
      <c r="G70" s="36"/>
      <c r="I70" s="31"/>
      <c r="J70" s="21"/>
    </row>
    <row r="71" spans="2:10" ht="11.45" customHeight="1">
      <c r="B71" s="36"/>
      <c r="C71" s="17"/>
      <c r="D71" s="17"/>
      <c r="E71" s="17"/>
      <c r="F71" s="17"/>
      <c r="G71" s="36"/>
      <c r="I71" s="31"/>
      <c r="J71" s="21"/>
    </row>
    <row r="72" spans="2:10" ht="11.45" customHeight="1">
      <c r="B72" s="36"/>
      <c r="C72" s="17"/>
      <c r="D72" s="17"/>
      <c r="E72" s="17"/>
      <c r="F72" s="17"/>
      <c r="G72" s="36"/>
      <c r="I72" s="31"/>
      <c r="J72" s="21"/>
    </row>
    <row r="73" spans="2:10" ht="11.45" customHeight="1">
      <c r="B73" s="36"/>
      <c r="C73" s="17"/>
      <c r="D73" s="17"/>
      <c r="E73" s="17"/>
      <c r="F73" s="17"/>
      <c r="G73" s="36"/>
      <c r="I73" s="31"/>
      <c r="J73" s="21"/>
    </row>
    <row r="74" spans="2:10" ht="11.45" customHeight="1">
      <c r="B74" s="36"/>
      <c r="C74" s="17"/>
      <c r="D74" s="17"/>
      <c r="E74" s="17"/>
      <c r="F74" s="17"/>
      <c r="G74" s="36"/>
      <c r="I74" s="31"/>
      <c r="J74" s="21"/>
    </row>
    <row r="75" spans="2:10" ht="11.45" customHeight="1">
      <c r="B75" s="36"/>
      <c r="C75" s="17"/>
      <c r="D75" s="17"/>
      <c r="E75" s="17"/>
      <c r="F75" s="17"/>
      <c r="G75" s="36"/>
      <c r="I75" s="31"/>
      <c r="J75" s="21"/>
    </row>
    <row r="76" spans="2:10" ht="11.45" customHeight="1">
      <c r="B76" s="36"/>
      <c r="C76" s="17"/>
      <c r="D76" s="17"/>
      <c r="E76" s="17"/>
      <c r="F76" s="17"/>
      <c r="G76" s="36"/>
      <c r="I76" s="31"/>
      <c r="J76" s="21"/>
    </row>
    <row r="77" spans="2:10" ht="11.45" customHeight="1">
      <c r="B77" s="36"/>
      <c r="C77" s="17"/>
      <c r="D77" s="17"/>
      <c r="E77" s="17"/>
      <c r="F77" s="17"/>
      <c r="G77" s="36"/>
      <c r="I77" s="31"/>
      <c r="J77" s="21"/>
    </row>
    <row r="78" spans="2:10" ht="11.45" customHeight="1">
      <c r="B78" s="36"/>
      <c r="C78" s="17"/>
      <c r="D78" s="17"/>
      <c r="E78" s="17"/>
      <c r="F78" s="17"/>
      <c r="G78" s="36"/>
      <c r="I78" s="31"/>
      <c r="J78" s="21"/>
    </row>
    <row r="79" spans="2:10" ht="11.45" customHeight="1">
      <c r="B79" s="36"/>
      <c r="C79" s="17"/>
      <c r="D79" s="17"/>
      <c r="E79" s="17"/>
      <c r="F79" s="17"/>
      <c r="G79" s="36"/>
      <c r="I79" s="31"/>
      <c r="J79" s="21"/>
    </row>
    <row r="80" spans="2:10" ht="11.45" customHeight="1">
      <c r="B80" s="36"/>
      <c r="C80" s="17"/>
      <c r="D80" s="17"/>
      <c r="E80" s="17"/>
      <c r="F80" s="17"/>
      <c r="G80" s="36"/>
      <c r="I80" s="31"/>
      <c r="J80" s="21"/>
    </row>
    <row r="81" spans="2:10" ht="11.45" customHeight="1">
      <c r="B81" s="36"/>
      <c r="C81" s="17"/>
      <c r="D81" s="17"/>
      <c r="E81" s="17"/>
      <c r="F81" s="17"/>
      <c r="G81" s="36"/>
      <c r="I81" s="31"/>
      <c r="J81" s="21"/>
    </row>
    <row r="82" spans="2:10" ht="11.45" customHeight="1">
      <c r="B82" s="36"/>
      <c r="C82" s="17"/>
      <c r="D82" s="17"/>
      <c r="E82" s="17"/>
      <c r="F82" s="17"/>
      <c r="G82" s="36"/>
      <c r="I82" s="31"/>
      <c r="J82" s="21"/>
    </row>
    <row r="83" spans="2:10" ht="11.45" customHeight="1">
      <c r="B83" s="36"/>
      <c r="C83" s="17"/>
      <c r="D83" s="17"/>
      <c r="E83" s="17"/>
      <c r="F83" s="17"/>
      <c r="G83" s="36"/>
      <c r="I83" s="31"/>
      <c r="J83" s="21"/>
    </row>
    <row r="84" spans="2:10" ht="11.45" customHeight="1">
      <c r="B84" s="36"/>
      <c r="C84" s="17"/>
      <c r="D84" s="17"/>
      <c r="E84" s="17"/>
      <c r="F84" s="17"/>
      <c r="G84" s="36"/>
      <c r="I84" s="31"/>
      <c r="J84" s="21"/>
    </row>
    <row r="85" spans="2:10" ht="11.45" customHeight="1">
      <c r="B85" s="36"/>
      <c r="C85" s="17"/>
      <c r="D85" s="17"/>
      <c r="E85" s="17"/>
      <c r="F85" s="17"/>
      <c r="G85" s="36"/>
      <c r="I85" s="31"/>
      <c r="J85" s="21"/>
    </row>
    <row r="86" spans="2:10" ht="11.45" customHeight="1">
      <c r="B86" s="36"/>
      <c r="C86" s="17"/>
      <c r="D86" s="17"/>
      <c r="E86" s="17"/>
      <c r="F86" s="17"/>
      <c r="G86" s="36"/>
      <c r="I86" s="31"/>
      <c r="J86" s="21"/>
    </row>
    <row r="87" spans="2:10" ht="11.45" customHeight="1">
      <c r="B87" s="36"/>
      <c r="C87" s="17"/>
      <c r="D87" s="17"/>
      <c r="E87" s="17"/>
      <c r="F87" s="17"/>
      <c r="G87" s="36"/>
      <c r="I87" s="31"/>
      <c r="J87" s="21"/>
    </row>
    <row r="88" spans="2:10" ht="11.45" customHeight="1">
      <c r="B88" s="36"/>
      <c r="C88" s="17"/>
      <c r="D88" s="17"/>
      <c r="E88" s="17"/>
      <c r="F88" s="17"/>
      <c r="G88" s="36"/>
      <c r="I88" s="31"/>
      <c r="J88" s="21"/>
    </row>
    <row r="89" spans="2:10" ht="11.45" customHeight="1">
      <c r="B89" s="36"/>
      <c r="C89" s="17"/>
      <c r="D89" s="17"/>
      <c r="E89" s="17"/>
      <c r="F89" s="17"/>
      <c r="G89" s="36"/>
      <c r="I89" s="31"/>
      <c r="J89" s="21"/>
    </row>
    <row r="90" spans="2:10" ht="11.45" customHeight="1">
      <c r="B90" s="36"/>
      <c r="C90" s="17"/>
      <c r="D90" s="17"/>
      <c r="E90" s="17"/>
      <c r="F90" s="17"/>
      <c r="G90" s="36"/>
      <c r="I90" s="31"/>
      <c r="J90" s="21"/>
    </row>
    <row r="91" spans="2:10" ht="11.45" customHeight="1">
      <c r="B91" s="36"/>
      <c r="C91" s="17"/>
      <c r="D91" s="17"/>
      <c r="E91" s="17"/>
      <c r="F91" s="17"/>
      <c r="G91" s="36"/>
      <c r="I91" s="31"/>
      <c r="J91" s="21"/>
    </row>
    <row r="92" spans="2:10" ht="11.45" customHeight="1">
      <c r="B92" s="36"/>
      <c r="C92" s="17"/>
      <c r="D92" s="17"/>
      <c r="E92" s="17"/>
      <c r="F92" s="17"/>
      <c r="G92" s="36"/>
      <c r="I92" s="31"/>
      <c r="J92" s="21"/>
    </row>
    <row r="93" spans="2:10" ht="11.45" customHeight="1">
      <c r="B93" s="36"/>
      <c r="C93" s="17"/>
      <c r="D93" s="17"/>
      <c r="E93" s="17"/>
      <c r="F93" s="17"/>
      <c r="G93" s="36"/>
      <c r="I93" s="31"/>
      <c r="J93" s="21"/>
    </row>
    <row r="94" spans="2:10" ht="11.45" customHeight="1">
      <c r="B94" s="36"/>
      <c r="C94" s="17"/>
      <c r="D94" s="17"/>
      <c r="E94" s="17"/>
      <c r="F94" s="17"/>
      <c r="G94" s="36"/>
      <c r="I94" s="31"/>
      <c r="J94" s="21"/>
    </row>
    <row r="95" spans="2:10" ht="11.45" customHeight="1">
      <c r="B95" s="36"/>
      <c r="C95" s="17"/>
      <c r="D95" s="17"/>
      <c r="E95" s="17"/>
      <c r="F95" s="17"/>
      <c r="G95" s="36"/>
      <c r="I95" s="31"/>
      <c r="J95" s="21"/>
    </row>
    <row r="96" spans="2:10" ht="11.45" customHeight="1">
      <c r="B96" s="36"/>
      <c r="C96" s="17"/>
      <c r="D96" s="17"/>
      <c r="E96" s="17"/>
      <c r="F96" s="17"/>
      <c r="G96" s="36"/>
      <c r="I96" s="31"/>
      <c r="J96" s="21"/>
    </row>
    <row r="97" spans="2:10" ht="17" customHeight="1">
      <c r="B97" s="36"/>
      <c r="C97" s="17"/>
      <c r="D97" s="17"/>
      <c r="E97" s="17"/>
      <c r="F97" s="17"/>
      <c r="G97" s="36"/>
      <c r="I97" s="31"/>
      <c r="J97" s="21"/>
    </row>
    <row r="98" spans="2:10" ht="17" customHeight="1">
      <c r="B98" s="36"/>
      <c r="C98" s="17"/>
      <c r="D98" s="17"/>
      <c r="E98" s="17"/>
      <c r="F98" s="17"/>
      <c r="G98" s="36"/>
      <c r="I98" s="31"/>
      <c r="J98" s="21"/>
    </row>
  </sheetData>
  <mergeCells count="3">
    <mergeCell ref="C4:G4"/>
    <mergeCell ref="H4:M4"/>
    <mergeCell ref="O36:Q38"/>
  </mergeCells>
  <phoneticPr fontId="38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ABF418-C846-4939-AD08-2FE86EDE6457}">
  <dimension ref="A1:AC129"/>
  <sheetViews>
    <sheetView tabSelected="1" workbookViewId="0">
      <selection activeCell="C2" sqref="C2"/>
    </sheetView>
  </sheetViews>
  <sheetFormatPr defaultRowHeight="14.35"/>
  <cols>
    <col min="1" max="1" width="38.1171875" customWidth="1"/>
    <col min="2" max="2" width="13.3515625" customWidth="1"/>
    <col min="3" max="3" width="11.234375" customWidth="1"/>
    <col min="4" max="4" width="11.703125" customWidth="1"/>
    <col min="5" max="5" width="11.1171875" customWidth="1"/>
    <col min="6" max="6" width="12.3515625" customWidth="1"/>
    <col min="7" max="7" width="10.8203125" customWidth="1"/>
    <col min="8" max="11" width="12.29296875" customWidth="1"/>
    <col min="12" max="12" width="3" customWidth="1"/>
    <col min="13" max="13" width="12.29296875" style="48" customWidth="1"/>
    <col min="14" max="20" width="12.29296875" customWidth="1"/>
    <col min="21" max="22" width="10.41015625" customWidth="1"/>
    <col min="23" max="23" width="12.3515625" customWidth="1"/>
    <col min="24" max="28" width="10.87890625" customWidth="1"/>
    <col min="29" max="29" width="12.3515625" bestFit="1" customWidth="1"/>
  </cols>
  <sheetData>
    <row r="1" spans="1:28" ht="28.7" customHeight="1" thickBot="1">
      <c r="A1" s="397" t="s">
        <v>92</v>
      </c>
      <c r="B1" s="357" t="s">
        <v>93</v>
      </c>
      <c r="C1" s="354" t="s">
        <v>94</v>
      </c>
      <c r="D1" s="355"/>
      <c r="E1" s="355"/>
      <c r="F1" s="356"/>
      <c r="G1" s="44" t="s">
        <v>95</v>
      </c>
      <c r="H1" s="45">
        <v>44109</v>
      </c>
      <c r="V1" s="46" t="s">
        <v>96</v>
      </c>
      <c r="W1" s="46"/>
      <c r="X1" s="47"/>
      <c r="Y1" s="47"/>
      <c r="Z1" s="47"/>
      <c r="AA1" s="47"/>
      <c r="AB1" s="47"/>
    </row>
    <row r="2" spans="1:28" ht="18" customHeight="1" thickBot="1">
      <c r="A2" s="429" t="s">
        <v>349</v>
      </c>
      <c r="B2" s="49"/>
      <c r="G2" s="50" t="s">
        <v>309</v>
      </c>
      <c r="H2" s="45">
        <v>44012</v>
      </c>
      <c r="V2" s="51" t="s">
        <v>97</v>
      </c>
    </row>
    <row r="3" spans="1:28" ht="10.5" customHeight="1" thickBot="1"/>
    <row r="4" spans="1:28" ht="15.7" thickBot="1">
      <c r="A4" s="52" t="s">
        <v>98</v>
      </c>
      <c r="B4" s="53"/>
      <c r="C4" s="53"/>
      <c r="D4" s="53"/>
      <c r="E4" s="53"/>
      <c r="F4" s="53"/>
      <c r="G4" s="53"/>
      <c r="H4" s="390"/>
      <c r="I4" s="53"/>
      <c r="V4" s="54" t="s">
        <v>99</v>
      </c>
      <c r="W4" s="54"/>
      <c r="X4" s="55" t="s">
        <v>100</v>
      </c>
      <c r="Y4" s="56"/>
      <c r="Z4" s="56"/>
      <c r="AA4" s="56"/>
      <c r="AB4" s="56"/>
    </row>
    <row r="5" spans="1:28" ht="44.45" customHeight="1" thickBot="1">
      <c r="A5" s="57"/>
      <c r="C5" s="58" t="s">
        <v>101</v>
      </c>
      <c r="D5" s="58" t="s">
        <v>102</v>
      </c>
      <c r="E5" s="58" t="s">
        <v>103</v>
      </c>
      <c r="F5" s="58" t="s">
        <v>104</v>
      </c>
      <c r="G5" s="58" t="s">
        <v>105</v>
      </c>
      <c r="H5" s="59" t="s">
        <v>106</v>
      </c>
      <c r="I5" s="383" t="s">
        <v>317</v>
      </c>
      <c r="V5" s="60" t="s">
        <v>107</v>
      </c>
      <c r="W5" s="60"/>
      <c r="X5" s="61">
        <v>44012</v>
      </c>
      <c r="Y5" s="62">
        <v>43830</v>
      </c>
      <c r="Z5" s="62">
        <v>43465</v>
      </c>
      <c r="AA5" s="62">
        <v>43100</v>
      </c>
      <c r="AB5" s="62">
        <v>42735</v>
      </c>
    </row>
    <row r="6" spans="1:28">
      <c r="A6" s="350" t="s">
        <v>108</v>
      </c>
      <c r="B6" s="351"/>
      <c r="C6" s="351">
        <f>+F6+D6-E6</f>
        <v>6179411</v>
      </c>
      <c r="D6" s="351">
        <f>+Projections!G30</f>
        <v>1521000</v>
      </c>
      <c r="E6" s="351">
        <f>+'Historical Analysis'!C23</f>
        <v>1438000</v>
      </c>
      <c r="F6" s="351">
        <f>+H6*G6</f>
        <v>6096411</v>
      </c>
      <c r="G6" s="352">
        <v>103329</v>
      </c>
      <c r="H6" s="353">
        <v>59</v>
      </c>
      <c r="I6" s="384"/>
      <c r="V6" s="63" t="s">
        <v>109</v>
      </c>
      <c r="X6" s="290">
        <f>+'Historical Analysis'!C6</f>
        <v>3733000</v>
      </c>
      <c r="Y6" s="276">
        <f>+'Historical Analysis'!D6</f>
        <v>5042000</v>
      </c>
      <c r="Z6" s="276">
        <f>+'Historical Analysis'!E6</f>
        <v>4474000</v>
      </c>
      <c r="AA6" s="276">
        <f>+'Historical Analysis'!F6</f>
        <v>4685000</v>
      </c>
      <c r="AB6" s="276">
        <f>+'Historical Analysis'!G6</f>
        <v>4429000</v>
      </c>
    </row>
    <row r="7" spans="1:28">
      <c r="A7" s="65"/>
      <c r="B7" s="66"/>
      <c r="C7" s="66"/>
      <c r="D7" s="66"/>
      <c r="E7" s="66"/>
      <c r="F7" s="66"/>
      <c r="G7" s="66"/>
      <c r="H7" s="67"/>
      <c r="I7" s="385"/>
      <c r="V7" t="s">
        <v>3</v>
      </c>
      <c r="X7" s="290">
        <f>+'Historical Analysis'!C7</f>
        <v>3235000</v>
      </c>
      <c r="Y7" s="276">
        <f>+'Historical Analysis'!D7</f>
        <v>4099000</v>
      </c>
      <c r="Z7" s="276">
        <f>+'Historical Analysis'!E7</f>
        <v>3495000</v>
      </c>
      <c r="AA7" s="276">
        <f>+'Historical Analysis'!F7</f>
        <v>3638000</v>
      </c>
      <c r="AB7" s="276">
        <f>+'Historical Analysis'!G7</f>
        <v>3473000</v>
      </c>
    </row>
    <row r="8" spans="1:28" ht="14.7" thickBot="1">
      <c r="A8" s="65" t="s">
        <v>110</v>
      </c>
      <c r="B8" s="66"/>
      <c r="C8" s="66">
        <f>+D8+F8-E8</f>
        <v>6599078.4617427094</v>
      </c>
      <c r="D8" s="66">
        <f>+D6</f>
        <v>1521000</v>
      </c>
      <c r="E8" s="66">
        <f>+E6</f>
        <v>1438000</v>
      </c>
      <c r="F8" s="66">
        <f>+G8*H8</f>
        <v>6516078.4617427094</v>
      </c>
      <c r="G8" s="66">
        <f>+G6</f>
        <v>103329</v>
      </c>
      <c r="H8" s="67">
        <f>+E39</f>
        <v>63.061468336504845</v>
      </c>
      <c r="I8" s="386" t="s">
        <v>319</v>
      </c>
      <c r="J8" s="388">
        <f>+H8/$H$6-1</f>
        <v>6.883844638143799E-2</v>
      </c>
      <c r="V8" s="63" t="s">
        <v>111</v>
      </c>
      <c r="X8" s="291">
        <f t="shared" ref="X8" si="0">+X6-X7</f>
        <v>498000</v>
      </c>
      <c r="Y8" s="68">
        <f t="shared" ref="Y8:AB8" si="1">+Y6-Y7</f>
        <v>943000</v>
      </c>
      <c r="Z8" s="68">
        <f t="shared" si="1"/>
        <v>979000</v>
      </c>
      <c r="AA8" s="68">
        <f t="shared" si="1"/>
        <v>1047000</v>
      </c>
      <c r="AB8" s="68">
        <f t="shared" si="1"/>
        <v>956000</v>
      </c>
    </row>
    <row r="9" spans="1:28" ht="14.7" thickTop="1">
      <c r="A9" s="65" t="s">
        <v>112</v>
      </c>
      <c r="B9" s="66"/>
      <c r="C9" s="66">
        <f>+D9+F9-E9</f>
        <v>0</v>
      </c>
      <c r="D9" s="66"/>
      <c r="E9" s="66"/>
      <c r="F9" s="66">
        <f>+G9*H9</f>
        <v>0</v>
      </c>
      <c r="G9" s="66"/>
      <c r="H9" s="67">
        <f>+B47</f>
        <v>46.063651591289805</v>
      </c>
      <c r="I9" s="386" t="s">
        <v>318</v>
      </c>
      <c r="J9" s="388">
        <f>+H9/$H$6-1</f>
        <v>-0.21926014252051174</v>
      </c>
      <c r="V9" s="63" t="s">
        <v>113</v>
      </c>
      <c r="X9" s="292">
        <f>+'Historical Analysis'!C9</f>
        <v>661000</v>
      </c>
      <c r="Y9" s="278">
        <f>+'Historical Analysis'!D9</f>
        <v>746000</v>
      </c>
      <c r="Z9" s="278">
        <f>+'Historical Analysis'!E9</f>
        <v>647000</v>
      </c>
      <c r="AA9" s="278">
        <f>+'Historical Analysis'!F9</f>
        <v>745000</v>
      </c>
      <c r="AB9" s="278">
        <f>+'Historical Analysis'!G9</f>
        <v>657000</v>
      </c>
    </row>
    <row r="10" spans="1:28">
      <c r="A10" s="69" t="s">
        <v>114</v>
      </c>
      <c r="B10" s="66"/>
      <c r="C10" s="70">
        <f>+B66</f>
        <v>6236402.252117984</v>
      </c>
      <c r="D10" s="66">
        <f>+D8</f>
        <v>1521000</v>
      </c>
      <c r="E10" s="66">
        <f>+E8</f>
        <v>1438000</v>
      </c>
      <c r="F10" s="66">
        <f>+C10-D10+E10</f>
        <v>6153402.252117984</v>
      </c>
      <c r="G10" s="66">
        <f>+G8</f>
        <v>103329</v>
      </c>
      <c r="H10" s="67">
        <f>+F10/G10</f>
        <v>59.551551375876898</v>
      </c>
      <c r="I10" s="386" t="s">
        <v>318</v>
      </c>
      <c r="J10" s="388">
        <f>+H10/$H$6-1</f>
        <v>9.3483284046931292E-3</v>
      </c>
      <c r="V10" s="63" t="s">
        <v>291</v>
      </c>
      <c r="X10" s="290">
        <f>+X8-X9</f>
        <v>-163000</v>
      </c>
      <c r="Y10" s="71">
        <f>+Y8-Y9</f>
        <v>197000</v>
      </c>
      <c r="Z10" s="71">
        <f t="shared" ref="Z10:AB10" si="2">+Z8-Z9</f>
        <v>332000</v>
      </c>
      <c r="AA10" s="71">
        <f t="shared" si="2"/>
        <v>302000</v>
      </c>
      <c r="AB10" s="71">
        <f t="shared" si="2"/>
        <v>299000</v>
      </c>
    </row>
    <row r="11" spans="1:28">
      <c r="A11" s="69" t="s">
        <v>115</v>
      </c>
      <c r="B11" s="66"/>
      <c r="C11" s="70">
        <f>+B87</f>
        <v>8853198.6321086399</v>
      </c>
      <c r="D11" s="66">
        <f>+D10</f>
        <v>1521000</v>
      </c>
      <c r="E11" s="66">
        <f>+E10</f>
        <v>1438000</v>
      </c>
      <c r="F11" s="66">
        <f t="shared" ref="F11:F12" si="3">+C11-D11+E11</f>
        <v>8770198.6321086399</v>
      </c>
      <c r="G11" s="66">
        <f>+G10</f>
        <v>103329</v>
      </c>
      <c r="H11" s="67">
        <f t="shared" ref="H11:H12" si="4">+F11/G11</f>
        <v>84.876449323119743</v>
      </c>
      <c r="I11" s="386" t="s">
        <v>320</v>
      </c>
      <c r="J11" s="388">
        <f>+H11/$H$6-1</f>
        <v>0.43858388683253802</v>
      </c>
      <c r="V11" s="63" t="s">
        <v>292</v>
      </c>
      <c r="X11" s="293">
        <f>+'Historical Analysis'!C11</f>
        <v>88000</v>
      </c>
      <c r="Y11" s="70">
        <f>+'Historical Analysis'!D11</f>
        <v>75000</v>
      </c>
      <c r="Z11" s="70">
        <f>+'Historical Analysis'!E11</f>
        <v>76000</v>
      </c>
      <c r="AA11" s="70">
        <f>+'Historical Analysis'!F11</f>
        <v>80000</v>
      </c>
      <c r="AB11" s="70">
        <f>+'Historical Analysis'!G11</f>
        <v>76000</v>
      </c>
    </row>
    <row r="12" spans="1:28">
      <c r="A12" s="65" t="s">
        <v>116</v>
      </c>
      <c r="B12" s="66"/>
      <c r="C12" s="66">
        <f>+D126</f>
        <v>5854537.5041814931</v>
      </c>
      <c r="D12" s="66">
        <f>+D11</f>
        <v>1521000</v>
      </c>
      <c r="E12" s="66">
        <f>+E11</f>
        <v>1438000</v>
      </c>
      <c r="F12" s="66">
        <f t="shared" si="3"/>
        <v>5771537.5041814931</v>
      </c>
      <c r="G12" s="66">
        <f>+G11</f>
        <v>103329</v>
      </c>
      <c r="H12" s="67">
        <f t="shared" si="4"/>
        <v>55.85593109564104</v>
      </c>
      <c r="I12" s="386" t="s">
        <v>318</v>
      </c>
      <c r="J12" s="388">
        <f>+H12/$H$6-1</f>
        <v>-5.3289303463711191E-2</v>
      </c>
      <c r="V12" s="63" t="s">
        <v>294</v>
      </c>
      <c r="X12" s="294">
        <f>+X10-X11</f>
        <v>-251000</v>
      </c>
      <c r="Y12" s="277">
        <f>+Y10-Y11</f>
        <v>122000</v>
      </c>
      <c r="Z12" s="277">
        <f t="shared" ref="Z12:AB12" si="5">+Z10-Z11</f>
        <v>256000</v>
      </c>
      <c r="AA12" s="277">
        <f t="shared" si="5"/>
        <v>222000</v>
      </c>
      <c r="AB12" s="277">
        <f t="shared" si="5"/>
        <v>223000</v>
      </c>
    </row>
    <row r="13" spans="1:28">
      <c r="A13" s="57"/>
      <c r="C13" s="72"/>
      <c r="D13" s="72"/>
      <c r="E13" s="72"/>
      <c r="F13" s="72"/>
      <c r="G13" s="72"/>
      <c r="H13" s="73"/>
      <c r="I13" s="387"/>
      <c r="J13" s="388"/>
      <c r="V13" s="63" t="s">
        <v>293</v>
      </c>
      <c r="X13" s="295">
        <f>+'Historical Analysis'!C13</f>
        <v>601000</v>
      </c>
      <c r="Y13" s="279">
        <f>+'Historical Analysis'!D13</f>
        <v>884000</v>
      </c>
      <c r="Z13" s="279">
        <f>+'Historical Analysis'!E13</f>
        <v>695000</v>
      </c>
      <c r="AA13" s="279">
        <f>+'Historical Analysis'!F13</f>
        <v>351000</v>
      </c>
      <c r="AB13" s="279">
        <f>+'Historical Analysis'!G13</f>
        <v>66000</v>
      </c>
    </row>
    <row r="14" spans="1:28" ht="14.7" thickBot="1">
      <c r="A14" s="75" t="s">
        <v>117</v>
      </c>
      <c r="B14" s="76"/>
      <c r="C14" s="224">
        <f>AVERAGE(C8:C12)</f>
        <v>5508643.3700301656</v>
      </c>
      <c r="D14" s="224"/>
      <c r="E14" s="224"/>
      <c r="F14" s="224">
        <f t="shared" ref="F14" si="6">AVERAGE(F8:F12)</f>
        <v>5442243.3700301656</v>
      </c>
      <c r="G14" s="224"/>
      <c r="H14" s="389">
        <f>AVERAGE(H8:H12)</f>
        <v>61.88181034448646</v>
      </c>
      <c r="I14" s="391" t="s">
        <v>320</v>
      </c>
      <c r="J14" s="388">
        <f>+H14/$H$6-1</f>
        <v>4.8844243126889175E-2</v>
      </c>
      <c r="V14" s="63" t="s">
        <v>10</v>
      </c>
      <c r="X14" s="290">
        <f>+X13+X12</f>
        <v>350000</v>
      </c>
      <c r="Y14" s="280">
        <f>+Y13+Y12</f>
        <v>1006000</v>
      </c>
      <c r="Z14" s="280">
        <f t="shared" ref="Z14:AB14" si="7">+Z13+Z12</f>
        <v>951000</v>
      </c>
      <c r="AA14" s="280">
        <f t="shared" si="7"/>
        <v>573000</v>
      </c>
      <c r="AB14" s="280">
        <f t="shared" si="7"/>
        <v>289000</v>
      </c>
    </row>
    <row r="15" spans="1:28" ht="14.7" thickBot="1">
      <c r="A15" s="392"/>
      <c r="B15" s="43"/>
      <c r="C15" s="43"/>
      <c r="D15" s="43"/>
      <c r="E15" s="43"/>
      <c r="F15" s="43"/>
      <c r="G15" s="43"/>
      <c r="H15" s="43"/>
      <c r="I15" s="43"/>
      <c r="J15" s="349"/>
      <c r="K15" s="349"/>
      <c r="V15" s="63" t="s">
        <v>295</v>
      </c>
      <c r="X15" s="296">
        <f>+'Historical Analysis'!C15</f>
        <v>72000</v>
      </c>
      <c r="Y15" s="276">
        <f>+'Historical Analysis'!D15</f>
        <v>240000</v>
      </c>
      <c r="Z15" s="276">
        <f>+'Historical Analysis'!E15</f>
        <v>182000</v>
      </c>
      <c r="AA15" s="276">
        <f>+'Historical Analysis'!F15</f>
        <v>323000</v>
      </c>
      <c r="AB15" s="276">
        <f>+'Historical Analysis'!G15</f>
        <v>85000</v>
      </c>
    </row>
    <row r="16" spans="1:28" ht="14.7" thickBot="1">
      <c r="V16" s="63" t="s">
        <v>12</v>
      </c>
      <c r="X16" s="291">
        <f>+X14-X15</f>
        <v>278000</v>
      </c>
      <c r="Y16" s="68">
        <f>+Y14-Y15</f>
        <v>766000</v>
      </c>
      <c r="Z16" s="68">
        <f t="shared" ref="Z16:AB16" si="8">+Z14-Z15</f>
        <v>769000</v>
      </c>
      <c r="AA16" s="68">
        <f t="shared" si="8"/>
        <v>250000</v>
      </c>
      <c r="AB16" s="68">
        <f t="shared" si="8"/>
        <v>204000</v>
      </c>
    </row>
    <row r="17" spans="1:28" ht="15.7" thickTop="1">
      <c r="A17" s="80" t="s">
        <v>108</v>
      </c>
      <c r="B17" s="81"/>
      <c r="C17" s="82"/>
      <c r="D17" s="82"/>
      <c r="E17" s="82"/>
      <c r="F17" s="82"/>
      <c r="G17" s="82"/>
      <c r="H17" s="82"/>
      <c r="I17" s="82"/>
      <c r="V17" s="63" t="s">
        <v>118</v>
      </c>
      <c r="X17" s="64">
        <v>103329.27324401138</v>
      </c>
    </row>
    <row r="18" spans="1:28" ht="14.7" customHeight="1">
      <c r="V18" s="63" t="s">
        <v>119</v>
      </c>
      <c r="X18" s="83">
        <f>+X16/X17</f>
        <v>2.6904282907662083</v>
      </c>
      <c r="Y18" s="72"/>
      <c r="Z18" s="72"/>
      <c r="AA18" s="72"/>
      <c r="AB18" s="72"/>
    </row>
    <row r="19" spans="1:28" ht="16.45" customHeight="1">
      <c r="A19" t="s">
        <v>121</v>
      </c>
      <c r="C19" s="84" t="s">
        <v>122</v>
      </c>
      <c r="D19" s="84" t="s">
        <v>123</v>
      </c>
      <c r="E19" s="84" t="s">
        <v>124</v>
      </c>
      <c r="F19" s="84" t="s">
        <v>125</v>
      </c>
      <c r="G19" s="84" t="s">
        <v>126</v>
      </c>
      <c r="H19" s="85" t="s">
        <v>127</v>
      </c>
      <c r="V19" s="63" t="s">
        <v>120</v>
      </c>
      <c r="X19" s="72">
        <f>+X11+X39</f>
        <v>451000</v>
      </c>
      <c r="Y19" s="297">
        <v>550000</v>
      </c>
      <c r="Z19" s="72">
        <f>+Z11+Z39</f>
        <v>403000</v>
      </c>
      <c r="AA19" s="72">
        <f>+AA11+AA39</f>
        <v>446000</v>
      </c>
      <c r="AB19" s="72">
        <f>+AB11+AB39</f>
        <v>418000</v>
      </c>
    </row>
    <row r="20" spans="1:28" ht="14.7" thickBot="1">
      <c r="C20" s="48"/>
      <c r="D20" s="48"/>
      <c r="E20" s="48"/>
      <c r="F20" s="48"/>
      <c r="G20" s="48"/>
      <c r="H20" s="86"/>
      <c r="V20" s="54" t="s">
        <v>128</v>
      </c>
      <c r="W20" s="54"/>
      <c r="X20" s="55" t="s">
        <v>100</v>
      </c>
      <c r="Y20" s="56"/>
      <c r="Z20" s="56"/>
      <c r="AA20" s="56"/>
      <c r="AB20" s="56"/>
    </row>
    <row r="21" spans="1:28" ht="39" thickBot="1">
      <c r="A21" s="87" t="s">
        <v>129</v>
      </c>
      <c r="B21" s="88" t="s">
        <v>130</v>
      </c>
      <c r="C21" s="89" t="s">
        <v>131</v>
      </c>
      <c r="D21" s="89" t="s">
        <v>132</v>
      </c>
      <c r="E21" s="89" t="s">
        <v>133</v>
      </c>
      <c r="F21" s="90" t="s">
        <v>134</v>
      </c>
      <c r="G21" s="91" t="s">
        <v>135</v>
      </c>
      <c r="H21" s="92" t="s">
        <v>136</v>
      </c>
      <c r="V21" s="60" t="s">
        <v>107</v>
      </c>
      <c r="W21" s="60"/>
      <c r="X21" s="61">
        <f>+X5</f>
        <v>44012</v>
      </c>
      <c r="Y21" s="62">
        <v>43830</v>
      </c>
      <c r="Z21" s="62">
        <v>43465</v>
      </c>
      <c r="AA21" s="62">
        <v>43100</v>
      </c>
      <c r="AB21" s="62">
        <v>42735</v>
      </c>
    </row>
    <row r="22" spans="1:28" ht="20" hidden="1" customHeight="1">
      <c r="A22" s="93" t="s">
        <v>137</v>
      </c>
      <c r="B22" s="94" t="s">
        <v>138</v>
      </c>
      <c r="C22" s="95">
        <v>64.37</v>
      </c>
      <c r="D22" s="96">
        <v>32.695999999999998</v>
      </c>
      <c r="E22" s="97">
        <v>2104.6415200000001</v>
      </c>
      <c r="F22" s="98">
        <v>328.71</v>
      </c>
      <c r="G22" s="99"/>
      <c r="H22" s="100">
        <v>2433.3515200000002</v>
      </c>
      <c r="X22" s="101"/>
    </row>
    <row r="23" spans="1:28" ht="30" hidden="1" customHeight="1">
      <c r="A23" s="102" t="s">
        <v>139</v>
      </c>
      <c r="B23" s="103" t="s">
        <v>140</v>
      </c>
      <c r="C23" s="104">
        <v>30.76</v>
      </c>
      <c r="D23" s="105">
        <v>74.518000000000001</v>
      </c>
      <c r="E23" s="97">
        <v>2292.1736800000003</v>
      </c>
      <c r="F23" s="106">
        <v>402.1</v>
      </c>
      <c r="G23" s="107"/>
      <c r="H23" s="108">
        <v>2694.2736800000002</v>
      </c>
      <c r="X23" s="101"/>
    </row>
    <row r="24" spans="1:28" ht="15.75" hidden="1" customHeight="1">
      <c r="A24" s="102" t="s">
        <v>141</v>
      </c>
      <c r="B24" s="103" t="s">
        <v>142</v>
      </c>
      <c r="C24" s="104">
        <v>24.35</v>
      </c>
      <c r="D24" s="105">
        <v>380.96499999999997</v>
      </c>
      <c r="E24" s="97">
        <v>9276.4977500000005</v>
      </c>
      <c r="F24" s="106">
        <v>3647</v>
      </c>
      <c r="G24" s="107"/>
      <c r="H24" s="108">
        <v>12923.49775</v>
      </c>
      <c r="X24" s="101"/>
    </row>
    <row r="25" spans="1:28" ht="30" hidden="1" customHeight="1">
      <c r="A25" s="102" t="s">
        <v>143</v>
      </c>
      <c r="B25" s="103" t="s">
        <v>144</v>
      </c>
      <c r="C25" s="104">
        <v>23.6</v>
      </c>
      <c r="D25" s="105">
        <v>5.2530000000000001</v>
      </c>
      <c r="E25" s="97">
        <v>123.97080000000001</v>
      </c>
      <c r="F25" s="106">
        <v>765.2</v>
      </c>
      <c r="G25" s="107"/>
      <c r="H25" s="108">
        <v>889.1708000000001</v>
      </c>
      <c r="X25" s="101"/>
    </row>
    <row r="26" spans="1:28" ht="20" hidden="1" customHeight="1">
      <c r="A26" s="102" t="s">
        <v>145</v>
      </c>
      <c r="B26" s="103" t="s">
        <v>146</v>
      </c>
      <c r="C26" s="104">
        <v>8.52</v>
      </c>
      <c r="D26" s="105">
        <v>201.8</v>
      </c>
      <c r="E26" s="97">
        <v>1719.336</v>
      </c>
      <c r="F26" s="106">
        <v>925.61</v>
      </c>
      <c r="G26" s="107"/>
      <c r="H26" s="108">
        <v>2644.9459999999999</v>
      </c>
      <c r="X26" s="101"/>
    </row>
    <row r="27" spans="1:28" ht="20" hidden="1" customHeight="1">
      <c r="A27" s="102" t="s">
        <v>147</v>
      </c>
      <c r="B27" s="104" t="s">
        <v>148</v>
      </c>
      <c r="C27" s="104">
        <v>19.920000000000002</v>
      </c>
      <c r="D27" s="105">
        <v>21.282</v>
      </c>
      <c r="E27" s="97">
        <v>423.93744000000004</v>
      </c>
      <c r="F27" s="106">
        <v>198.43</v>
      </c>
      <c r="G27" s="107"/>
      <c r="H27" s="108">
        <v>622.36743999999999</v>
      </c>
      <c r="X27" s="101"/>
    </row>
    <row r="28" spans="1:28" ht="20" hidden="1" customHeight="1">
      <c r="A28" s="102" t="s">
        <v>149</v>
      </c>
      <c r="B28" s="104" t="s">
        <v>150</v>
      </c>
      <c r="C28" s="104">
        <v>67.510000000000005</v>
      </c>
      <c r="D28" s="105">
        <v>216.71100000000001</v>
      </c>
      <c r="E28" s="97">
        <v>14630.159610000002</v>
      </c>
      <c r="F28" s="106">
        <v>1325</v>
      </c>
      <c r="G28" s="107"/>
      <c r="H28" s="108">
        <v>15955.159610000002</v>
      </c>
      <c r="X28" s="101"/>
    </row>
    <row r="29" spans="1:28" ht="20" hidden="1" customHeight="1">
      <c r="A29" s="102" t="s">
        <v>151</v>
      </c>
      <c r="B29" s="109" t="s">
        <v>152</v>
      </c>
      <c r="C29" s="104">
        <v>28.92</v>
      </c>
      <c r="D29" s="105">
        <v>31.791</v>
      </c>
      <c r="E29" s="97">
        <v>919.3957200000001</v>
      </c>
      <c r="F29" s="106">
        <v>626.63</v>
      </c>
      <c r="G29" s="107"/>
      <c r="H29" s="108">
        <v>1546.0257200000001</v>
      </c>
      <c r="X29" s="101"/>
    </row>
    <row r="30" spans="1:28" ht="15.75" customHeight="1">
      <c r="A30" s="102" t="s">
        <v>153</v>
      </c>
      <c r="B30" s="110" t="s">
        <v>154</v>
      </c>
      <c r="C30" s="110">
        <f>+H6</f>
        <v>59</v>
      </c>
      <c r="D30" s="111">
        <f>+G6</f>
        <v>103329</v>
      </c>
      <c r="E30" s="112">
        <f>+D30*C30</f>
        <v>6096411</v>
      </c>
      <c r="F30" s="113">
        <f>+D6</f>
        <v>1521000</v>
      </c>
      <c r="G30" s="113">
        <f>+E6</f>
        <v>1438000</v>
      </c>
      <c r="H30" s="114">
        <f>+E30+F30-G30</f>
        <v>6179411</v>
      </c>
      <c r="V30" t="s">
        <v>155</v>
      </c>
      <c r="X30" s="115">
        <f>+'Historical Analysis'!C23</f>
        <v>1438000</v>
      </c>
      <c r="Y30" s="71">
        <f>+'Historical Analysis'!D23</f>
        <v>929000</v>
      </c>
      <c r="Z30" s="71">
        <f>+'Historical Analysis'!E23</f>
        <v>570000</v>
      </c>
      <c r="AA30" s="71">
        <f>+'Historical Analysis'!F23</f>
        <v>503000</v>
      </c>
      <c r="AB30" s="71">
        <f>+'Historical Analysis'!G23</f>
        <v>482000</v>
      </c>
    </row>
    <row r="31" spans="1:28" ht="14.7" thickBot="1">
      <c r="V31" s="116" t="s">
        <v>30</v>
      </c>
      <c r="W31" s="289"/>
      <c r="X31" s="117">
        <f>+'Historical Analysis'!C39</f>
        <v>8580000</v>
      </c>
      <c r="Y31" s="118">
        <f>+'Historical Analysis'!D39</f>
        <v>8417000</v>
      </c>
      <c r="Z31" s="118">
        <f>+'Historical Analysis'!E39</f>
        <v>7643000</v>
      </c>
      <c r="AA31" s="118">
        <f>+'Historical Analysis'!F39</f>
        <v>7672000</v>
      </c>
      <c r="AB31" s="118">
        <f>+'Historical Analysis'!G39</f>
        <v>7749999</v>
      </c>
    </row>
    <row r="32" spans="1:28" ht="15.7" thickTop="1">
      <c r="A32" s="80" t="s">
        <v>110</v>
      </c>
      <c r="B32" s="82"/>
      <c r="C32" s="82"/>
      <c r="D32" s="82"/>
      <c r="E32" s="82"/>
      <c r="F32" s="82"/>
      <c r="G32" s="82"/>
      <c r="H32" s="119"/>
      <c r="I32" s="119"/>
      <c r="V32" t="s">
        <v>156</v>
      </c>
      <c r="X32" s="115">
        <f>+'Historical Analysis'!C34</f>
        <v>1772000</v>
      </c>
      <c r="Y32" s="71">
        <f>+'Historical Analysis'!D34</f>
        <v>1784000</v>
      </c>
      <c r="Z32" s="71">
        <f>+'Historical Analysis'!E34</f>
        <v>1513000</v>
      </c>
      <c r="AA32" s="71">
        <f>+'Historical Analysis'!F34</f>
        <v>883000</v>
      </c>
      <c r="AB32" s="71">
        <f>+'Historical Analysis'!G34</f>
        <v>787999</v>
      </c>
    </row>
    <row r="33" spans="1:29" ht="15.35">
      <c r="A33" s="120"/>
      <c r="H33" s="76"/>
      <c r="V33" t="s">
        <v>42</v>
      </c>
      <c r="X33" s="115">
        <f>+'Historical Analysis'!C54</f>
        <v>2609000</v>
      </c>
      <c r="Y33" s="71">
        <f>+'Historical Analysis'!D54</f>
        <v>2724000</v>
      </c>
      <c r="Z33" s="71">
        <f>+'Historical Analysis'!E54</f>
        <v>2716000</v>
      </c>
      <c r="AA33" s="71">
        <f>+'Historical Analysis'!F54</f>
        <v>3514000</v>
      </c>
      <c r="AB33" s="71">
        <f>+'Historical Analysis'!G54</f>
        <v>3841999</v>
      </c>
    </row>
    <row r="34" spans="1:29" ht="16.5" customHeight="1">
      <c r="A34" s="121" t="s">
        <v>157</v>
      </c>
      <c r="B34" s="1"/>
      <c r="D34" s="121" t="s">
        <v>158</v>
      </c>
      <c r="E34" s="1"/>
      <c r="V34" t="s">
        <v>44</v>
      </c>
      <c r="X34" s="115">
        <f>+X31-X33</f>
        <v>5971000</v>
      </c>
      <c r="Y34" s="71">
        <f t="shared" ref="Y34:AB34" si="9">+Y31-Y33</f>
        <v>5693000</v>
      </c>
      <c r="Z34" s="71">
        <f t="shared" si="9"/>
        <v>4927000</v>
      </c>
      <c r="AA34" s="71">
        <f t="shared" si="9"/>
        <v>4158000</v>
      </c>
      <c r="AB34" s="71">
        <f t="shared" si="9"/>
        <v>3908000</v>
      </c>
    </row>
    <row r="35" spans="1:29" ht="16.5" customHeight="1">
      <c r="A35" s="1" t="s">
        <v>159</v>
      </c>
      <c r="B35" s="122">
        <v>0.01</v>
      </c>
      <c r="D35" s="1" t="s">
        <v>160</v>
      </c>
      <c r="E35" s="359">
        <v>1.25</v>
      </c>
      <c r="X35" s="71"/>
      <c r="Y35" s="71"/>
      <c r="Z35" s="71"/>
      <c r="AA35" s="71"/>
      <c r="AB35" s="71"/>
    </row>
    <row r="36" spans="1:29" ht="16.5" customHeight="1">
      <c r="A36" s="1" t="s">
        <v>161</v>
      </c>
      <c r="B36" s="358">
        <v>1.41</v>
      </c>
      <c r="D36" s="1" t="s">
        <v>162</v>
      </c>
      <c r="E36" s="359">
        <v>1.64</v>
      </c>
      <c r="F36" s="123" t="s">
        <v>163</v>
      </c>
      <c r="V36" s="54" t="s">
        <v>164</v>
      </c>
      <c r="W36" s="54"/>
      <c r="X36" s="55" t="s">
        <v>100</v>
      </c>
      <c r="Y36" s="56"/>
      <c r="Z36" s="56"/>
      <c r="AA36" s="56"/>
      <c r="AB36" s="56"/>
    </row>
    <row r="37" spans="1:29" ht="16.5" customHeight="1" thickBot="1">
      <c r="A37" s="1" t="s">
        <v>165</v>
      </c>
      <c r="B37" s="395">
        <v>8.5000000000000006E-2</v>
      </c>
      <c r="D37" s="1" t="s">
        <v>166</v>
      </c>
      <c r="E37" s="359">
        <v>70</v>
      </c>
      <c r="F37" s="123" t="s">
        <v>167</v>
      </c>
      <c r="V37" s="60" t="s">
        <v>107</v>
      </c>
      <c r="W37" s="60"/>
      <c r="X37" s="61">
        <f>+X21</f>
        <v>44012</v>
      </c>
      <c r="Y37" s="62">
        <v>43830</v>
      </c>
      <c r="Z37" s="62">
        <v>43465</v>
      </c>
      <c r="AA37" s="62">
        <v>43100</v>
      </c>
      <c r="AB37" s="62">
        <v>42735</v>
      </c>
    </row>
    <row r="38" spans="1:29" ht="16.5" customHeight="1">
      <c r="A38" s="1" t="s">
        <v>168</v>
      </c>
      <c r="B38" s="124">
        <f>+B37+B35</f>
        <v>9.5000000000000001E-2</v>
      </c>
      <c r="D38" s="1" t="s">
        <v>169</v>
      </c>
      <c r="E38" s="122">
        <f>+B39</f>
        <v>0.12984999999999999</v>
      </c>
      <c r="V38" s="63" t="s">
        <v>170</v>
      </c>
      <c r="X38" s="288">
        <v>-358000</v>
      </c>
      <c r="Y38" s="71">
        <v>-369000</v>
      </c>
      <c r="Z38" s="71">
        <v>-297000</v>
      </c>
      <c r="AA38" s="71">
        <v>-298000</v>
      </c>
      <c r="AB38" s="71">
        <v>-211000</v>
      </c>
    </row>
    <row r="39" spans="1:29" ht="16.5" customHeight="1">
      <c r="A39" s="125" t="s">
        <v>171</v>
      </c>
      <c r="B39" s="126">
        <f>+B35+B36*B37</f>
        <v>0.12984999999999999</v>
      </c>
      <c r="D39" s="127" t="s">
        <v>172</v>
      </c>
      <c r="E39" s="128">
        <f>+(E37+E35)/(1+(E38))</f>
        <v>63.061468336504845</v>
      </c>
      <c r="F39" s="123"/>
      <c r="V39" s="63" t="s">
        <v>173</v>
      </c>
      <c r="X39" s="288">
        <v>363000</v>
      </c>
      <c r="Y39" s="71">
        <v>364000</v>
      </c>
      <c r="Z39" s="71">
        <v>327000</v>
      </c>
      <c r="AA39" s="71">
        <v>366000</v>
      </c>
      <c r="AB39" s="71">
        <v>342000</v>
      </c>
    </row>
    <row r="40" spans="1:29" ht="16.5" customHeight="1">
      <c r="A40" s="48"/>
      <c r="B40" s="48"/>
    </row>
    <row r="41" spans="1:29" ht="15.35">
      <c r="A41" s="80" t="s">
        <v>112</v>
      </c>
      <c r="B41" s="82"/>
      <c r="C41" s="82"/>
      <c r="D41" s="82"/>
      <c r="E41" s="82"/>
      <c r="F41" s="82"/>
      <c r="G41" s="82"/>
      <c r="H41" s="119"/>
      <c r="I41" s="119"/>
      <c r="V41" s="54" t="s">
        <v>174</v>
      </c>
      <c r="W41" s="54"/>
      <c r="X41" s="55" t="s">
        <v>100</v>
      </c>
      <c r="Y41" s="56"/>
      <c r="Z41" s="56"/>
      <c r="AA41" s="56"/>
      <c r="AB41" s="56"/>
      <c r="AC41" s="54" t="s">
        <v>175</v>
      </c>
    </row>
    <row r="42" spans="1:29" ht="14.7" thickBot="1">
      <c r="V42" s="60" t="s">
        <v>107</v>
      </c>
      <c r="W42" s="60"/>
      <c r="X42" s="61">
        <f>+X21</f>
        <v>44012</v>
      </c>
      <c r="Y42" s="62">
        <v>43830</v>
      </c>
      <c r="Z42" s="62">
        <v>43465</v>
      </c>
      <c r="AA42" s="62">
        <v>43100</v>
      </c>
      <c r="AB42" s="62">
        <v>42735</v>
      </c>
      <c r="AC42" s="62"/>
    </row>
    <row r="43" spans="1:29">
      <c r="A43" s="121" t="s">
        <v>176</v>
      </c>
      <c r="B43" s="1"/>
      <c r="D43" s="121" t="s">
        <v>177</v>
      </c>
      <c r="E43" s="1"/>
      <c r="V43" s="63" t="s">
        <v>178</v>
      </c>
      <c r="X43" s="129">
        <f>+X6/Y6-1</f>
        <v>-0.25961919873066241</v>
      </c>
      <c r="Y43" s="129">
        <f t="shared" ref="Y43:AA43" si="10">+Y6/Z6-1</f>
        <v>0.12695574430040235</v>
      </c>
      <c r="Z43" s="129">
        <f t="shared" si="10"/>
        <v>-4.5037353255069412E-2</v>
      </c>
      <c r="AA43" s="129">
        <f t="shared" si="10"/>
        <v>5.7800857981485709E-2</v>
      </c>
      <c r="AC43" s="124">
        <f>AVERAGE(X43:AB43)</f>
        <v>-2.9974987425960942E-2</v>
      </c>
    </row>
    <row r="44" spans="1:29">
      <c r="A44" s="1" t="s">
        <v>179</v>
      </c>
      <c r="B44" s="130">
        <f>+F44</f>
        <v>1.25</v>
      </c>
      <c r="D44" s="1" t="s">
        <v>180</v>
      </c>
      <c r="F44" s="131">
        <f>+E35</f>
        <v>1.25</v>
      </c>
      <c r="G44" s="132" t="s">
        <v>181</v>
      </c>
      <c r="V44" s="63" t="s">
        <v>182</v>
      </c>
      <c r="X44" s="129">
        <f>+X7/X6</f>
        <v>0.86659523171711761</v>
      </c>
      <c r="Y44" s="129">
        <f t="shared" ref="Y44:AB44" si="11">+Y7/Y6</f>
        <v>0.8129710432368108</v>
      </c>
      <c r="Z44" s="129">
        <f t="shared" si="11"/>
        <v>0.78118015198927138</v>
      </c>
      <c r="AA44" s="129">
        <f t="shared" si="11"/>
        <v>0.77652081109925297</v>
      </c>
      <c r="AB44" s="129">
        <f t="shared" si="11"/>
        <v>0.78414992097538949</v>
      </c>
      <c r="AC44" s="124">
        <f>AVERAGE(X44:AB44)</f>
        <v>0.80428343180356843</v>
      </c>
    </row>
    <row r="45" spans="1:29">
      <c r="A45" s="1" t="s">
        <v>183</v>
      </c>
      <c r="B45" s="122">
        <f>+B39</f>
        <v>0.12984999999999999</v>
      </c>
      <c r="D45" s="1" t="s">
        <v>184</v>
      </c>
      <c r="F45" s="130">
        <f>+F46+F44</f>
        <v>60.25</v>
      </c>
      <c r="V45" s="63" t="s">
        <v>185</v>
      </c>
      <c r="X45" s="129">
        <f>+X9/X6</f>
        <v>0.17706938119474952</v>
      </c>
      <c r="Y45" s="129">
        <f t="shared" ref="Y45:AB45" si="12">+Y9/Y6</f>
        <v>0.14795715985719951</v>
      </c>
      <c r="Z45" s="129">
        <f t="shared" si="12"/>
        <v>0.14461332141260616</v>
      </c>
      <c r="AA45" s="129">
        <f t="shared" si="12"/>
        <v>0.15901814300960512</v>
      </c>
      <c r="AB45" s="129">
        <f t="shared" si="12"/>
        <v>0.14834048317904719</v>
      </c>
      <c r="AC45" s="124">
        <f>AVERAGE(X45:AB45)</f>
        <v>0.1553996977306415</v>
      </c>
    </row>
    <row r="46" spans="1:29">
      <c r="A46" s="1" t="s">
        <v>186</v>
      </c>
      <c r="B46" s="395">
        <v>0.1</v>
      </c>
      <c r="D46" s="1" t="s">
        <v>187</v>
      </c>
      <c r="F46" s="133">
        <f>+C30</f>
        <v>59</v>
      </c>
      <c r="V46" s="63" t="s">
        <v>188</v>
      </c>
      <c r="X46" s="129">
        <f>+X39/X6</f>
        <v>9.7240825073667297E-2</v>
      </c>
      <c r="Y46" s="129">
        <f t="shared" ref="Y46:AB46" si="13">+Y39/Y6</f>
        <v>7.2193573978579922E-2</v>
      </c>
      <c r="Z46" s="129">
        <f t="shared" si="13"/>
        <v>7.3088958426464012E-2</v>
      </c>
      <c r="AA46" s="129">
        <f t="shared" si="13"/>
        <v>7.8121664887940229E-2</v>
      </c>
      <c r="AB46" s="129">
        <f t="shared" si="13"/>
        <v>7.7218333709640999E-2</v>
      </c>
      <c r="AC46" s="124">
        <f>AVERAGE(X46:AB46)</f>
        <v>7.9572671215258489E-2</v>
      </c>
    </row>
    <row r="47" spans="1:29">
      <c r="A47" s="127" t="s">
        <v>172</v>
      </c>
      <c r="B47" s="128">
        <f>+(B44*(1+B46))/(B45-B46)</f>
        <v>46.063651591289805</v>
      </c>
      <c r="D47" s="76" t="s">
        <v>189</v>
      </c>
      <c r="F47" s="134">
        <f>+(F44+(F45-F46))/F46</f>
        <v>4.2372881355932202E-2</v>
      </c>
      <c r="V47" s="63" t="s">
        <v>190</v>
      </c>
      <c r="X47" s="129">
        <f>-X38/X6</f>
        <v>9.5901419769622284E-2</v>
      </c>
      <c r="Y47" s="129">
        <f t="shared" ref="Y47:AB47" si="14">-Y38/Y6</f>
        <v>7.3185243950813175E-2</v>
      </c>
      <c r="Z47" s="129">
        <f t="shared" si="14"/>
        <v>6.6383549396513183E-2</v>
      </c>
      <c r="AA47" s="129">
        <f t="shared" si="14"/>
        <v>6.3607257203842055E-2</v>
      </c>
      <c r="AB47" s="129">
        <f t="shared" si="14"/>
        <v>4.7640550914427635E-2</v>
      </c>
      <c r="AC47" s="124">
        <f>AVERAGE(X47:AB47)</f>
        <v>6.9343604247043666E-2</v>
      </c>
    </row>
    <row r="48" spans="1:29" ht="18" customHeight="1">
      <c r="A48" s="48"/>
      <c r="B48" s="48"/>
      <c r="X48" s="63"/>
    </row>
    <row r="49" spans="1:14" ht="15.35">
      <c r="A49" s="80" t="s">
        <v>114</v>
      </c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</row>
    <row r="50" spans="1:14" ht="8.25" customHeight="1">
      <c r="A50" s="135"/>
      <c r="L50" s="63"/>
    </row>
    <row r="51" spans="1:14" ht="28.45" customHeight="1">
      <c r="A51" s="76"/>
      <c r="C51" s="84" t="s">
        <v>122</v>
      </c>
      <c r="D51" s="84" t="s">
        <v>123</v>
      </c>
      <c r="E51" s="84" t="s">
        <v>124</v>
      </c>
      <c r="F51" s="84" t="s">
        <v>125</v>
      </c>
      <c r="G51" s="84" t="s">
        <v>126</v>
      </c>
      <c r="H51" s="85" t="s">
        <v>127</v>
      </c>
      <c r="I51" s="84" t="s">
        <v>191</v>
      </c>
      <c r="J51" s="84" t="s">
        <v>192</v>
      </c>
      <c r="K51" s="84" t="s">
        <v>192</v>
      </c>
      <c r="L51" s="63"/>
      <c r="M51" s="393" t="s">
        <v>321</v>
      </c>
    </row>
    <row r="52" spans="1:14" ht="7.5" customHeight="1" thickBot="1">
      <c r="A52" s="76"/>
      <c r="C52" s="48"/>
      <c r="D52" s="48"/>
      <c r="E52" s="48"/>
      <c r="F52" s="48"/>
      <c r="G52" s="48"/>
      <c r="L52" s="63"/>
    </row>
    <row r="53" spans="1:14" ht="43.35" thickBot="1">
      <c r="A53" s="87" t="s">
        <v>129</v>
      </c>
      <c r="B53" s="88" t="s">
        <v>130</v>
      </c>
      <c r="C53" s="136" t="s">
        <v>193</v>
      </c>
      <c r="D53" s="89" t="s">
        <v>132</v>
      </c>
      <c r="E53" s="89" t="s">
        <v>194</v>
      </c>
      <c r="F53" s="90" t="s">
        <v>134</v>
      </c>
      <c r="G53" s="91" t="s">
        <v>135</v>
      </c>
      <c r="H53" s="92" t="s">
        <v>136</v>
      </c>
      <c r="I53" s="90" t="s">
        <v>195</v>
      </c>
      <c r="J53" s="92" t="s">
        <v>196</v>
      </c>
      <c r="K53" s="91" t="s">
        <v>197</v>
      </c>
      <c r="L53" s="63"/>
      <c r="M53" s="367" t="s">
        <v>314</v>
      </c>
    </row>
    <row r="54" spans="1:14" ht="15.6" customHeight="1">
      <c r="A54" s="93" t="s">
        <v>137</v>
      </c>
      <c r="B54" s="137" t="s">
        <v>138</v>
      </c>
      <c r="C54" s="138">
        <v>91.67</v>
      </c>
      <c r="D54" s="139">
        <v>55360</v>
      </c>
      <c r="E54" s="140">
        <f t="shared" ref="E54:E60" si="15">+D54*C54</f>
        <v>5074851.2</v>
      </c>
      <c r="F54" s="141">
        <v>1260000</v>
      </c>
      <c r="G54" s="142">
        <v>314140</v>
      </c>
      <c r="H54" s="143">
        <f t="shared" ref="H54:H60" si="16">+E54+F54-G54</f>
        <v>6020711.2000000002</v>
      </c>
      <c r="I54" s="141">
        <v>264220</v>
      </c>
      <c r="J54" s="144">
        <f>+H54/I54</f>
        <v>22.786735296343956</v>
      </c>
      <c r="K54" s="145">
        <v>1.35</v>
      </c>
      <c r="L54" s="63"/>
      <c r="M54" s="368">
        <v>-0.52200000000000002</v>
      </c>
    </row>
    <row r="55" spans="1:14" ht="15.6" customHeight="1">
      <c r="A55" s="93" t="s">
        <v>198</v>
      </c>
      <c r="B55" s="137" t="s">
        <v>142</v>
      </c>
      <c r="C55" s="138">
        <v>92.54</v>
      </c>
      <c r="D55" s="139">
        <v>277260</v>
      </c>
      <c r="E55" s="140">
        <f t="shared" si="15"/>
        <v>25657640.400000002</v>
      </c>
      <c r="F55" s="141">
        <v>11670000</v>
      </c>
      <c r="G55" s="142">
        <v>3500000</v>
      </c>
      <c r="H55" s="143">
        <f t="shared" si="16"/>
        <v>33827640.400000006</v>
      </c>
      <c r="I55" s="141">
        <v>1060000</v>
      </c>
      <c r="J55" s="144">
        <f>+H55/I55</f>
        <v>31.9128683018868</v>
      </c>
      <c r="K55" s="145">
        <v>1.3</v>
      </c>
      <c r="L55" s="63"/>
      <c r="M55" s="368">
        <v>-0.82499999999999996</v>
      </c>
    </row>
    <row r="56" spans="1:14" ht="15.6" customHeight="1">
      <c r="A56" s="102" t="s">
        <v>199</v>
      </c>
      <c r="B56" s="146" t="s">
        <v>200</v>
      </c>
      <c r="C56" s="147">
        <v>55.72</v>
      </c>
      <c r="D56" s="148">
        <v>182660</v>
      </c>
      <c r="E56" s="140">
        <f t="shared" si="15"/>
        <v>10177815.199999999</v>
      </c>
      <c r="F56" s="149">
        <v>3230000</v>
      </c>
      <c r="G56" s="150">
        <v>689000</v>
      </c>
      <c r="H56" s="143">
        <f t="shared" si="16"/>
        <v>12718815.199999999</v>
      </c>
      <c r="I56" s="149">
        <v>437000</v>
      </c>
      <c r="J56" s="144">
        <f>+H56/I56</f>
        <v>29.104840274599539</v>
      </c>
      <c r="K56" s="151">
        <v>0.93</v>
      </c>
      <c r="L56" s="63"/>
      <c r="M56" s="368">
        <v>-0.48299999999999998</v>
      </c>
    </row>
    <row r="57" spans="1:14" ht="15.6" customHeight="1">
      <c r="A57" s="102" t="s">
        <v>147</v>
      </c>
      <c r="B57" s="152" t="s">
        <v>148</v>
      </c>
      <c r="C57" s="147">
        <v>7.59</v>
      </c>
      <c r="D57" s="148">
        <v>23130</v>
      </c>
      <c r="E57" s="140">
        <f t="shared" si="15"/>
        <v>175556.69999999998</v>
      </c>
      <c r="F57" s="149">
        <v>629040</v>
      </c>
      <c r="G57" s="150">
        <v>80080</v>
      </c>
      <c r="H57" s="143">
        <f t="shared" si="16"/>
        <v>724516.7</v>
      </c>
      <c r="I57" s="149">
        <v>44910</v>
      </c>
      <c r="J57" s="144">
        <f>+H57/I57</f>
        <v>16.132636383878868</v>
      </c>
      <c r="K57" s="151">
        <v>1.5</v>
      </c>
      <c r="L57" s="63"/>
      <c r="M57" s="368">
        <v>-0.97299999999999998</v>
      </c>
    </row>
    <row r="58" spans="1:14" ht="15.6" customHeight="1">
      <c r="A58" s="102" t="s">
        <v>149</v>
      </c>
      <c r="B58" s="152" t="s">
        <v>150</v>
      </c>
      <c r="C58" s="147">
        <v>100.31</v>
      </c>
      <c r="D58" s="148">
        <v>324320</v>
      </c>
      <c r="E58" s="140">
        <f t="shared" si="15"/>
        <v>32532539.199999999</v>
      </c>
      <c r="F58" s="149">
        <v>12770000</v>
      </c>
      <c r="G58" s="150">
        <v>2280000</v>
      </c>
      <c r="H58" s="143">
        <f t="shared" si="16"/>
        <v>43022539.200000003</v>
      </c>
      <c r="I58" s="149">
        <v>1600000</v>
      </c>
      <c r="J58" s="144">
        <f>+H58/I58</f>
        <v>26.889087000000004</v>
      </c>
      <c r="K58" s="151">
        <v>1.7</v>
      </c>
      <c r="L58" s="63"/>
      <c r="M58" s="368">
        <v>-0.81299999999999994</v>
      </c>
    </row>
    <row r="59" spans="1:14" ht="15.6" customHeight="1">
      <c r="A59" s="102" t="s">
        <v>201</v>
      </c>
      <c r="B59" s="152" t="s">
        <v>202</v>
      </c>
      <c r="C59" s="147">
        <v>11.08</v>
      </c>
      <c r="D59" s="148">
        <v>235590</v>
      </c>
      <c r="E59" s="140">
        <f t="shared" si="15"/>
        <v>2610337.2000000002</v>
      </c>
      <c r="F59" s="149">
        <v>5370000</v>
      </c>
      <c r="G59" s="150">
        <v>1270000</v>
      </c>
      <c r="H59" s="143">
        <f t="shared" si="16"/>
        <v>6710337.2000000002</v>
      </c>
      <c r="I59" s="149">
        <v>282000</v>
      </c>
      <c r="J59" s="144">
        <f>+H59/I59</f>
        <v>23.795521985815604</v>
      </c>
      <c r="K59" s="151">
        <v>1.9</v>
      </c>
      <c r="L59" s="63"/>
      <c r="M59" s="368">
        <v>-0.95199999999999996</v>
      </c>
    </row>
    <row r="60" spans="1:14" ht="15.6" customHeight="1" thickBot="1">
      <c r="A60" s="153" t="s">
        <v>203</v>
      </c>
      <c r="B60" s="154" t="s">
        <v>204</v>
      </c>
      <c r="C60" s="155">
        <v>74.319999999999993</v>
      </c>
      <c r="D60" s="156">
        <v>107850</v>
      </c>
      <c r="E60" s="157">
        <f t="shared" si="15"/>
        <v>8015411.9999999991</v>
      </c>
      <c r="F60" s="158">
        <v>12930000</v>
      </c>
      <c r="G60" s="159">
        <v>3800000</v>
      </c>
      <c r="H60" s="160">
        <f t="shared" si="16"/>
        <v>17145412</v>
      </c>
      <c r="I60" s="158">
        <v>339160</v>
      </c>
      <c r="J60" s="161">
        <f>+H60/I60</f>
        <v>50.552576954829576</v>
      </c>
      <c r="K60" s="162">
        <v>2.34</v>
      </c>
      <c r="L60" s="63"/>
      <c r="M60" s="368">
        <v>-0.94799999999999995</v>
      </c>
    </row>
    <row r="61" spans="1:14" ht="9.4499999999999993" customHeight="1" thickBot="1">
      <c r="K61" s="163"/>
      <c r="L61" s="63"/>
      <c r="M61" s="63"/>
      <c r="N61" s="63"/>
    </row>
    <row r="62" spans="1:14" ht="15.6" customHeight="1" thickBot="1">
      <c r="A62" s="164" t="s">
        <v>153</v>
      </c>
      <c r="B62" s="165" t="s">
        <v>154</v>
      </c>
      <c r="C62" s="166">
        <f>+C30</f>
        <v>59</v>
      </c>
      <c r="D62" s="167">
        <f>+X17</f>
        <v>103329.27324401138</v>
      </c>
      <c r="E62" s="167">
        <f>+D62*C62</f>
        <v>6096427.121396671</v>
      </c>
      <c r="F62" s="168">
        <f>+F30</f>
        <v>1521000</v>
      </c>
      <c r="G62" s="169">
        <f>+G30</f>
        <v>1438000</v>
      </c>
      <c r="H62" s="170">
        <f>+F62+E62-G62</f>
        <v>6179427.121396671</v>
      </c>
      <c r="I62" s="168">
        <f>+'Historical Analysis'!C112</f>
        <v>217000</v>
      </c>
      <c r="J62" s="171">
        <f>+H62/I62</f>
        <v>28.476622679247331</v>
      </c>
      <c r="K62" s="396">
        <f>+B36</f>
        <v>1.41</v>
      </c>
      <c r="L62" s="63"/>
      <c r="M62" s="368">
        <v>-0.94799999999999995</v>
      </c>
    </row>
    <row r="63" spans="1:14">
      <c r="A63" s="76"/>
      <c r="C63" s="71"/>
      <c r="D63" s="71"/>
      <c r="J63" s="172"/>
    </row>
    <row r="64" spans="1:14">
      <c r="A64" s="76" t="s">
        <v>205</v>
      </c>
      <c r="B64" s="72">
        <f>+I62</f>
        <v>217000</v>
      </c>
      <c r="C64" s="173">
        <f>+J64</f>
        <v>28.739180885336332</v>
      </c>
      <c r="D64" s="51" t="s">
        <v>315</v>
      </c>
      <c r="I64" s="76" t="s">
        <v>206</v>
      </c>
      <c r="J64" s="174">
        <f>AVERAGE(J54:J60)</f>
        <v>28.739180885336332</v>
      </c>
      <c r="K64" s="174">
        <f>AVERAGE(K54:K62)</f>
        <v>1.55375</v>
      </c>
      <c r="L64" s="174"/>
    </row>
    <row r="65" spans="1:26" ht="14.7" thickBot="1">
      <c r="A65" s="76"/>
      <c r="E65" s="76"/>
      <c r="F65" s="174"/>
      <c r="G65" s="174"/>
    </row>
    <row r="66" spans="1:26" ht="14.7" thickBot="1">
      <c r="A66" s="175" t="s">
        <v>207</v>
      </c>
      <c r="B66" s="176">
        <f>+B64*C64</f>
        <v>6236402.252117984</v>
      </c>
      <c r="E66" s="76"/>
      <c r="F66" s="174"/>
      <c r="G66" s="174"/>
      <c r="J66" s="177"/>
      <c r="K66" s="177"/>
    </row>
    <row r="68" spans="1:26" ht="15.35">
      <c r="A68" s="178" t="s">
        <v>208</v>
      </c>
      <c r="B68" s="179"/>
      <c r="C68" s="179"/>
      <c r="D68" s="179"/>
      <c r="E68" s="179"/>
      <c r="F68" s="179"/>
      <c r="G68" s="179"/>
      <c r="H68" s="179"/>
      <c r="I68" s="179"/>
      <c r="J68" s="179"/>
      <c r="K68" s="179"/>
    </row>
    <row r="69" spans="1:26" ht="4.5" customHeight="1"/>
    <row r="70" spans="1:26" ht="16.5" customHeight="1">
      <c r="B70" t="s">
        <v>121</v>
      </c>
      <c r="C70" s="84" t="s">
        <v>209</v>
      </c>
      <c r="D70" s="84" t="s">
        <v>123</v>
      </c>
      <c r="E70" s="84" t="s">
        <v>210</v>
      </c>
      <c r="F70" s="84" t="s">
        <v>211</v>
      </c>
      <c r="G70" s="84" t="s">
        <v>212</v>
      </c>
      <c r="H70" s="84" t="s">
        <v>191</v>
      </c>
      <c r="I70" s="84" t="s">
        <v>192</v>
      </c>
      <c r="Y70" s="48"/>
      <c r="Z70" s="48"/>
    </row>
    <row r="71" spans="1:26" ht="11.25" customHeight="1" thickBot="1">
      <c r="C71" s="48"/>
      <c r="D71" s="48"/>
      <c r="E71" s="48"/>
      <c r="F71" s="48"/>
      <c r="G71" s="48"/>
      <c r="H71" s="125"/>
      <c r="I71" s="48"/>
      <c r="Y71" s="48"/>
      <c r="Z71" s="48"/>
    </row>
    <row r="72" spans="1:26" ht="45" customHeight="1" thickBot="1">
      <c r="A72" s="180" t="s">
        <v>213</v>
      </c>
      <c r="B72" s="303" t="s">
        <v>214</v>
      </c>
      <c r="C72" s="304"/>
      <c r="D72" s="181" t="s">
        <v>215</v>
      </c>
      <c r="E72" s="182" t="s">
        <v>118</v>
      </c>
      <c r="F72" s="182" t="s">
        <v>216</v>
      </c>
      <c r="G72" s="182" t="s">
        <v>217</v>
      </c>
      <c r="H72" s="182" t="s">
        <v>218</v>
      </c>
      <c r="I72" s="182" t="s">
        <v>219</v>
      </c>
      <c r="J72" s="183" t="s">
        <v>196</v>
      </c>
    </row>
    <row r="73" spans="1:26" s="177" customFormat="1" ht="14.45" customHeight="1">
      <c r="A73" s="184" t="s">
        <v>141</v>
      </c>
      <c r="B73" s="305" t="s">
        <v>220</v>
      </c>
      <c r="C73" s="306"/>
      <c r="D73" s="185">
        <v>47.5</v>
      </c>
      <c r="E73" s="186">
        <v>390400000</v>
      </c>
      <c r="F73" s="187">
        <f>+E73*D73/1000000</f>
        <v>18544</v>
      </c>
      <c r="G73" s="188">
        <v>6180</v>
      </c>
      <c r="H73" s="187">
        <f>+F73+G73</f>
        <v>24724</v>
      </c>
      <c r="I73" s="187">
        <v>1680</v>
      </c>
      <c r="J73" s="189">
        <f>+H73/I73</f>
        <v>14.716666666666667</v>
      </c>
      <c r="K73"/>
      <c r="M73" s="48"/>
      <c r="N73"/>
      <c r="O73"/>
      <c r="P73"/>
      <c r="Q73"/>
      <c r="R73"/>
      <c r="S73"/>
      <c r="T73"/>
    </row>
    <row r="74" spans="1:26" s="177" customFormat="1" ht="14.45" customHeight="1">
      <c r="A74" s="184" t="s">
        <v>221</v>
      </c>
      <c r="B74" s="302" t="s">
        <v>222</v>
      </c>
      <c r="C74" s="299"/>
      <c r="D74" s="185">
        <v>82</v>
      </c>
      <c r="E74" s="186">
        <v>33078000</v>
      </c>
      <c r="F74" s="187">
        <f>+E74*D74/1000000</f>
        <v>2712.3960000000002</v>
      </c>
      <c r="G74" s="188">
        <f>273.825+4.853</f>
        <v>278.678</v>
      </c>
      <c r="H74" s="187">
        <f t="shared" ref="H74:H80" si="17">+F74+G74</f>
        <v>2991.0740000000001</v>
      </c>
      <c r="I74" s="187">
        <f>+H74/31.9</f>
        <v>93.764075235109729</v>
      </c>
      <c r="J74" s="189">
        <f>+H74/I74</f>
        <v>31.9</v>
      </c>
      <c r="K74"/>
      <c r="M74" s="48"/>
      <c r="N74"/>
      <c r="O74"/>
      <c r="P74"/>
      <c r="Q74"/>
      <c r="R74"/>
      <c r="S74"/>
      <c r="T74"/>
    </row>
    <row r="75" spans="1:26" s="177" customFormat="1" ht="14.45" customHeight="1">
      <c r="A75" s="190" t="s">
        <v>223</v>
      </c>
      <c r="B75" s="298" t="s">
        <v>222</v>
      </c>
      <c r="C75" s="299"/>
      <c r="D75" s="95">
        <v>45</v>
      </c>
      <c r="E75" s="140">
        <v>73335000</v>
      </c>
      <c r="F75" s="187">
        <f>+E75*D75/1000000</f>
        <v>3300.0749999999998</v>
      </c>
      <c r="G75" s="191">
        <v>123.5</v>
      </c>
      <c r="H75" s="187">
        <f t="shared" si="17"/>
        <v>3423.5749999999998</v>
      </c>
      <c r="I75" s="192">
        <v>187.2</v>
      </c>
      <c r="J75" s="193">
        <f>+H75/I75</f>
        <v>18.288327991452991</v>
      </c>
      <c r="K75"/>
      <c r="M75" s="48"/>
      <c r="N75"/>
      <c r="O75"/>
      <c r="P75"/>
      <c r="Q75"/>
      <c r="R75"/>
      <c r="S75"/>
      <c r="T75"/>
    </row>
    <row r="76" spans="1:26" s="177" customFormat="1" ht="14.45" customHeight="1">
      <c r="A76" s="190" t="s">
        <v>224</v>
      </c>
      <c r="B76" s="298" t="s">
        <v>225</v>
      </c>
      <c r="C76" s="299"/>
      <c r="D76" s="95"/>
      <c r="E76" s="140"/>
      <c r="F76" s="192">
        <v>5578</v>
      </c>
      <c r="G76" s="191">
        <v>0</v>
      </c>
      <c r="H76" s="187">
        <f t="shared" si="17"/>
        <v>5578</v>
      </c>
      <c r="I76" s="192">
        <v>504</v>
      </c>
      <c r="J76" s="193">
        <f>+H76/I76</f>
        <v>11.067460317460318</v>
      </c>
      <c r="K76"/>
      <c r="M76" s="48"/>
      <c r="N76"/>
      <c r="O76"/>
      <c r="P76"/>
      <c r="Q76"/>
      <c r="R76"/>
      <c r="S76"/>
      <c r="T76"/>
    </row>
    <row r="77" spans="1:26" s="177" customFormat="1" ht="14.45" customHeight="1">
      <c r="A77" s="194" t="s">
        <v>226</v>
      </c>
      <c r="B77" s="298" t="s">
        <v>227</v>
      </c>
      <c r="C77" s="299"/>
      <c r="D77" s="95"/>
      <c r="E77" s="140"/>
      <c r="F77" s="192"/>
      <c r="G77" s="191"/>
      <c r="H77" s="192">
        <v>4096</v>
      </c>
      <c r="I77" s="192">
        <f>+H77/13</f>
        <v>315.07692307692309</v>
      </c>
      <c r="J77" s="193">
        <f>+H77/I77</f>
        <v>13</v>
      </c>
      <c r="K77"/>
      <c r="M77" s="48"/>
      <c r="N77"/>
      <c r="O77"/>
      <c r="P77"/>
      <c r="Q77"/>
      <c r="R77"/>
      <c r="S77"/>
      <c r="T77"/>
    </row>
    <row r="78" spans="1:26" s="177" customFormat="1" ht="14.45" customHeight="1">
      <c r="A78" s="194" t="s">
        <v>145</v>
      </c>
      <c r="B78" s="302" t="s">
        <v>220</v>
      </c>
      <c r="C78" s="299"/>
      <c r="D78" s="95">
        <v>12.22</v>
      </c>
      <c r="E78" s="140">
        <v>203000000</v>
      </c>
      <c r="F78" s="187">
        <f t="shared" ref="F78:F80" si="18">+E78*D78/1000000</f>
        <v>2480.66</v>
      </c>
      <c r="G78" s="191">
        <v>925.71</v>
      </c>
      <c r="H78" s="187">
        <f t="shared" si="17"/>
        <v>3406.37</v>
      </c>
      <c r="I78" s="192">
        <v>229.7</v>
      </c>
      <c r="J78" s="193">
        <f>+H78/I78</f>
        <v>14.829647366129734</v>
      </c>
      <c r="K78"/>
      <c r="M78" s="48"/>
      <c r="N78"/>
      <c r="O78"/>
      <c r="P78"/>
      <c r="Q78"/>
      <c r="R78"/>
      <c r="S78"/>
      <c r="T78"/>
    </row>
    <row r="79" spans="1:26" s="177" customFormat="1" ht="14.45" customHeight="1">
      <c r="A79" s="190" t="s">
        <v>228</v>
      </c>
      <c r="B79" s="298" t="s">
        <v>220</v>
      </c>
      <c r="C79" s="299"/>
      <c r="D79" s="95">
        <v>1.1499999999999999</v>
      </c>
      <c r="E79" s="140">
        <v>172053000</v>
      </c>
      <c r="F79" s="187">
        <f t="shared" si="18"/>
        <v>197.86094999999997</v>
      </c>
      <c r="G79" s="191">
        <v>2681.96</v>
      </c>
      <c r="H79" s="187">
        <f t="shared" si="17"/>
        <v>2879.8209499999998</v>
      </c>
      <c r="I79" s="192">
        <v>275.18</v>
      </c>
      <c r="J79" s="193">
        <f>+H79/I79</f>
        <v>10.465226215567991</v>
      </c>
      <c r="K79" s="172"/>
      <c r="M79" s="48"/>
      <c r="N79"/>
      <c r="O79"/>
      <c r="P79"/>
      <c r="Q79"/>
      <c r="R79"/>
      <c r="S79"/>
      <c r="T79"/>
    </row>
    <row r="80" spans="1:26" s="177" customFormat="1" ht="14.45" customHeight="1">
      <c r="A80" s="190" t="s">
        <v>143</v>
      </c>
      <c r="B80" s="298" t="s">
        <v>229</v>
      </c>
      <c r="C80" s="299"/>
      <c r="D80" s="95">
        <v>24</v>
      </c>
      <c r="E80" s="140">
        <v>19583000</v>
      </c>
      <c r="F80" s="187">
        <f t="shared" si="18"/>
        <v>469.99200000000002</v>
      </c>
      <c r="G80" s="191">
        <v>765.2</v>
      </c>
      <c r="H80" s="187">
        <f t="shared" si="17"/>
        <v>1235.192</v>
      </c>
      <c r="I80" s="192">
        <v>123.07</v>
      </c>
      <c r="J80" s="193">
        <f>+H80/I80</f>
        <v>10.036499553099862</v>
      </c>
      <c r="K80" s="172"/>
      <c r="M80" s="48"/>
      <c r="N80"/>
      <c r="O80"/>
      <c r="P80"/>
      <c r="Q80"/>
      <c r="R80"/>
      <c r="S80"/>
      <c r="T80"/>
    </row>
    <row r="81" spans="1:20" s="177" customFormat="1" ht="14.45" customHeight="1">
      <c r="A81" s="190" t="s">
        <v>230</v>
      </c>
      <c r="B81" s="298" t="s">
        <v>231</v>
      </c>
      <c r="C81" s="299"/>
      <c r="D81" s="95"/>
      <c r="E81" s="140"/>
      <c r="F81" s="192"/>
      <c r="G81" s="191"/>
      <c r="H81" s="192">
        <v>1028.9000000000001</v>
      </c>
      <c r="I81" s="192">
        <f>+H81/11.3</f>
        <v>91.053097345132741</v>
      </c>
      <c r="J81" s="193">
        <f>+H81/I81</f>
        <v>11.3</v>
      </c>
      <c r="K81" s="172"/>
      <c r="M81" s="48"/>
      <c r="N81"/>
      <c r="O81"/>
      <c r="P81"/>
      <c r="Q81"/>
      <c r="R81"/>
      <c r="S81"/>
      <c r="T81"/>
    </row>
    <row r="82" spans="1:20" s="177" customFormat="1" ht="14.45" customHeight="1">
      <c r="A82" s="190" t="s">
        <v>232</v>
      </c>
      <c r="B82" s="298" t="s">
        <v>233</v>
      </c>
      <c r="C82" s="299"/>
      <c r="D82" s="95"/>
      <c r="E82" s="140"/>
      <c r="F82" s="192"/>
      <c r="G82" s="191"/>
      <c r="H82" s="192">
        <v>981</v>
      </c>
      <c r="I82" s="192">
        <f>+H82/9.2</f>
        <v>106.6304347826087</v>
      </c>
      <c r="J82" s="193">
        <f>+H82/I82</f>
        <v>9.1999999999999993</v>
      </c>
      <c r="K82" s="172"/>
      <c r="M82" s="48"/>
      <c r="N82"/>
      <c r="O82"/>
      <c r="P82"/>
      <c r="Q82"/>
      <c r="R82"/>
      <c r="S82"/>
      <c r="T82"/>
    </row>
    <row r="83" spans="1:20" s="177" customFormat="1" ht="14.45" customHeight="1">
      <c r="A83" s="190" t="s">
        <v>234</v>
      </c>
      <c r="B83" s="298" t="s">
        <v>220</v>
      </c>
      <c r="C83" s="299"/>
      <c r="D83" s="95">
        <v>24</v>
      </c>
      <c r="E83" s="140">
        <v>40284000</v>
      </c>
      <c r="F83" s="192">
        <f>+E83*D83/1000000</f>
        <v>966.81600000000003</v>
      </c>
      <c r="G83" s="191">
        <v>217.29</v>
      </c>
      <c r="H83" s="187">
        <f t="shared" ref="H83:H85" si="19">+F83+G83</f>
        <v>1184.106</v>
      </c>
      <c r="I83" s="192">
        <v>90.07</v>
      </c>
      <c r="J83" s="193">
        <f>+H83/I83</f>
        <v>13.14650827134451</v>
      </c>
      <c r="K83" s="172"/>
      <c r="M83" s="48"/>
      <c r="N83"/>
      <c r="O83"/>
      <c r="P83"/>
      <c r="Q83"/>
      <c r="R83"/>
      <c r="S83"/>
      <c r="T83"/>
    </row>
    <row r="84" spans="1:20" s="177" customFormat="1" ht="14.45" customHeight="1">
      <c r="A84" s="195" t="s">
        <v>235</v>
      </c>
      <c r="B84" s="298" t="s">
        <v>220</v>
      </c>
      <c r="C84" s="299"/>
      <c r="D84" s="104">
        <v>12.25</v>
      </c>
      <c r="E84" s="196">
        <v>44808000</v>
      </c>
      <c r="F84" s="197">
        <f>+E84*D84/1000000</f>
        <v>548.89800000000002</v>
      </c>
      <c r="G84" s="198">
        <v>243.6</v>
      </c>
      <c r="H84" s="187">
        <f t="shared" si="19"/>
        <v>792.49800000000005</v>
      </c>
      <c r="I84" s="197">
        <v>55.12</v>
      </c>
      <c r="J84" s="199">
        <f>+H84/I84</f>
        <v>14.377685050798259</v>
      </c>
      <c r="K84" s="172"/>
      <c r="M84" s="48"/>
      <c r="N84"/>
      <c r="O84"/>
      <c r="P84"/>
      <c r="Q84"/>
      <c r="R84"/>
      <c r="S84"/>
      <c r="T84"/>
    </row>
    <row r="85" spans="1:20" s="177" customFormat="1" ht="14.45" customHeight="1" thickBot="1">
      <c r="A85" s="200" t="s">
        <v>236</v>
      </c>
      <c r="B85" s="300" t="s">
        <v>220</v>
      </c>
      <c r="C85" s="301"/>
      <c r="D85" s="201">
        <v>19.93</v>
      </c>
      <c r="E85" s="202">
        <v>95077000</v>
      </c>
      <c r="F85" s="203">
        <f>+E85*D85/1000000</f>
        <v>1894.8846100000001</v>
      </c>
      <c r="G85" s="204">
        <v>1231.5</v>
      </c>
      <c r="H85" s="205">
        <f t="shared" si="19"/>
        <v>3126.3846100000001</v>
      </c>
      <c r="I85" s="203">
        <v>224.85</v>
      </c>
      <c r="J85" s="206">
        <f>+H85/I85</f>
        <v>13.904312252612854</v>
      </c>
      <c r="K85" s="172"/>
      <c r="M85" s="48"/>
      <c r="N85"/>
      <c r="O85"/>
      <c r="P85"/>
      <c r="Q85"/>
      <c r="R85"/>
      <c r="S85"/>
      <c r="T85"/>
    </row>
    <row r="86" spans="1:20" ht="14.7" thickBot="1">
      <c r="I86" s="207" t="s">
        <v>206</v>
      </c>
      <c r="J86" s="208">
        <f>AVERAGE(J73:J85)</f>
        <v>14.325564129625631</v>
      </c>
      <c r="K86" s="174"/>
    </row>
    <row r="87" spans="1:20" ht="13.2" customHeight="1" thickBot="1">
      <c r="A87" s="175" t="s">
        <v>237</v>
      </c>
      <c r="B87" s="176">
        <f>+F87*G87</f>
        <v>8853198.6321086399</v>
      </c>
      <c r="E87" s="370" t="s">
        <v>322</v>
      </c>
      <c r="F87" s="297">
        <f>+'Historical Analysis'!D112</f>
        <v>618000</v>
      </c>
      <c r="G87" s="173">
        <f>+J86</f>
        <v>14.325564129625631</v>
      </c>
    </row>
    <row r="89" spans="1:20" ht="15.35">
      <c r="A89" s="178" t="s">
        <v>116</v>
      </c>
      <c r="B89" s="82"/>
      <c r="C89" s="82"/>
      <c r="D89" s="82"/>
      <c r="E89" s="82"/>
      <c r="F89" s="82"/>
      <c r="G89" s="82"/>
      <c r="H89" s="82"/>
      <c r="I89" s="82"/>
      <c r="J89" s="82"/>
      <c r="K89" s="82"/>
      <c r="L89" s="82"/>
    </row>
    <row r="90" spans="1:20" ht="11.5" customHeight="1">
      <c r="A90" s="210"/>
      <c r="B90" s="210"/>
      <c r="C90" s="210"/>
      <c r="D90" s="212" t="s">
        <v>238</v>
      </c>
      <c r="E90" s="213">
        <v>1</v>
      </c>
      <c r="F90" s="213">
        <v>2</v>
      </c>
      <c r="G90" s="213">
        <v>3</v>
      </c>
      <c r="H90" s="213">
        <v>4</v>
      </c>
      <c r="I90" s="213">
        <v>5</v>
      </c>
      <c r="J90" s="213">
        <v>6</v>
      </c>
      <c r="K90" s="214"/>
    </row>
    <row r="91" spans="1:20" ht="14.7" thickBot="1">
      <c r="A91" s="51"/>
      <c r="D91" s="376" t="s">
        <v>239</v>
      </c>
      <c r="I91" s="376" t="s">
        <v>240</v>
      </c>
      <c r="K91" s="214"/>
    </row>
    <row r="92" spans="1:20" ht="14.7" thickBot="1">
      <c r="D92" s="377">
        <f>+X5</f>
        <v>44012</v>
      </c>
      <c r="E92" s="378">
        <f>+Y5+366</f>
        <v>44196</v>
      </c>
      <c r="F92" s="378">
        <f>+E92+365</f>
        <v>44561</v>
      </c>
      <c r="G92" s="378">
        <f>+F92+365</f>
        <v>44926</v>
      </c>
      <c r="H92" s="378">
        <f>+G92+365</f>
        <v>45291</v>
      </c>
      <c r="I92" s="379">
        <f>+H92+366</f>
        <v>45657</v>
      </c>
      <c r="J92" s="380">
        <f>+I92+365</f>
        <v>46022</v>
      </c>
      <c r="K92" s="214"/>
    </row>
    <row r="93" spans="1:20">
      <c r="A93" t="s">
        <v>242</v>
      </c>
      <c r="D93" s="216">
        <f>+Projections!G7</f>
        <v>3733000</v>
      </c>
      <c r="E93" s="215">
        <f>+Projections!H7</f>
        <v>2613100</v>
      </c>
      <c r="F93" s="215">
        <f>+Projections!I7</f>
        <v>4572925</v>
      </c>
      <c r="G93" s="215">
        <f>+Projections!J7</f>
        <v>5716156.25</v>
      </c>
      <c r="H93" s="215">
        <f>+Projections!K7</f>
        <v>6287771.8750000009</v>
      </c>
      <c r="I93" s="115">
        <f>+Projections!L7</f>
        <v>6916549.0625000019</v>
      </c>
      <c r="J93" s="215">
        <f>+Projections!M7</f>
        <v>7608203.9687500028</v>
      </c>
      <c r="K93" s="214"/>
    </row>
    <row r="94" spans="1:20">
      <c r="A94" t="s">
        <v>243</v>
      </c>
      <c r="D94" s="216"/>
      <c r="E94" s="371">
        <f>+E93/D93-1</f>
        <v>-0.30000000000000004</v>
      </c>
      <c r="F94" s="371">
        <f t="shared" ref="F94:J94" si="20">+F93/E93-1</f>
        <v>0.75</v>
      </c>
      <c r="G94" s="371">
        <f t="shared" si="20"/>
        <v>0.25</v>
      </c>
      <c r="H94" s="371">
        <f t="shared" si="20"/>
        <v>0.10000000000000009</v>
      </c>
      <c r="I94" s="372">
        <f t="shared" si="20"/>
        <v>0.10000000000000009</v>
      </c>
      <c r="J94" s="371">
        <f t="shared" si="20"/>
        <v>0.10000000000000009</v>
      </c>
      <c r="K94" s="214"/>
      <c r="L94" s="217"/>
    </row>
    <row r="95" spans="1:20">
      <c r="A95" t="s">
        <v>244</v>
      </c>
      <c r="D95" s="216">
        <f>-Projections!G10</f>
        <v>-3235000</v>
      </c>
      <c r="E95" s="215">
        <f>-Projections!H10</f>
        <v>-2101673.0356459045</v>
      </c>
      <c r="F95" s="215">
        <f>-Projections!I10</f>
        <v>-3677927.812380333</v>
      </c>
      <c r="G95" s="215">
        <f>-Projections!J10</f>
        <v>-4597409.7654754166</v>
      </c>
      <c r="H95" s="215">
        <f>-Projections!K10</f>
        <v>-5057150.7420229586</v>
      </c>
      <c r="I95" s="115">
        <f>-Projections!L10</f>
        <v>-5562865.8162252558</v>
      </c>
      <c r="J95" s="215">
        <f>-Projections!M10</f>
        <v>-6119152.3978477819</v>
      </c>
      <c r="K95" s="214"/>
    </row>
    <row r="96" spans="1:20">
      <c r="A96" t="s">
        <v>245</v>
      </c>
      <c r="D96" s="373">
        <f>-Projections!G14</f>
        <v>-661000</v>
      </c>
      <c r="E96" s="221">
        <f>-Projections!H14</f>
        <v>-406074.95013993932</v>
      </c>
      <c r="F96" s="221">
        <f>-Projections!I14</f>
        <v>-710631.16274489381</v>
      </c>
      <c r="G96" s="221">
        <f>-Projections!J14</f>
        <v>-888288.95343111723</v>
      </c>
      <c r="H96" s="221">
        <f>-Projections!K14</f>
        <v>-977117.84877422906</v>
      </c>
      <c r="I96" s="222">
        <f>-Projections!L14</f>
        <v>-1074829.6336516521</v>
      </c>
      <c r="J96" s="221">
        <f>-Projections!M14</f>
        <v>-1182312.5970168174</v>
      </c>
      <c r="K96" s="214"/>
    </row>
    <row r="97" spans="1:25">
      <c r="A97" t="s">
        <v>246</v>
      </c>
      <c r="D97" s="216">
        <f>SUM(D93:D96)</f>
        <v>-163000</v>
      </c>
      <c r="E97" s="215">
        <f t="shared" ref="E97:J97" si="21">SUM(E93:E96)</f>
        <v>105351.71421415638</v>
      </c>
      <c r="F97" s="215">
        <f t="shared" si="21"/>
        <v>184366.77487477323</v>
      </c>
      <c r="G97" s="215">
        <f t="shared" si="21"/>
        <v>230457.78109346621</v>
      </c>
      <c r="H97" s="215">
        <f t="shared" si="21"/>
        <v>253503.38420281291</v>
      </c>
      <c r="I97" s="115">
        <f t="shared" si="21"/>
        <v>278853.71262309351</v>
      </c>
      <c r="J97" s="215">
        <f t="shared" si="21"/>
        <v>306739.07388540311</v>
      </c>
      <c r="K97" s="214"/>
      <c r="Y97" s="72"/>
    </row>
    <row r="98" spans="1:25">
      <c r="A98" t="s">
        <v>247</v>
      </c>
      <c r="C98" s="381">
        <v>0.22</v>
      </c>
      <c r="D98" s="382"/>
      <c r="E98" s="215">
        <f>-$C$98*E97</f>
        <v>-23177.377127114403</v>
      </c>
      <c r="F98" s="215">
        <f t="shared" ref="F98:V98" si="22">-$C$98*F97</f>
        <v>-40560.690472450107</v>
      </c>
      <c r="G98" s="215">
        <f t="shared" si="22"/>
        <v>-50700.711840562566</v>
      </c>
      <c r="H98" s="215">
        <f t="shared" si="22"/>
        <v>-55770.744524618844</v>
      </c>
      <c r="I98" s="115">
        <f>-$C$98*I97</f>
        <v>-61347.816777080574</v>
      </c>
      <c r="J98" s="215">
        <f>-$C$98*J97</f>
        <v>-67482.596254788688</v>
      </c>
      <c r="K98" s="214"/>
    </row>
    <row r="99" spans="1:25">
      <c r="A99" t="s">
        <v>248</v>
      </c>
      <c r="E99" s="215">
        <f>+Projections!H24</f>
        <v>175990.79819515446</v>
      </c>
      <c r="F99" s="215">
        <f>+Projections!I24</f>
        <v>307983.89684152027</v>
      </c>
      <c r="G99" s="215">
        <f>+Projections!J24</f>
        <v>384979.87105190038</v>
      </c>
      <c r="H99" s="215">
        <f>+Projections!K24</f>
        <v>423477.85815709049</v>
      </c>
      <c r="I99" s="115">
        <f>+Projections!L24</f>
        <v>465825.64397279959</v>
      </c>
      <c r="J99" s="215">
        <f>+Projections!M24</f>
        <v>512408.20837007958</v>
      </c>
      <c r="K99" s="214"/>
    </row>
    <row r="100" spans="1:25">
      <c r="A100" t="s">
        <v>249</v>
      </c>
      <c r="E100" s="215">
        <f>+Projections!H26</f>
        <v>-175990.79819515446</v>
      </c>
      <c r="F100" s="215">
        <f>+Projections!I26</f>
        <v>-307983.89684152027</v>
      </c>
      <c r="G100" s="215">
        <f>+Projections!J26</f>
        <v>-384979.87105190038</v>
      </c>
      <c r="H100" s="215">
        <f>+Projections!K26</f>
        <v>-423477.85815709049</v>
      </c>
      <c r="I100" s="115">
        <f>+Projections!L26</f>
        <v>-465825.64397279959</v>
      </c>
      <c r="J100" s="215">
        <f>+Projections!M26</f>
        <v>-512408.20837007958</v>
      </c>
      <c r="K100" s="214"/>
    </row>
    <row r="101" spans="1:25" ht="14.7" thickBot="1">
      <c r="A101" t="s">
        <v>250</v>
      </c>
      <c r="E101" s="219">
        <f>SUM(E97:E100)</f>
        <v>82174.337087041989</v>
      </c>
      <c r="F101" s="219">
        <f t="shared" ref="F101:V101" si="23">SUM(F97:F100)</f>
        <v>143806.08440232312</v>
      </c>
      <c r="G101" s="219">
        <f t="shared" si="23"/>
        <v>179757.06925290363</v>
      </c>
      <c r="H101" s="219">
        <f t="shared" si="23"/>
        <v>197732.63967819407</v>
      </c>
      <c r="I101" s="218">
        <f>SUM(I97:I100)</f>
        <v>217505.89584601292</v>
      </c>
      <c r="J101" s="374">
        <f>SUM(J97:J100)</f>
        <v>239256.47763061448</v>
      </c>
      <c r="K101" s="214"/>
    </row>
    <row r="102" spans="1:25" ht="7.5" customHeight="1" thickTop="1">
      <c r="A102" s="211"/>
      <c r="B102" s="211"/>
      <c r="C102" s="211"/>
      <c r="D102" s="221"/>
      <c r="E102" s="221"/>
      <c r="F102" s="221"/>
      <c r="G102" s="221"/>
      <c r="H102" s="221"/>
      <c r="I102" s="222"/>
      <c r="J102" s="215"/>
      <c r="K102" s="214"/>
    </row>
    <row r="103" spans="1:25">
      <c r="A103" s="223" t="s">
        <v>120</v>
      </c>
      <c r="B103" s="223"/>
      <c r="C103" s="223"/>
      <c r="D103" s="224">
        <f>+Projections!G34</f>
        <v>217000</v>
      </c>
      <c r="E103" s="224">
        <f>+Projections!H34</f>
        <v>281342.81240931066</v>
      </c>
      <c r="F103" s="224">
        <f>+Projections!I34</f>
        <v>492349.92171629349</v>
      </c>
      <c r="G103" s="224">
        <f>+Projections!J34</f>
        <v>615437.40214536665</v>
      </c>
      <c r="H103" s="224">
        <f>+Projections!K34</f>
        <v>676981.14235990378</v>
      </c>
      <c r="I103" s="225">
        <f>+Projections!L34</f>
        <v>744679.25659589353</v>
      </c>
      <c r="J103" s="375">
        <f>+Projections!M34</f>
        <v>819147.182255483</v>
      </c>
      <c r="K103" s="214"/>
    </row>
    <row r="104" spans="1:25" ht="12" customHeight="1">
      <c r="A104" s="227" t="s">
        <v>251</v>
      </c>
      <c r="B104" s="227"/>
      <c r="C104" s="227"/>
      <c r="D104" s="228">
        <f>+Projections!G30</f>
        <v>1521000</v>
      </c>
      <c r="E104" s="228">
        <f>+Projections!H30</f>
        <v>1436400</v>
      </c>
      <c r="F104" s="228">
        <f>+Projections!I30</f>
        <v>1360800</v>
      </c>
      <c r="G104" s="228">
        <f>+Projections!J30</f>
        <v>1285200</v>
      </c>
      <c r="H104" s="228">
        <f>+Projections!K30</f>
        <v>1209600</v>
      </c>
      <c r="I104" s="229">
        <f>+Projections!L30</f>
        <v>1134000</v>
      </c>
      <c r="J104" s="220">
        <f>+Projections!M30</f>
        <v>1058400</v>
      </c>
      <c r="K104" s="214"/>
    </row>
    <row r="105" spans="1:25" ht="7.5" customHeight="1">
      <c r="I105" s="101"/>
      <c r="K105" s="214"/>
    </row>
    <row r="106" spans="1:25" ht="14.7" thickBot="1">
      <c r="A106" s="230" t="s">
        <v>252</v>
      </c>
      <c r="B106" s="231" t="s">
        <v>241</v>
      </c>
      <c r="D106" s="232" t="s">
        <v>253</v>
      </c>
      <c r="I106" s="101"/>
      <c r="K106" s="214"/>
    </row>
    <row r="107" spans="1:25">
      <c r="A107" t="s">
        <v>254</v>
      </c>
      <c r="B107" s="173">
        <f>+J86</f>
        <v>14.325564129625631</v>
      </c>
      <c r="C107" t="s">
        <v>324</v>
      </c>
      <c r="D107" s="233"/>
      <c r="E107" s="132" t="s">
        <v>255</v>
      </c>
      <c r="I107" s="234">
        <f>+B107*I103</f>
        <v>10667950.446366413</v>
      </c>
      <c r="K107" s="214"/>
    </row>
    <row r="108" spans="1:25">
      <c r="A108" t="s">
        <v>256</v>
      </c>
      <c r="B108" s="394">
        <f>+J129</f>
        <v>0.11046125913562954</v>
      </c>
      <c r="D108" s="398">
        <f>+B108*0.8</f>
        <v>8.8369007308503639E-2</v>
      </c>
      <c r="E108" s="132" t="s">
        <v>257</v>
      </c>
      <c r="I108" s="115">
        <f>+J101/(B108-D108)</f>
        <v>10829881.874551337</v>
      </c>
      <c r="K108" s="214"/>
    </row>
    <row r="109" spans="1:25">
      <c r="A109" t="s">
        <v>206</v>
      </c>
      <c r="D109" s="399" t="s">
        <v>325</v>
      </c>
      <c r="I109" s="74">
        <f>+(I107+I108)/2</f>
        <v>10748916.160458874</v>
      </c>
      <c r="K109" s="214"/>
    </row>
    <row r="110" spans="1:25">
      <c r="A110" t="s">
        <v>258</v>
      </c>
      <c r="D110" s="72"/>
      <c r="I110" s="234">
        <f>-I104</f>
        <v>-1134000</v>
      </c>
      <c r="K110" s="214"/>
    </row>
    <row r="111" spans="1:25">
      <c r="A111" t="s">
        <v>259</v>
      </c>
      <c r="D111" s="72"/>
      <c r="I111" s="235">
        <v>0</v>
      </c>
      <c r="J111" s="323" t="s">
        <v>323</v>
      </c>
    </row>
    <row r="112" spans="1:25">
      <c r="A112" t="s">
        <v>260</v>
      </c>
      <c r="I112" s="234">
        <f>+I110+I109</f>
        <v>9614916.160458874</v>
      </c>
    </row>
    <row r="113" spans="1:11">
      <c r="C113" s="236" t="s">
        <v>261</v>
      </c>
      <c r="I113" s="101"/>
    </row>
    <row r="114" spans="1:11" ht="14.7" thickBot="1">
      <c r="A114" s="116" t="s">
        <v>262</v>
      </c>
      <c r="B114" s="237">
        <f>+H124</f>
        <v>0.12984999999999999</v>
      </c>
      <c r="C114" s="238"/>
      <c r="D114" s="77"/>
      <c r="E114" s="77">
        <f>+E101</f>
        <v>82174.337087041989</v>
      </c>
      <c r="F114" s="77">
        <f>+F101</f>
        <v>143806.08440232312</v>
      </c>
      <c r="G114" s="77">
        <f>+G101</f>
        <v>179757.06925290363</v>
      </c>
      <c r="H114" s="77">
        <f>+H101</f>
        <v>197732.63967819407</v>
      </c>
      <c r="I114" s="239">
        <f>+I112+I101</f>
        <v>9832422.0563048869</v>
      </c>
    </row>
    <row r="115" spans="1:11" ht="14.7" thickTop="1">
      <c r="B115" s="209" t="s">
        <v>263</v>
      </c>
      <c r="C115" s="240">
        <f>1/((1+$H$124)^$E$90)</f>
        <v>0.88507323981059427</v>
      </c>
      <c r="D115" s="241">
        <f>+C115*E114</f>
        <v>72730.306754916121</v>
      </c>
      <c r="E115" s="242"/>
    </row>
    <row r="116" spans="1:11">
      <c r="B116" s="209" t="s">
        <v>264</v>
      </c>
      <c r="C116" s="240">
        <f>1/((1+$H$124)^F90)</f>
        <v>0.7833546398288217</v>
      </c>
      <c r="D116" s="241">
        <f>+C116*F114</f>
        <v>112651.16345217497</v>
      </c>
    </row>
    <row r="117" spans="1:11">
      <c r="B117" s="209" t="s">
        <v>265</v>
      </c>
      <c r="C117" s="240">
        <f>1/((1+$H$124)^G90)</f>
        <v>0.69332622899395646</v>
      </c>
      <c r="D117" s="241">
        <f>+C117*G114</f>
        <v>124630.29096012116</v>
      </c>
    </row>
    <row r="118" spans="1:11">
      <c r="B118" s="209" t="s">
        <v>266</v>
      </c>
      <c r="C118" s="240">
        <f>1/((1+$H$124)^H90)</f>
        <v>0.61364449174134295</v>
      </c>
      <c r="D118" s="241">
        <f>+C118*H114</f>
        <v>121337.5451759995</v>
      </c>
    </row>
    <row r="119" spans="1:11" ht="14.7" thickBot="1">
      <c r="B119" s="209" t="s">
        <v>267</v>
      </c>
      <c r="C119" s="240">
        <f>1/((1+$H$124)^I90)</f>
        <v>0.54312031839743591</v>
      </c>
      <c r="D119" s="241">
        <f>+C119*I114</f>
        <v>5340188.1978382813</v>
      </c>
    </row>
    <row r="120" spans="1:11" ht="14.7" thickBot="1">
      <c r="B120" s="209" t="s">
        <v>268</v>
      </c>
      <c r="C120" s="101"/>
      <c r="D120" s="243">
        <f>SUM(D115:D119)</f>
        <v>5771537.5041814931</v>
      </c>
      <c r="E120" s="132"/>
      <c r="F120" s="244" t="s">
        <v>269</v>
      </c>
      <c r="G120" s="245"/>
      <c r="H120" s="246"/>
      <c r="J120" s="247" t="s">
        <v>270</v>
      </c>
      <c r="K120" s="248"/>
    </row>
    <row r="121" spans="1:11" ht="14.7" thickTop="1">
      <c r="B121" s="209"/>
      <c r="D121" s="241"/>
      <c r="E121" s="132"/>
      <c r="F121" s="75" t="s">
        <v>271</v>
      </c>
      <c r="G121" s="76"/>
      <c r="H121" s="249">
        <f>+B35</f>
        <v>0.01</v>
      </c>
      <c r="J121" s="250">
        <f>+Projections!G17</f>
        <v>88000</v>
      </c>
      <c r="K121" s="251"/>
    </row>
    <row r="122" spans="1:11">
      <c r="B122" s="252" t="s">
        <v>272</v>
      </c>
      <c r="D122" s="253" t="s">
        <v>273</v>
      </c>
      <c r="E122" s="121"/>
      <c r="F122" s="75" t="s">
        <v>274</v>
      </c>
      <c r="G122" s="76"/>
      <c r="H122" s="249">
        <f>+B37</f>
        <v>8.5000000000000006E-2</v>
      </c>
      <c r="J122" s="254">
        <f>+J121/D104</f>
        <v>5.7856673241288625E-2</v>
      </c>
      <c r="K122" s="255" t="s">
        <v>275</v>
      </c>
    </row>
    <row r="123" spans="1:11" ht="14.7" thickBot="1">
      <c r="B123" s="256" t="s">
        <v>276</v>
      </c>
      <c r="D123" s="241">
        <f>+D120</f>
        <v>5771537.5041814931</v>
      </c>
      <c r="F123" s="75" t="s">
        <v>277</v>
      </c>
      <c r="G123" s="76"/>
      <c r="H123" s="257">
        <f>+K62</f>
        <v>1.41</v>
      </c>
      <c r="J123" s="78"/>
      <c r="K123" s="79"/>
    </row>
    <row r="124" spans="1:11" ht="14.7" thickBot="1">
      <c r="B124" s="258" t="s">
        <v>278</v>
      </c>
      <c r="D124" s="226">
        <f>+D104</f>
        <v>1521000</v>
      </c>
      <c r="F124" s="259" t="s">
        <v>279</v>
      </c>
      <c r="G124" s="260"/>
      <c r="H124" s="261">
        <f>+H121+(H122*H123)</f>
        <v>0.12984999999999999</v>
      </c>
    </row>
    <row r="125" spans="1:11" ht="14.7" thickBot="1">
      <c r="B125" s="258" t="s">
        <v>316</v>
      </c>
      <c r="D125" s="226">
        <f>-'Historical Analysis'!C23</f>
        <v>-1438000</v>
      </c>
    </row>
    <row r="126" spans="1:11" ht="12.6" customHeight="1" thickBot="1">
      <c r="A126" s="175" t="s">
        <v>280</v>
      </c>
      <c r="B126" s="262"/>
      <c r="C126" s="262"/>
      <c r="D126" s="176">
        <f>+D123+D124+D125</f>
        <v>5854537.5041814931</v>
      </c>
      <c r="F126" s="244" t="s">
        <v>281</v>
      </c>
      <c r="G126" s="245"/>
      <c r="H126" s="263" t="s">
        <v>282</v>
      </c>
      <c r="I126" s="263" t="s">
        <v>283</v>
      </c>
      <c r="J126" s="264" t="s">
        <v>284</v>
      </c>
    </row>
    <row r="127" spans="1:11">
      <c r="F127" s="75" t="s">
        <v>285</v>
      </c>
      <c r="G127" s="226">
        <f>+X32</f>
        <v>1772000</v>
      </c>
      <c r="H127" s="265">
        <f>+G127/$G$129</f>
        <v>0.22885186620173059</v>
      </c>
      <c r="I127" s="266">
        <f>+J122*(1-C98)</f>
        <v>4.5128205128205132E-2</v>
      </c>
      <c r="J127" s="267">
        <f>+I127*H127</f>
        <v>1.0327673961924253E-2</v>
      </c>
    </row>
    <row r="128" spans="1:11">
      <c r="F128" s="75" t="s">
        <v>286</v>
      </c>
      <c r="G128" s="226">
        <f>+X34</f>
        <v>5971000</v>
      </c>
      <c r="H128" s="265">
        <f>+G128/$G$129</f>
        <v>0.77114813379826941</v>
      </c>
      <c r="I128" s="268">
        <f>+H124</f>
        <v>0.12984999999999999</v>
      </c>
      <c r="J128" s="267">
        <f>+I128*H128</f>
        <v>0.10013358517370528</v>
      </c>
    </row>
    <row r="129" spans="6:10" ht="14.7" thickBot="1">
      <c r="F129" s="259"/>
      <c r="G129" s="269">
        <f>SUM(G127:G128)</f>
        <v>7743000</v>
      </c>
      <c r="H129" s="270">
        <f>SUM(H127:H128)</f>
        <v>1</v>
      </c>
      <c r="I129" s="271"/>
      <c r="J129" s="272">
        <f>SUM(J127:J128)</f>
        <v>0.11046125913562954</v>
      </c>
    </row>
  </sheetData>
  <mergeCells count="14">
    <mergeCell ref="B77:C77"/>
    <mergeCell ref="B72:C72"/>
    <mergeCell ref="B73:C73"/>
    <mergeCell ref="B74:C74"/>
    <mergeCell ref="B75:C75"/>
    <mergeCell ref="B76:C76"/>
    <mergeCell ref="B84:C84"/>
    <mergeCell ref="B85:C85"/>
    <mergeCell ref="B78:C78"/>
    <mergeCell ref="B79:C79"/>
    <mergeCell ref="B80:C80"/>
    <mergeCell ref="B81:C81"/>
    <mergeCell ref="B82:C82"/>
    <mergeCell ref="B83:C83"/>
  </mergeCells>
  <hyperlinks>
    <hyperlink ref="C1" r:id="rId1" xr:uid="{C7AEFBB4-87F0-41DD-8CB5-3721A78EFE8B}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B24F13-D13B-4E3A-965D-1171050EB8DA}">
  <dimension ref="A1:AB306"/>
  <sheetViews>
    <sheetView workbookViewId="0">
      <selection activeCell="R7" sqref="R7"/>
    </sheetView>
  </sheetViews>
  <sheetFormatPr defaultRowHeight="14.35"/>
  <cols>
    <col min="1" max="1" width="11.234375" customWidth="1"/>
    <col min="2" max="5" width="8.9375" style="325"/>
    <col min="6" max="7" width="8.9375" style="48"/>
    <col min="8" max="8" width="2.76171875" customWidth="1"/>
    <col min="13" max="14" width="8.9375" style="48"/>
    <col min="15" max="15" width="2.5859375" customWidth="1"/>
    <col min="16" max="16" width="11.05859375" customWidth="1"/>
    <col min="17" max="17" width="8.9375" style="407"/>
    <col min="18" max="18" width="3.64453125" style="48" customWidth="1"/>
    <col min="19" max="19" width="8.9375" style="48"/>
    <col min="22" max="22" width="11.64453125" bestFit="1" customWidth="1"/>
    <col min="23" max="23" width="9.64453125" bestFit="1" customWidth="1"/>
    <col min="25" max="25" width="3.41015625" customWidth="1"/>
    <col min="26" max="26" width="11.52734375" customWidth="1"/>
  </cols>
  <sheetData>
    <row r="1" spans="1:1" ht="23.35">
      <c r="A1" s="400" t="s">
        <v>348</v>
      </c>
    </row>
    <row r="2" spans="1:1" ht="17" customHeight="1">
      <c r="A2" s="400"/>
    </row>
    <row r="3" spans="1:1" ht="17" customHeight="1">
      <c r="A3" s="400"/>
    </row>
    <row r="4" spans="1:1" ht="17" customHeight="1">
      <c r="A4" s="400"/>
    </row>
    <row r="5" spans="1:1" ht="17" customHeight="1">
      <c r="A5" s="400"/>
    </row>
    <row r="6" spans="1:1" ht="17" customHeight="1">
      <c r="A6" s="400"/>
    </row>
    <row r="7" spans="1:1" ht="17" customHeight="1">
      <c r="A7" s="400"/>
    </row>
    <row r="8" spans="1:1" ht="17" customHeight="1">
      <c r="A8" s="400"/>
    </row>
    <row r="9" spans="1:1" ht="17" customHeight="1">
      <c r="A9" s="400"/>
    </row>
    <row r="10" spans="1:1" ht="17" customHeight="1">
      <c r="A10" s="400"/>
    </row>
    <row r="11" spans="1:1" ht="17" customHeight="1">
      <c r="A11" s="400"/>
    </row>
    <row r="12" spans="1:1" ht="17" customHeight="1">
      <c r="A12" s="400"/>
    </row>
    <row r="13" spans="1:1" ht="17" customHeight="1">
      <c r="A13" s="400"/>
    </row>
    <row r="14" spans="1:1" ht="17" customHeight="1">
      <c r="A14" s="400"/>
    </row>
    <row r="15" spans="1:1" ht="17" customHeight="1">
      <c r="A15" s="400"/>
    </row>
    <row r="16" spans="1:1" ht="17" customHeight="1">
      <c r="A16" s="400"/>
    </row>
    <row r="17" spans="1:28" ht="17" customHeight="1" thickBot="1">
      <c r="A17" s="400"/>
    </row>
    <row r="18" spans="1:28" ht="17" customHeight="1" thickBot="1">
      <c r="A18" s="400"/>
      <c r="I18" s="423" t="s">
        <v>197</v>
      </c>
      <c r="J18" s="424">
        <f>+X286</f>
        <v>1.35986324576387</v>
      </c>
      <c r="S18" s="426" t="s">
        <v>336</v>
      </c>
      <c r="T18" s="427"/>
      <c r="U18" s="211"/>
      <c r="V18" s="211"/>
      <c r="W18" s="211"/>
      <c r="X18" s="211"/>
      <c r="Z18" s="428" t="s">
        <v>346</v>
      </c>
      <c r="AA18" s="211"/>
      <c r="AB18" s="211"/>
    </row>
    <row r="19" spans="1:28" ht="8.6999999999999993" customHeight="1">
      <c r="A19" s="400"/>
      <c r="R19"/>
    </row>
    <row r="20" spans="1:28" ht="17" customHeight="1" thickBot="1">
      <c r="A20" s="401" t="s">
        <v>331</v>
      </c>
      <c r="I20" s="401" t="s">
        <v>333</v>
      </c>
      <c r="P20" s="51" t="s">
        <v>335</v>
      </c>
      <c r="R20"/>
      <c r="S20" s="402" t="s">
        <v>339</v>
      </c>
      <c r="T20" s="402" t="s">
        <v>338</v>
      </c>
      <c r="U20" s="402" t="s">
        <v>341</v>
      </c>
      <c r="V20" s="402" t="s">
        <v>340</v>
      </c>
      <c r="W20" s="420" t="s">
        <v>343</v>
      </c>
      <c r="X20" s="402" t="s">
        <v>342</v>
      </c>
      <c r="Z20" s="369" t="s">
        <v>347</v>
      </c>
    </row>
    <row r="21" spans="1:28" s="411" customFormat="1" ht="34.700000000000003" customHeight="1" thickBot="1">
      <c r="A21" s="404" t="s">
        <v>326</v>
      </c>
      <c r="B21" s="405" t="s">
        <v>327</v>
      </c>
      <c r="C21" s="405" t="s">
        <v>328</v>
      </c>
      <c r="D21" s="405" t="s">
        <v>329</v>
      </c>
      <c r="E21" s="405" t="s">
        <v>330</v>
      </c>
      <c r="F21" s="406" t="s">
        <v>332</v>
      </c>
      <c r="G21" s="425" t="s">
        <v>345</v>
      </c>
      <c r="I21" s="405" t="s">
        <v>327</v>
      </c>
      <c r="J21" s="405" t="s">
        <v>328</v>
      </c>
      <c r="K21" s="405" t="s">
        <v>329</v>
      </c>
      <c r="L21" s="405" t="s">
        <v>330</v>
      </c>
      <c r="M21" s="406" t="s">
        <v>332</v>
      </c>
      <c r="N21" s="425" t="s">
        <v>345</v>
      </c>
      <c r="P21" s="412" t="s">
        <v>326</v>
      </c>
      <c r="Q21" s="413" t="s">
        <v>153</v>
      </c>
      <c r="S21" s="403" t="s">
        <v>153</v>
      </c>
      <c r="T21" s="403" t="s">
        <v>337</v>
      </c>
      <c r="Z21" s="403" t="s">
        <v>326</v>
      </c>
      <c r="AA21" s="403" t="s">
        <v>153</v>
      </c>
      <c r="AB21" s="403" t="s">
        <v>337</v>
      </c>
    </row>
    <row r="22" spans="1:28" ht="17.45" customHeight="1">
      <c r="A22" s="285">
        <v>42282</v>
      </c>
      <c r="B22" s="325">
        <v>50.650002000000001</v>
      </c>
      <c r="C22" s="325">
        <v>52.790000999999997</v>
      </c>
      <c r="D22" s="325">
        <v>50.650002000000001</v>
      </c>
      <c r="E22" s="325">
        <v>52.119999</v>
      </c>
      <c r="I22">
        <v>1994.01001</v>
      </c>
      <c r="J22">
        <v>2020.130005</v>
      </c>
      <c r="K22">
        <v>1987.530029</v>
      </c>
      <c r="L22">
        <v>2014.8900149999999</v>
      </c>
      <c r="P22" s="285">
        <v>42282</v>
      </c>
      <c r="Q22" s="407">
        <f>+E22</f>
        <v>52.119999</v>
      </c>
      <c r="R22"/>
      <c r="S22" s="409">
        <f>+F23</f>
        <v>-4.4512663939229924E-2</v>
      </c>
      <c r="T22" s="409">
        <f>+M23</f>
        <v>9.0426623112727089E-3</v>
      </c>
      <c r="U22" s="312">
        <f>+S22-$S$285</f>
        <v>-4.6338022796512841E-2</v>
      </c>
      <c r="V22" s="312">
        <f>+T22-$T$285</f>
        <v>6.7818354382435829E-3</v>
      </c>
      <c r="W22" s="419">
        <f>+V22*U22</f>
        <v>-3.1425684513952982E-4</v>
      </c>
      <c r="X22" s="419">
        <f>+T22^2</f>
        <v>8.176974167571189E-5</v>
      </c>
    </row>
    <row r="23" spans="1:28" ht="17.45" customHeight="1">
      <c r="A23" s="285">
        <v>42289</v>
      </c>
      <c r="B23" s="325">
        <v>52.080002</v>
      </c>
      <c r="C23" s="325">
        <v>52.509998000000003</v>
      </c>
      <c r="D23" s="325">
        <v>48.52</v>
      </c>
      <c r="E23" s="325">
        <v>49.799999</v>
      </c>
      <c r="F23" s="366">
        <f>+E23/E22-1</f>
        <v>-4.4512663939229924E-2</v>
      </c>
      <c r="G23" s="366">
        <f>+F23</f>
        <v>-4.4512663939229924E-2</v>
      </c>
      <c r="I23">
        <v>2015.650024</v>
      </c>
      <c r="J23">
        <v>2033.540039</v>
      </c>
      <c r="K23">
        <v>1990.7299800000001</v>
      </c>
      <c r="L23">
        <v>2033.1099850000001</v>
      </c>
      <c r="M23" s="366">
        <f>+L23/L22-1</f>
        <v>9.0426623112727089E-3</v>
      </c>
      <c r="N23" s="366">
        <f>+M23</f>
        <v>9.0426623112727089E-3</v>
      </c>
      <c r="P23" s="285">
        <v>42289</v>
      </c>
      <c r="Q23" s="407">
        <f t="shared" ref="Q23:Q86" si="0">+E23</f>
        <v>49.799999</v>
      </c>
      <c r="R23"/>
      <c r="S23" s="409">
        <f>+F24</f>
        <v>-2.0079920081925717E-3</v>
      </c>
      <c r="T23" s="409">
        <f>+M24</f>
        <v>2.0677640319591406E-2</v>
      </c>
      <c r="U23" s="312">
        <f>+S23-$S$285</f>
        <v>-3.8333508654754878E-3</v>
      </c>
      <c r="V23" s="312">
        <f>+T23-$T$285</f>
        <v>1.8416813446562281E-2</v>
      </c>
      <c r="W23" s="419">
        <f t="shared" ref="W23:W86" si="1">+V23*U23</f>
        <v>-7.0598107764680118E-5</v>
      </c>
      <c r="X23" s="419">
        <f t="shared" ref="X23:X86" si="2">+T23^2</f>
        <v>4.2756480918639217E-4</v>
      </c>
      <c r="Z23" s="285">
        <f>+A23</f>
        <v>42289</v>
      </c>
      <c r="AA23" s="312">
        <f>+G23</f>
        <v>-4.4512663939229924E-2</v>
      </c>
      <c r="AB23" s="312">
        <f>+N23</f>
        <v>9.0426623112727089E-3</v>
      </c>
    </row>
    <row r="24" spans="1:28" ht="17.45" customHeight="1">
      <c r="A24" s="285">
        <v>42296</v>
      </c>
      <c r="B24" s="325">
        <v>49.52</v>
      </c>
      <c r="C24" s="325">
        <v>51.77</v>
      </c>
      <c r="D24" s="325">
        <v>49.439999</v>
      </c>
      <c r="E24" s="325">
        <v>49.700001</v>
      </c>
      <c r="F24" s="366">
        <f t="shared" ref="F24:F87" si="3">+E24/E23-1</f>
        <v>-2.0079920081925717E-3</v>
      </c>
      <c r="G24" s="366">
        <f>+F24+G23</f>
        <v>-4.6520655947422496E-2</v>
      </c>
      <c r="I24">
        <v>2031.7299800000001</v>
      </c>
      <c r="J24">
        <v>2079.73999</v>
      </c>
      <c r="K24">
        <v>2017.219971</v>
      </c>
      <c r="L24">
        <v>2075.1499020000001</v>
      </c>
      <c r="M24" s="366">
        <f t="shared" ref="M24:M87" si="4">+L24/L23-1</f>
        <v>2.0677640319591406E-2</v>
      </c>
      <c r="N24" s="366">
        <f>+M24+N23</f>
        <v>2.9720302630864115E-2</v>
      </c>
      <c r="P24" s="285">
        <v>42296</v>
      </c>
      <c r="Q24" s="407">
        <f t="shared" si="0"/>
        <v>49.700001</v>
      </c>
      <c r="R24"/>
      <c r="S24" s="409">
        <f>+F25</f>
        <v>1.4084526879587056E-2</v>
      </c>
      <c r="T24" s="409">
        <f>+M25</f>
        <v>2.0288678885038713E-3</v>
      </c>
      <c r="U24" s="312">
        <f>+S24-$S$285</f>
        <v>1.225916802230414E-2</v>
      </c>
      <c r="V24" s="312">
        <f>+T24-$T$285</f>
        <v>-2.3195898452525471E-4</v>
      </c>
      <c r="W24" s="419">
        <f t="shared" si="1"/>
        <v>-2.8436241655781437E-6</v>
      </c>
      <c r="X24" s="419">
        <f t="shared" si="2"/>
        <v>4.1163049090021572E-6</v>
      </c>
      <c r="Z24" s="285">
        <f t="shared" ref="Z24:Z87" si="5">+A24</f>
        <v>42296</v>
      </c>
      <c r="AA24" s="312">
        <f t="shared" ref="AA24:AA87" si="6">+G24</f>
        <v>-4.6520655947422496E-2</v>
      </c>
      <c r="AB24" s="312">
        <f t="shared" ref="AB24:AB87" si="7">+N24</f>
        <v>2.9720302630864115E-2</v>
      </c>
    </row>
    <row r="25" spans="1:28" ht="17.45" customHeight="1">
      <c r="A25" s="285">
        <v>42303</v>
      </c>
      <c r="B25" s="325">
        <v>49.630001</v>
      </c>
      <c r="C25" s="325">
        <v>54</v>
      </c>
      <c r="D25" s="325">
        <v>48.41</v>
      </c>
      <c r="E25" s="325">
        <v>50.400002000000001</v>
      </c>
      <c r="F25" s="366">
        <f t="shared" si="3"/>
        <v>1.4084526879587056E-2</v>
      </c>
      <c r="G25" s="366">
        <f t="shared" ref="G25:G88" si="8">+F25+G24</f>
        <v>-3.243612906783544E-2</v>
      </c>
      <c r="I25">
        <v>2075.080078</v>
      </c>
      <c r="J25">
        <v>2094.320068</v>
      </c>
      <c r="K25">
        <v>2058.8400879999999</v>
      </c>
      <c r="L25">
        <v>2079.360107</v>
      </c>
      <c r="M25" s="366">
        <f t="shared" si="4"/>
        <v>2.0288678885038713E-3</v>
      </c>
      <c r="N25" s="366">
        <f t="shared" ref="N25:N88" si="9">+M25+N24</f>
        <v>3.1749170519367986E-2</v>
      </c>
      <c r="P25" s="285">
        <v>42303</v>
      </c>
      <c r="Q25" s="407">
        <f t="shared" si="0"/>
        <v>50.400002000000001</v>
      </c>
      <c r="R25"/>
      <c r="S25" s="409">
        <f>+F26</f>
        <v>3.0952320200304806E-2</v>
      </c>
      <c r="T25" s="409">
        <f>+M26</f>
        <v>9.5413218389690524E-3</v>
      </c>
      <c r="U25" s="312">
        <f>+S25-$S$285</f>
        <v>2.9126961343021888E-2</v>
      </c>
      <c r="V25" s="312">
        <f>+T25-$T$285</f>
        <v>7.2804949659399263E-3</v>
      </c>
      <c r="W25" s="419">
        <f t="shared" si="1"/>
        <v>2.1205869543099769E-4</v>
      </c>
      <c r="X25" s="419">
        <f t="shared" si="2"/>
        <v>9.1036822434787781E-5</v>
      </c>
      <c r="Z25" s="285">
        <f t="shared" si="5"/>
        <v>42303</v>
      </c>
      <c r="AA25" s="312">
        <f t="shared" si="6"/>
        <v>-3.243612906783544E-2</v>
      </c>
      <c r="AB25" s="312">
        <f t="shared" si="7"/>
        <v>3.1749170519367986E-2</v>
      </c>
    </row>
    <row r="26" spans="1:28" ht="17.45" customHeight="1">
      <c r="A26" s="285">
        <v>42310</v>
      </c>
      <c r="B26" s="325">
        <v>50.110000999999997</v>
      </c>
      <c r="C26" s="325">
        <v>52.630001</v>
      </c>
      <c r="D26" s="325">
        <v>48.740001999999997</v>
      </c>
      <c r="E26" s="325">
        <v>51.959999000000003</v>
      </c>
      <c r="F26" s="366">
        <f t="shared" si="3"/>
        <v>3.0952320200304806E-2</v>
      </c>
      <c r="G26" s="366">
        <f t="shared" si="8"/>
        <v>-1.4838088675306338E-3</v>
      </c>
      <c r="I26">
        <v>2080.76001</v>
      </c>
      <c r="J26">
        <v>2116.4799800000001</v>
      </c>
      <c r="K26">
        <v>2080.76001</v>
      </c>
      <c r="L26">
        <v>2099.1999510000001</v>
      </c>
      <c r="M26" s="366">
        <f t="shared" si="4"/>
        <v>9.5413218389690524E-3</v>
      </c>
      <c r="N26" s="366">
        <f t="shared" si="9"/>
        <v>4.1290492358337039E-2</v>
      </c>
      <c r="P26" s="285">
        <v>42310</v>
      </c>
      <c r="Q26" s="407">
        <f t="shared" si="0"/>
        <v>51.959999000000003</v>
      </c>
      <c r="R26"/>
      <c r="S26" s="409">
        <f>+F27</f>
        <v>-4.6766744549013639E-2</v>
      </c>
      <c r="T26" s="409">
        <f>+M27</f>
        <v>-3.6280446731012717E-2</v>
      </c>
      <c r="U26" s="312">
        <f>+S26-$S$285</f>
        <v>-4.8592103406296557E-2</v>
      </c>
      <c r="V26" s="312">
        <f>+T26-$T$285</f>
        <v>-3.8541273604041845E-2</v>
      </c>
      <c r="W26" s="419">
        <f t="shared" si="1"/>
        <v>1.8728015523779692E-3</v>
      </c>
      <c r="X26" s="419">
        <f t="shared" si="2"/>
        <v>1.3162708150018514E-3</v>
      </c>
      <c r="Z26" s="285">
        <f t="shared" si="5"/>
        <v>42310</v>
      </c>
      <c r="AA26" s="312">
        <f t="shared" si="6"/>
        <v>-1.4838088675306338E-3</v>
      </c>
      <c r="AB26" s="312">
        <f t="shared" si="7"/>
        <v>4.1290492358337039E-2</v>
      </c>
    </row>
    <row r="27" spans="1:28" ht="17.45" customHeight="1">
      <c r="A27" s="285">
        <v>42317</v>
      </c>
      <c r="B27" s="325">
        <v>51.619999</v>
      </c>
      <c r="C27" s="325">
        <v>52.799999</v>
      </c>
      <c r="D27" s="325">
        <v>49.48</v>
      </c>
      <c r="E27" s="325">
        <v>49.529998999999997</v>
      </c>
      <c r="F27" s="366">
        <f t="shared" si="3"/>
        <v>-4.6766744549013639E-2</v>
      </c>
      <c r="G27" s="366">
        <f t="shared" si="8"/>
        <v>-4.8250553416544273E-2</v>
      </c>
      <c r="I27">
        <v>2096.5600589999999</v>
      </c>
      <c r="J27">
        <v>2096.5600589999999</v>
      </c>
      <c r="K27">
        <v>2022.0200199999999</v>
      </c>
      <c r="L27">
        <v>2023.040039</v>
      </c>
      <c r="M27" s="366">
        <f t="shared" si="4"/>
        <v>-3.6280446731012717E-2</v>
      </c>
      <c r="N27" s="366">
        <f t="shared" si="9"/>
        <v>5.0100456273243221E-3</v>
      </c>
      <c r="P27" s="285">
        <v>42317</v>
      </c>
      <c r="Q27" s="407">
        <f t="shared" si="0"/>
        <v>49.529998999999997</v>
      </c>
      <c r="R27"/>
      <c r="S27" s="409">
        <f>+F28</f>
        <v>-4.0381587732307711E-4</v>
      </c>
      <c r="T27" s="409">
        <f>+M28</f>
        <v>3.2688370830608271E-2</v>
      </c>
      <c r="U27" s="312">
        <f>+S27-$S$285</f>
        <v>-2.2291747346059932E-3</v>
      </c>
      <c r="V27" s="312">
        <f>+T27-$T$285</f>
        <v>3.0427543957579146E-2</v>
      </c>
      <c r="W27" s="419">
        <f t="shared" si="1"/>
        <v>-6.7828312226348686E-5</v>
      </c>
      <c r="X27" s="419">
        <f t="shared" si="2"/>
        <v>1.0685295875593618E-3</v>
      </c>
      <c r="Z27" s="285">
        <f t="shared" si="5"/>
        <v>42317</v>
      </c>
      <c r="AA27" s="312">
        <f t="shared" si="6"/>
        <v>-4.8250553416544273E-2</v>
      </c>
      <c r="AB27" s="312">
        <f t="shared" si="7"/>
        <v>5.0100456273243221E-3</v>
      </c>
    </row>
    <row r="28" spans="1:28" ht="17.45" customHeight="1">
      <c r="A28" s="285">
        <v>42324</v>
      </c>
      <c r="B28" s="325">
        <v>50.810001</v>
      </c>
      <c r="C28" s="325">
        <v>52.880001</v>
      </c>
      <c r="D28" s="325">
        <v>48.66</v>
      </c>
      <c r="E28" s="325">
        <v>49.509998000000003</v>
      </c>
      <c r="F28" s="366">
        <f t="shared" si="3"/>
        <v>-4.0381587732307711E-4</v>
      </c>
      <c r="G28" s="366">
        <f t="shared" si="8"/>
        <v>-4.865436929386735E-2</v>
      </c>
      <c r="I28">
        <v>2022.079956</v>
      </c>
      <c r="J28">
        <v>2097.0600589999999</v>
      </c>
      <c r="K28">
        <v>2019.3900149999999</v>
      </c>
      <c r="L28">
        <v>2089.169922</v>
      </c>
      <c r="M28" s="366">
        <f t="shared" si="4"/>
        <v>3.2688370830608271E-2</v>
      </c>
      <c r="N28" s="366">
        <f t="shared" si="9"/>
        <v>3.7698416457932593E-2</v>
      </c>
      <c r="P28" s="285">
        <v>42324</v>
      </c>
      <c r="Q28" s="407">
        <f t="shared" si="0"/>
        <v>49.509998000000003</v>
      </c>
      <c r="R28"/>
      <c r="S28" s="409">
        <f>+F29</f>
        <v>8.079378229826073E-4</v>
      </c>
      <c r="T28" s="409">
        <f>+M29</f>
        <v>4.5002801835281048E-4</v>
      </c>
      <c r="U28" s="312">
        <f>+S28-$S$285</f>
        <v>-1.0174210343003088E-3</v>
      </c>
      <c r="V28" s="312">
        <f>+T28-$T$285</f>
        <v>-1.8107988546763156E-3</v>
      </c>
      <c r="W28" s="419">
        <f t="shared" si="1"/>
        <v>1.8423448436345916E-6</v>
      </c>
      <c r="X28" s="419">
        <f t="shared" si="2"/>
        <v>2.0252521730255754E-7</v>
      </c>
      <c r="Z28" s="285">
        <f t="shared" si="5"/>
        <v>42324</v>
      </c>
      <c r="AA28" s="312">
        <f t="shared" si="6"/>
        <v>-4.865436929386735E-2</v>
      </c>
      <c r="AB28" s="312">
        <f t="shared" si="7"/>
        <v>3.7698416457932593E-2</v>
      </c>
    </row>
    <row r="29" spans="1:28" ht="17.45" customHeight="1">
      <c r="A29" s="285">
        <v>42331</v>
      </c>
      <c r="B29" s="325">
        <v>49.41</v>
      </c>
      <c r="C29" s="325">
        <v>51.23</v>
      </c>
      <c r="D29" s="325">
        <v>48.830002</v>
      </c>
      <c r="E29" s="325">
        <v>49.549999</v>
      </c>
      <c r="F29" s="366">
        <f t="shared" si="3"/>
        <v>8.079378229826073E-4</v>
      </c>
      <c r="G29" s="366">
        <f t="shared" si="8"/>
        <v>-4.7846431470884743E-2</v>
      </c>
      <c r="I29">
        <v>2089.4099120000001</v>
      </c>
      <c r="J29">
        <v>2095.610107</v>
      </c>
      <c r="K29">
        <v>2070.290039</v>
      </c>
      <c r="L29">
        <v>2090.110107</v>
      </c>
      <c r="M29" s="366">
        <f t="shared" si="4"/>
        <v>4.5002801835281048E-4</v>
      </c>
      <c r="N29" s="366">
        <f t="shared" si="9"/>
        <v>3.8148444476285404E-2</v>
      </c>
      <c r="P29" s="285">
        <v>42331</v>
      </c>
      <c r="Q29" s="407">
        <f t="shared" si="0"/>
        <v>49.549999</v>
      </c>
      <c r="R29"/>
      <c r="S29" s="409">
        <f>+F30</f>
        <v>-1.8163471607738346E-3</v>
      </c>
      <c r="T29" s="409">
        <f>+M30</f>
        <v>7.5586161451934863E-4</v>
      </c>
      <c r="U29" s="312">
        <f>+S29-$S$285</f>
        <v>-3.6417060180567507E-3</v>
      </c>
      <c r="V29" s="312">
        <f>+T29-$T$285</f>
        <v>-1.5049652585097774E-3</v>
      </c>
      <c r="W29" s="419">
        <f t="shared" si="1"/>
        <v>5.48064103888139E-6</v>
      </c>
      <c r="X29" s="419">
        <f t="shared" si="2"/>
        <v>5.713267803037964E-7</v>
      </c>
      <c r="Z29" s="285">
        <f t="shared" si="5"/>
        <v>42331</v>
      </c>
      <c r="AA29" s="312">
        <f t="shared" si="6"/>
        <v>-4.7846431470884743E-2</v>
      </c>
      <c r="AB29" s="312">
        <f t="shared" si="7"/>
        <v>3.8148444476285404E-2</v>
      </c>
    </row>
    <row r="30" spans="1:28" ht="17.45" customHeight="1">
      <c r="A30" s="285">
        <v>42338</v>
      </c>
      <c r="B30" s="325">
        <v>49.689999</v>
      </c>
      <c r="C30" s="325">
        <v>50.580002</v>
      </c>
      <c r="D30" s="325">
        <v>48.380001</v>
      </c>
      <c r="E30" s="325">
        <v>49.459999000000003</v>
      </c>
      <c r="F30" s="366">
        <f t="shared" si="3"/>
        <v>-1.8163471607738346E-3</v>
      </c>
      <c r="G30" s="366">
        <f t="shared" si="8"/>
        <v>-4.9662778631658577E-2</v>
      </c>
      <c r="I30">
        <v>2090.9499510000001</v>
      </c>
      <c r="J30">
        <v>2104.2700199999999</v>
      </c>
      <c r="K30">
        <v>2042.349976</v>
      </c>
      <c r="L30">
        <v>2091.6899410000001</v>
      </c>
      <c r="M30" s="366">
        <f t="shared" si="4"/>
        <v>7.5586161451934863E-4</v>
      </c>
      <c r="N30" s="366">
        <f t="shared" si="9"/>
        <v>3.8904306090804752E-2</v>
      </c>
      <c r="P30" s="285">
        <v>42338</v>
      </c>
      <c r="Q30" s="407">
        <f t="shared" si="0"/>
        <v>49.459999000000003</v>
      </c>
      <c r="R30"/>
      <c r="S30" s="409">
        <f>+F31</f>
        <v>-2.8912252909669589E-2</v>
      </c>
      <c r="T30" s="409">
        <f>+M31</f>
        <v>-3.7921464575231711E-2</v>
      </c>
      <c r="U30" s="312">
        <f>+S30-$S$285</f>
        <v>-3.0737611766952506E-2</v>
      </c>
      <c r="V30" s="312">
        <f>+T30-$T$285</f>
        <v>-4.018229144826084E-2</v>
      </c>
      <c r="W30" s="419">
        <f t="shared" si="1"/>
        <v>1.2351076744431776E-3</v>
      </c>
      <c r="X30" s="419">
        <f t="shared" si="2"/>
        <v>1.4380374755305536E-3</v>
      </c>
      <c r="Z30" s="285">
        <f t="shared" si="5"/>
        <v>42338</v>
      </c>
      <c r="AA30" s="312">
        <f t="shared" si="6"/>
        <v>-4.9662778631658577E-2</v>
      </c>
      <c r="AB30" s="312">
        <f t="shared" si="7"/>
        <v>3.8904306090804752E-2</v>
      </c>
    </row>
    <row r="31" spans="1:28" ht="17.45" customHeight="1">
      <c r="A31" s="285">
        <v>42345</v>
      </c>
      <c r="B31" s="325">
        <v>49.349997999999999</v>
      </c>
      <c r="C31" s="325">
        <v>49.349997999999999</v>
      </c>
      <c r="D31" s="325">
        <v>47.41</v>
      </c>
      <c r="E31" s="325">
        <v>48.029998999999997</v>
      </c>
      <c r="F31" s="366">
        <f t="shared" si="3"/>
        <v>-2.8912252909669589E-2</v>
      </c>
      <c r="G31" s="366">
        <f t="shared" si="8"/>
        <v>-7.8575031541328166E-2</v>
      </c>
      <c r="I31">
        <v>2090.419922</v>
      </c>
      <c r="J31">
        <v>2090.419922</v>
      </c>
      <c r="K31">
        <v>2008.8000489999999</v>
      </c>
      <c r="L31">
        <v>2012.369995</v>
      </c>
      <c r="M31" s="366">
        <f t="shared" si="4"/>
        <v>-3.7921464575231711E-2</v>
      </c>
      <c r="N31" s="366">
        <f t="shared" si="9"/>
        <v>9.8284151557304078E-4</v>
      </c>
      <c r="P31" s="285">
        <v>42345</v>
      </c>
      <c r="Q31" s="407">
        <f t="shared" si="0"/>
        <v>48.029998999999997</v>
      </c>
      <c r="R31"/>
      <c r="S31" s="409">
        <f>+F32</f>
        <v>2.7066625589560189E-3</v>
      </c>
      <c r="T31" s="409">
        <f>+M32</f>
        <v>-3.3890119694415244E-3</v>
      </c>
      <c r="U31" s="312">
        <f>+S31-$S$285</f>
        <v>8.8130370167310281E-4</v>
      </c>
      <c r="V31" s="312">
        <f>+T31-$T$285</f>
        <v>-5.6498388424706504E-3</v>
      </c>
      <c r="W31" s="419">
        <f t="shared" si="1"/>
        <v>-4.979223885725863E-6</v>
      </c>
      <c r="X31" s="419">
        <f t="shared" si="2"/>
        <v>1.148540212901792E-5</v>
      </c>
      <c r="Z31" s="285">
        <f t="shared" si="5"/>
        <v>42345</v>
      </c>
      <c r="AA31" s="312">
        <f t="shared" si="6"/>
        <v>-7.8575031541328166E-2</v>
      </c>
      <c r="AB31" s="312">
        <f t="shared" si="7"/>
        <v>9.8284151557304078E-4</v>
      </c>
    </row>
    <row r="32" spans="1:28" ht="17.45" customHeight="1">
      <c r="A32" s="285">
        <v>42352</v>
      </c>
      <c r="B32" s="325">
        <v>48.130001</v>
      </c>
      <c r="C32" s="325">
        <v>49.540000999999997</v>
      </c>
      <c r="D32" s="325">
        <v>46.919998</v>
      </c>
      <c r="E32" s="325">
        <v>48.16</v>
      </c>
      <c r="F32" s="366">
        <f t="shared" si="3"/>
        <v>2.7066625589560189E-3</v>
      </c>
      <c r="G32" s="366">
        <f t="shared" si="8"/>
        <v>-7.5868368982372147E-2</v>
      </c>
      <c r="I32">
        <v>2013.369995</v>
      </c>
      <c r="J32">
        <v>2076.719971</v>
      </c>
      <c r="K32">
        <v>1993.26001</v>
      </c>
      <c r="L32">
        <v>2005.5500489999999</v>
      </c>
      <c r="M32" s="366">
        <f t="shared" si="4"/>
        <v>-3.3890119694415244E-3</v>
      </c>
      <c r="N32" s="366">
        <f t="shared" si="9"/>
        <v>-2.4061704538684836E-3</v>
      </c>
      <c r="P32" s="285">
        <v>42352</v>
      </c>
      <c r="Q32" s="407">
        <f t="shared" si="0"/>
        <v>48.16</v>
      </c>
      <c r="R32"/>
      <c r="S32" s="409">
        <f>+F33</f>
        <v>8.3058554817272423E-4</v>
      </c>
      <c r="T32" s="409">
        <f>+M33</f>
        <v>2.7643259776859441E-2</v>
      </c>
      <c r="U32" s="312">
        <f>+S32-$S$285</f>
        <v>-9.9477330911019188E-4</v>
      </c>
      <c r="V32" s="312">
        <f>+T32-$T$285</f>
        <v>2.5382432903830316E-2</v>
      </c>
      <c r="W32" s="419">
        <f t="shared" si="1"/>
        <v>-2.5249766773010701E-5</v>
      </c>
      <c r="X32" s="419">
        <f t="shared" si="2"/>
        <v>7.6414981109093508E-4</v>
      </c>
      <c r="Z32" s="285">
        <f t="shared" si="5"/>
        <v>42352</v>
      </c>
      <c r="AA32" s="312">
        <f t="shared" si="6"/>
        <v>-7.5868368982372147E-2</v>
      </c>
      <c r="AB32" s="312">
        <f t="shared" si="7"/>
        <v>-2.4061704538684836E-3</v>
      </c>
    </row>
    <row r="33" spans="1:28" ht="17.45" customHeight="1">
      <c r="A33" s="285">
        <v>42359</v>
      </c>
      <c r="B33" s="325">
        <v>48.299999</v>
      </c>
      <c r="C33" s="325">
        <v>49.41</v>
      </c>
      <c r="D33" s="325">
        <v>47.290000999999997</v>
      </c>
      <c r="E33" s="325">
        <v>48.200001</v>
      </c>
      <c r="F33" s="366">
        <f t="shared" si="3"/>
        <v>8.3058554817272423E-4</v>
      </c>
      <c r="G33" s="366">
        <f t="shared" si="8"/>
        <v>-7.5037783434199423E-2</v>
      </c>
      <c r="I33">
        <v>2010.2700199999999</v>
      </c>
      <c r="J33">
        <v>2067.360107</v>
      </c>
      <c r="K33">
        <v>2005.9300539999999</v>
      </c>
      <c r="L33">
        <v>2060.98999</v>
      </c>
      <c r="M33" s="366">
        <f t="shared" si="4"/>
        <v>2.7643259776859441E-2</v>
      </c>
      <c r="N33" s="366">
        <f t="shared" si="9"/>
        <v>2.5237089322990958E-2</v>
      </c>
      <c r="P33" s="285">
        <v>42359</v>
      </c>
      <c r="Q33" s="407">
        <f t="shared" si="0"/>
        <v>48.200001</v>
      </c>
      <c r="R33"/>
      <c r="S33" s="409">
        <f>+F34</f>
        <v>-2.448134803980595E-2</v>
      </c>
      <c r="T33" s="409">
        <f>+M34</f>
        <v>-8.2727471180003009E-3</v>
      </c>
      <c r="U33" s="312">
        <f>+S33-$S$285</f>
        <v>-2.6306706897088868E-2</v>
      </c>
      <c r="V33" s="312">
        <f>+T33-$T$285</f>
        <v>-1.0533573991029426E-2</v>
      </c>
      <c r="W33" s="419">
        <f t="shared" si="1"/>
        <v>2.7710364356080974E-4</v>
      </c>
      <c r="X33" s="419">
        <f t="shared" si="2"/>
        <v>6.8438344878382279E-5</v>
      </c>
      <c r="Z33" s="285">
        <f t="shared" si="5"/>
        <v>42359</v>
      </c>
      <c r="AA33" s="312">
        <f t="shared" si="6"/>
        <v>-7.5037783434199423E-2</v>
      </c>
      <c r="AB33" s="312">
        <f t="shared" si="7"/>
        <v>2.5237089322990958E-2</v>
      </c>
    </row>
    <row r="34" spans="1:28" ht="17.45" customHeight="1">
      <c r="A34" s="285">
        <v>42366</v>
      </c>
      <c r="B34" s="325">
        <v>48.060001</v>
      </c>
      <c r="C34" s="325">
        <v>48.73</v>
      </c>
      <c r="D34" s="325">
        <v>46.98</v>
      </c>
      <c r="E34" s="325">
        <v>47.02</v>
      </c>
      <c r="F34" s="366">
        <f t="shared" si="3"/>
        <v>-2.448134803980595E-2</v>
      </c>
      <c r="G34" s="366">
        <f t="shared" si="8"/>
        <v>-9.9519131474005373E-2</v>
      </c>
      <c r="I34">
        <v>2057.7700199999999</v>
      </c>
      <c r="J34">
        <v>2081.5600589999999</v>
      </c>
      <c r="K34">
        <v>2043.619995</v>
      </c>
      <c r="L34">
        <v>2043.9399410000001</v>
      </c>
      <c r="M34" s="366">
        <f t="shared" si="4"/>
        <v>-8.2727471180003009E-3</v>
      </c>
      <c r="N34" s="366">
        <f t="shared" si="9"/>
        <v>1.6964342204990657E-2</v>
      </c>
      <c r="P34" s="285">
        <v>42366</v>
      </c>
      <c r="Q34" s="414">
        <f t="shared" si="0"/>
        <v>47.02</v>
      </c>
      <c r="R34"/>
      <c r="S34" s="409">
        <f>+F35</f>
        <v>-0.12250110591237773</v>
      </c>
      <c r="T34" s="409">
        <f>+M35</f>
        <v>-5.9644566630639551E-2</v>
      </c>
      <c r="U34" s="312">
        <f>+S34-$S$285</f>
        <v>-0.12432646476966064</v>
      </c>
      <c r="V34" s="312">
        <f>+T34-$T$285</f>
        <v>-6.1905393503668679E-2</v>
      </c>
      <c r="W34" s="419">
        <f t="shared" si="1"/>
        <v>7.6964787244858425E-3</v>
      </c>
      <c r="X34" s="419">
        <f t="shared" si="2"/>
        <v>3.5574743285568008E-3</v>
      </c>
      <c r="Z34" s="285">
        <f t="shared" si="5"/>
        <v>42366</v>
      </c>
      <c r="AA34" s="312">
        <f t="shared" si="6"/>
        <v>-9.9519131474005373E-2</v>
      </c>
      <c r="AB34" s="312">
        <f t="shared" si="7"/>
        <v>1.6964342204990657E-2</v>
      </c>
    </row>
    <row r="35" spans="1:28" ht="17.45" customHeight="1">
      <c r="A35" s="285">
        <v>42373</v>
      </c>
      <c r="B35" s="325">
        <v>46.099997999999999</v>
      </c>
      <c r="C35" s="325">
        <v>46.130001</v>
      </c>
      <c r="D35" s="325">
        <v>41.23</v>
      </c>
      <c r="E35" s="325">
        <v>41.259998000000003</v>
      </c>
      <c r="F35" s="366">
        <f t="shared" si="3"/>
        <v>-0.12250110591237773</v>
      </c>
      <c r="G35" s="366">
        <f t="shared" si="8"/>
        <v>-0.2220202373863831</v>
      </c>
      <c r="I35">
        <v>2038.1999510000001</v>
      </c>
      <c r="J35">
        <v>2038.1999510000001</v>
      </c>
      <c r="K35">
        <v>1918.459961</v>
      </c>
      <c r="L35">
        <v>1922.030029</v>
      </c>
      <c r="M35" s="366">
        <f t="shared" si="4"/>
        <v>-5.9644566630639551E-2</v>
      </c>
      <c r="N35" s="366">
        <f t="shared" si="9"/>
        <v>-4.2680224425648894E-2</v>
      </c>
      <c r="P35" s="285">
        <v>42373</v>
      </c>
      <c r="Q35" s="407">
        <f t="shared" si="0"/>
        <v>41.259998000000003</v>
      </c>
      <c r="R35"/>
      <c r="S35" s="409">
        <f>+F36</f>
        <v>-0.10348997108531144</v>
      </c>
      <c r="T35" s="409">
        <f>+M36</f>
        <v>-2.1695848852942179E-2</v>
      </c>
      <c r="U35" s="312">
        <f>+S35-$S$285</f>
        <v>-0.10531532994259435</v>
      </c>
      <c r="V35" s="312">
        <f>+T35-$T$285</f>
        <v>-2.3956675725971304E-2</v>
      </c>
      <c r="W35" s="419">
        <f t="shared" si="1"/>
        <v>2.5230052084084091E-3</v>
      </c>
      <c r="X35" s="419">
        <f t="shared" si="2"/>
        <v>4.7070985744971245E-4</v>
      </c>
      <c r="Z35" s="285">
        <f t="shared" si="5"/>
        <v>42373</v>
      </c>
      <c r="AA35" s="312">
        <f t="shared" si="6"/>
        <v>-0.2220202373863831</v>
      </c>
      <c r="AB35" s="312">
        <f t="shared" si="7"/>
        <v>-4.2680224425648894E-2</v>
      </c>
    </row>
    <row r="36" spans="1:28" ht="17.45" customHeight="1">
      <c r="A36" s="285">
        <v>42380</v>
      </c>
      <c r="B36" s="325">
        <v>41.380001</v>
      </c>
      <c r="C36" s="325">
        <v>41.810001</v>
      </c>
      <c r="D36" s="325">
        <v>35.610000999999997</v>
      </c>
      <c r="E36" s="325">
        <v>36.990001999999997</v>
      </c>
      <c r="F36" s="366">
        <f t="shared" si="3"/>
        <v>-0.10348997108531144</v>
      </c>
      <c r="G36" s="366">
        <f t="shared" si="8"/>
        <v>-0.32551020847169454</v>
      </c>
      <c r="I36">
        <v>1926.119995</v>
      </c>
      <c r="J36">
        <v>1950.329956</v>
      </c>
      <c r="K36">
        <v>1857.829956</v>
      </c>
      <c r="L36">
        <v>1880.329956</v>
      </c>
      <c r="M36" s="366">
        <f t="shared" si="4"/>
        <v>-2.1695848852942179E-2</v>
      </c>
      <c r="N36" s="366">
        <f t="shared" si="9"/>
        <v>-6.4376073278591073E-2</v>
      </c>
      <c r="P36" s="285">
        <v>42380</v>
      </c>
      <c r="Q36" s="407">
        <f t="shared" si="0"/>
        <v>36.990001999999997</v>
      </c>
      <c r="R36"/>
      <c r="S36" s="409">
        <f>+F37</f>
        <v>4.5147280608419438E-2</v>
      </c>
      <c r="T36" s="409">
        <f>+M37</f>
        <v>1.4130534864488453E-2</v>
      </c>
      <c r="U36" s="312">
        <f>+S36-$S$285</f>
        <v>4.332192175113652E-2</v>
      </c>
      <c r="V36" s="312">
        <f>+T36-$T$285</f>
        <v>1.1869707991459328E-2</v>
      </c>
      <c r="W36" s="419">
        <f t="shared" si="1"/>
        <v>5.1421856081484084E-4</v>
      </c>
      <c r="X36" s="419">
        <f t="shared" si="2"/>
        <v>1.996720155565237E-4</v>
      </c>
      <c r="Z36" s="285">
        <f t="shared" si="5"/>
        <v>42380</v>
      </c>
      <c r="AA36" s="312">
        <f t="shared" si="6"/>
        <v>-0.32551020847169454</v>
      </c>
      <c r="AB36" s="312">
        <f t="shared" si="7"/>
        <v>-6.4376073278591073E-2</v>
      </c>
    </row>
    <row r="37" spans="1:28" ht="17.45" customHeight="1">
      <c r="A37" s="285">
        <v>42387</v>
      </c>
      <c r="B37" s="325">
        <v>37.259998000000003</v>
      </c>
      <c r="C37" s="325">
        <v>39.840000000000003</v>
      </c>
      <c r="D37" s="325">
        <v>34.060001</v>
      </c>
      <c r="E37" s="325">
        <v>38.659999999999997</v>
      </c>
      <c r="F37" s="366">
        <f t="shared" si="3"/>
        <v>4.5147280608419438E-2</v>
      </c>
      <c r="G37" s="366">
        <f t="shared" si="8"/>
        <v>-0.2803629278632751</v>
      </c>
      <c r="I37">
        <v>1888.660034</v>
      </c>
      <c r="J37">
        <v>1908.849976</v>
      </c>
      <c r="K37">
        <v>1812.290039</v>
      </c>
      <c r="L37">
        <v>1906.900024</v>
      </c>
      <c r="M37" s="366">
        <f t="shared" si="4"/>
        <v>1.4130534864488453E-2</v>
      </c>
      <c r="N37" s="366">
        <f t="shared" si="9"/>
        <v>-5.024553841410262E-2</v>
      </c>
      <c r="P37" s="285">
        <v>42387</v>
      </c>
      <c r="Q37" s="407">
        <f t="shared" si="0"/>
        <v>38.659999999999997</v>
      </c>
      <c r="R37"/>
      <c r="S37" s="409">
        <f>+F38</f>
        <v>5.1733057423697382E-4</v>
      </c>
      <c r="T37" s="409">
        <f>+M38</f>
        <v>1.7483856301005574E-2</v>
      </c>
      <c r="U37" s="312">
        <f>+S37-$S$285</f>
        <v>-1.3080282830459423E-3</v>
      </c>
      <c r="V37" s="312">
        <f>+T37-$T$285</f>
        <v>1.5223029427976448E-2</v>
      </c>
      <c r="W37" s="419">
        <f t="shared" si="1"/>
        <v>-1.9912153045433885E-5</v>
      </c>
      <c r="X37" s="419">
        <f t="shared" si="2"/>
        <v>3.0568523115421229E-4</v>
      </c>
      <c r="Z37" s="285">
        <f t="shared" si="5"/>
        <v>42387</v>
      </c>
      <c r="AA37" s="312">
        <f t="shared" si="6"/>
        <v>-0.2803629278632751</v>
      </c>
      <c r="AB37" s="312">
        <f t="shared" si="7"/>
        <v>-5.024553841410262E-2</v>
      </c>
    </row>
    <row r="38" spans="1:28" ht="17.45" customHeight="1">
      <c r="A38" s="285">
        <v>42394</v>
      </c>
      <c r="B38" s="325">
        <v>38.450001</v>
      </c>
      <c r="C38" s="325">
        <v>38.900002000000001</v>
      </c>
      <c r="D38" s="325">
        <v>37</v>
      </c>
      <c r="E38" s="325">
        <v>38.68</v>
      </c>
      <c r="F38" s="366">
        <f t="shared" si="3"/>
        <v>5.1733057423697382E-4</v>
      </c>
      <c r="G38" s="366">
        <f t="shared" si="8"/>
        <v>-0.27984559728903813</v>
      </c>
      <c r="I38">
        <v>1906.280029</v>
      </c>
      <c r="J38">
        <v>1940.23999</v>
      </c>
      <c r="K38">
        <v>1872.6999510000001</v>
      </c>
      <c r="L38">
        <v>1940.23999</v>
      </c>
      <c r="M38" s="366">
        <f t="shared" si="4"/>
        <v>1.7483856301005574E-2</v>
      </c>
      <c r="N38" s="366">
        <f t="shared" si="9"/>
        <v>-3.2761682113097046E-2</v>
      </c>
      <c r="P38" s="285">
        <v>42394</v>
      </c>
      <c r="Q38" s="407">
        <f t="shared" si="0"/>
        <v>38.68</v>
      </c>
      <c r="R38"/>
      <c r="S38" s="409">
        <f>+F39</f>
        <v>2.4560522233712412E-2</v>
      </c>
      <c r="T38" s="409">
        <f>+M39</f>
        <v>-3.1021905181946141E-2</v>
      </c>
      <c r="U38" s="312">
        <f>+S38-$S$285</f>
        <v>2.2735163376429494E-2</v>
      </c>
      <c r="V38" s="312">
        <f>+T38-$T$285</f>
        <v>-3.328273205497527E-2</v>
      </c>
      <c r="W38" s="419">
        <f t="shared" si="1"/>
        <v>-7.5668835088378973E-4</v>
      </c>
      <c r="X38" s="419">
        <f t="shared" si="2"/>
        <v>9.6235860111765681E-4</v>
      </c>
      <c r="Z38" s="285">
        <f t="shared" si="5"/>
        <v>42394</v>
      </c>
      <c r="AA38" s="312">
        <f t="shared" si="6"/>
        <v>-0.27984559728903813</v>
      </c>
      <c r="AB38" s="312">
        <f t="shared" si="7"/>
        <v>-3.2761682113097046E-2</v>
      </c>
    </row>
    <row r="39" spans="1:28" ht="17.45" customHeight="1">
      <c r="A39" s="285">
        <v>42401</v>
      </c>
      <c r="B39" s="325">
        <v>38.310001</v>
      </c>
      <c r="C39" s="325">
        <v>40.549999</v>
      </c>
      <c r="D39" s="325">
        <v>37</v>
      </c>
      <c r="E39" s="325">
        <v>39.630001</v>
      </c>
      <c r="F39" s="366">
        <f t="shared" si="3"/>
        <v>2.4560522233712412E-2</v>
      </c>
      <c r="G39" s="366">
        <f t="shared" si="8"/>
        <v>-0.25528507505532572</v>
      </c>
      <c r="I39">
        <v>1936.9399410000001</v>
      </c>
      <c r="J39">
        <v>1947.1999510000001</v>
      </c>
      <c r="K39">
        <v>1872.2299800000001</v>
      </c>
      <c r="L39">
        <v>1880.0500489999999</v>
      </c>
      <c r="M39" s="366">
        <f t="shared" si="4"/>
        <v>-3.1021905181946141E-2</v>
      </c>
      <c r="N39" s="366">
        <f t="shared" si="9"/>
        <v>-6.3783587295043187E-2</v>
      </c>
      <c r="P39" s="285">
        <v>42401</v>
      </c>
      <c r="Q39" s="407">
        <f t="shared" si="0"/>
        <v>39.630001</v>
      </c>
      <c r="R39"/>
      <c r="S39" s="409">
        <f>+F40</f>
        <v>-5.0466816793681701E-4</v>
      </c>
      <c r="T39" s="409">
        <f>+M40</f>
        <v>-8.1221348379113545E-3</v>
      </c>
      <c r="U39" s="312">
        <f>+S39-$S$285</f>
        <v>-2.3300270252197331E-3</v>
      </c>
      <c r="V39" s="312">
        <f>+T39-$T$285</f>
        <v>-1.038296171094048E-2</v>
      </c>
      <c r="W39" s="419">
        <f t="shared" si="1"/>
        <v>2.4192581388313036E-5</v>
      </c>
      <c r="X39" s="419">
        <f t="shared" si="2"/>
        <v>6.5969074325213307E-5</v>
      </c>
      <c r="Z39" s="285">
        <f t="shared" si="5"/>
        <v>42401</v>
      </c>
      <c r="AA39" s="312">
        <f t="shared" si="6"/>
        <v>-0.25528507505532572</v>
      </c>
      <c r="AB39" s="312">
        <f t="shared" si="7"/>
        <v>-6.3783587295043187E-2</v>
      </c>
    </row>
    <row r="40" spans="1:28" ht="17.45" customHeight="1">
      <c r="A40" s="285">
        <v>42408</v>
      </c>
      <c r="B40" s="325">
        <v>39.07</v>
      </c>
      <c r="C40" s="325">
        <v>40.580002</v>
      </c>
      <c r="D40" s="325">
        <v>37.659999999999997</v>
      </c>
      <c r="E40" s="325">
        <v>39.610000999999997</v>
      </c>
      <c r="F40" s="366">
        <f t="shared" si="3"/>
        <v>-5.0466816793681701E-4</v>
      </c>
      <c r="G40" s="366">
        <f t="shared" si="8"/>
        <v>-0.25578974322326253</v>
      </c>
      <c r="I40">
        <v>1873.25</v>
      </c>
      <c r="J40">
        <v>1881.599976</v>
      </c>
      <c r="K40">
        <v>1810.099976</v>
      </c>
      <c r="L40">
        <v>1864.780029</v>
      </c>
      <c r="M40" s="366">
        <f t="shared" si="4"/>
        <v>-8.1221348379113545E-3</v>
      </c>
      <c r="N40" s="366">
        <f t="shared" si="9"/>
        <v>-7.1905722132954542E-2</v>
      </c>
      <c r="P40" s="285">
        <v>42408</v>
      </c>
      <c r="Q40" s="407">
        <f t="shared" si="0"/>
        <v>39.610000999999997</v>
      </c>
      <c r="R40"/>
      <c r="S40" s="409">
        <f>+F41</f>
        <v>0.15071953671498273</v>
      </c>
      <c r="T40" s="409">
        <f>+M41</f>
        <v>2.8421582801067213E-2</v>
      </c>
      <c r="U40" s="312">
        <f>+S40-$S$285</f>
        <v>0.14889417785769982</v>
      </c>
      <c r="V40" s="312">
        <f>+T40-$T$285</f>
        <v>2.6160755928038088E-2</v>
      </c>
      <c r="W40" s="419">
        <f t="shared" si="1"/>
        <v>3.8951842460411778E-3</v>
      </c>
      <c r="X40" s="419">
        <f t="shared" si="2"/>
        <v>8.0778636891791966E-4</v>
      </c>
      <c r="Z40" s="285">
        <f t="shared" si="5"/>
        <v>42408</v>
      </c>
      <c r="AA40" s="312">
        <f t="shared" si="6"/>
        <v>-0.25578974322326253</v>
      </c>
      <c r="AB40" s="312">
        <f t="shared" si="7"/>
        <v>-7.1905722132954542E-2</v>
      </c>
    </row>
    <row r="41" spans="1:28" ht="17.45" customHeight="1">
      <c r="A41" s="285">
        <v>42415</v>
      </c>
      <c r="B41" s="325">
        <v>40.229999999999997</v>
      </c>
      <c r="C41" s="325">
        <v>45.650002000000001</v>
      </c>
      <c r="D41" s="325">
        <v>40.229999999999997</v>
      </c>
      <c r="E41" s="325">
        <v>45.580002</v>
      </c>
      <c r="F41" s="366">
        <f t="shared" si="3"/>
        <v>0.15071953671498273</v>
      </c>
      <c r="G41" s="366">
        <f t="shared" si="8"/>
        <v>-0.10507020650827981</v>
      </c>
      <c r="I41">
        <v>1871.4399410000001</v>
      </c>
      <c r="J41">
        <v>1930.6800539999999</v>
      </c>
      <c r="K41">
        <v>1871.4399410000001</v>
      </c>
      <c r="L41">
        <v>1917.780029</v>
      </c>
      <c r="M41" s="366">
        <f t="shared" si="4"/>
        <v>2.8421582801067213E-2</v>
      </c>
      <c r="N41" s="366">
        <f t="shared" si="9"/>
        <v>-4.3484139331887328E-2</v>
      </c>
      <c r="P41" s="285">
        <v>42415</v>
      </c>
      <c r="Q41" s="407">
        <f t="shared" si="0"/>
        <v>45.580002</v>
      </c>
      <c r="R41"/>
      <c r="S41" s="409">
        <f>+F42</f>
        <v>1.1847235109818444E-2</v>
      </c>
      <c r="T41" s="409">
        <f>+M42</f>
        <v>1.5783885295637345E-2</v>
      </c>
      <c r="U41" s="312">
        <f>+S41-$S$285</f>
        <v>1.0021876252535528E-2</v>
      </c>
      <c r="V41" s="312">
        <f>+T41-$T$285</f>
        <v>1.352305842260822E-2</v>
      </c>
      <c r="W41" s="419">
        <f t="shared" si="1"/>
        <v>1.3552641806718787E-4</v>
      </c>
      <c r="X41" s="419">
        <f t="shared" si="2"/>
        <v>2.4913103502583682E-4</v>
      </c>
      <c r="Z41" s="285">
        <f t="shared" si="5"/>
        <v>42415</v>
      </c>
      <c r="AA41" s="312">
        <f t="shared" si="6"/>
        <v>-0.10507020650827981</v>
      </c>
      <c r="AB41" s="312">
        <f t="shared" si="7"/>
        <v>-4.3484139331887328E-2</v>
      </c>
    </row>
    <row r="42" spans="1:28" ht="17.45" customHeight="1">
      <c r="A42" s="285">
        <v>42422</v>
      </c>
      <c r="B42" s="325">
        <v>45.700001</v>
      </c>
      <c r="C42" s="325">
        <v>47.299999</v>
      </c>
      <c r="D42" s="325">
        <v>44.759998000000003</v>
      </c>
      <c r="E42" s="325">
        <v>46.119999</v>
      </c>
      <c r="F42" s="366">
        <f t="shared" si="3"/>
        <v>1.1847235109818444E-2</v>
      </c>
      <c r="G42" s="366">
        <f t="shared" si="8"/>
        <v>-9.3222971398461363E-2</v>
      </c>
      <c r="I42">
        <v>1924.4399410000001</v>
      </c>
      <c r="J42">
        <v>1962.959961</v>
      </c>
      <c r="K42">
        <v>1891</v>
      </c>
      <c r="L42">
        <v>1948.0500489999999</v>
      </c>
      <c r="M42" s="366">
        <f t="shared" si="4"/>
        <v>1.5783885295637345E-2</v>
      </c>
      <c r="N42" s="366">
        <f t="shared" si="9"/>
        <v>-2.7700254036249983E-2</v>
      </c>
      <c r="P42" s="285">
        <v>42422</v>
      </c>
      <c r="Q42" s="407">
        <f t="shared" si="0"/>
        <v>46.119999</v>
      </c>
      <c r="R42"/>
      <c r="S42" s="409">
        <f>+F43</f>
        <v>4.4232459762195475E-2</v>
      </c>
      <c r="T42" s="409">
        <f>+M43</f>
        <v>2.6662529038544269E-2</v>
      </c>
      <c r="U42" s="312">
        <f>+S42-$S$285</f>
        <v>4.2407100904912558E-2</v>
      </c>
      <c r="V42" s="312">
        <f>+T42-$T$285</f>
        <v>2.4401702165515144E-2</v>
      </c>
      <c r="W42" s="419">
        <f t="shared" si="1"/>
        <v>1.034805445984624E-3</v>
      </c>
      <c r="X42" s="419">
        <f t="shared" si="2"/>
        <v>7.1089045473121638E-4</v>
      </c>
      <c r="Z42" s="285">
        <f t="shared" si="5"/>
        <v>42422</v>
      </c>
      <c r="AA42" s="312">
        <f t="shared" si="6"/>
        <v>-9.3222971398461363E-2</v>
      </c>
      <c r="AB42" s="312">
        <f t="shared" si="7"/>
        <v>-2.7700254036249983E-2</v>
      </c>
    </row>
    <row r="43" spans="1:28" ht="17.45" customHeight="1">
      <c r="A43" s="285">
        <v>42429</v>
      </c>
      <c r="B43" s="325">
        <v>46.110000999999997</v>
      </c>
      <c r="C43" s="325">
        <v>48.48</v>
      </c>
      <c r="D43" s="325">
        <v>45.970001000000003</v>
      </c>
      <c r="E43" s="325">
        <v>48.16</v>
      </c>
      <c r="F43" s="366">
        <f t="shared" si="3"/>
        <v>4.4232459762195475E-2</v>
      </c>
      <c r="G43" s="366">
        <f t="shared" si="8"/>
        <v>-4.8990511636265888E-2</v>
      </c>
      <c r="I43">
        <v>1947.130005</v>
      </c>
      <c r="J43">
        <v>2009.130005</v>
      </c>
      <c r="K43">
        <v>1931.8100589999999</v>
      </c>
      <c r="L43">
        <v>1999.98999</v>
      </c>
      <c r="M43" s="366">
        <f t="shared" si="4"/>
        <v>2.6662529038544269E-2</v>
      </c>
      <c r="N43" s="366">
        <f t="shared" si="9"/>
        <v>-1.0377249977057135E-3</v>
      </c>
      <c r="P43" s="285">
        <v>42429</v>
      </c>
      <c r="Q43" s="407">
        <f t="shared" si="0"/>
        <v>48.16</v>
      </c>
      <c r="R43"/>
      <c r="S43" s="409">
        <f>+F44</f>
        <v>-1.9310631229235931E-2</v>
      </c>
      <c r="T43" s="409">
        <f>+M44</f>
        <v>1.110003105565549E-2</v>
      </c>
      <c r="U43" s="312">
        <f>+S43-$S$285</f>
        <v>-2.1135990086518848E-2</v>
      </c>
      <c r="V43" s="312">
        <f>+T43-$T$285</f>
        <v>8.8392041826263652E-3</v>
      </c>
      <c r="W43" s="419">
        <f t="shared" si="1"/>
        <v>-1.8682533197670679E-4</v>
      </c>
      <c r="X43" s="419">
        <f t="shared" si="2"/>
        <v>1.2321068943651635E-4</v>
      </c>
      <c r="Z43" s="285">
        <f t="shared" si="5"/>
        <v>42429</v>
      </c>
      <c r="AA43" s="312">
        <f t="shared" si="6"/>
        <v>-4.8990511636265888E-2</v>
      </c>
      <c r="AB43" s="312">
        <f t="shared" si="7"/>
        <v>-1.0377249977057135E-3</v>
      </c>
    </row>
    <row r="44" spans="1:28" ht="17.45" customHeight="1">
      <c r="A44" s="285">
        <v>42436</v>
      </c>
      <c r="B44" s="325">
        <v>48.09</v>
      </c>
      <c r="C44" s="325">
        <v>49.07</v>
      </c>
      <c r="D44" s="325">
        <v>45.540000999999997</v>
      </c>
      <c r="E44" s="325">
        <v>47.23</v>
      </c>
      <c r="F44" s="366">
        <f t="shared" si="3"/>
        <v>-1.9310631229235931E-2</v>
      </c>
      <c r="G44" s="366">
        <f t="shared" si="8"/>
        <v>-6.8301142865501818E-2</v>
      </c>
      <c r="I44">
        <v>1996.1099850000001</v>
      </c>
      <c r="J44">
        <v>2022.369995</v>
      </c>
      <c r="K44">
        <v>1969.25</v>
      </c>
      <c r="L44">
        <v>2022.1899410000001</v>
      </c>
      <c r="M44" s="366">
        <f t="shared" si="4"/>
        <v>1.110003105565549E-2</v>
      </c>
      <c r="N44" s="366">
        <f t="shared" si="9"/>
        <v>1.0062306057949777E-2</v>
      </c>
      <c r="P44" s="285">
        <v>42436</v>
      </c>
      <c r="Q44" s="407">
        <f t="shared" si="0"/>
        <v>47.23</v>
      </c>
      <c r="R44"/>
      <c r="S44" s="409">
        <f>+F45</f>
        <v>3.8111369892017688E-3</v>
      </c>
      <c r="T44" s="409">
        <f>+M45</f>
        <v>1.3544789460506967E-2</v>
      </c>
      <c r="U44" s="312">
        <f>+S44-$S$285</f>
        <v>1.9857781319188527E-3</v>
      </c>
      <c r="V44" s="312">
        <f>+T44-$T$285</f>
        <v>1.1283962587477842E-2</v>
      </c>
      <c r="W44" s="419">
        <f t="shared" si="1"/>
        <v>2.2407446147603972E-5</v>
      </c>
      <c r="X44" s="419">
        <f t="shared" si="2"/>
        <v>1.8346132152946063E-4</v>
      </c>
      <c r="Z44" s="285">
        <f t="shared" si="5"/>
        <v>42436</v>
      </c>
      <c r="AA44" s="312">
        <f t="shared" si="6"/>
        <v>-6.8301142865501818E-2</v>
      </c>
      <c r="AB44" s="312">
        <f t="shared" si="7"/>
        <v>1.0062306057949777E-2</v>
      </c>
    </row>
    <row r="45" spans="1:28" ht="17.45" customHeight="1">
      <c r="A45" s="285">
        <v>42443</v>
      </c>
      <c r="B45" s="325">
        <v>47.75</v>
      </c>
      <c r="C45" s="325">
        <v>48.939999</v>
      </c>
      <c r="D45" s="325">
        <v>45.959999000000003</v>
      </c>
      <c r="E45" s="325">
        <v>47.41</v>
      </c>
      <c r="F45" s="366">
        <f t="shared" si="3"/>
        <v>3.8111369892017688E-3</v>
      </c>
      <c r="G45" s="366">
        <f t="shared" si="8"/>
        <v>-6.4490005876300049E-2</v>
      </c>
      <c r="I45">
        <v>2019.2700199999999</v>
      </c>
      <c r="J45">
        <v>2052.360107</v>
      </c>
      <c r="K45">
        <v>2005.2299800000001</v>
      </c>
      <c r="L45">
        <v>2049.580078</v>
      </c>
      <c r="M45" s="366">
        <f t="shared" si="4"/>
        <v>1.3544789460506967E-2</v>
      </c>
      <c r="N45" s="366">
        <f t="shared" si="9"/>
        <v>2.3607095518456744E-2</v>
      </c>
      <c r="P45" s="285">
        <v>42443</v>
      </c>
      <c r="Q45" s="407">
        <f t="shared" si="0"/>
        <v>47.41</v>
      </c>
      <c r="R45"/>
      <c r="S45" s="409">
        <f>+F46</f>
        <v>-3.1639316599871847E-3</v>
      </c>
      <c r="T45" s="409">
        <f>+M46</f>
        <v>-6.655088594201275E-3</v>
      </c>
      <c r="U45" s="312">
        <f>+S45-$S$285</f>
        <v>-4.9892905172701004E-3</v>
      </c>
      <c r="V45" s="312">
        <f>+T45-$T$285</f>
        <v>-8.9159154672304002E-3</v>
      </c>
      <c r="W45" s="419">
        <f t="shared" si="1"/>
        <v>4.448409249343445E-5</v>
      </c>
      <c r="X45" s="419">
        <f t="shared" si="2"/>
        <v>4.42902041966679E-5</v>
      </c>
      <c r="Z45" s="285">
        <f t="shared" si="5"/>
        <v>42443</v>
      </c>
      <c r="AA45" s="312">
        <f t="shared" si="6"/>
        <v>-6.4490005876300049E-2</v>
      </c>
      <c r="AB45" s="312">
        <f t="shared" si="7"/>
        <v>2.3607095518456744E-2</v>
      </c>
    </row>
    <row r="46" spans="1:28" ht="17.45" customHeight="1">
      <c r="A46" s="285">
        <v>42450</v>
      </c>
      <c r="B46" s="325">
        <v>48.32</v>
      </c>
      <c r="C46" s="325">
        <v>49.82</v>
      </c>
      <c r="D46" s="325">
        <v>46.75</v>
      </c>
      <c r="E46" s="325">
        <v>47.259998000000003</v>
      </c>
      <c r="F46" s="366">
        <f t="shared" si="3"/>
        <v>-3.1639316599871847E-3</v>
      </c>
      <c r="G46" s="366">
        <f t="shared" si="8"/>
        <v>-6.7653937536287234E-2</v>
      </c>
      <c r="I46">
        <v>2047.880005</v>
      </c>
      <c r="J46">
        <v>2056.6000979999999</v>
      </c>
      <c r="K46">
        <v>2022.48999</v>
      </c>
      <c r="L46">
        <v>2035.9399410000001</v>
      </c>
      <c r="M46" s="366">
        <f t="shared" si="4"/>
        <v>-6.655088594201275E-3</v>
      </c>
      <c r="N46" s="366">
        <f t="shared" si="9"/>
        <v>1.6952006924255469E-2</v>
      </c>
      <c r="P46" s="285">
        <v>42450</v>
      </c>
      <c r="Q46" s="407">
        <f t="shared" si="0"/>
        <v>47.259998000000003</v>
      </c>
      <c r="R46"/>
      <c r="S46" s="409">
        <f>+F47</f>
        <v>2.539147377873352E-2</v>
      </c>
      <c r="T46" s="409">
        <f>+M47</f>
        <v>1.8094879548315568E-2</v>
      </c>
      <c r="U46" s="312">
        <f>+S46-$S$285</f>
        <v>2.3566114921450602E-2</v>
      </c>
      <c r="V46" s="312">
        <f>+T46-$T$285</f>
        <v>1.5834052675286443E-2</v>
      </c>
      <c r="W46" s="419">
        <f t="shared" si="1"/>
        <v>3.7314710501810266E-4</v>
      </c>
      <c r="X46" s="419">
        <f t="shared" si="2"/>
        <v>3.27424665868049E-4</v>
      </c>
      <c r="Z46" s="285">
        <f t="shared" si="5"/>
        <v>42450</v>
      </c>
      <c r="AA46" s="312">
        <f t="shared" si="6"/>
        <v>-6.7653937536287234E-2</v>
      </c>
      <c r="AB46" s="312">
        <f t="shared" si="7"/>
        <v>1.6952006924255469E-2</v>
      </c>
    </row>
    <row r="47" spans="1:28" ht="17.45" customHeight="1">
      <c r="A47" s="285">
        <v>42457</v>
      </c>
      <c r="B47" s="325">
        <v>47.470001000000003</v>
      </c>
      <c r="C47" s="325">
        <v>49.810001</v>
      </c>
      <c r="D47" s="325">
        <v>46.880001</v>
      </c>
      <c r="E47" s="325">
        <v>48.459999000000003</v>
      </c>
      <c r="F47" s="366">
        <f t="shared" si="3"/>
        <v>2.539147377873352E-2</v>
      </c>
      <c r="G47" s="366">
        <f t="shared" si="8"/>
        <v>-4.2262463757553714E-2</v>
      </c>
      <c r="I47">
        <v>2037.8900149999999</v>
      </c>
      <c r="J47">
        <v>2075.070068</v>
      </c>
      <c r="K47">
        <v>2028.3100589999999</v>
      </c>
      <c r="L47">
        <v>2072.780029</v>
      </c>
      <c r="M47" s="366">
        <f t="shared" si="4"/>
        <v>1.8094879548315568E-2</v>
      </c>
      <c r="N47" s="366">
        <f t="shared" si="9"/>
        <v>3.5046886472571037E-2</v>
      </c>
      <c r="P47" s="285">
        <v>42457</v>
      </c>
      <c r="Q47" s="407">
        <f t="shared" si="0"/>
        <v>48.459999000000003</v>
      </c>
      <c r="R47"/>
      <c r="S47" s="409">
        <f>+F48</f>
        <v>-3.2604169059103794E-2</v>
      </c>
      <c r="T47" s="409">
        <f>+M48</f>
        <v>-1.2147961987142408E-2</v>
      </c>
      <c r="U47" s="312">
        <f>+S47-$S$285</f>
        <v>-3.4429527916386711E-2</v>
      </c>
      <c r="V47" s="312">
        <f>+T47-$T$285</f>
        <v>-1.4408788860171533E-2</v>
      </c>
      <c r="W47" s="419">
        <f t="shared" si="1"/>
        <v>4.9608779830259762E-4</v>
      </c>
      <c r="X47" s="419">
        <f t="shared" si="2"/>
        <v>1.4757298044105693E-4</v>
      </c>
      <c r="Z47" s="285">
        <f t="shared" si="5"/>
        <v>42457</v>
      </c>
      <c r="AA47" s="312">
        <f t="shared" si="6"/>
        <v>-4.2262463757553714E-2</v>
      </c>
      <c r="AB47" s="312">
        <f t="shared" si="7"/>
        <v>3.5046886472571037E-2</v>
      </c>
    </row>
    <row r="48" spans="1:28" ht="17.45" customHeight="1">
      <c r="A48" s="285">
        <v>42464</v>
      </c>
      <c r="B48" s="325">
        <v>48.560001</v>
      </c>
      <c r="C48" s="325">
        <v>48.740001999999997</v>
      </c>
      <c r="D48" s="325">
        <v>45.93</v>
      </c>
      <c r="E48" s="325">
        <v>46.880001</v>
      </c>
      <c r="F48" s="366">
        <f t="shared" si="3"/>
        <v>-3.2604169059103794E-2</v>
      </c>
      <c r="G48" s="366">
        <f t="shared" si="8"/>
        <v>-7.4866632816657508E-2</v>
      </c>
      <c r="I48">
        <v>2073.1899410000001</v>
      </c>
      <c r="J48">
        <v>2074.0200199999999</v>
      </c>
      <c r="K48">
        <v>2033.8000489999999</v>
      </c>
      <c r="L48">
        <v>2047.599976</v>
      </c>
      <c r="M48" s="366">
        <f t="shared" si="4"/>
        <v>-1.2147961987142408E-2</v>
      </c>
      <c r="N48" s="366">
        <f t="shared" si="9"/>
        <v>2.2898924485428629E-2</v>
      </c>
      <c r="P48" s="285">
        <v>42464</v>
      </c>
      <c r="Q48" s="407">
        <f t="shared" si="0"/>
        <v>46.880001</v>
      </c>
      <c r="R48"/>
      <c r="S48" s="409">
        <f>+F49</f>
        <v>2.5810558323153598E-2</v>
      </c>
      <c r="T48" s="409">
        <f>+M49</f>
        <v>1.6179920095877209E-2</v>
      </c>
      <c r="U48" s="312">
        <f>+S48-$S$285</f>
        <v>2.3985199465870681E-2</v>
      </c>
      <c r="V48" s="312">
        <f>+T48-$T$285</f>
        <v>1.3919093222848084E-2</v>
      </c>
      <c r="W48" s="419">
        <f t="shared" si="1"/>
        <v>3.3385222733406009E-4</v>
      </c>
      <c r="X48" s="419">
        <f t="shared" si="2"/>
        <v>2.6178981430897118E-4</v>
      </c>
      <c r="Z48" s="285">
        <f t="shared" si="5"/>
        <v>42464</v>
      </c>
      <c r="AA48" s="312">
        <f t="shared" si="6"/>
        <v>-7.4866632816657508E-2</v>
      </c>
      <c r="AB48" s="312">
        <f t="shared" si="7"/>
        <v>2.2898924485428629E-2</v>
      </c>
    </row>
    <row r="49" spans="1:28" ht="17.45" customHeight="1">
      <c r="A49" s="285">
        <v>42471</v>
      </c>
      <c r="B49" s="325">
        <v>47.029998999999997</v>
      </c>
      <c r="C49" s="325">
        <v>49.009998000000003</v>
      </c>
      <c r="D49" s="325">
        <v>46.77</v>
      </c>
      <c r="E49" s="325">
        <v>48.09</v>
      </c>
      <c r="F49" s="366">
        <f t="shared" si="3"/>
        <v>2.5810558323153598E-2</v>
      </c>
      <c r="G49" s="366">
        <f t="shared" si="8"/>
        <v>-4.9056074493503909E-2</v>
      </c>
      <c r="I49">
        <v>2050.2299800000001</v>
      </c>
      <c r="J49">
        <v>2087.8400879999999</v>
      </c>
      <c r="K49">
        <v>2039.73999</v>
      </c>
      <c r="L49">
        <v>2080.7299800000001</v>
      </c>
      <c r="M49" s="366">
        <f t="shared" si="4"/>
        <v>1.6179920095877209E-2</v>
      </c>
      <c r="N49" s="366">
        <f t="shared" si="9"/>
        <v>3.9078844581305838E-2</v>
      </c>
      <c r="P49" s="285">
        <v>42471</v>
      </c>
      <c r="Q49" s="407">
        <f t="shared" si="0"/>
        <v>48.09</v>
      </c>
      <c r="R49"/>
      <c r="S49" s="409">
        <f>+F50</f>
        <v>-3.3063006862133593E-2</v>
      </c>
      <c r="T49" s="409">
        <f>+M50</f>
        <v>5.2145632082447602E-3</v>
      </c>
      <c r="U49" s="312">
        <f>+S49-$S$285</f>
        <v>-3.488836571941651E-2</v>
      </c>
      <c r="V49" s="312">
        <f>+T49-$T$285</f>
        <v>2.9537363352156341E-3</v>
      </c>
      <c r="W49" s="419">
        <f t="shared" si="1"/>
        <v>-1.0305103350173208E-4</v>
      </c>
      <c r="X49" s="419">
        <f t="shared" si="2"/>
        <v>2.7191669452779888E-5</v>
      </c>
      <c r="Z49" s="285">
        <f t="shared" si="5"/>
        <v>42471</v>
      </c>
      <c r="AA49" s="312">
        <f t="shared" si="6"/>
        <v>-4.9056074493503909E-2</v>
      </c>
      <c r="AB49" s="312">
        <f t="shared" si="7"/>
        <v>3.9078844581305838E-2</v>
      </c>
    </row>
    <row r="50" spans="1:28" ht="17.45" customHeight="1">
      <c r="A50" s="285">
        <v>42478</v>
      </c>
      <c r="B50" s="325">
        <v>48.029998999999997</v>
      </c>
      <c r="C50" s="325">
        <v>48.169998</v>
      </c>
      <c r="D50" s="325">
        <v>45.490001999999997</v>
      </c>
      <c r="E50" s="325">
        <v>46.5</v>
      </c>
      <c r="F50" s="366">
        <f t="shared" si="3"/>
        <v>-3.3063006862133593E-2</v>
      </c>
      <c r="G50" s="366">
        <f t="shared" si="8"/>
        <v>-8.2119081355637502E-2</v>
      </c>
      <c r="I50">
        <v>2078.830078</v>
      </c>
      <c r="J50">
        <v>2111.0500489999999</v>
      </c>
      <c r="K50">
        <v>2073.6499020000001</v>
      </c>
      <c r="L50">
        <v>2091.580078</v>
      </c>
      <c r="M50" s="366">
        <f t="shared" si="4"/>
        <v>5.2145632082447602E-3</v>
      </c>
      <c r="N50" s="366">
        <f t="shared" si="9"/>
        <v>4.4293407789550598E-2</v>
      </c>
      <c r="P50" s="285">
        <v>42478</v>
      </c>
      <c r="Q50" s="407">
        <f t="shared" si="0"/>
        <v>46.5</v>
      </c>
      <c r="R50"/>
      <c r="S50" s="409">
        <f>+F51</f>
        <v>2.9677440860214954E-2</v>
      </c>
      <c r="T50" s="409">
        <f>+M51</f>
        <v>-1.2564677430437876E-2</v>
      </c>
      <c r="U50" s="312">
        <f>+S50-$S$285</f>
        <v>2.7852082002932037E-2</v>
      </c>
      <c r="V50" s="312">
        <f>+T50-$T$285</f>
        <v>-1.4825504303467001E-2</v>
      </c>
      <c r="W50" s="419">
        <f t="shared" si="1"/>
        <v>-4.1292116159498475E-4</v>
      </c>
      <c r="X50" s="419">
        <f t="shared" si="2"/>
        <v>1.5787111893095495E-4</v>
      </c>
      <c r="Z50" s="285">
        <f t="shared" si="5"/>
        <v>42478</v>
      </c>
      <c r="AA50" s="312">
        <f t="shared" si="6"/>
        <v>-8.2119081355637502E-2</v>
      </c>
      <c r="AB50" s="312">
        <f t="shared" si="7"/>
        <v>4.4293407789550598E-2</v>
      </c>
    </row>
    <row r="51" spans="1:28" ht="17.45" customHeight="1">
      <c r="A51" s="285">
        <v>42485</v>
      </c>
      <c r="B51" s="325">
        <v>46.630001</v>
      </c>
      <c r="C51" s="325">
        <v>48.889999000000003</v>
      </c>
      <c r="D51" s="325">
        <v>45.93</v>
      </c>
      <c r="E51" s="325">
        <v>47.880001</v>
      </c>
      <c r="F51" s="366">
        <f t="shared" si="3"/>
        <v>2.9677440860214954E-2</v>
      </c>
      <c r="G51" s="366">
        <f t="shared" si="8"/>
        <v>-5.2441640495422548E-2</v>
      </c>
      <c r="I51">
        <v>2089.3701169999999</v>
      </c>
      <c r="J51">
        <v>2099.889893</v>
      </c>
      <c r="K51">
        <v>2052.280029</v>
      </c>
      <c r="L51">
        <v>2065.3000489999999</v>
      </c>
      <c r="M51" s="366">
        <f t="shared" si="4"/>
        <v>-1.2564677430437876E-2</v>
      </c>
      <c r="N51" s="366">
        <f t="shared" si="9"/>
        <v>3.1728730359112722E-2</v>
      </c>
      <c r="P51" s="285">
        <v>42485</v>
      </c>
      <c r="Q51" s="407">
        <f t="shared" si="0"/>
        <v>47.880001</v>
      </c>
      <c r="R51"/>
      <c r="S51" s="409">
        <f>+F52</f>
        <v>1.8170404800116779E-2</v>
      </c>
      <c r="T51" s="409">
        <f>+M52</f>
        <v>-3.9510752948226369E-3</v>
      </c>
      <c r="U51" s="312">
        <f>+S51-$S$285</f>
        <v>1.6345045942833862E-2</v>
      </c>
      <c r="V51" s="312">
        <f>+T51-$T$285</f>
        <v>-6.2119021678517629E-3</v>
      </c>
      <c r="W51" s="419">
        <f t="shared" si="1"/>
        <v>-1.0153382632592634E-4</v>
      </c>
      <c r="X51" s="419">
        <f t="shared" si="2"/>
        <v>1.5610995985357788E-5</v>
      </c>
      <c r="Z51" s="285">
        <f t="shared" si="5"/>
        <v>42485</v>
      </c>
      <c r="AA51" s="312">
        <f t="shared" si="6"/>
        <v>-5.2441640495422548E-2</v>
      </c>
      <c r="AB51" s="312">
        <f t="shared" si="7"/>
        <v>3.1728730359112722E-2</v>
      </c>
    </row>
    <row r="52" spans="1:28" ht="17.45" customHeight="1">
      <c r="A52" s="285">
        <v>42492</v>
      </c>
      <c r="B52" s="325">
        <v>47.919998</v>
      </c>
      <c r="C52" s="325">
        <v>50.73</v>
      </c>
      <c r="D52" s="325">
        <v>47.310001</v>
      </c>
      <c r="E52" s="325">
        <v>48.75</v>
      </c>
      <c r="F52" s="366">
        <f t="shared" si="3"/>
        <v>1.8170404800116779E-2</v>
      </c>
      <c r="G52" s="366">
        <f t="shared" si="8"/>
        <v>-3.4271235695305768E-2</v>
      </c>
      <c r="I52">
        <v>2067.169922</v>
      </c>
      <c r="J52">
        <v>2083.419922</v>
      </c>
      <c r="K52">
        <v>2039.4499510000001</v>
      </c>
      <c r="L52">
        <v>2057.139893</v>
      </c>
      <c r="M52" s="366">
        <f t="shared" si="4"/>
        <v>-3.9510752948226369E-3</v>
      </c>
      <c r="N52" s="366">
        <f t="shared" si="9"/>
        <v>2.7777655064290085E-2</v>
      </c>
      <c r="P52" s="285">
        <v>42492</v>
      </c>
      <c r="Q52" s="407">
        <f t="shared" si="0"/>
        <v>48.75</v>
      </c>
      <c r="R52"/>
      <c r="S52" s="409">
        <f>+F53</f>
        <v>-1.928203076923074E-2</v>
      </c>
      <c r="T52" s="409">
        <f>+M53</f>
        <v>-5.11871265334507E-3</v>
      </c>
      <c r="U52" s="312">
        <f>+S52-$S$285</f>
        <v>-2.1107389626513658E-2</v>
      </c>
      <c r="V52" s="312">
        <f>+T52-$T$285</f>
        <v>-7.379539526374196E-3</v>
      </c>
      <c r="W52" s="419">
        <f t="shared" si="1"/>
        <v>1.5576281604743822E-4</v>
      </c>
      <c r="X52" s="419">
        <f t="shared" si="2"/>
        <v>2.6201219227514928E-5</v>
      </c>
      <c r="Z52" s="285">
        <f t="shared" si="5"/>
        <v>42492</v>
      </c>
      <c r="AA52" s="312">
        <f t="shared" si="6"/>
        <v>-3.4271235695305768E-2</v>
      </c>
      <c r="AB52" s="312">
        <f t="shared" si="7"/>
        <v>2.7777655064290085E-2</v>
      </c>
    </row>
    <row r="53" spans="1:28" ht="17.45" customHeight="1">
      <c r="A53" s="285">
        <v>42499</v>
      </c>
      <c r="B53" s="325">
        <v>48.939999</v>
      </c>
      <c r="C53" s="325">
        <v>50.939999</v>
      </c>
      <c r="D53" s="325">
        <v>47.75</v>
      </c>
      <c r="E53" s="325">
        <v>47.810001</v>
      </c>
      <c r="F53" s="366">
        <f t="shared" si="3"/>
        <v>-1.928203076923074E-2</v>
      </c>
      <c r="G53" s="366">
        <f t="shared" si="8"/>
        <v>-5.3553266464536509E-2</v>
      </c>
      <c r="I53">
        <v>2057.5500489999999</v>
      </c>
      <c r="J53">
        <v>2084.8701169999999</v>
      </c>
      <c r="K53">
        <v>2043.130005</v>
      </c>
      <c r="L53">
        <v>2046.6099850000001</v>
      </c>
      <c r="M53" s="366">
        <f t="shared" si="4"/>
        <v>-5.11871265334507E-3</v>
      </c>
      <c r="N53" s="366">
        <f t="shared" si="9"/>
        <v>2.2658942410945015E-2</v>
      </c>
      <c r="P53" s="285">
        <v>42499</v>
      </c>
      <c r="Q53" s="407">
        <f t="shared" si="0"/>
        <v>47.810001</v>
      </c>
      <c r="R53"/>
      <c r="S53" s="409">
        <f>+F54</f>
        <v>-4.4969691592351202E-2</v>
      </c>
      <c r="T53" s="409">
        <f>+M54</f>
        <v>2.7900201024377846E-3</v>
      </c>
      <c r="U53" s="312">
        <f>+S53-$S$285</f>
        <v>-4.6795050449634119E-2</v>
      </c>
      <c r="V53" s="312">
        <f>+T53-$T$285</f>
        <v>5.2919322940865859E-4</v>
      </c>
      <c r="W53" s="419">
        <f t="shared" si="1"/>
        <v>-2.4763623867782982E-5</v>
      </c>
      <c r="X53" s="419">
        <f t="shared" si="2"/>
        <v>7.784212172006947E-6</v>
      </c>
      <c r="Z53" s="285">
        <f t="shared" si="5"/>
        <v>42499</v>
      </c>
      <c r="AA53" s="312">
        <f t="shared" si="6"/>
        <v>-5.3553266464536509E-2</v>
      </c>
      <c r="AB53" s="312">
        <f t="shared" si="7"/>
        <v>2.2658942410945015E-2</v>
      </c>
    </row>
    <row r="54" spans="1:28" ht="17.45" customHeight="1">
      <c r="A54" s="285">
        <v>42506</v>
      </c>
      <c r="B54" s="325">
        <v>47.790000999999997</v>
      </c>
      <c r="C54" s="325">
        <v>48.880001</v>
      </c>
      <c r="D54" s="325">
        <v>44.299999</v>
      </c>
      <c r="E54" s="325">
        <v>45.66</v>
      </c>
      <c r="F54" s="366">
        <f t="shared" si="3"/>
        <v>-4.4969691592351202E-2</v>
      </c>
      <c r="G54" s="366">
        <f t="shared" si="8"/>
        <v>-9.8522958056887711E-2</v>
      </c>
      <c r="I54">
        <v>2046.530029</v>
      </c>
      <c r="J54">
        <v>2071.8798830000001</v>
      </c>
      <c r="K54">
        <v>2025.910034</v>
      </c>
      <c r="L54">
        <v>2052.320068</v>
      </c>
      <c r="M54" s="366">
        <f t="shared" si="4"/>
        <v>2.7900201024377846E-3</v>
      </c>
      <c r="N54" s="366">
        <f t="shared" si="9"/>
        <v>2.54489625133828E-2</v>
      </c>
      <c r="P54" s="285">
        <v>42506</v>
      </c>
      <c r="Q54" s="407">
        <f t="shared" si="0"/>
        <v>45.66</v>
      </c>
      <c r="R54"/>
      <c r="S54" s="409">
        <f>+F55</f>
        <v>1.5768747262374205E-2</v>
      </c>
      <c r="T54" s="409">
        <f>+M55</f>
        <v>2.2774221101657055E-2</v>
      </c>
      <c r="U54" s="312">
        <f>+S54-$S$285</f>
        <v>1.394338840509129E-2</v>
      </c>
      <c r="V54" s="312">
        <f>+T54-$T$285</f>
        <v>2.051339422862793E-2</v>
      </c>
      <c r="W54" s="419">
        <f t="shared" si="1"/>
        <v>2.8602622323651726E-4</v>
      </c>
      <c r="X54" s="419">
        <f t="shared" si="2"/>
        <v>5.186651467871615E-4</v>
      </c>
      <c r="Z54" s="285">
        <f t="shared" si="5"/>
        <v>42506</v>
      </c>
      <c r="AA54" s="312">
        <f t="shared" si="6"/>
        <v>-9.8522958056887711E-2</v>
      </c>
      <c r="AB54" s="312">
        <f t="shared" si="7"/>
        <v>2.54489625133828E-2</v>
      </c>
    </row>
    <row r="55" spans="1:28" ht="17.45" customHeight="1">
      <c r="A55" s="285">
        <v>42513</v>
      </c>
      <c r="B55" s="325">
        <v>45.59</v>
      </c>
      <c r="C55" s="325">
        <v>46.639999000000003</v>
      </c>
      <c r="D55" s="325">
        <v>45.169998</v>
      </c>
      <c r="E55" s="325">
        <v>46.380001</v>
      </c>
      <c r="F55" s="366">
        <f t="shared" si="3"/>
        <v>1.5768747262374205E-2</v>
      </c>
      <c r="G55" s="366">
        <f t="shared" si="8"/>
        <v>-8.2754210794513505E-2</v>
      </c>
      <c r="I55">
        <v>2052.2299800000001</v>
      </c>
      <c r="J55">
        <v>2099.0600589999999</v>
      </c>
      <c r="K55">
        <v>2047.26001</v>
      </c>
      <c r="L55">
        <v>2099.0600589999999</v>
      </c>
      <c r="M55" s="366">
        <f t="shared" si="4"/>
        <v>2.2774221101657055E-2</v>
      </c>
      <c r="N55" s="366">
        <f t="shared" si="9"/>
        <v>4.8223183615039855E-2</v>
      </c>
      <c r="P55" s="285">
        <v>42513</v>
      </c>
      <c r="Q55" s="407">
        <f t="shared" si="0"/>
        <v>46.380001</v>
      </c>
      <c r="R55"/>
      <c r="S55" s="409">
        <f>+F56</f>
        <v>2.5657588925019681E-2</v>
      </c>
      <c r="T55" s="409">
        <f>+M56</f>
        <v>3.3264412659717024E-5</v>
      </c>
      <c r="U55" s="312">
        <f>+S55-$S$285</f>
        <v>2.3832230067736764E-2</v>
      </c>
      <c r="V55" s="312">
        <f>+T55-$T$285</f>
        <v>-2.227562460369409E-3</v>
      </c>
      <c r="W55" s="419">
        <f t="shared" si="1"/>
        <v>-5.3087781045777514E-5</v>
      </c>
      <c r="X55" s="419">
        <f t="shared" si="2"/>
        <v>1.1065211495959423E-9</v>
      </c>
      <c r="Z55" s="285">
        <f t="shared" si="5"/>
        <v>42513</v>
      </c>
      <c r="AA55" s="312">
        <f t="shared" si="6"/>
        <v>-8.2754210794513505E-2</v>
      </c>
      <c r="AB55" s="312">
        <f t="shared" si="7"/>
        <v>4.8223183615039855E-2</v>
      </c>
    </row>
    <row r="56" spans="1:28" ht="17.45" customHeight="1">
      <c r="A56" s="285">
        <v>42520</v>
      </c>
      <c r="B56" s="325">
        <v>46.150002000000001</v>
      </c>
      <c r="C56" s="325">
        <v>48.09</v>
      </c>
      <c r="D56" s="325">
        <v>45.470001000000003</v>
      </c>
      <c r="E56" s="325">
        <v>47.57</v>
      </c>
      <c r="F56" s="366">
        <f t="shared" si="3"/>
        <v>2.5657588925019681E-2</v>
      </c>
      <c r="G56" s="366">
        <f t="shared" si="8"/>
        <v>-5.7096621869493824E-2</v>
      </c>
      <c r="I56">
        <v>2100.1298830000001</v>
      </c>
      <c r="J56">
        <v>2105.26001</v>
      </c>
      <c r="K56">
        <v>2085.1000979999999</v>
      </c>
      <c r="L56">
        <v>2099.1298830000001</v>
      </c>
      <c r="M56" s="366">
        <f t="shared" si="4"/>
        <v>3.3264412659717024E-5</v>
      </c>
      <c r="N56" s="366">
        <f t="shared" si="9"/>
        <v>4.8256448027699572E-2</v>
      </c>
      <c r="P56" s="285">
        <v>42520</v>
      </c>
      <c r="Q56" s="407">
        <f t="shared" si="0"/>
        <v>47.57</v>
      </c>
      <c r="R56"/>
      <c r="S56" s="409">
        <f>+F57</f>
        <v>-1.4715156611310176E-3</v>
      </c>
      <c r="T56" s="409">
        <f>+M57</f>
        <v>-1.4576587303054556E-3</v>
      </c>
      <c r="U56" s="312">
        <f>+S56-$S$285</f>
        <v>-3.2968745184139337E-3</v>
      </c>
      <c r="V56" s="312">
        <f>+T56-$T$285</f>
        <v>-3.7184856033345816E-3</v>
      </c>
      <c r="W56" s="419">
        <f t="shared" si="1"/>
        <v>1.2259380432722844E-5</v>
      </c>
      <c r="X56" s="419">
        <f t="shared" si="2"/>
        <v>2.1247689740357129E-6</v>
      </c>
      <c r="Z56" s="285">
        <f t="shared" si="5"/>
        <v>42520</v>
      </c>
      <c r="AA56" s="312">
        <f t="shared" si="6"/>
        <v>-5.7096621869493824E-2</v>
      </c>
      <c r="AB56" s="312">
        <f t="shared" si="7"/>
        <v>4.8256448027699572E-2</v>
      </c>
    </row>
    <row r="57" spans="1:28" ht="17.45" customHeight="1">
      <c r="A57" s="285">
        <v>42527</v>
      </c>
      <c r="B57" s="325">
        <v>47.650002000000001</v>
      </c>
      <c r="C57" s="325">
        <v>49</v>
      </c>
      <c r="D57" s="325">
        <v>47.099997999999999</v>
      </c>
      <c r="E57" s="325">
        <v>47.5</v>
      </c>
      <c r="F57" s="366">
        <f t="shared" si="3"/>
        <v>-1.4715156611310176E-3</v>
      </c>
      <c r="G57" s="366">
        <f t="shared" si="8"/>
        <v>-5.8568137530624842E-2</v>
      </c>
      <c r="I57">
        <v>2100.830078</v>
      </c>
      <c r="J57">
        <v>2120.5500489999999</v>
      </c>
      <c r="K57">
        <v>2089.959961</v>
      </c>
      <c r="L57">
        <v>2096.070068</v>
      </c>
      <c r="M57" s="366">
        <f t="shared" si="4"/>
        <v>-1.4576587303054556E-3</v>
      </c>
      <c r="N57" s="366">
        <f t="shared" si="9"/>
        <v>4.6798789297394117E-2</v>
      </c>
      <c r="P57" s="285">
        <v>42527</v>
      </c>
      <c r="Q57" s="407">
        <f t="shared" si="0"/>
        <v>47.5</v>
      </c>
      <c r="R57"/>
      <c r="S57" s="409">
        <f>+F58</f>
        <v>2.736840000000007E-2</v>
      </c>
      <c r="T57" s="409">
        <f>+M58</f>
        <v>-1.1855565984829508E-2</v>
      </c>
      <c r="U57" s="312">
        <f>+S57-$S$285</f>
        <v>2.5543041142717153E-2</v>
      </c>
      <c r="V57" s="312">
        <f>+T57-$T$285</f>
        <v>-1.4116392857858633E-2</v>
      </c>
      <c r="W57" s="419">
        <f t="shared" si="1"/>
        <v>-3.6057560355504163E-4</v>
      </c>
      <c r="X57" s="419">
        <f t="shared" si="2"/>
        <v>1.4055444482064647E-4</v>
      </c>
      <c r="Z57" s="285">
        <f t="shared" si="5"/>
        <v>42527</v>
      </c>
      <c r="AA57" s="312">
        <f t="shared" si="6"/>
        <v>-5.8568137530624842E-2</v>
      </c>
      <c r="AB57" s="312">
        <f t="shared" si="7"/>
        <v>4.6798789297394117E-2</v>
      </c>
    </row>
    <row r="58" spans="1:28" ht="17.45" customHeight="1">
      <c r="A58" s="285">
        <v>42534</v>
      </c>
      <c r="B58" s="325">
        <v>47.209999000000003</v>
      </c>
      <c r="C58" s="325">
        <v>49.200001</v>
      </c>
      <c r="D58" s="325">
        <v>45.720001000000003</v>
      </c>
      <c r="E58" s="325">
        <v>48.799999</v>
      </c>
      <c r="F58" s="366">
        <f t="shared" si="3"/>
        <v>2.736840000000007E-2</v>
      </c>
      <c r="G58" s="366">
        <f t="shared" si="8"/>
        <v>-3.1199737530624772E-2</v>
      </c>
      <c r="I58">
        <v>2091.75</v>
      </c>
      <c r="J58">
        <v>2098.1201169999999</v>
      </c>
      <c r="K58">
        <v>2050.3701169999999</v>
      </c>
      <c r="L58">
        <v>2071.219971</v>
      </c>
      <c r="M58" s="366">
        <f t="shared" si="4"/>
        <v>-1.1855565984829508E-2</v>
      </c>
      <c r="N58" s="366">
        <f t="shared" si="9"/>
        <v>3.4943223312564609E-2</v>
      </c>
      <c r="P58" s="285">
        <v>42534</v>
      </c>
      <c r="Q58" s="407">
        <f t="shared" si="0"/>
        <v>48.799999</v>
      </c>
      <c r="R58"/>
      <c r="S58" s="409">
        <f>+F59</f>
        <v>-3.0122889961534671E-2</v>
      </c>
      <c r="T58" s="409">
        <f>+M59</f>
        <v>-1.6323682406208295E-2</v>
      </c>
      <c r="U58" s="312">
        <f>+S58-$S$285</f>
        <v>-3.1948248818817589E-2</v>
      </c>
      <c r="V58" s="312">
        <f>+T58-$T$285</f>
        <v>-1.858450927923742E-2</v>
      </c>
      <c r="W58" s="419">
        <f t="shared" si="1"/>
        <v>5.9374252662870144E-4</v>
      </c>
      <c r="X58" s="419">
        <f t="shared" si="2"/>
        <v>2.6646260729875422E-4</v>
      </c>
      <c r="Z58" s="285">
        <f t="shared" si="5"/>
        <v>42534</v>
      </c>
      <c r="AA58" s="312">
        <f t="shared" si="6"/>
        <v>-3.1199737530624772E-2</v>
      </c>
      <c r="AB58" s="312">
        <f t="shared" si="7"/>
        <v>3.4943223312564609E-2</v>
      </c>
    </row>
    <row r="59" spans="1:28" ht="17.45" customHeight="1">
      <c r="A59" s="285">
        <v>42541</v>
      </c>
      <c r="B59" s="325">
        <v>49.529998999999997</v>
      </c>
      <c r="C59" s="325">
        <v>50.720001000000003</v>
      </c>
      <c r="D59" s="325">
        <v>47.27</v>
      </c>
      <c r="E59" s="325">
        <v>47.330002</v>
      </c>
      <c r="F59" s="366">
        <f t="shared" si="3"/>
        <v>-3.0122889961534671E-2</v>
      </c>
      <c r="G59" s="366">
        <f t="shared" si="8"/>
        <v>-6.1322627492159443E-2</v>
      </c>
      <c r="I59">
        <v>2075.580078</v>
      </c>
      <c r="J59">
        <v>2113.320068</v>
      </c>
      <c r="K59">
        <v>2032.5699460000001</v>
      </c>
      <c r="L59">
        <v>2037.410034</v>
      </c>
      <c r="M59" s="366">
        <f t="shared" si="4"/>
        <v>-1.6323682406208295E-2</v>
      </c>
      <c r="N59" s="366">
        <f t="shared" si="9"/>
        <v>1.8619540906356313E-2</v>
      </c>
      <c r="P59" s="285">
        <v>42541</v>
      </c>
      <c r="Q59" s="407">
        <f t="shared" si="0"/>
        <v>47.330002</v>
      </c>
      <c r="R59"/>
      <c r="S59" s="409">
        <f>+F60</f>
        <v>5.1975467907227069E-2</v>
      </c>
      <c r="T59" s="409">
        <f>+M60</f>
        <v>3.2168250821523081E-2</v>
      </c>
      <c r="U59" s="312">
        <f>+S59-$S$285</f>
        <v>5.0150109049944151E-2</v>
      </c>
      <c r="V59" s="312">
        <f>+T59-$T$285</f>
        <v>2.9907423948493956E-2</v>
      </c>
      <c r="W59" s="419">
        <f t="shared" si="1"/>
        <v>1.4998605724198832E-3</v>
      </c>
      <c r="X59" s="419">
        <f t="shared" si="2"/>
        <v>1.0347963609164204E-3</v>
      </c>
      <c r="Z59" s="285">
        <f t="shared" si="5"/>
        <v>42541</v>
      </c>
      <c r="AA59" s="312">
        <f t="shared" si="6"/>
        <v>-6.1322627492159443E-2</v>
      </c>
      <c r="AB59" s="312">
        <f t="shared" si="7"/>
        <v>1.8619540906356313E-2</v>
      </c>
    </row>
    <row r="60" spans="1:28" ht="17.45" customHeight="1">
      <c r="A60" s="285">
        <v>42548</v>
      </c>
      <c r="B60" s="325">
        <v>46.849997999999999</v>
      </c>
      <c r="C60" s="325">
        <v>50.049999</v>
      </c>
      <c r="D60" s="325">
        <v>45.119999</v>
      </c>
      <c r="E60" s="325">
        <v>49.790000999999997</v>
      </c>
      <c r="F60" s="366">
        <f t="shared" si="3"/>
        <v>5.1975467907227069E-2</v>
      </c>
      <c r="G60" s="366">
        <f t="shared" si="8"/>
        <v>-9.3471595849323741E-3</v>
      </c>
      <c r="I60">
        <v>2031.4499510000001</v>
      </c>
      <c r="J60">
        <v>2108.709961</v>
      </c>
      <c r="K60">
        <v>1991.6800539999999</v>
      </c>
      <c r="L60">
        <v>2102.9499510000001</v>
      </c>
      <c r="M60" s="366">
        <f t="shared" si="4"/>
        <v>3.2168250821523081E-2</v>
      </c>
      <c r="N60" s="366">
        <f t="shared" si="9"/>
        <v>5.0787791727879394E-2</v>
      </c>
      <c r="P60" s="285">
        <v>42548</v>
      </c>
      <c r="Q60" s="407">
        <f t="shared" si="0"/>
        <v>49.790000999999997</v>
      </c>
      <c r="R60"/>
      <c r="S60" s="409">
        <f>+F61</f>
        <v>2.008033701386136E-4</v>
      </c>
      <c r="T60" s="409">
        <f>+M61</f>
        <v>1.2815307842768631E-2</v>
      </c>
      <c r="U60" s="312">
        <f>+S60-$S$285</f>
        <v>-1.6245554871443025E-3</v>
      </c>
      <c r="V60" s="312">
        <f>+T60-$T$285</f>
        <v>1.0554480969739505E-2</v>
      </c>
      <c r="W60" s="419">
        <f t="shared" si="1"/>
        <v>-1.7146339973350434E-5</v>
      </c>
      <c r="X60" s="419">
        <f t="shared" si="2"/>
        <v>1.6423211510492719E-4</v>
      </c>
      <c r="Z60" s="285">
        <f t="shared" si="5"/>
        <v>42548</v>
      </c>
      <c r="AA60" s="312">
        <f t="shared" si="6"/>
        <v>-9.3471595849323741E-3</v>
      </c>
      <c r="AB60" s="312">
        <f t="shared" si="7"/>
        <v>5.0787791727879394E-2</v>
      </c>
    </row>
    <row r="61" spans="1:28" ht="17.45" customHeight="1">
      <c r="A61" s="285">
        <v>42555</v>
      </c>
      <c r="B61" s="325">
        <v>49.389999000000003</v>
      </c>
      <c r="C61" s="325">
        <v>50.279998999999997</v>
      </c>
      <c r="D61" s="325">
        <v>47.849997999999999</v>
      </c>
      <c r="E61" s="325">
        <v>49.799999</v>
      </c>
      <c r="F61" s="366">
        <f t="shared" si="3"/>
        <v>2.008033701386136E-4</v>
      </c>
      <c r="G61" s="366">
        <f t="shared" si="8"/>
        <v>-9.1463562147937605E-3</v>
      </c>
      <c r="I61">
        <v>2095.0500489999999</v>
      </c>
      <c r="J61">
        <v>2131.709961</v>
      </c>
      <c r="K61">
        <v>2074.0200199999999</v>
      </c>
      <c r="L61">
        <v>2129.8999020000001</v>
      </c>
      <c r="M61" s="366">
        <f t="shared" si="4"/>
        <v>1.2815307842768631E-2</v>
      </c>
      <c r="N61" s="366">
        <f t="shared" si="9"/>
        <v>6.3603099570648025E-2</v>
      </c>
      <c r="P61" s="285">
        <v>42555</v>
      </c>
      <c r="Q61" s="407">
        <f t="shared" si="0"/>
        <v>49.799999</v>
      </c>
      <c r="R61"/>
      <c r="S61" s="409">
        <f>+F62</f>
        <v>2.1686787584072054E-2</v>
      </c>
      <c r="T61" s="409">
        <f>+M62</f>
        <v>1.4949100645575752E-2</v>
      </c>
      <c r="U61" s="312">
        <f>+S61-$S$285</f>
        <v>1.9861428726789136E-2</v>
      </c>
      <c r="V61" s="312">
        <f>+T61-$T$285</f>
        <v>1.2688273772546627E-2</v>
      </c>
      <c r="W61" s="419">
        <f t="shared" si="1"/>
        <v>2.5200724519942272E-4</v>
      </c>
      <c r="X61" s="419">
        <f t="shared" si="2"/>
        <v>2.2347561011155337E-4</v>
      </c>
      <c r="Z61" s="285">
        <f t="shared" si="5"/>
        <v>42555</v>
      </c>
      <c r="AA61" s="312">
        <f t="shared" si="6"/>
        <v>-9.1463562147937605E-3</v>
      </c>
      <c r="AB61" s="312">
        <f t="shared" si="7"/>
        <v>6.3603099570648025E-2</v>
      </c>
    </row>
    <row r="62" spans="1:28" ht="17.45" customHeight="1">
      <c r="A62" s="285">
        <v>42562</v>
      </c>
      <c r="B62" s="325">
        <v>50</v>
      </c>
      <c r="C62" s="325">
        <v>51.900002000000001</v>
      </c>
      <c r="D62" s="325">
        <v>49.900002000000001</v>
      </c>
      <c r="E62" s="325">
        <v>50.880001</v>
      </c>
      <c r="F62" s="366">
        <f t="shared" si="3"/>
        <v>2.1686787584072054E-2</v>
      </c>
      <c r="G62" s="366">
        <f t="shared" si="8"/>
        <v>1.2540431369278293E-2</v>
      </c>
      <c r="I62">
        <v>2131.719971</v>
      </c>
      <c r="J62">
        <v>2169.0500489999999</v>
      </c>
      <c r="K62">
        <v>2131.719971</v>
      </c>
      <c r="L62">
        <v>2161.73999</v>
      </c>
      <c r="M62" s="366">
        <f t="shared" si="4"/>
        <v>1.4949100645575752E-2</v>
      </c>
      <c r="N62" s="366">
        <f t="shared" si="9"/>
        <v>7.8552200216223778E-2</v>
      </c>
      <c r="P62" s="285">
        <v>42562</v>
      </c>
      <c r="Q62" s="407">
        <f t="shared" si="0"/>
        <v>50.880001</v>
      </c>
      <c r="R62"/>
      <c r="S62" s="409">
        <f>+F63</f>
        <v>9.8270438320156028E-3</v>
      </c>
      <c r="T62" s="409">
        <f>+M63</f>
        <v>6.1478434323638531E-3</v>
      </c>
      <c r="U62" s="312">
        <f>+S62-$S$285</f>
        <v>8.0016849747326872E-3</v>
      </c>
      <c r="V62" s="312">
        <f>+T62-$T$285</f>
        <v>3.8870165593347271E-3</v>
      </c>
      <c r="W62" s="419">
        <f t="shared" si="1"/>
        <v>3.110268199936583E-5</v>
      </c>
      <c r="X62" s="419">
        <f t="shared" si="2"/>
        <v>3.7795978868859362E-5</v>
      </c>
      <c r="Z62" s="285">
        <f t="shared" si="5"/>
        <v>42562</v>
      </c>
      <c r="AA62" s="312">
        <f t="shared" si="6"/>
        <v>1.2540431369278293E-2</v>
      </c>
      <c r="AB62" s="312">
        <f t="shared" si="7"/>
        <v>7.8552200216223778E-2</v>
      </c>
    </row>
    <row r="63" spans="1:28" ht="17.45" customHeight="1">
      <c r="A63" s="285">
        <v>42569</v>
      </c>
      <c r="B63" s="325">
        <v>50.889999000000003</v>
      </c>
      <c r="C63" s="325">
        <v>51.619999</v>
      </c>
      <c r="D63" s="325">
        <v>49.41</v>
      </c>
      <c r="E63" s="325">
        <v>51.380001</v>
      </c>
      <c r="F63" s="366">
        <f t="shared" si="3"/>
        <v>9.8270438320156028E-3</v>
      </c>
      <c r="G63" s="366">
        <f t="shared" si="8"/>
        <v>2.2367475201293896E-2</v>
      </c>
      <c r="I63">
        <v>2162.040039</v>
      </c>
      <c r="J63">
        <v>2175.6298830000001</v>
      </c>
      <c r="K63">
        <v>2159.01001</v>
      </c>
      <c r="L63">
        <v>2175.030029</v>
      </c>
      <c r="M63" s="366">
        <f t="shared" si="4"/>
        <v>6.1478434323638531E-3</v>
      </c>
      <c r="N63" s="366">
        <f t="shared" si="9"/>
        <v>8.4700043648587631E-2</v>
      </c>
      <c r="P63" s="285">
        <v>42569</v>
      </c>
      <c r="Q63" s="407">
        <f t="shared" si="0"/>
        <v>51.380001</v>
      </c>
      <c r="R63"/>
      <c r="S63" s="409">
        <f>+F64</f>
        <v>-1.8295095011773177E-2</v>
      </c>
      <c r="T63" s="409">
        <f>+M64</f>
        <v>-6.5743046345778655E-4</v>
      </c>
      <c r="U63" s="312">
        <f>+S63-$S$285</f>
        <v>-2.0120453869056094E-2</v>
      </c>
      <c r="V63" s="312">
        <f>+T63-$T$285</f>
        <v>-2.9182573364869126E-3</v>
      </c>
      <c r="W63" s="419">
        <f t="shared" si="1"/>
        <v>5.8716662116819432E-5</v>
      </c>
      <c r="X63" s="419">
        <f t="shared" si="2"/>
        <v>4.3221481428232002E-7</v>
      </c>
      <c r="Z63" s="285">
        <f t="shared" si="5"/>
        <v>42569</v>
      </c>
      <c r="AA63" s="312">
        <f t="shared" si="6"/>
        <v>2.2367475201293896E-2</v>
      </c>
      <c r="AB63" s="312">
        <f t="shared" si="7"/>
        <v>8.4700043648587631E-2</v>
      </c>
    </row>
    <row r="64" spans="1:28" ht="17.45" customHeight="1">
      <c r="A64" s="285">
        <v>42576</v>
      </c>
      <c r="B64" s="325">
        <v>51.349997999999999</v>
      </c>
      <c r="C64" s="325">
        <v>52.080002</v>
      </c>
      <c r="D64" s="325">
        <v>49.830002</v>
      </c>
      <c r="E64" s="325">
        <v>50.439999</v>
      </c>
      <c r="F64" s="366">
        <f t="shared" si="3"/>
        <v>-1.8295095011773177E-2</v>
      </c>
      <c r="G64" s="366">
        <f t="shared" si="8"/>
        <v>4.072380189520719E-3</v>
      </c>
      <c r="I64">
        <v>2173.709961</v>
      </c>
      <c r="J64">
        <v>2177.0900879999999</v>
      </c>
      <c r="K64">
        <v>2159.070068</v>
      </c>
      <c r="L64">
        <v>2173.6000979999999</v>
      </c>
      <c r="M64" s="366">
        <f t="shared" si="4"/>
        <v>-6.5743046345778655E-4</v>
      </c>
      <c r="N64" s="366">
        <f t="shared" si="9"/>
        <v>8.4042613185129844E-2</v>
      </c>
      <c r="P64" s="285">
        <v>42576</v>
      </c>
      <c r="Q64" s="407">
        <f t="shared" si="0"/>
        <v>50.439999</v>
      </c>
      <c r="R64"/>
      <c r="S64" s="409">
        <f>+F65</f>
        <v>4.1435369576434677E-2</v>
      </c>
      <c r="T64" s="409">
        <f>+M65</f>
        <v>4.2648226822079582E-3</v>
      </c>
      <c r="U64" s="312">
        <f>+S64-$S$285</f>
        <v>3.961001071915176E-2</v>
      </c>
      <c r="V64" s="312">
        <f>+T64-$T$285</f>
        <v>2.0039958091788322E-3</v>
      </c>
      <c r="W64" s="419">
        <f t="shared" si="1"/>
        <v>7.9378295482708747E-5</v>
      </c>
      <c r="X64" s="419">
        <f t="shared" si="2"/>
        <v>1.8188712510675483E-5</v>
      </c>
      <c r="Z64" s="285">
        <f t="shared" si="5"/>
        <v>42576</v>
      </c>
      <c r="AA64" s="312">
        <f t="shared" si="6"/>
        <v>4.072380189520719E-3</v>
      </c>
      <c r="AB64" s="312">
        <f t="shared" si="7"/>
        <v>8.4042613185129844E-2</v>
      </c>
    </row>
    <row r="65" spans="1:28" ht="17.45" customHeight="1">
      <c r="A65" s="285">
        <v>42583</v>
      </c>
      <c r="B65" s="325">
        <v>50.389999000000003</v>
      </c>
      <c r="C65" s="325">
        <v>52.599997999999999</v>
      </c>
      <c r="D65" s="325">
        <v>49.439999</v>
      </c>
      <c r="E65" s="325">
        <v>52.529998999999997</v>
      </c>
      <c r="F65" s="366">
        <f t="shared" si="3"/>
        <v>4.1435369576434677E-2</v>
      </c>
      <c r="G65" s="366">
        <f t="shared" si="8"/>
        <v>4.5507749765955396E-2</v>
      </c>
      <c r="I65">
        <v>2173.1499020000001</v>
      </c>
      <c r="J65">
        <v>2182.8701169999999</v>
      </c>
      <c r="K65">
        <v>2147.580078</v>
      </c>
      <c r="L65">
        <v>2182.8701169999999</v>
      </c>
      <c r="M65" s="366">
        <f t="shared" si="4"/>
        <v>4.2648226822079582E-3</v>
      </c>
      <c r="N65" s="366">
        <f t="shared" si="9"/>
        <v>8.8307435867337802E-2</v>
      </c>
      <c r="P65" s="285">
        <v>42583</v>
      </c>
      <c r="Q65" s="407">
        <f t="shared" si="0"/>
        <v>52.529998999999997</v>
      </c>
      <c r="R65"/>
      <c r="S65" s="409">
        <f>+F66</f>
        <v>1.9037122007179441E-3</v>
      </c>
      <c r="T65" s="409">
        <f>+M66</f>
        <v>5.4054155160709882E-4</v>
      </c>
      <c r="U65" s="312">
        <f>+S65-$S$285</f>
        <v>7.8353343435028002E-5</v>
      </c>
      <c r="V65" s="312">
        <f>+T65-$T$285</f>
        <v>-1.7202853214220272E-3</v>
      </c>
      <c r="W65" s="419">
        <f t="shared" si="1"/>
        <v>-1.3479010659561763E-7</v>
      </c>
      <c r="X65" s="419">
        <f t="shared" si="2"/>
        <v>2.9218516901380989E-7</v>
      </c>
      <c r="Z65" s="285">
        <f t="shared" si="5"/>
        <v>42583</v>
      </c>
      <c r="AA65" s="312">
        <f t="shared" si="6"/>
        <v>4.5507749765955396E-2</v>
      </c>
      <c r="AB65" s="312">
        <f t="shared" si="7"/>
        <v>8.8307435867337802E-2</v>
      </c>
    </row>
    <row r="66" spans="1:28" ht="17.45" customHeight="1">
      <c r="A66" s="285">
        <v>42590</v>
      </c>
      <c r="B66" s="325">
        <v>52.630001</v>
      </c>
      <c r="C66" s="325">
        <v>53.299999</v>
      </c>
      <c r="D66" s="325">
        <v>52.189999</v>
      </c>
      <c r="E66" s="325">
        <v>52.630001</v>
      </c>
      <c r="F66" s="366">
        <f t="shared" si="3"/>
        <v>1.9037122007179441E-3</v>
      </c>
      <c r="G66" s="366">
        <f t="shared" si="8"/>
        <v>4.7411461966673341E-2</v>
      </c>
      <c r="I66">
        <v>2183.76001</v>
      </c>
      <c r="J66">
        <v>2188.4499510000001</v>
      </c>
      <c r="K66">
        <v>2172</v>
      </c>
      <c r="L66">
        <v>2184.0500489999999</v>
      </c>
      <c r="M66" s="366">
        <f t="shared" si="4"/>
        <v>5.4054155160709882E-4</v>
      </c>
      <c r="N66" s="366">
        <f t="shared" si="9"/>
        <v>8.8847977418944901E-2</v>
      </c>
      <c r="P66" s="285">
        <v>42590</v>
      </c>
      <c r="Q66" s="407">
        <f t="shared" si="0"/>
        <v>52.630001</v>
      </c>
      <c r="R66"/>
      <c r="S66" s="409">
        <f>+F67</f>
        <v>2.8120843090996717E-2</v>
      </c>
      <c r="T66" s="409">
        <f>+M67</f>
        <v>-8.2384558944714747E-5</v>
      </c>
      <c r="U66" s="312">
        <f>+S66-$S$285</f>
        <v>2.6295484233713799E-2</v>
      </c>
      <c r="V66" s="312">
        <f>+T66-$T$285</f>
        <v>-2.3432114319738408E-3</v>
      </c>
      <c r="W66" s="419">
        <f t="shared" si="1"/>
        <v>-6.1615879265726063E-5</v>
      </c>
      <c r="X66" s="419">
        <f t="shared" si="2"/>
        <v>6.787215552515179E-9</v>
      </c>
      <c r="Z66" s="285">
        <f t="shared" si="5"/>
        <v>42590</v>
      </c>
      <c r="AA66" s="312">
        <f t="shared" si="6"/>
        <v>4.7411461966673341E-2</v>
      </c>
      <c r="AB66" s="312">
        <f t="shared" si="7"/>
        <v>8.8847977418944901E-2</v>
      </c>
    </row>
    <row r="67" spans="1:28" ht="17.45" customHeight="1">
      <c r="A67" s="285">
        <v>42597</v>
      </c>
      <c r="B67" s="325">
        <v>52.740001999999997</v>
      </c>
      <c r="C67" s="325">
        <v>54.23</v>
      </c>
      <c r="D67" s="325">
        <v>52.740001999999997</v>
      </c>
      <c r="E67" s="325">
        <v>54.110000999999997</v>
      </c>
      <c r="F67" s="366">
        <f t="shared" si="3"/>
        <v>2.8120843090996717E-2</v>
      </c>
      <c r="G67" s="366">
        <f t="shared" si="8"/>
        <v>7.5532305057670057E-2</v>
      </c>
      <c r="I67">
        <v>2186.080078</v>
      </c>
      <c r="J67">
        <v>2193.8100589999999</v>
      </c>
      <c r="K67">
        <v>2168.5</v>
      </c>
      <c r="L67">
        <v>2183.8701169999999</v>
      </c>
      <c r="M67" s="366">
        <f t="shared" si="4"/>
        <v>-8.2384558944714747E-5</v>
      </c>
      <c r="N67" s="366">
        <f t="shared" si="9"/>
        <v>8.8765592860000186E-2</v>
      </c>
      <c r="P67" s="285">
        <v>42597</v>
      </c>
      <c r="Q67" s="407">
        <f t="shared" si="0"/>
        <v>54.110000999999997</v>
      </c>
      <c r="R67"/>
      <c r="S67" s="409">
        <f>+F68</f>
        <v>-5.5440767779690869E-4</v>
      </c>
      <c r="T67" s="409">
        <f>+M68</f>
        <v>-6.7907326010633318E-3</v>
      </c>
      <c r="U67" s="312">
        <f>+S67-$S$285</f>
        <v>-2.3797665350798248E-3</v>
      </c>
      <c r="V67" s="312">
        <f>+T67-$T$285</f>
        <v>-9.051559474092457E-3</v>
      </c>
      <c r="W67" s="419">
        <f t="shared" si="1"/>
        <v>2.1540598326729969E-5</v>
      </c>
      <c r="X67" s="419">
        <f t="shared" si="2"/>
        <v>4.6114049259144363E-5</v>
      </c>
      <c r="Z67" s="285">
        <f t="shared" si="5"/>
        <v>42597</v>
      </c>
      <c r="AA67" s="312">
        <f t="shared" si="6"/>
        <v>7.5532305057670057E-2</v>
      </c>
      <c r="AB67" s="312">
        <f t="shared" si="7"/>
        <v>8.8765592860000186E-2</v>
      </c>
    </row>
    <row r="68" spans="1:28" ht="17.45" customHeight="1">
      <c r="A68" s="285">
        <v>42604</v>
      </c>
      <c r="B68" s="325">
        <v>54.060001</v>
      </c>
      <c r="C68" s="325">
        <v>54.82</v>
      </c>
      <c r="D68" s="325">
        <v>53.560001</v>
      </c>
      <c r="E68" s="325">
        <v>54.080002</v>
      </c>
      <c r="F68" s="366">
        <f t="shared" si="3"/>
        <v>-5.5440767779690869E-4</v>
      </c>
      <c r="G68" s="366">
        <f t="shared" si="8"/>
        <v>7.4977897379873149E-2</v>
      </c>
      <c r="I68">
        <v>2181.580078</v>
      </c>
      <c r="J68">
        <v>2193.419922</v>
      </c>
      <c r="K68">
        <v>2160.389893</v>
      </c>
      <c r="L68">
        <v>2169.040039</v>
      </c>
      <c r="M68" s="366">
        <f t="shared" si="4"/>
        <v>-6.7907326010633318E-3</v>
      </c>
      <c r="N68" s="366">
        <f t="shared" si="9"/>
        <v>8.1974860258936855E-2</v>
      </c>
      <c r="P68" s="285">
        <v>42604</v>
      </c>
      <c r="Q68" s="407">
        <f t="shared" si="0"/>
        <v>54.080002</v>
      </c>
      <c r="R68"/>
      <c r="S68" s="409">
        <f>+F69</f>
        <v>-1.3868342682383794E-2</v>
      </c>
      <c r="T68" s="409">
        <f>+M69</f>
        <v>5.0436786796448363E-3</v>
      </c>
      <c r="U68" s="312">
        <f>+S68-$S$285</f>
        <v>-1.5693701539666711E-2</v>
      </c>
      <c r="V68" s="312">
        <f>+T68-$T$285</f>
        <v>2.7828518066157102E-3</v>
      </c>
      <c r="W68" s="419">
        <f t="shared" si="1"/>
        <v>-4.367324568214926E-5</v>
      </c>
      <c r="X68" s="419">
        <f t="shared" si="2"/>
        <v>2.5438694623503878E-5</v>
      </c>
      <c r="Z68" s="285">
        <f t="shared" si="5"/>
        <v>42604</v>
      </c>
      <c r="AA68" s="312">
        <f t="shared" si="6"/>
        <v>7.4977897379873149E-2</v>
      </c>
      <c r="AB68" s="312">
        <f t="shared" si="7"/>
        <v>8.1974860258936855E-2</v>
      </c>
    </row>
    <row r="69" spans="1:28" ht="17.45" customHeight="1">
      <c r="A69" s="285">
        <v>42611</v>
      </c>
      <c r="B69" s="325">
        <v>54.040000999999997</v>
      </c>
      <c r="C69" s="325">
        <v>54.639999000000003</v>
      </c>
      <c r="D69" s="325">
        <v>53.040000999999997</v>
      </c>
      <c r="E69" s="325">
        <v>53.330002</v>
      </c>
      <c r="F69" s="366">
        <f t="shared" si="3"/>
        <v>-1.3868342682383794E-2</v>
      </c>
      <c r="G69" s="366">
        <f t="shared" si="8"/>
        <v>6.1109554697489354E-2</v>
      </c>
      <c r="I69">
        <v>2170.1899410000001</v>
      </c>
      <c r="J69">
        <v>2184.8701169999999</v>
      </c>
      <c r="K69">
        <v>2157.0900879999999</v>
      </c>
      <c r="L69">
        <v>2179.9799800000001</v>
      </c>
      <c r="M69" s="366">
        <f t="shared" si="4"/>
        <v>5.0436786796448363E-3</v>
      </c>
      <c r="N69" s="366">
        <f t="shared" si="9"/>
        <v>8.7018538938581691E-2</v>
      </c>
      <c r="P69" s="285">
        <v>42611</v>
      </c>
      <c r="Q69" s="407">
        <f t="shared" si="0"/>
        <v>53.330002</v>
      </c>
      <c r="R69"/>
      <c r="S69" s="409">
        <f>+F70</f>
        <v>-5.4190941151661676E-2</v>
      </c>
      <c r="T69" s="409">
        <f>+M70</f>
        <v>-2.3931376195482357E-2</v>
      </c>
      <c r="U69" s="312">
        <f>+S69-$S$285</f>
        <v>-5.6016300008944593E-2</v>
      </c>
      <c r="V69" s="312">
        <f>+T69-$T$285</f>
        <v>-2.6192203068511482E-2</v>
      </c>
      <c r="W69" s="419">
        <f t="shared" si="1"/>
        <v>1.4671903049809382E-3</v>
      </c>
      <c r="X69" s="419">
        <f t="shared" si="2"/>
        <v>5.7271076660969959E-4</v>
      </c>
      <c r="Z69" s="285">
        <f t="shared" si="5"/>
        <v>42611</v>
      </c>
      <c r="AA69" s="312">
        <f t="shared" si="6"/>
        <v>6.1109554697489354E-2</v>
      </c>
      <c r="AB69" s="312">
        <f t="shared" si="7"/>
        <v>8.7018538938581691E-2</v>
      </c>
    </row>
    <row r="70" spans="1:28" ht="17.45" customHeight="1">
      <c r="A70" s="285">
        <v>42618</v>
      </c>
      <c r="B70" s="325">
        <v>53.5</v>
      </c>
      <c r="C70" s="325">
        <v>53.5</v>
      </c>
      <c r="D70" s="325">
        <v>50.389999000000003</v>
      </c>
      <c r="E70" s="325">
        <v>50.439999</v>
      </c>
      <c r="F70" s="366">
        <f t="shared" si="3"/>
        <v>-5.4190941151661676E-2</v>
      </c>
      <c r="G70" s="366">
        <f t="shared" si="8"/>
        <v>6.9186135458276787E-3</v>
      </c>
      <c r="I70">
        <v>2181.610107</v>
      </c>
      <c r="J70">
        <v>2187.8701169999999</v>
      </c>
      <c r="K70">
        <v>2127.8100589999999</v>
      </c>
      <c r="L70">
        <v>2127.8100589999999</v>
      </c>
      <c r="M70" s="366">
        <f t="shared" si="4"/>
        <v>-2.3931376195482357E-2</v>
      </c>
      <c r="N70" s="366">
        <f t="shared" si="9"/>
        <v>6.3087162743099334E-2</v>
      </c>
      <c r="P70" s="285">
        <v>42618</v>
      </c>
      <c r="Q70" s="407">
        <f t="shared" si="0"/>
        <v>50.439999</v>
      </c>
      <c r="R70"/>
      <c r="S70" s="409">
        <f>+F71</f>
        <v>-4.9563839206261395E-3</v>
      </c>
      <c r="T70" s="409">
        <f>+M71</f>
        <v>5.33405364449413E-3</v>
      </c>
      <c r="U70" s="312">
        <f>+S70-$S$285</f>
        <v>-6.7817427779090552E-3</v>
      </c>
      <c r="V70" s="312">
        <f>+T70-$T$285</f>
        <v>3.0732267714650039E-3</v>
      </c>
      <c r="W70" s="419">
        <f t="shared" si="1"/>
        <v>-2.0841833462259552E-5</v>
      </c>
      <c r="X70" s="419">
        <f t="shared" si="2"/>
        <v>2.8452128282341111E-5</v>
      </c>
      <c r="Z70" s="285">
        <f t="shared" si="5"/>
        <v>42618</v>
      </c>
      <c r="AA70" s="312">
        <f t="shared" si="6"/>
        <v>6.9186135458276787E-3</v>
      </c>
      <c r="AB70" s="312">
        <f t="shared" si="7"/>
        <v>6.3087162743099334E-2</v>
      </c>
    </row>
    <row r="71" spans="1:28" ht="17.45" customHeight="1">
      <c r="A71" s="285">
        <v>42625</v>
      </c>
      <c r="B71" s="325">
        <v>49.959999000000003</v>
      </c>
      <c r="C71" s="325">
        <v>51.630001</v>
      </c>
      <c r="D71" s="325">
        <v>49.630001</v>
      </c>
      <c r="E71" s="325">
        <v>50.189999</v>
      </c>
      <c r="F71" s="366">
        <f t="shared" si="3"/>
        <v>-4.9563839206261395E-3</v>
      </c>
      <c r="G71" s="366">
        <f t="shared" si="8"/>
        <v>1.9622296252015392E-3</v>
      </c>
      <c r="I71">
        <v>2120.860107</v>
      </c>
      <c r="J71">
        <v>2163.3000489999999</v>
      </c>
      <c r="K71">
        <v>2119.1201169999999</v>
      </c>
      <c r="L71">
        <v>2139.1599120000001</v>
      </c>
      <c r="M71" s="366">
        <f t="shared" si="4"/>
        <v>5.33405364449413E-3</v>
      </c>
      <c r="N71" s="366">
        <f t="shared" si="9"/>
        <v>6.8421216387593464E-2</v>
      </c>
      <c r="P71" s="285">
        <v>42625</v>
      </c>
      <c r="Q71" s="407">
        <f t="shared" si="0"/>
        <v>50.189999</v>
      </c>
      <c r="R71"/>
      <c r="S71" s="409">
        <f>+F72</f>
        <v>3.1878661723026003E-3</v>
      </c>
      <c r="T71" s="409">
        <f>+M72</f>
        <v>1.1934605195611958E-2</v>
      </c>
      <c r="U71" s="312">
        <f>+S71-$S$285</f>
        <v>1.3625073150196842E-3</v>
      </c>
      <c r="V71" s="312">
        <f>+T71-$T$285</f>
        <v>9.6737783225828329E-3</v>
      </c>
      <c r="W71" s="419">
        <f t="shared" si="1"/>
        <v>1.318059372839796E-5</v>
      </c>
      <c r="X71" s="419">
        <f t="shared" si="2"/>
        <v>1.4243480117512793E-4</v>
      </c>
      <c r="Z71" s="285">
        <f t="shared" si="5"/>
        <v>42625</v>
      </c>
      <c r="AA71" s="312">
        <f t="shared" si="6"/>
        <v>1.9622296252015392E-3</v>
      </c>
      <c r="AB71" s="312">
        <f t="shared" si="7"/>
        <v>6.8421216387593464E-2</v>
      </c>
    </row>
    <row r="72" spans="1:28" ht="17.45" customHeight="1">
      <c r="A72" s="285">
        <v>42632</v>
      </c>
      <c r="B72" s="325">
        <v>50.189999</v>
      </c>
      <c r="C72" s="325">
        <v>51.84</v>
      </c>
      <c r="D72" s="325">
        <v>49.439999</v>
      </c>
      <c r="E72" s="325">
        <v>50.349997999999999</v>
      </c>
      <c r="F72" s="366">
        <f t="shared" si="3"/>
        <v>3.1878661723026003E-3</v>
      </c>
      <c r="G72" s="366">
        <f t="shared" si="8"/>
        <v>5.1500957975041395E-3</v>
      </c>
      <c r="I72">
        <v>2143.98999</v>
      </c>
      <c r="J72">
        <v>2179.98999</v>
      </c>
      <c r="K72">
        <v>2135.9099120000001</v>
      </c>
      <c r="L72">
        <v>2164.6899410000001</v>
      </c>
      <c r="M72" s="366">
        <f t="shared" si="4"/>
        <v>1.1934605195611958E-2</v>
      </c>
      <c r="N72" s="366">
        <f t="shared" si="9"/>
        <v>8.0355821583205422E-2</v>
      </c>
      <c r="P72" s="285">
        <v>42632</v>
      </c>
      <c r="Q72" s="407">
        <f t="shared" si="0"/>
        <v>50.349997999999999</v>
      </c>
      <c r="R72"/>
      <c r="S72" s="409">
        <f>+F73</f>
        <v>-2.2442841010639092E-2</v>
      </c>
      <c r="T72" s="409">
        <f>+M73</f>
        <v>1.6538530217153902E-3</v>
      </c>
      <c r="U72" s="312">
        <f>+S72-$S$285</f>
        <v>-2.4268199867922009E-2</v>
      </c>
      <c r="V72" s="312">
        <f>+T72-$T$285</f>
        <v>-6.0697385131373589E-4</v>
      </c>
      <c r="W72" s="419">
        <f t="shared" si="1"/>
        <v>1.4730162738284118E-5</v>
      </c>
      <c r="X72" s="419">
        <f t="shared" si="2"/>
        <v>2.7352298174371267E-6</v>
      </c>
      <c r="Z72" s="285">
        <f t="shared" si="5"/>
        <v>42632</v>
      </c>
      <c r="AA72" s="312">
        <f t="shared" si="6"/>
        <v>5.1500957975041395E-3</v>
      </c>
      <c r="AB72" s="312">
        <f t="shared" si="7"/>
        <v>8.0355821583205422E-2</v>
      </c>
    </row>
    <row r="73" spans="1:28" ht="17.45" customHeight="1">
      <c r="A73" s="285">
        <v>42639</v>
      </c>
      <c r="B73" s="325">
        <v>49.110000999999997</v>
      </c>
      <c r="C73" s="325">
        <v>49.82</v>
      </c>
      <c r="D73" s="325">
        <v>47.939999</v>
      </c>
      <c r="E73" s="325">
        <v>49.220001000000003</v>
      </c>
      <c r="F73" s="366">
        <f t="shared" si="3"/>
        <v>-2.2442841010639092E-2</v>
      </c>
      <c r="G73" s="366">
        <f t="shared" si="8"/>
        <v>-1.7292745213134952E-2</v>
      </c>
      <c r="I73">
        <v>2158.540039</v>
      </c>
      <c r="J73">
        <v>2175.3000489999999</v>
      </c>
      <c r="K73">
        <v>2141.5500489999999</v>
      </c>
      <c r="L73">
        <v>2168.2700199999999</v>
      </c>
      <c r="M73" s="366">
        <f t="shared" si="4"/>
        <v>1.6538530217153902E-3</v>
      </c>
      <c r="N73" s="366">
        <f t="shared" si="9"/>
        <v>8.2009674604920813E-2</v>
      </c>
      <c r="P73" s="285">
        <v>42639</v>
      </c>
      <c r="Q73" s="407">
        <f t="shared" si="0"/>
        <v>49.220001000000003</v>
      </c>
      <c r="R73"/>
      <c r="S73" s="409">
        <f>+F74</f>
        <v>1.5644067134415351E-2</v>
      </c>
      <c r="T73" s="409">
        <f>+M74</f>
        <v>-6.7012087359856753E-3</v>
      </c>
      <c r="U73" s="312">
        <f>+S73-$S$285</f>
        <v>1.3818708277132436E-2</v>
      </c>
      <c r="V73" s="312">
        <f>+T73-$T$285</f>
        <v>-8.9620356090148005E-3</v>
      </c>
      <c r="W73" s="419">
        <f t="shared" si="1"/>
        <v>-1.2384375565024846E-4</v>
      </c>
      <c r="X73" s="419">
        <f t="shared" si="2"/>
        <v>4.4906198523250736E-5</v>
      </c>
      <c r="Z73" s="285">
        <f t="shared" si="5"/>
        <v>42639</v>
      </c>
      <c r="AA73" s="312">
        <f t="shared" si="6"/>
        <v>-1.7292745213134952E-2</v>
      </c>
      <c r="AB73" s="312">
        <f t="shared" si="7"/>
        <v>8.2009674604920813E-2</v>
      </c>
    </row>
    <row r="74" spans="1:28" ht="17.45" customHeight="1">
      <c r="A74" s="285">
        <v>42646</v>
      </c>
      <c r="B74" s="325">
        <v>49.139999000000003</v>
      </c>
      <c r="C74" s="325">
        <v>50.860000999999997</v>
      </c>
      <c r="D74" s="325">
        <v>49</v>
      </c>
      <c r="E74" s="325">
        <v>49.990001999999997</v>
      </c>
      <c r="F74" s="366">
        <f t="shared" si="3"/>
        <v>1.5644067134415351E-2</v>
      </c>
      <c r="G74" s="366">
        <f t="shared" si="8"/>
        <v>-1.6486780787196009E-3</v>
      </c>
      <c r="I74">
        <v>2164.330078</v>
      </c>
      <c r="J74">
        <v>2165.860107</v>
      </c>
      <c r="K74">
        <v>2144.01001</v>
      </c>
      <c r="L74">
        <v>2153.73999</v>
      </c>
      <c r="M74" s="366">
        <f t="shared" si="4"/>
        <v>-6.7012087359856753E-3</v>
      </c>
      <c r="N74" s="366">
        <f t="shared" si="9"/>
        <v>7.5308465868935137E-2</v>
      </c>
      <c r="P74" s="285">
        <v>42646</v>
      </c>
      <c r="Q74" s="407">
        <f t="shared" si="0"/>
        <v>49.990001999999997</v>
      </c>
      <c r="R74"/>
      <c r="S74" s="409">
        <f>+F75</f>
        <v>1.6002799919871968E-3</v>
      </c>
      <c r="T74" s="409">
        <f>+M75</f>
        <v>-9.639051183703895E-3</v>
      </c>
      <c r="U74" s="312">
        <f>+S74-$S$285</f>
        <v>-2.2507886529571927E-4</v>
      </c>
      <c r="V74" s="312">
        <f>+T74-$T$285</f>
        <v>-1.189987805673302E-2</v>
      </c>
      <c r="W74" s="419">
        <f t="shared" si="1"/>
        <v>2.6784110501668969E-6</v>
      </c>
      <c r="X74" s="419">
        <f t="shared" si="2"/>
        <v>9.2911307722063466E-5</v>
      </c>
      <c r="Z74" s="285">
        <f t="shared" si="5"/>
        <v>42646</v>
      </c>
      <c r="AA74" s="312">
        <f t="shared" si="6"/>
        <v>-1.6486780787196009E-3</v>
      </c>
      <c r="AB74" s="312">
        <f t="shared" si="7"/>
        <v>7.5308465868935137E-2</v>
      </c>
    </row>
    <row r="75" spans="1:28" ht="17.45" customHeight="1">
      <c r="A75" s="285">
        <v>42653</v>
      </c>
      <c r="B75" s="325">
        <v>50.240001999999997</v>
      </c>
      <c r="C75" s="325">
        <v>50.720001000000003</v>
      </c>
      <c r="D75" s="325">
        <v>49.060001</v>
      </c>
      <c r="E75" s="325">
        <v>50.07</v>
      </c>
      <c r="F75" s="366">
        <f t="shared" si="3"/>
        <v>1.6002799919871968E-3</v>
      </c>
      <c r="G75" s="366">
        <f t="shared" si="8"/>
        <v>-4.8398086732404089E-5</v>
      </c>
      <c r="I75">
        <v>2160.389893</v>
      </c>
      <c r="J75">
        <v>2169.6000979999999</v>
      </c>
      <c r="K75">
        <v>2114.719971</v>
      </c>
      <c r="L75">
        <v>2132.9799800000001</v>
      </c>
      <c r="M75" s="366">
        <f t="shared" si="4"/>
        <v>-9.639051183703895E-3</v>
      </c>
      <c r="N75" s="366">
        <f t="shared" si="9"/>
        <v>6.5669414685231242E-2</v>
      </c>
      <c r="P75" s="285">
        <v>42653</v>
      </c>
      <c r="Q75" s="407">
        <f t="shared" si="0"/>
        <v>50.07</v>
      </c>
      <c r="R75"/>
      <c r="S75" s="409">
        <f>+F76</f>
        <v>4.9930097862991296E-3</v>
      </c>
      <c r="T75" s="409">
        <f>+M76</f>
        <v>3.8349783292386252E-3</v>
      </c>
      <c r="U75" s="312">
        <f>+S75-$S$285</f>
        <v>3.1676509290162135E-3</v>
      </c>
      <c r="V75" s="312">
        <f>+T75-$T$285</f>
        <v>1.5741514562094992E-3</v>
      </c>
      <c r="W75" s="419">
        <f t="shared" si="1"/>
        <v>4.9863623226742456E-6</v>
      </c>
      <c r="X75" s="419">
        <f t="shared" si="2"/>
        <v>1.4707058785729878E-5</v>
      </c>
      <c r="Z75" s="285">
        <f t="shared" si="5"/>
        <v>42653</v>
      </c>
      <c r="AA75" s="312">
        <f t="shared" si="6"/>
        <v>-4.8398086732404089E-5</v>
      </c>
      <c r="AB75" s="312">
        <f t="shared" si="7"/>
        <v>6.5669414685231242E-2</v>
      </c>
    </row>
    <row r="76" spans="1:28" ht="17.45" customHeight="1">
      <c r="A76" s="285">
        <v>42660</v>
      </c>
      <c r="B76" s="325">
        <v>49.84</v>
      </c>
      <c r="C76" s="325">
        <v>51.049999</v>
      </c>
      <c r="D76" s="325">
        <v>49.580002</v>
      </c>
      <c r="E76" s="325">
        <v>50.32</v>
      </c>
      <c r="F76" s="366">
        <f t="shared" si="3"/>
        <v>4.9930097862991296E-3</v>
      </c>
      <c r="G76" s="366">
        <f t="shared" si="8"/>
        <v>4.9446116995667255E-3</v>
      </c>
      <c r="I76">
        <v>2132.9499510000001</v>
      </c>
      <c r="J76">
        <v>2148.4399410000001</v>
      </c>
      <c r="K76">
        <v>2124.429932</v>
      </c>
      <c r="L76">
        <v>2141.1599120000001</v>
      </c>
      <c r="M76" s="366">
        <f t="shared" si="4"/>
        <v>3.8349783292386252E-3</v>
      </c>
      <c r="N76" s="366">
        <f t="shared" si="9"/>
        <v>6.9504393014469867E-2</v>
      </c>
      <c r="P76" s="285">
        <v>42660</v>
      </c>
      <c r="Q76" s="407">
        <f t="shared" si="0"/>
        <v>50.32</v>
      </c>
      <c r="R76"/>
      <c r="S76" s="409">
        <f>+F77</f>
        <v>-7.5516891891891369E-3</v>
      </c>
      <c r="T76" s="409">
        <f>+M77</f>
        <v>-6.8887895375466801E-3</v>
      </c>
      <c r="U76" s="312">
        <f>+S76-$S$285</f>
        <v>-9.3770480464720526E-3</v>
      </c>
      <c r="V76" s="312">
        <f>+T76-$T$285</f>
        <v>-9.1496164105758053E-3</v>
      </c>
      <c r="W76" s="419">
        <f t="shared" si="1"/>
        <v>8.5796392688758494E-5</v>
      </c>
      <c r="X76" s="419">
        <f t="shared" si="2"/>
        <v>4.7455421292612604E-5</v>
      </c>
      <c r="Z76" s="285">
        <f t="shared" si="5"/>
        <v>42660</v>
      </c>
      <c r="AA76" s="312">
        <f t="shared" si="6"/>
        <v>4.9446116995667255E-3</v>
      </c>
      <c r="AB76" s="312">
        <f t="shared" si="7"/>
        <v>6.9504393014469867E-2</v>
      </c>
    </row>
    <row r="77" spans="1:28" ht="17.45" customHeight="1">
      <c r="A77" s="285">
        <v>42667</v>
      </c>
      <c r="B77" s="325">
        <v>50.779998999999997</v>
      </c>
      <c r="C77" s="325">
        <v>51.299999</v>
      </c>
      <c r="D77" s="325">
        <v>47.959999000000003</v>
      </c>
      <c r="E77" s="325">
        <v>49.939999</v>
      </c>
      <c r="F77" s="366">
        <f t="shared" si="3"/>
        <v>-7.5516891891891369E-3</v>
      </c>
      <c r="G77" s="366">
        <f t="shared" si="8"/>
        <v>-2.6070774896224114E-3</v>
      </c>
      <c r="I77">
        <v>2148.5</v>
      </c>
      <c r="J77">
        <v>2154.790039</v>
      </c>
      <c r="K77">
        <v>2119.360107</v>
      </c>
      <c r="L77">
        <v>2126.4099120000001</v>
      </c>
      <c r="M77" s="366">
        <f t="shared" si="4"/>
        <v>-6.8887895375466801E-3</v>
      </c>
      <c r="N77" s="366">
        <f t="shared" si="9"/>
        <v>6.2615603476923187E-2</v>
      </c>
      <c r="P77" s="285">
        <v>42667</v>
      </c>
      <c r="Q77" s="407">
        <f t="shared" si="0"/>
        <v>49.939999</v>
      </c>
      <c r="R77"/>
      <c r="S77" s="409">
        <f>+F78</f>
        <v>1.3416139635885838E-2</v>
      </c>
      <c r="T77" s="409">
        <f>+M78</f>
        <v>-1.9389478842873342E-2</v>
      </c>
      <c r="U77" s="312">
        <f>+S77-$S$285</f>
        <v>1.1590780778602922E-2</v>
      </c>
      <c r="V77" s="312">
        <f>+T77-$T$285</f>
        <v>-2.1650305715902467E-2</v>
      </c>
      <c r="W77" s="419">
        <f t="shared" si="1"/>
        <v>-2.5094394734275931E-4</v>
      </c>
      <c r="X77" s="419">
        <f t="shared" si="2"/>
        <v>3.7595188979823294E-4</v>
      </c>
      <c r="Z77" s="285">
        <f t="shared" si="5"/>
        <v>42667</v>
      </c>
      <c r="AA77" s="312">
        <f t="shared" si="6"/>
        <v>-2.6070774896224114E-3</v>
      </c>
      <c r="AB77" s="312">
        <f t="shared" si="7"/>
        <v>6.2615603476923187E-2</v>
      </c>
    </row>
    <row r="78" spans="1:28" ht="17.45" customHeight="1">
      <c r="A78" s="285">
        <v>42674</v>
      </c>
      <c r="B78" s="325">
        <v>50.209999000000003</v>
      </c>
      <c r="C78" s="325">
        <v>53.66</v>
      </c>
      <c r="D78" s="325">
        <v>49.57</v>
      </c>
      <c r="E78" s="325">
        <v>50.610000999999997</v>
      </c>
      <c r="F78" s="366">
        <f t="shared" si="3"/>
        <v>1.3416139635885838E-2</v>
      </c>
      <c r="G78" s="366">
        <f t="shared" si="8"/>
        <v>1.0809062146263426E-2</v>
      </c>
      <c r="I78">
        <v>2129.780029</v>
      </c>
      <c r="J78">
        <v>2133.25</v>
      </c>
      <c r="K78">
        <v>2083.790039</v>
      </c>
      <c r="L78">
        <v>2085.179932</v>
      </c>
      <c r="M78" s="366">
        <f t="shared" si="4"/>
        <v>-1.9389478842873342E-2</v>
      </c>
      <c r="N78" s="366">
        <f t="shared" si="9"/>
        <v>4.3226124634049845E-2</v>
      </c>
      <c r="P78" s="285">
        <v>42674</v>
      </c>
      <c r="Q78" s="407">
        <f t="shared" si="0"/>
        <v>50.610000999999997</v>
      </c>
      <c r="R78"/>
      <c r="S78" s="409">
        <f>+F79</f>
        <v>4.6828669297991121E-2</v>
      </c>
      <c r="T78" s="409">
        <f>+M79</f>
        <v>3.8015913055507111E-2</v>
      </c>
      <c r="U78" s="312">
        <f>+S78-$S$285</f>
        <v>4.5003310440708204E-2</v>
      </c>
      <c r="V78" s="312">
        <f>+T78-$T$285</f>
        <v>3.5755086182477983E-2</v>
      </c>
      <c r="W78" s="419">
        <f t="shared" si="1"/>
        <v>1.6090972433043329E-3</v>
      </c>
      <c r="X78" s="419">
        <f t="shared" si="2"/>
        <v>1.4452096454438761E-3</v>
      </c>
      <c r="Z78" s="285">
        <f t="shared" si="5"/>
        <v>42674</v>
      </c>
      <c r="AA78" s="312">
        <f t="shared" si="6"/>
        <v>1.0809062146263426E-2</v>
      </c>
      <c r="AB78" s="312">
        <f t="shared" si="7"/>
        <v>4.3226124634049845E-2</v>
      </c>
    </row>
    <row r="79" spans="1:28" ht="17.45" customHeight="1">
      <c r="A79" s="285">
        <v>42681</v>
      </c>
      <c r="B79" s="325">
        <v>51.32</v>
      </c>
      <c r="C79" s="325">
        <v>53.77</v>
      </c>
      <c r="D79" s="325">
        <v>50.66</v>
      </c>
      <c r="E79" s="325">
        <v>52.98</v>
      </c>
      <c r="F79" s="366">
        <f t="shared" si="3"/>
        <v>4.6828669297991121E-2</v>
      </c>
      <c r="G79" s="366">
        <f t="shared" si="8"/>
        <v>5.7637731444254547E-2</v>
      </c>
      <c r="I79">
        <v>2100.5900879999999</v>
      </c>
      <c r="J79">
        <v>2182.3000489999999</v>
      </c>
      <c r="K79">
        <v>2100.5900879999999</v>
      </c>
      <c r="L79">
        <v>2164.4499510000001</v>
      </c>
      <c r="M79" s="366">
        <f t="shared" si="4"/>
        <v>3.8015913055507111E-2</v>
      </c>
      <c r="N79" s="366">
        <f t="shared" si="9"/>
        <v>8.1242037689556956E-2</v>
      </c>
      <c r="P79" s="285">
        <v>42681</v>
      </c>
      <c r="Q79" s="407">
        <f t="shared" si="0"/>
        <v>52.98</v>
      </c>
      <c r="R79"/>
      <c r="S79" s="409">
        <f>+F80</f>
        <v>1.2646319365798409E-2</v>
      </c>
      <c r="T79" s="409">
        <f>+M80</f>
        <v>8.062071840440499E-3</v>
      </c>
      <c r="U79" s="312">
        <f>+S79-$S$285</f>
        <v>1.0820960508515493E-2</v>
      </c>
      <c r="V79" s="312">
        <f>+T79-$T$285</f>
        <v>5.8012449674113729E-3</v>
      </c>
      <c r="W79" s="419">
        <f t="shared" si="1"/>
        <v>6.2775042692582713E-5</v>
      </c>
      <c r="X79" s="419">
        <f t="shared" si="2"/>
        <v>6.4997002360423653E-5</v>
      </c>
      <c r="Z79" s="285">
        <f t="shared" si="5"/>
        <v>42681</v>
      </c>
      <c r="AA79" s="312">
        <f t="shared" si="6"/>
        <v>5.7637731444254547E-2</v>
      </c>
      <c r="AB79" s="312">
        <f t="shared" si="7"/>
        <v>8.1242037689556956E-2</v>
      </c>
    </row>
    <row r="80" spans="1:28" ht="17.45" customHeight="1">
      <c r="A80" s="285">
        <v>42688</v>
      </c>
      <c r="B80" s="325">
        <v>53.040000999999997</v>
      </c>
      <c r="C80" s="325">
        <v>54.23</v>
      </c>
      <c r="D80" s="325">
        <v>51.860000999999997</v>
      </c>
      <c r="E80" s="325">
        <v>53.650002000000001</v>
      </c>
      <c r="F80" s="366">
        <f t="shared" si="3"/>
        <v>1.2646319365798409E-2</v>
      </c>
      <c r="G80" s="366">
        <f t="shared" si="8"/>
        <v>7.0284050810052956E-2</v>
      </c>
      <c r="I80">
        <v>2165.639893</v>
      </c>
      <c r="J80">
        <v>2189.889893</v>
      </c>
      <c r="K80">
        <v>2156.080078</v>
      </c>
      <c r="L80">
        <v>2181.8999020000001</v>
      </c>
      <c r="M80" s="366">
        <f t="shared" si="4"/>
        <v>8.062071840440499E-3</v>
      </c>
      <c r="N80" s="366">
        <f t="shared" si="9"/>
        <v>8.9304109529997455E-2</v>
      </c>
      <c r="P80" s="285">
        <v>42688</v>
      </c>
      <c r="Q80" s="407">
        <f t="shared" si="0"/>
        <v>53.650002000000001</v>
      </c>
      <c r="R80"/>
      <c r="S80" s="409">
        <f>+F81</f>
        <v>7.0828888319518502E-3</v>
      </c>
      <c r="T80" s="409">
        <f>+M81</f>
        <v>1.4414133284103237E-2</v>
      </c>
      <c r="U80" s="312">
        <f>+S80-$S$285</f>
        <v>5.2575299746689345E-3</v>
      </c>
      <c r="V80" s="312">
        <f>+T80-$T$285</f>
        <v>1.2153306411074111E-2</v>
      </c>
      <c r="W80" s="419">
        <f t="shared" si="1"/>
        <v>6.3896372747558269E-5</v>
      </c>
      <c r="X80" s="419">
        <f t="shared" si="2"/>
        <v>2.0776723833189275E-4</v>
      </c>
      <c r="Z80" s="285">
        <f t="shared" si="5"/>
        <v>42688</v>
      </c>
      <c r="AA80" s="312">
        <f t="shared" si="6"/>
        <v>7.0284050810052956E-2</v>
      </c>
      <c r="AB80" s="312">
        <f t="shared" si="7"/>
        <v>8.9304109529997455E-2</v>
      </c>
    </row>
    <row r="81" spans="1:28" ht="17.45" customHeight="1">
      <c r="A81" s="285">
        <v>42695</v>
      </c>
      <c r="B81" s="325">
        <v>53.75</v>
      </c>
      <c r="C81" s="325">
        <v>54.34</v>
      </c>
      <c r="D81" s="325">
        <v>52.610000999999997</v>
      </c>
      <c r="E81" s="325">
        <v>54.029998999999997</v>
      </c>
      <c r="F81" s="366">
        <f t="shared" si="3"/>
        <v>7.0828888319518502E-3</v>
      </c>
      <c r="G81" s="366">
        <f t="shared" si="8"/>
        <v>7.7366939642004806E-2</v>
      </c>
      <c r="I81">
        <v>2186.429932</v>
      </c>
      <c r="J81">
        <v>2213.3500979999999</v>
      </c>
      <c r="K81">
        <v>2186.429932</v>
      </c>
      <c r="L81">
        <v>2213.3500979999999</v>
      </c>
      <c r="M81" s="366">
        <f t="shared" si="4"/>
        <v>1.4414133284103237E-2</v>
      </c>
      <c r="N81" s="366">
        <f t="shared" si="9"/>
        <v>0.10371824281410069</v>
      </c>
      <c r="P81" s="285">
        <v>42695</v>
      </c>
      <c r="Q81" s="407">
        <f t="shared" si="0"/>
        <v>54.029998999999997</v>
      </c>
      <c r="R81"/>
      <c r="S81" s="409">
        <f>+F82</f>
        <v>-1.2030316713498301E-2</v>
      </c>
      <c r="T81" s="409">
        <f>+M82</f>
        <v>-9.6686678801231052E-3</v>
      </c>
      <c r="U81" s="312">
        <f>+S81-$S$285</f>
        <v>-1.3855675570781217E-2</v>
      </c>
      <c r="V81" s="312">
        <f>+T81-$T$285</f>
        <v>-1.192949475315223E-2</v>
      </c>
      <c r="W81" s="419">
        <f t="shared" si="1"/>
        <v>1.6529120902301407E-4</v>
      </c>
      <c r="X81" s="419">
        <f t="shared" si="2"/>
        <v>9.3483138576124221E-5</v>
      </c>
      <c r="Z81" s="285">
        <f t="shared" si="5"/>
        <v>42695</v>
      </c>
      <c r="AA81" s="312">
        <f t="shared" si="6"/>
        <v>7.7366939642004806E-2</v>
      </c>
      <c r="AB81" s="312">
        <f t="shared" si="7"/>
        <v>0.10371824281410069</v>
      </c>
    </row>
    <row r="82" spans="1:28" ht="17.45" customHeight="1">
      <c r="A82" s="285">
        <v>42702</v>
      </c>
      <c r="B82" s="325">
        <v>53.93</v>
      </c>
      <c r="C82" s="325">
        <v>54.07</v>
      </c>
      <c r="D82" s="325">
        <v>50.810001</v>
      </c>
      <c r="E82" s="325">
        <v>53.380001</v>
      </c>
      <c r="F82" s="366">
        <f t="shared" si="3"/>
        <v>-1.2030316713498301E-2</v>
      </c>
      <c r="G82" s="366">
        <f t="shared" si="8"/>
        <v>6.5336622928506505E-2</v>
      </c>
      <c r="I82">
        <v>2210.209961</v>
      </c>
      <c r="J82">
        <v>2214.1000979999999</v>
      </c>
      <c r="K82">
        <v>2187.4399410000001</v>
      </c>
      <c r="L82">
        <v>2191.9499510000001</v>
      </c>
      <c r="M82" s="366">
        <f t="shared" si="4"/>
        <v>-9.6686678801231052E-3</v>
      </c>
      <c r="N82" s="366">
        <f t="shared" si="9"/>
        <v>9.4049574933977587E-2</v>
      </c>
      <c r="P82" s="285">
        <v>42702</v>
      </c>
      <c r="Q82" s="407">
        <f t="shared" si="0"/>
        <v>53.380001</v>
      </c>
      <c r="R82"/>
      <c r="S82" s="409">
        <f>+F83</f>
        <v>5.8636136031544828E-2</v>
      </c>
      <c r="T82" s="409">
        <f>+M83</f>
        <v>3.0831031506521889E-2</v>
      </c>
      <c r="U82" s="312">
        <f>+S82-$S$285</f>
        <v>5.681077717426191E-2</v>
      </c>
      <c r="V82" s="312">
        <f>+T82-$T$285</f>
        <v>2.8570204633492764E-2</v>
      </c>
      <c r="W82" s="419">
        <f t="shared" si="1"/>
        <v>1.6230955292564225E-3</v>
      </c>
      <c r="X82" s="419">
        <f t="shared" si="2"/>
        <v>9.5055250375614532E-4</v>
      </c>
      <c r="Z82" s="285">
        <f t="shared" si="5"/>
        <v>42702</v>
      </c>
      <c r="AA82" s="312">
        <f t="shared" si="6"/>
        <v>6.5336622928506505E-2</v>
      </c>
      <c r="AB82" s="312">
        <f t="shared" si="7"/>
        <v>9.4049574933977587E-2</v>
      </c>
    </row>
    <row r="83" spans="1:28" ht="17.45" customHeight="1">
      <c r="A83" s="285">
        <v>42709</v>
      </c>
      <c r="B83" s="325">
        <v>54.139999000000003</v>
      </c>
      <c r="C83" s="325">
        <v>57.419998</v>
      </c>
      <c r="D83" s="325">
        <v>54</v>
      </c>
      <c r="E83" s="325">
        <v>56.509998000000003</v>
      </c>
      <c r="F83" s="366">
        <f t="shared" si="3"/>
        <v>5.8636136031544828E-2</v>
      </c>
      <c r="G83" s="366">
        <f t="shared" si="8"/>
        <v>0.12397275896005133</v>
      </c>
      <c r="I83">
        <v>2200.6499020000001</v>
      </c>
      <c r="J83">
        <v>2259.8000489999999</v>
      </c>
      <c r="K83">
        <v>2199.969971</v>
      </c>
      <c r="L83">
        <v>2259.530029</v>
      </c>
      <c r="M83" s="366">
        <f t="shared" si="4"/>
        <v>3.0831031506521889E-2</v>
      </c>
      <c r="N83" s="366">
        <f t="shared" si="9"/>
        <v>0.12488060644049948</v>
      </c>
      <c r="P83" s="285">
        <v>42709</v>
      </c>
      <c r="Q83" s="407">
        <f t="shared" si="0"/>
        <v>56.509998000000003</v>
      </c>
      <c r="R83"/>
      <c r="S83" s="409">
        <f>+F84</f>
        <v>2.0881278389002889E-2</v>
      </c>
      <c r="T83" s="409">
        <f>+M84</f>
        <v>-6.4613480735464801E-4</v>
      </c>
      <c r="U83" s="312">
        <f>+S83-$S$285</f>
        <v>1.9055919531719971E-2</v>
      </c>
      <c r="V83" s="312">
        <f>+T83-$T$285</f>
        <v>-2.9069616803837741E-3</v>
      </c>
      <c r="W83" s="419">
        <f t="shared" si="1"/>
        <v>-5.5394827863186666E-5</v>
      </c>
      <c r="X83" s="419">
        <f t="shared" si="2"/>
        <v>4.1749018927522812E-7</v>
      </c>
      <c r="Z83" s="285">
        <f t="shared" si="5"/>
        <v>42709</v>
      </c>
      <c r="AA83" s="312">
        <f t="shared" si="6"/>
        <v>0.12397275896005133</v>
      </c>
      <c r="AB83" s="312">
        <f t="shared" si="7"/>
        <v>0.12488060644049948</v>
      </c>
    </row>
    <row r="84" spans="1:28" ht="17.45" customHeight="1">
      <c r="A84" s="285">
        <v>42716</v>
      </c>
      <c r="B84" s="325">
        <v>56.349997999999999</v>
      </c>
      <c r="C84" s="325">
        <v>57.98</v>
      </c>
      <c r="D84" s="325">
        <v>55.950001</v>
      </c>
      <c r="E84" s="325">
        <v>57.689999</v>
      </c>
      <c r="F84" s="366">
        <f t="shared" si="3"/>
        <v>2.0881278389002889E-2</v>
      </c>
      <c r="G84" s="366">
        <f t="shared" si="8"/>
        <v>0.14485403734905422</v>
      </c>
      <c r="I84">
        <v>2258.830078</v>
      </c>
      <c r="J84">
        <v>2277.530029</v>
      </c>
      <c r="K84">
        <v>2248.4399410000001</v>
      </c>
      <c r="L84">
        <v>2258.070068</v>
      </c>
      <c r="M84" s="366">
        <f t="shared" si="4"/>
        <v>-6.4613480735464801E-4</v>
      </c>
      <c r="N84" s="366">
        <f t="shared" si="9"/>
        <v>0.12423447163314483</v>
      </c>
      <c r="P84" s="285">
        <v>42716</v>
      </c>
      <c r="Q84" s="407">
        <f t="shared" si="0"/>
        <v>57.689999</v>
      </c>
      <c r="R84"/>
      <c r="S84" s="409">
        <f>+F85</f>
        <v>-2.1667533743586986E-2</v>
      </c>
      <c r="T84" s="409">
        <f>+M85</f>
        <v>2.5331237861303535E-3</v>
      </c>
      <c r="U84" s="312">
        <f>+S84-$S$285</f>
        <v>-2.3492892600869904E-2</v>
      </c>
      <c r="V84" s="312">
        <f>+T84-$T$285</f>
        <v>2.7229691310122744E-4</v>
      </c>
      <c r="W84" s="419">
        <f t="shared" si="1"/>
        <v>-6.3970421350355415E-6</v>
      </c>
      <c r="X84" s="419">
        <f t="shared" si="2"/>
        <v>6.4167161158593768E-6</v>
      </c>
      <c r="Z84" s="285">
        <f t="shared" si="5"/>
        <v>42716</v>
      </c>
      <c r="AA84" s="312">
        <f t="shared" si="6"/>
        <v>0.14485403734905422</v>
      </c>
      <c r="AB84" s="312">
        <f t="shared" si="7"/>
        <v>0.12423447163314483</v>
      </c>
    </row>
    <row r="85" spans="1:28" ht="17.45" customHeight="1">
      <c r="A85" s="285">
        <v>42723</v>
      </c>
      <c r="B85" s="325">
        <v>57.799999</v>
      </c>
      <c r="C85" s="325">
        <v>58.049999</v>
      </c>
      <c r="D85" s="325">
        <v>55.950001</v>
      </c>
      <c r="E85" s="325">
        <v>56.439999</v>
      </c>
      <c r="F85" s="366">
        <f t="shared" si="3"/>
        <v>-2.1667533743586986E-2</v>
      </c>
      <c r="G85" s="366">
        <f t="shared" si="8"/>
        <v>0.12318650360546723</v>
      </c>
      <c r="I85">
        <v>2259.23999</v>
      </c>
      <c r="J85">
        <v>2272.5600589999999</v>
      </c>
      <c r="K85">
        <v>2256.080078</v>
      </c>
      <c r="L85">
        <v>2263.790039</v>
      </c>
      <c r="M85" s="366">
        <f t="shared" si="4"/>
        <v>2.5331237861303535E-3</v>
      </c>
      <c r="N85" s="366">
        <f t="shared" si="9"/>
        <v>0.12676759541927518</v>
      </c>
      <c r="P85" s="285">
        <v>42723</v>
      </c>
      <c r="Q85" s="407">
        <f t="shared" si="0"/>
        <v>56.439999</v>
      </c>
      <c r="R85"/>
      <c r="S85" s="409">
        <f>+F86</f>
        <v>-2.0907176132302863E-2</v>
      </c>
      <c r="T85" s="409">
        <f>+M86</f>
        <v>-1.1025740271843332E-2</v>
      </c>
      <c r="U85" s="312">
        <f>+S85-$S$285</f>
        <v>-2.273253498958578E-2</v>
      </c>
      <c r="V85" s="312">
        <f>+T85-$T$285</f>
        <v>-1.3286567144872457E-2</v>
      </c>
      <c r="W85" s="419">
        <f t="shared" si="1"/>
        <v>3.0203735251229394E-4</v>
      </c>
      <c r="X85" s="419">
        <f t="shared" si="2"/>
        <v>1.2156694854214787E-4</v>
      </c>
      <c r="Z85" s="285">
        <f t="shared" si="5"/>
        <v>42723</v>
      </c>
      <c r="AA85" s="312">
        <f t="shared" si="6"/>
        <v>0.12318650360546723</v>
      </c>
      <c r="AB85" s="312">
        <f t="shared" si="7"/>
        <v>0.12676759541927518</v>
      </c>
    </row>
    <row r="86" spans="1:28" ht="17.45" customHeight="1">
      <c r="A86" s="285">
        <v>42730</v>
      </c>
      <c r="B86" s="325">
        <v>56.490001999999997</v>
      </c>
      <c r="C86" s="325">
        <v>56.810001</v>
      </c>
      <c r="D86" s="325">
        <v>55.150002000000001</v>
      </c>
      <c r="E86" s="325">
        <v>55.259998000000003</v>
      </c>
      <c r="F86" s="366">
        <f t="shared" si="3"/>
        <v>-2.0907176132302863E-2</v>
      </c>
      <c r="G86" s="366">
        <f t="shared" si="8"/>
        <v>0.10227932747316437</v>
      </c>
      <c r="I86">
        <v>2266.2299800000001</v>
      </c>
      <c r="J86">
        <v>2273.820068</v>
      </c>
      <c r="K86">
        <v>2233.6201169999999</v>
      </c>
      <c r="L86">
        <v>2238.830078</v>
      </c>
      <c r="M86" s="366">
        <f t="shared" si="4"/>
        <v>-1.1025740271843332E-2</v>
      </c>
      <c r="N86" s="366">
        <f t="shared" si="9"/>
        <v>0.11574185514743185</v>
      </c>
      <c r="P86" s="285">
        <v>42730</v>
      </c>
      <c r="Q86" s="407">
        <f t="shared" si="0"/>
        <v>55.259998000000003</v>
      </c>
      <c r="R86"/>
      <c r="S86" s="409">
        <f>+F87</f>
        <v>-5.247864829817761E-3</v>
      </c>
      <c r="T86" s="409">
        <f>+M87</f>
        <v>1.7040106069184269E-2</v>
      </c>
      <c r="U86" s="312">
        <f>+S86-$S$285</f>
        <v>-7.0732236871006767E-3</v>
      </c>
      <c r="V86" s="312">
        <f>+T86-$T$285</f>
        <v>1.4779279196155144E-2</v>
      </c>
      <c r="W86" s="419">
        <f t="shared" si="1"/>
        <v>-1.0453714768851881E-4</v>
      </c>
      <c r="X86" s="419">
        <f t="shared" si="2"/>
        <v>2.9036521484905055E-4</v>
      </c>
      <c r="Z86" s="285">
        <f t="shared" si="5"/>
        <v>42730</v>
      </c>
      <c r="AA86" s="312">
        <f t="shared" si="6"/>
        <v>0.10227932747316437</v>
      </c>
      <c r="AB86" s="312">
        <f t="shared" si="7"/>
        <v>0.11574185514743185</v>
      </c>
    </row>
    <row r="87" spans="1:28" ht="17.45" customHeight="1">
      <c r="A87" s="285">
        <v>42737</v>
      </c>
      <c r="B87" s="325">
        <v>55.950001</v>
      </c>
      <c r="C87" s="325">
        <v>56.5</v>
      </c>
      <c r="D87" s="325">
        <v>54.220001000000003</v>
      </c>
      <c r="E87" s="325">
        <v>54.970001000000003</v>
      </c>
      <c r="F87" s="366">
        <f t="shared" si="3"/>
        <v>-5.247864829817761E-3</v>
      </c>
      <c r="G87" s="366">
        <f t="shared" si="8"/>
        <v>9.7031462643346611E-2</v>
      </c>
      <c r="I87">
        <v>2251.570068</v>
      </c>
      <c r="J87">
        <v>2282.1000979999999</v>
      </c>
      <c r="K87">
        <v>2245.1298830000001</v>
      </c>
      <c r="L87">
        <v>2276.9799800000001</v>
      </c>
      <c r="M87" s="366">
        <f t="shared" si="4"/>
        <v>1.7040106069184269E-2</v>
      </c>
      <c r="N87" s="366">
        <f t="shared" si="9"/>
        <v>0.13278196121661612</v>
      </c>
      <c r="P87" s="285">
        <v>42737</v>
      </c>
      <c r="Q87" s="407">
        <f t="shared" ref="Q87:Q150" si="10">+E87</f>
        <v>54.970001000000003</v>
      </c>
      <c r="R87"/>
      <c r="S87" s="409">
        <f>+F88</f>
        <v>6.1851918103474901E-3</v>
      </c>
      <c r="T87" s="409">
        <f>+M88</f>
        <v>-1.0277152283086899E-3</v>
      </c>
      <c r="U87" s="312">
        <f>+S87-$S$285</f>
        <v>4.3598329530645744E-3</v>
      </c>
      <c r="V87" s="312">
        <f>+T87-$T$285</f>
        <v>-3.2885421013378159E-3</v>
      </c>
      <c r="W87" s="419">
        <f t="shared" ref="W87:W150" si="11">+V87*U87</f>
        <v>-1.4337494220952832E-5</v>
      </c>
      <c r="X87" s="419">
        <f t="shared" ref="X87:X150" si="12">+T87^2</f>
        <v>1.0561985904975826E-6</v>
      </c>
      <c r="Z87" s="285">
        <f t="shared" si="5"/>
        <v>42737</v>
      </c>
      <c r="AA87" s="312">
        <f t="shared" si="6"/>
        <v>9.7031462643346611E-2</v>
      </c>
      <c r="AB87" s="312">
        <f t="shared" si="7"/>
        <v>0.13278196121661612</v>
      </c>
    </row>
    <row r="88" spans="1:28" ht="17.45" customHeight="1">
      <c r="A88" s="285">
        <v>42744</v>
      </c>
      <c r="B88" s="325">
        <v>54.939999</v>
      </c>
      <c r="C88" s="325">
        <v>55.700001</v>
      </c>
      <c r="D88" s="325">
        <v>54.529998999999997</v>
      </c>
      <c r="E88" s="325">
        <v>55.310001</v>
      </c>
      <c r="F88" s="366">
        <f t="shared" ref="F88:F151" si="13">+E88/E87-1</f>
        <v>6.1851918103474901E-3</v>
      </c>
      <c r="G88" s="366">
        <f t="shared" si="8"/>
        <v>0.1032166544536941</v>
      </c>
      <c r="I88">
        <v>2273.5900879999999</v>
      </c>
      <c r="J88">
        <v>2279.2700199999999</v>
      </c>
      <c r="K88">
        <v>2254.25</v>
      </c>
      <c r="L88">
        <v>2274.639893</v>
      </c>
      <c r="M88" s="366">
        <f t="shared" ref="M88:M151" si="14">+L88/L87-1</f>
        <v>-1.0277152283086899E-3</v>
      </c>
      <c r="N88" s="366">
        <f t="shared" si="9"/>
        <v>0.13175424598830743</v>
      </c>
      <c r="P88" s="285">
        <v>42744</v>
      </c>
      <c r="Q88" s="407">
        <f t="shared" si="10"/>
        <v>55.310001</v>
      </c>
      <c r="R88"/>
      <c r="S88" s="409">
        <f>+F89</f>
        <v>-1.5729560373719753E-2</v>
      </c>
      <c r="T88" s="409">
        <f>+M89</f>
        <v>-1.4638950148757601E-3</v>
      </c>
      <c r="U88" s="312">
        <f>+S88-$S$285</f>
        <v>-1.7554919231002671E-2</v>
      </c>
      <c r="V88" s="312">
        <f>+T88-$T$285</f>
        <v>-3.7247218879048862E-3</v>
      </c>
      <c r="W88" s="419">
        <f t="shared" si="11"/>
        <v>6.5387191900118059E-5</v>
      </c>
      <c r="X88" s="419">
        <f t="shared" si="12"/>
        <v>2.1429886145781022E-6</v>
      </c>
      <c r="Z88" s="285">
        <f t="shared" ref="Z88:Z151" si="15">+A88</f>
        <v>42744</v>
      </c>
      <c r="AA88" s="312">
        <f t="shared" ref="AA88:AA151" si="16">+G88</f>
        <v>0.1032166544536941</v>
      </c>
      <c r="AB88" s="312">
        <f t="shared" ref="AB88:AB151" si="17">+N88</f>
        <v>0.13175424598830743</v>
      </c>
    </row>
    <row r="89" spans="1:28" ht="17.45" customHeight="1">
      <c r="A89" s="285">
        <v>42751</v>
      </c>
      <c r="B89" s="325">
        <v>55.259998000000003</v>
      </c>
      <c r="C89" s="325">
        <v>55.540000999999997</v>
      </c>
      <c r="D89" s="325">
        <v>54.200001</v>
      </c>
      <c r="E89" s="325">
        <v>54.439999</v>
      </c>
      <c r="F89" s="366">
        <f t="shared" si="13"/>
        <v>-1.5729560373719753E-2</v>
      </c>
      <c r="G89" s="366">
        <f t="shared" ref="G89:G152" si="18">+F89+G88</f>
        <v>8.7487094079974348E-2</v>
      </c>
      <c r="I89">
        <v>2269.139893</v>
      </c>
      <c r="J89">
        <v>2276.959961</v>
      </c>
      <c r="K89">
        <v>2258.4099120000001</v>
      </c>
      <c r="L89">
        <v>2271.3100589999999</v>
      </c>
      <c r="M89" s="366">
        <f t="shared" si="14"/>
        <v>-1.4638950148757601E-3</v>
      </c>
      <c r="N89" s="366">
        <f t="shared" ref="N89:N152" si="19">+M89+N88</f>
        <v>0.13029035097343167</v>
      </c>
      <c r="P89" s="285">
        <v>42751</v>
      </c>
      <c r="Q89" s="407">
        <f t="shared" si="10"/>
        <v>54.439999</v>
      </c>
      <c r="R89"/>
      <c r="S89" s="409">
        <f>+F90</f>
        <v>2.1307843888828781E-2</v>
      </c>
      <c r="T89" s="409">
        <f>+M90</f>
        <v>1.029356688108618E-2</v>
      </c>
      <c r="U89" s="312">
        <f>+S89-$S$285</f>
        <v>1.9482485031545864E-2</v>
      </c>
      <c r="V89" s="312">
        <f>+T89-$T$285</f>
        <v>8.032740008057055E-3</v>
      </c>
      <c r="W89" s="419">
        <f t="shared" si="11"/>
        <v>1.5649773696927119E-4</v>
      </c>
      <c r="X89" s="419">
        <f t="shared" si="12"/>
        <v>1.0595751913539427E-4</v>
      </c>
      <c r="Z89" s="285">
        <f t="shared" si="15"/>
        <v>42751</v>
      </c>
      <c r="AA89" s="312">
        <f t="shared" si="16"/>
        <v>8.7487094079974348E-2</v>
      </c>
      <c r="AB89" s="312">
        <f t="shared" si="17"/>
        <v>0.13029035097343167</v>
      </c>
    </row>
    <row r="90" spans="1:28" ht="17.45" customHeight="1">
      <c r="A90" s="285">
        <v>42758</v>
      </c>
      <c r="B90" s="325">
        <v>54.380001</v>
      </c>
      <c r="C90" s="325">
        <v>55.650002000000001</v>
      </c>
      <c r="D90" s="325">
        <v>53.07</v>
      </c>
      <c r="E90" s="325">
        <v>55.599997999999999</v>
      </c>
      <c r="F90" s="366">
        <f t="shared" si="13"/>
        <v>2.1307843888828781E-2</v>
      </c>
      <c r="G90" s="366">
        <f t="shared" si="18"/>
        <v>0.10879493796880313</v>
      </c>
      <c r="I90">
        <v>2267.780029</v>
      </c>
      <c r="J90">
        <v>2300.98999</v>
      </c>
      <c r="K90">
        <v>2257.0200199999999</v>
      </c>
      <c r="L90">
        <v>2294.6899410000001</v>
      </c>
      <c r="M90" s="366">
        <f t="shared" si="14"/>
        <v>1.029356688108618E-2</v>
      </c>
      <c r="N90" s="366">
        <f t="shared" si="19"/>
        <v>0.14058391785451785</v>
      </c>
      <c r="P90" s="285">
        <v>42758</v>
      </c>
      <c r="Q90" s="407">
        <f t="shared" si="10"/>
        <v>55.599997999999999</v>
      </c>
      <c r="R90"/>
      <c r="S90" s="409">
        <f>+F91</f>
        <v>2.5180576445344993E-3</v>
      </c>
      <c r="T90" s="409">
        <f>+M91</f>
        <v>1.1896949349115005E-3</v>
      </c>
      <c r="U90" s="312">
        <f>+S90-$S$285</f>
        <v>6.9269878725158321E-4</v>
      </c>
      <c r="V90" s="312">
        <f>+T90-$T$285</f>
        <v>-1.0711319381176256E-3</v>
      </c>
      <c r="W90" s="419">
        <f t="shared" si="11"/>
        <v>-7.4197179452051711E-7</v>
      </c>
      <c r="X90" s="419">
        <f t="shared" si="12"/>
        <v>1.4153740381540794E-6</v>
      </c>
      <c r="Z90" s="285">
        <f t="shared" si="15"/>
        <v>42758</v>
      </c>
      <c r="AA90" s="312">
        <f t="shared" si="16"/>
        <v>0.10879493796880313</v>
      </c>
      <c r="AB90" s="312">
        <f t="shared" si="17"/>
        <v>0.14058391785451785</v>
      </c>
    </row>
    <row r="91" spans="1:28" ht="17.45" customHeight="1">
      <c r="A91" s="285">
        <v>42765</v>
      </c>
      <c r="B91" s="325">
        <v>55.23</v>
      </c>
      <c r="C91" s="325">
        <v>55.75</v>
      </c>
      <c r="D91" s="325">
        <v>53.77</v>
      </c>
      <c r="E91" s="325">
        <v>55.740001999999997</v>
      </c>
      <c r="F91" s="366">
        <f t="shared" si="13"/>
        <v>2.5180576445344993E-3</v>
      </c>
      <c r="G91" s="366">
        <f t="shared" si="18"/>
        <v>0.11131299561333763</v>
      </c>
      <c r="I91">
        <v>2286.01001</v>
      </c>
      <c r="J91">
        <v>2298.3100589999999</v>
      </c>
      <c r="K91">
        <v>2267.209961</v>
      </c>
      <c r="L91">
        <v>2297.419922</v>
      </c>
      <c r="M91" s="366">
        <f t="shared" si="14"/>
        <v>1.1896949349115005E-3</v>
      </c>
      <c r="N91" s="366">
        <f t="shared" si="19"/>
        <v>0.14177361278942935</v>
      </c>
      <c r="P91" s="285">
        <v>42765</v>
      </c>
      <c r="Q91" s="407">
        <f t="shared" si="10"/>
        <v>55.740001999999997</v>
      </c>
      <c r="R91"/>
      <c r="S91" s="409">
        <f>+F92</f>
        <v>7.3555792122146357E-3</v>
      </c>
      <c r="T91" s="409">
        <f>+M92</f>
        <v>8.1309367178021841E-3</v>
      </c>
      <c r="U91" s="312">
        <f>+S91-$S$285</f>
        <v>5.5302203549317201E-3</v>
      </c>
      <c r="V91" s="312">
        <f>+T91-$T$285</f>
        <v>5.870109844773058E-3</v>
      </c>
      <c r="W91" s="419">
        <f t="shared" si="11"/>
        <v>3.2463000949249045E-5</v>
      </c>
      <c r="X91" s="419">
        <f t="shared" si="12"/>
        <v>6.6112131908903756E-5</v>
      </c>
      <c r="Z91" s="285">
        <f t="shared" si="15"/>
        <v>42765</v>
      </c>
      <c r="AA91" s="312">
        <f t="shared" si="16"/>
        <v>0.11131299561333763</v>
      </c>
      <c r="AB91" s="312">
        <f t="shared" si="17"/>
        <v>0.14177361278942935</v>
      </c>
    </row>
    <row r="92" spans="1:28" ht="17.45" customHeight="1">
      <c r="A92" s="285">
        <v>42772</v>
      </c>
      <c r="B92" s="325">
        <v>55.459999000000003</v>
      </c>
      <c r="C92" s="325">
        <v>56.259998000000003</v>
      </c>
      <c r="D92" s="325">
        <v>55.209999000000003</v>
      </c>
      <c r="E92" s="325">
        <v>56.150002000000001</v>
      </c>
      <c r="F92" s="366">
        <f t="shared" si="13"/>
        <v>7.3555792122146357E-3</v>
      </c>
      <c r="G92" s="366">
        <f t="shared" si="18"/>
        <v>0.11866857482555226</v>
      </c>
      <c r="I92">
        <v>2294.280029</v>
      </c>
      <c r="J92">
        <v>2319.2299800000001</v>
      </c>
      <c r="K92">
        <v>2285.3798830000001</v>
      </c>
      <c r="L92">
        <v>2316.1000979999999</v>
      </c>
      <c r="M92" s="366">
        <f t="shared" si="14"/>
        <v>8.1309367178021841E-3</v>
      </c>
      <c r="N92" s="366">
        <f t="shared" si="19"/>
        <v>0.14990454950723153</v>
      </c>
      <c r="P92" s="285">
        <v>42772</v>
      </c>
      <c r="Q92" s="407">
        <f t="shared" si="10"/>
        <v>56.150002000000001</v>
      </c>
      <c r="R92"/>
      <c r="S92" s="409">
        <f>+F93</f>
        <v>-4.6304593185945042E-2</v>
      </c>
      <c r="T92" s="409">
        <f>+M93</f>
        <v>1.5137434703394348E-2</v>
      </c>
      <c r="U92" s="312">
        <f>+S92-$S$285</f>
        <v>-4.812995204322796E-2</v>
      </c>
      <c r="V92" s="312">
        <f>+T92-$T$285</f>
        <v>1.2876607830365223E-2</v>
      </c>
      <c r="W92" s="419">
        <f t="shared" si="11"/>
        <v>-6.1975051735493176E-4</v>
      </c>
      <c r="X92" s="419">
        <f t="shared" si="12"/>
        <v>2.2914192939952753E-4</v>
      </c>
      <c r="Z92" s="285">
        <f t="shared" si="15"/>
        <v>42772</v>
      </c>
      <c r="AA92" s="312">
        <f t="shared" si="16"/>
        <v>0.11866857482555226</v>
      </c>
      <c r="AB92" s="312">
        <f t="shared" si="17"/>
        <v>0.14990454950723153</v>
      </c>
    </row>
    <row r="93" spans="1:28" ht="17.45" customHeight="1">
      <c r="A93" s="285">
        <v>42779</v>
      </c>
      <c r="B93" s="325">
        <v>56.650002000000001</v>
      </c>
      <c r="C93" s="325">
        <v>57.459999000000003</v>
      </c>
      <c r="D93" s="325">
        <v>53.189999</v>
      </c>
      <c r="E93" s="325">
        <v>53.549999</v>
      </c>
      <c r="F93" s="366">
        <f t="shared" si="13"/>
        <v>-4.6304593185945042E-2</v>
      </c>
      <c r="G93" s="366">
        <f t="shared" si="18"/>
        <v>7.2363981639607222E-2</v>
      </c>
      <c r="I93">
        <v>2321.719971</v>
      </c>
      <c r="J93">
        <v>2351.3100589999999</v>
      </c>
      <c r="K93">
        <v>2321.419922</v>
      </c>
      <c r="L93">
        <v>2351.1599120000001</v>
      </c>
      <c r="M93" s="366">
        <f t="shared" si="14"/>
        <v>1.5137434703394348E-2</v>
      </c>
      <c r="N93" s="366">
        <f t="shared" si="19"/>
        <v>0.16504198421062588</v>
      </c>
      <c r="P93" s="285">
        <v>42779</v>
      </c>
      <c r="Q93" s="407">
        <f t="shared" si="10"/>
        <v>53.549999</v>
      </c>
      <c r="R93"/>
      <c r="S93" s="409">
        <f>+F94</f>
        <v>-3.1372549605463096E-2</v>
      </c>
      <c r="T93" s="409">
        <f>+M94</f>
        <v>6.8817845682969114E-3</v>
      </c>
      <c r="U93" s="312">
        <f>+S93-$S$285</f>
        <v>-3.3197908462746013E-2</v>
      </c>
      <c r="V93" s="312">
        <f>+T93-$T$285</f>
        <v>4.6209576952677854E-3</v>
      </c>
      <c r="W93" s="419">
        <f t="shared" si="11"/>
        <v>-1.5340613057772173E-4</v>
      </c>
      <c r="X93" s="419">
        <f t="shared" si="12"/>
        <v>4.7358958844449507E-5</v>
      </c>
      <c r="Z93" s="285">
        <f t="shared" si="15"/>
        <v>42779</v>
      </c>
      <c r="AA93" s="312">
        <f t="shared" si="16"/>
        <v>7.2363981639607222E-2</v>
      </c>
      <c r="AB93" s="312">
        <f t="shared" si="17"/>
        <v>0.16504198421062588</v>
      </c>
    </row>
    <row r="94" spans="1:28" ht="17.45" customHeight="1">
      <c r="A94" s="285">
        <v>42786</v>
      </c>
      <c r="B94" s="325">
        <v>53.84</v>
      </c>
      <c r="C94" s="325">
        <v>53.91</v>
      </c>
      <c r="D94" s="325">
        <v>50.82</v>
      </c>
      <c r="E94" s="325">
        <v>51.869999</v>
      </c>
      <c r="F94" s="366">
        <f t="shared" si="13"/>
        <v>-3.1372549605463096E-2</v>
      </c>
      <c r="G94" s="366">
        <f t="shared" si="18"/>
        <v>4.0991432034144126E-2</v>
      </c>
      <c r="I94">
        <v>2354.9099120000001</v>
      </c>
      <c r="J94">
        <v>2368.26001</v>
      </c>
      <c r="K94">
        <v>2352.8701169999999</v>
      </c>
      <c r="L94">
        <v>2367.3400879999999</v>
      </c>
      <c r="M94" s="366">
        <f t="shared" si="14"/>
        <v>6.8817845682969114E-3</v>
      </c>
      <c r="N94" s="366">
        <f t="shared" si="19"/>
        <v>0.17192376877892279</v>
      </c>
      <c r="P94" s="285">
        <v>42786</v>
      </c>
      <c r="Q94" s="407">
        <f t="shared" si="10"/>
        <v>51.869999</v>
      </c>
      <c r="R94"/>
      <c r="S94" s="409">
        <f>+F95</f>
        <v>-9.6392907198628031E-4</v>
      </c>
      <c r="T94" s="409">
        <f>+M95</f>
        <v>6.6657211948502049E-3</v>
      </c>
      <c r="U94" s="312">
        <f>+S94-$S$285</f>
        <v>-2.7892879292691964E-3</v>
      </c>
      <c r="V94" s="312">
        <f>+T94-$T$285</f>
        <v>4.4048943218210788E-3</v>
      </c>
      <c r="W94" s="419">
        <f t="shared" si="11"/>
        <v>-1.2286518561561959E-5</v>
      </c>
      <c r="X94" s="419">
        <f t="shared" si="12"/>
        <v>4.4431839047475245E-5</v>
      </c>
      <c r="Z94" s="285">
        <f t="shared" si="15"/>
        <v>42786</v>
      </c>
      <c r="AA94" s="312">
        <f t="shared" si="16"/>
        <v>4.0991432034144126E-2</v>
      </c>
      <c r="AB94" s="312">
        <f t="shared" si="17"/>
        <v>0.17192376877892279</v>
      </c>
    </row>
    <row r="95" spans="1:28" ht="17.45" customHeight="1">
      <c r="A95" s="285">
        <v>42793</v>
      </c>
      <c r="B95" s="325">
        <v>51.810001</v>
      </c>
      <c r="C95" s="325">
        <v>52.619999</v>
      </c>
      <c r="D95" s="325">
        <v>51.32</v>
      </c>
      <c r="E95" s="325">
        <v>51.82</v>
      </c>
      <c r="F95" s="366">
        <f t="shared" si="13"/>
        <v>-9.6392907198628031E-4</v>
      </c>
      <c r="G95" s="366">
        <f t="shared" si="18"/>
        <v>4.0027502962157846E-2</v>
      </c>
      <c r="I95">
        <v>2365.2299800000001</v>
      </c>
      <c r="J95">
        <v>2400.9799800000001</v>
      </c>
      <c r="K95">
        <v>2358.959961</v>
      </c>
      <c r="L95">
        <v>2383.1201169999999</v>
      </c>
      <c r="M95" s="366">
        <f t="shared" si="14"/>
        <v>6.6657211948502049E-3</v>
      </c>
      <c r="N95" s="366">
        <f t="shared" si="19"/>
        <v>0.178589489973773</v>
      </c>
      <c r="P95" s="285">
        <v>42793</v>
      </c>
      <c r="Q95" s="407">
        <f t="shared" si="10"/>
        <v>51.82</v>
      </c>
      <c r="R95"/>
      <c r="S95" s="409">
        <f>+F96</f>
        <v>-8.1049401775376007E-3</v>
      </c>
      <c r="T95" s="409">
        <f>+M96</f>
        <v>-4.4143889034192751E-3</v>
      </c>
      <c r="U95" s="312">
        <f>+S95-$S$285</f>
        <v>-9.9302990348205163E-3</v>
      </c>
      <c r="V95" s="312">
        <f>+T95-$T$285</f>
        <v>-6.6752157764484012E-3</v>
      </c>
      <c r="W95" s="419">
        <f t="shared" si="11"/>
        <v>6.6286888782084247E-5</v>
      </c>
      <c r="X95" s="419">
        <f t="shared" si="12"/>
        <v>1.948682939063123E-5</v>
      </c>
      <c r="Z95" s="285">
        <f t="shared" si="15"/>
        <v>42793</v>
      </c>
      <c r="AA95" s="312">
        <f t="shared" si="16"/>
        <v>4.0027502962157846E-2</v>
      </c>
      <c r="AB95" s="312">
        <f t="shared" si="17"/>
        <v>0.178589489973773</v>
      </c>
    </row>
    <row r="96" spans="1:28" ht="17.45" customHeight="1">
      <c r="A96" s="285">
        <v>42800</v>
      </c>
      <c r="B96" s="325">
        <v>51.52</v>
      </c>
      <c r="C96" s="325">
        <v>52.509998000000003</v>
      </c>
      <c r="D96" s="325">
        <v>50.209999000000003</v>
      </c>
      <c r="E96" s="325">
        <v>51.400002000000001</v>
      </c>
      <c r="F96" s="366">
        <f t="shared" si="13"/>
        <v>-8.1049401775376007E-3</v>
      </c>
      <c r="G96" s="366">
        <f t="shared" si="18"/>
        <v>3.1922562784620245E-2</v>
      </c>
      <c r="I96">
        <v>2375.2299800000001</v>
      </c>
      <c r="J96">
        <v>2378.8000489999999</v>
      </c>
      <c r="K96">
        <v>2354.540039</v>
      </c>
      <c r="L96">
        <v>2372.6000979999999</v>
      </c>
      <c r="M96" s="366">
        <f t="shared" si="14"/>
        <v>-4.4143889034192751E-3</v>
      </c>
      <c r="N96" s="366">
        <f t="shared" si="19"/>
        <v>0.17417510107035372</v>
      </c>
      <c r="P96" s="285">
        <v>42800</v>
      </c>
      <c r="Q96" s="407">
        <f t="shared" si="10"/>
        <v>51.400002000000001</v>
      </c>
      <c r="R96"/>
      <c r="S96" s="409">
        <f>+F97</f>
        <v>3.6186691198961451E-2</v>
      </c>
      <c r="T96" s="409">
        <f>+M97</f>
        <v>2.3813123858347218E-3</v>
      </c>
      <c r="U96" s="312">
        <f>+S96-$S$285</f>
        <v>3.4361332341678534E-2</v>
      </c>
      <c r="V96" s="312">
        <f>+T96-$T$285</f>
        <v>1.2048551280559577E-4</v>
      </c>
      <c r="W96" s="419">
        <f t="shared" si="11"/>
        <v>4.1400427478706409E-6</v>
      </c>
      <c r="X96" s="419">
        <f t="shared" si="12"/>
        <v>5.6706486789298551E-6</v>
      </c>
      <c r="Z96" s="285">
        <f t="shared" si="15"/>
        <v>42800</v>
      </c>
      <c r="AA96" s="312">
        <f t="shared" si="16"/>
        <v>3.1922562784620245E-2</v>
      </c>
      <c r="AB96" s="312">
        <f t="shared" si="17"/>
        <v>0.17417510107035372</v>
      </c>
    </row>
    <row r="97" spans="1:28" ht="17.45" customHeight="1">
      <c r="A97" s="285">
        <v>42807</v>
      </c>
      <c r="B97" s="325">
        <v>51.349997999999999</v>
      </c>
      <c r="C97" s="325">
        <v>54.330002</v>
      </c>
      <c r="D97" s="325">
        <v>50.830002</v>
      </c>
      <c r="E97" s="325">
        <v>53.259998000000003</v>
      </c>
      <c r="F97" s="366">
        <f t="shared" si="13"/>
        <v>3.6186691198961451E-2</v>
      </c>
      <c r="G97" s="366">
        <f t="shared" si="18"/>
        <v>6.8109253983581697E-2</v>
      </c>
      <c r="I97">
        <v>2371.5600589999999</v>
      </c>
      <c r="J97">
        <v>2390.01001</v>
      </c>
      <c r="K97">
        <v>2358.179932</v>
      </c>
      <c r="L97">
        <v>2378.25</v>
      </c>
      <c r="M97" s="366">
        <f t="shared" si="14"/>
        <v>2.3813123858347218E-3</v>
      </c>
      <c r="N97" s="366">
        <f t="shared" si="19"/>
        <v>0.17655641345618844</v>
      </c>
      <c r="P97" s="285">
        <v>42807</v>
      </c>
      <c r="Q97" s="407">
        <f t="shared" si="10"/>
        <v>53.259998000000003</v>
      </c>
      <c r="R97"/>
      <c r="S97" s="409">
        <f>+F98</f>
        <v>-1.201650439416091E-2</v>
      </c>
      <c r="T97" s="409">
        <f>+M98</f>
        <v>-1.4409763481551541E-2</v>
      </c>
      <c r="U97" s="312">
        <f>+S97-$S$285</f>
        <v>-1.3841863251443825E-2</v>
      </c>
      <c r="V97" s="312">
        <f>+T97-$T$285</f>
        <v>-1.6670590354580666E-2</v>
      </c>
      <c r="W97" s="419">
        <f t="shared" si="11"/>
        <v>2.30752032008944E-4</v>
      </c>
      <c r="X97" s="419">
        <f t="shared" si="12"/>
        <v>2.0764128359425637E-4</v>
      </c>
      <c r="Z97" s="285">
        <f t="shared" si="15"/>
        <v>42807</v>
      </c>
      <c r="AA97" s="312">
        <f t="shared" si="16"/>
        <v>6.8109253983581697E-2</v>
      </c>
      <c r="AB97" s="312">
        <f t="shared" si="17"/>
        <v>0.17655641345618844</v>
      </c>
    </row>
    <row r="98" spans="1:28" ht="17.45" customHeight="1">
      <c r="A98" s="285">
        <v>42814</v>
      </c>
      <c r="B98" s="325">
        <v>53.450001</v>
      </c>
      <c r="C98" s="325">
        <v>53.889999000000003</v>
      </c>
      <c r="D98" s="325">
        <v>51.619999</v>
      </c>
      <c r="E98" s="325">
        <v>52.619999</v>
      </c>
      <c r="F98" s="366">
        <f t="shared" si="13"/>
        <v>-1.201650439416091E-2</v>
      </c>
      <c r="G98" s="366">
        <f t="shared" si="18"/>
        <v>5.6092749589420787E-2</v>
      </c>
      <c r="I98">
        <v>2378.23999</v>
      </c>
      <c r="J98">
        <v>2381.929932</v>
      </c>
      <c r="K98">
        <v>2335.73999</v>
      </c>
      <c r="L98">
        <v>2343.9799800000001</v>
      </c>
      <c r="M98" s="366">
        <f t="shared" si="14"/>
        <v>-1.4409763481551541E-2</v>
      </c>
      <c r="N98" s="366">
        <f t="shared" si="19"/>
        <v>0.1621466499746369</v>
      </c>
      <c r="P98" s="285">
        <v>42814</v>
      </c>
      <c r="Q98" s="407">
        <f t="shared" si="10"/>
        <v>52.619999</v>
      </c>
      <c r="R98"/>
      <c r="S98" s="409">
        <f>+F99</f>
        <v>2.5845705546288622E-2</v>
      </c>
      <c r="T98" s="409">
        <f>+M99</f>
        <v>7.9949449909550996E-3</v>
      </c>
      <c r="U98" s="312">
        <f>+S98-$S$285</f>
        <v>2.4020346689005705E-2</v>
      </c>
      <c r="V98" s="312">
        <f>+T98-$T$285</f>
        <v>5.7341181179259735E-3</v>
      </c>
      <c r="W98" s="419">
        <f t="shared" si="11"/>
        <v>1.3773550514829079E-4</v>
      </c>
      <c r="X98" s="419">
        <f t="shared" si="12"/>
        <v>6.3919145408398032E-5</v>
      </c>
      <c r="Z98" s="285">
        <f t="shared" si="15"/>
        <v>42814</v>
      </c>
      <c r="AA98" s="312">
        <f t="shared" si="16"/>
        <v>5.6092749589420787E-2</v>
      </c>
      <c r="AB98" s="312">
        <f t="shared" si="17"/>
        <v>0.1621466499746369</v>
      </c>
    </row>
    <row r="99" spans="1:28" ht="17.45" customHeight="1">
      <c r="A99" s="285">
        <v>42821</v>
      </c>
      <c r="B99" s="325">
        <v>52.169998</v>
      </c>
      <c r="C99" s="325">
        <v>54.18</v>
      </c>
      <c r="D99" s="325">
        <v>51.68</v>
      </c>
      <c r="E99" s="325">
        <v>53.98</v>
      </c>
      <c r="F99" s="366">
        <f t="shared" si="13"/>
        <v>2.5845705546288622E-2</v>
      </c>
      <c r="G99" s="366">
        <f t="shared" si="18"/>
        <v>8.1938455135709409E-2</v>
      </c>
      <c r="I99">
        <v>2329.110107</v>
      </c>
      <c r="J99">
        <v>2370.419922</v>
      </c>
      <c r="K99">
        <v>2322.25</v>
      </c>
      <c r="L99">
        <v>2362.719971</v>
      </c>
      <c r="M99" s="366">
        <f t="shared" si="14"/>
        <v>7.9949449909550996E-3</v>
      </c>
      <c r="N99" s="366">
        <f t="shared" si="19"/>
        <v>0.170141594965592</v>
      </c>
      <c r="P99" s="285">
        <v>42821</v>
      </c>
      <c r="Q99" s="407">
        <f t="shared" si="10"/>
        <v>53.98</v>
      </c>
      <c r="R99"/>
      <c r="S99" s="409">
        <f>+F100</f>
        <v>-1.2782493516117044E-2</v>
      </c>
      <c r="T99" s="409">
        <f>+M100</f>
        <v>-3.038841711301532E-3</v>
      </c>
      <c r="U99" s="312">
        <f>+S99-$S$285</f>
        <v>-1.460785237339996E-2</v>
      </c>
      <c r="V99" s="312">
        <f>+T99-$T$285</f>
        <v>-5.2996685843306581E-3</v>
      </c>
      <c r="W99" s="419">
        <f t="shared" si="11"/>
        <v>7.7416776307847804E-5</v>
      </c>
      <c r="X99" s="419">
        <f t="shared" si="12"/>
        <v>9.2345589463460236E-6</v>
      </c>
      <c r="Z99" s="285">
        <f t="shared" si="15"/>
        <v>42821</v>
      </c>
      <c r="AA99" s="312">
        <f t="shared" si="16"/>
        <v>8.1938455135709409E-2</v>
      </c>
      <c r="AB99" s="312">
        <f t="shared" si="17"/>
        <v>0.170141594965592</v>
      </c>
    </row>
    <row r="100" spans="1:28" ht="17.45" customHeight="1">
      <c r="A100" s="285">
        <v>42828</v>
      </c>
      <c r="B100" s="325">
        <v>54</v>
      </c>
      <c r="C100" s="325">
        <v>54.32</v>
      </c>
      <c r="D100" s="325">
        <v>52.720001000000003</v>
      </c>
      <c r="E100" s="325">
        <v>53.290000999999997</v>
      </c>
      <c r="F100" s="366">
        <f t="shared" si="13"/>
        <v>-1.2782493516117044E-2</v>
      </c>
      <c r="G100" s="366">
        <f t="shared" si="18"/>
        <v>6.9155961619592365E-2</v>
      </c>
      <c r="I100">
        <v>2362.3400879999999</v>
      </c>
      <c r="J100">
        <v>2378.360107</v>
      </c>
      <c r="K100">
        <v>2344.7299800000001</v>
      </c>
      <c r="L100">
        <v>2355.540039</v>
      </c>
      <c r="M100" s="366">
        <f t="shared" si="14"/>
        <v>-3.038841711301532E-3</v>
      </c>
      <c r="N100" s="366">
        <f t="shared" si="19"/>
        <v>0.16710275325429047</v>
      </c>
      <c r="P100" s="285">
        <v>42828</v>
      </c>
      <c r="Q100" s="407">
        <f t="shared" si="10"/>
        <v>53.290000999999997</v>
      </c>
      <c r="R100"/>
      <c r="S100" s="409">
        <f>+F101</f>
        <v>1.1446819075871417E-2</v>
      </c>
      <c r="T100" s="409">
        <f>+M101</f>
        <v>-1.1288319264268654E-2</v>
      </c>
      <c r="U100" s="312">
        <f>+S100-$S$285</f>
        <v>9.6214602185885015E-3</v>
      </c>
      <c r="V100" s="312">
        <f>+T100-$T$285</f>
        <v>-1.3549146137297779E-2</v>
      </c>
      <c r="W100" s="419">
        <f t="shared" si="11"/>
        <v>-1.3036257055585264E-4</v>
      </c>
      <c r="X100" s="419">
        <f t="shared" si="12"/>
        <v>1.2742615181205881E-4</v>
      </c>
      <c r="Z100" s="285">
        <f t="shared" si="15"/>
        <v>42828</v>
      </c>
      <c r="AA100" s="312">
        <f t="shared" si="16"/>
        <v>6.9155961619592365E-2</v>
      </c>
      <c r="AB100" s="312">
        <f t="shared" si="17"/>
        <v>0.16710275325429047</v>
      </c>
    </row>
    <row r="101" spans="1:28" ht="17.45" customHeight="1">
      <c r="A101" s="285">
        <v>42835</v>
      </c>
      <c r="B101" s="325">
        <v>53.150002000000001</v>
      </c>
      <c r="C101" s="325">
        <v>54.369999</v>
      </c>
      <c r="D101" s="325">
        <v>53.110000999999997</v>
      </c>
      <c r="E101" s="325">
        <v>53.900002000000001</v>
      </c>
      <c r="F101" s="366">
        <f t="shared" si="13"/>
        <v>1.1446819075871417E-2</v>
      </c>
      <c r="G101" s="366">
        <f t="shared" si="18"/>
        <v>8.0602780695463783E-2</v>
      </c>
      <c r="I101">
        <v>2357.1599120000001</v>
      </c>
      <c r="J101">
        <v>2366.3701169999999</v>
      </c>
      <c r="K101">
        <v>2328.9499510000001</v>
      </c>
      <c r="L101">
        <v>2328.9499510000001</v>
      </c>
      <c r="M101" s="366">
        <f t="shared" si="14"/>
        <v>-1.1288319264268654E-2</v>
      </c>
      <c r="N101" s="366">
        <f t="shared" si="19"/>
        <v>0.15581443399002182</v>
      </c>
      <c r="P101" s="285">
        <v>42835</v>
      </c>
      <c r="Q101" s="407">
        <f t="shared" si="10"/>
        <v>53.900002000000001</v>
      </c>
      <c r="R101"/>
      <c r="S101" s="409">
        <f>+F102</f>
        <v>2.2077884152954308E-2</v>
      </c>
      <c r="T101" s="409">
        <f>+M102</f>
        <v>8.4759185106249024E-3</v>
      </c>
      <c r="U101" s="312">
        <f>+S101-$S$285</f>
        <v>2.0252525295671391E-2</v>
      </c>
      <c r="V101" s="312">
        <f>+T101-$T$285</f>
        <v>6.2150916375957764E-3</v>
      </c>
      <c r="W101" s="419">
        <f t="shared" si="11"/>
        <v>1.2587130060532419E-4</v>
      </c>
      <c r="X101" s="419">
        <f t="shared" si="12"/>
        <v>7.1841194598753865E-5</v>
      </c>
      <c r="Z101" s="285">
        <f t="shared" si="15"/>
        <v>42835</v>
      </c>
      <c r="AA101" s="312">
        <f t="shared" si="16"/>
        <v>8.0602780695463783E-2</v>
      </c>
      <c r="AB101" s="312">
        <f t="shared" si="17"/>
        <v>0.15581443399002182</v>
      </c>
    </row>
    <row r="102" spans="1:28" ht="17.45" customHeight="1">
      <c r="A102" s="285">
        <v>42842</v>
      </c>
      <c r="B102" s="325">
        <v>54.139999000000003</v>
      </c>
      <c r="C102" s="325">
        <v>55.66</v>
      </c>
      <c r="D102" s="325">
        <v>53.59</v>
      </c>
      <c r="E102" s="325">
        <v>55.09</v>
      </c>
      <c r="F102" s="366">
        <f t="shared" si="13"/>
        <v>2.2077884152954308E-2</v>
      </c>
      <c r="G102" s="366">
        <f t="shared" si="18"/>
        <v>0.10268066484841809</v>
      </c>
      <c r="I102">
        <v>2332.6201169999999</v>
      </c>
      <c r="J102">
        <v>2361.3701169999999</v>
      </c>
      <c r="K102">
        <v>2332.51001</v>
      </c>
      <c r="L102">
        <v>2348.6899410000001</v>
      </c>
      <c r="M102" s="366">
        <f t="shared" si="14"/>
        <v>8.4759185106249024E-3</v>
      </c>
      <c r="N102" s="366">
        <f t="shared" si="19"/>
        <v>0.16429035250064672</v>
      </c>
      <c r="P102" s="285">
        <v>42842</v>
      </c>
      <c r="Q102" s="407">
        <f t="shared" si="10"/>
        <v>55.09</v>
      </c>
      <c r="R102"/>
      <c r="S102" s="409">
        <f>+F103</f>
        <v>7.4423670357595118E-3</v>
      </c>
      <c r="T102" s="409">
        <f>+M103</f>
        <v>1.5119071010659235E-2</v>
      </c>
      <c r="U102" s="312">
        <f>+S102-$S$285</f>
        <v>5.6170081784765961E-3</v>
      </c>
      <c r="V102" s="312">
        <f>+T102-$T$285</f>
        <v>1.285824413763011E-2</v>
      </c>
      <c r="W102" s="419">
        <f t="shared" si="11"/>
        <v>7.2224862481917067E-5</v>
      </c>
      <c r="X102" s="419">
        <f t="shared" si="12"/>
        <v>2.2858630822535648E-4</v>
      </c>
      <c r="Z102" s="285">
        <f t="shared" si="15"/>
        <v>42842</v>
      </c>
      <c r="AA102" s="312">
        <f t="shared" si="16"/>
        <v>0.10268066484841809</v>
      </c>
      <c r="AB102" s="312">
        <f t="shared" si="17"/>
        <v>0.16429035250064672</v>
      </c>
    </row>
    <row r="103" spans="1:28" ht="17.45" customHeight="1">
      <c r="A103" s="285">
        <v>42849</v>
      </c>
      <c r="B103" s="325">
        <v>55.599997999999999</v>
      </c>
      <c r="C103" s="325">
        <v>57.459999000000003</v>
      </c>
      <c r="D103" s="325">
        <v>55.200001</v>
      </c>
      <c r="E103" s="325">
        <v>55.5</v>
      </c>
      <c r="F103" s="366">
        <f t="shared" si="13"/>
        <v>7.4423670357595118E-3</v>
      </c>
      <c r="G103" s="366">
        <f t="shared" si="18"/>
        <v>0.1101230318841776</v>
      </c>
      <c r="I103">
        <v>2370.330078</v>
      </c>
      <c r="J103">
        <v>2398.1599120000001</v>
      </c>
      <c r="K103">
        <v>2369.1899410000001</v>
      </c>
      <c r="L103">
        <v>2384.1999510000001</v>
      </c>
      <c r="M103" s="366">
        <f t="shared" si="14"/>
        <v>1.5119071010659235E-2</v>
      </c>
      <c r="N103" s="366">
        <f t="shared" si="19"/>
        <v>0.17940942351130595</v>
      </c>
      <c r="P103" s="285">
        <v>42849</v>
      </c>
      <c r="Q103" s="407">
        <f t="shared" si="10"/>
        <v>55.5</v>
      </c>
      <c r="R103"/>
      <c r="S103" s="409">
        <f>+F104</f>
        <v>4.6126144144144066E-2</v>
      </c>
      <c r="T103" s="409">
        <f>+M104</f>
        <v>6.3292040559226326E-3</v>
      </c>
      <c r="U103" s="312">
        <f>+S103-$S$285</f>
        <v>4.4300785286861148E-2</v>
      </c>
      <c r="V103" s="312">
        <f>+T103-$T$285</f>
        <v>4.0683771828935065E-3</v>
      </c>
      <c r="W103" s="419">
        <f t="shared" si="11"/>
        <v>1.8023230404533026E-4</v>
      </c>
      <c r="X103" s="419">
        <f t="shared" si="12"/>
        <v>4.0058823981507505E-5</v>
      </c>
      <c r="Z103" s="285">
        <f t="shared" si="15"/>
        <v>42849</v>
      </c>
      <c r="AA103" s="312">
        <f t="shared" si="16"/>
        <v>0.1101230318841776</v>
      </c>
      <c r="AB103" s="312">
        <f t="shared" si="17"/>
        <v>0.17940942351130595</v>
      </c>
    </row>
    <row r="104" spans="1:28" ht="17.45" customHeight="1">
      <c r="A104" s="285">
        <v>42856</v>
      </c>
      <c r="B104" s="325">
        <v>55.549999</v>
      </c>
      <c r="C104" s="325">
        <v>58.57</v>
      </c>
      <c r="D104" s="325">
        <v>55.310001</v>
      </c>
      <c r="E104" s="325">
        <v>58.060001</v>
      </c>
      <c r="F104" s="366">
        <f t="shared" si="13"/>
        <v>4.6126144144144066E-2</v>
      </c>
      <c r="G104" s="366">
        <f t="shared" si="18"/>
        <v>0.15624917602832167</v>
      </c>
      <c r="I104">
        <v>2388.5</v>
      </c>
      <c r="J104">
        <v>2399.290039</v>
      </c>
      <c r="K104">
        <v>2379.75</v>
      </c>
      <c r="L104">
        <v>2399.290039</v>
      </c>
      <c r="M104" s="366">
        <f t="shared" si="14"/>
        <v>6.3292040559226326E-3</v>
      </c>
      <c r="N104" s="366">
        <f t="shared" si="19"/>
        <v>0.18573862756722859</v>
      </c>
      <c r="P104" s="285">
        <v>42856</v>
      </c>
      <c r="Q104" s="407">
        <f t="shared" si="10"/>
        <v>58.060001</v>
      </c>
      <c r="R104"/>
      <c r="S104" s="409">
        <f>+F105</f>
        <v>6.0282293140159204E-3</v>
      </c>
      <c r="T104" s="409">
        <f>+M105</f>
        <v>-3.4969248667813257E-3</v>
      </c>
      <c r="U104" s="312">
        <f>+S104-$S$285</f>
        <v>4.2028704567330048E-3</v>
      </c>
      <c r="V104" s="312">
        <f>+T104-$T$285</f>
        <v>-5.7577517398104518E-3</v>
      </c>
      <c r="W104" s="419">
        <f t="shared" si="11"/>
        <v>-2.4199084684452406E-5</v>
      </c>
      <c r="X104" s="419">
        <f t="shared" si="12"/>
        <v>1.2228483523913593E-5</v>
      </c>
      <c r="Z104" s="285">
        <f t="shared" si="15"/>
        <v>42856</v>
      </c>
      <c r="AA104" s="312">
        <f t="shared" si="16"/>
        <v>0.15624917602832167</v>
      </c>
      <c r="AB104" s="312">
        <f t="shared" si="17"/>
        <v>0.18573862756722859</v>
      </c>
    </row>
    <row r="105" spans="1:28" ht="17.45" customHeight="1">
      <c r="A105" s="285">
        <v>42863</v>
      </c>
      <c r="B105" s="325">
        <v>58</v>
      </c>
      <c r="C105" s="325">
        <v>59.299999</v>
      </c>
      <c r="D105" s="325">
        <v>57.25</v>
      </c>
      <c r="E105" s="325">
        <v>58.41</v>
      </c>
      <c r="F105" s="366">
        <f t="shared" si="13"/>
        <v>6.0282293140159204E-3</v>
      </c>
      <c r="G105" s="366">
        <f t="shared" si="18"/>
        <v>0.16227740534233759</v>
      </c>
      <c r="I105">
        <v>2399.9399410000001</v>
      </c>
      <c r="J105">
        <v>2403.8701169999999</v>
      </c>
      <c r="K105">
        <v>2381.73999</v>
      </c>
      <c r="L105">
        <v>2390.8999020000001</v>
      </c>
      <c r="M105" s="366">
        <f t="shared" si="14"/>
        <v>-3.4969248667813257E-3</v>
      </c>
      <c r="N105" s="366">
        <f t="shared" si="19"/>
        <v>0.18224170270044726</v>
      </c>
      <c r="P105" s="285">
        <v>42863</v>
      </c>
      <c r="Q105" s="407">
        <f t="shared" si="10"/>
        <v>58.41</v>
      </c>
      <c r="R105"/>
      <c r="S105" s="409">
        <f>+F106</f>
        <v>-6.6769388803286089E-3</v>
      </c>
      <c r="T105" s="409">
        <f>+M106</f>
        <v>-3.8353433334157305E-3</v>
      </c>
      <c r="U105" s="312">
        <f>+S105-$S$285</f>
        <v>-8.5022977376115246E-3</v>
      </c>
      <c r="V105" s="312">
        <f>+T105-$T$285</f>
        <v>-6.0961702064448566E-3</v>
      </c>
      <c r="W105" s="419">
        <f t="shared" si="11"/>
        <v>5.1831454154350885E-5</v>
      </c>
      <c r="X105" s="419">
        <f t="shared" si="12"/>
        <v>1.4709858485176487E-5</v>
      </c>
      <c r="Z105" s="285">
        <f t="shared" si="15"/>
        <v>42863</v>
      </c>
      <c r="AA105" s="312">
        <f t="shared" si="16"/>
        <v>0.16227740534233759</v>
      </c>
      <c r="AB105" s="312">
        <f t="shared" si="17"/>
        <v>0.18224170270044726</v>
      </c>
    </row>
    <row r="106" spans="1:28" ht="17.45" customHeight="1">
      <c r="A106" s="285">
        <v>42870</v>
      </c>
      <c r="B106" s="325">
        <v>58.41</v>
      </c>
      <c r="C106" s="325">
        <v>58.959999000000003</v>
      </c>
      <c r="D106" s="325">
        <v>57.009998000000003</v>
      </c>
      <c r="E106" s="325">
        <v>58.02</v>
      </c>
      <c r="F106" s="366">
        <f t="shared" si="13"/>
        <v>-6.6769388803286089E-3</v>
      </c>
      <c r="G106" s="366">
        <f t="shared" si="18"/>
        <v>0.15560046646200898</v>
      </c>
      <c r="I106">
        <v>2393.9799800000001</v>
      </c>
      <c r="J106">
        <v>2405.7700199999999</v>
      </c>
      <c r="K106">
        <v>2352.719971</v>
      </c>
      <c r="L106">
        <v>2381.7299800000001</v>
      </c>
      <c r="M106" s="366">
        <f t="shared" si="14"/>
        <v>-3.8353433334157305E-3</v>
      </c>
      <c r="N106" s="366">
        <f t="shared" si="19"/>
        <v>0.17840635936703153</v>
      </c>
      <c r="P106" s="285">
        <v>42870</v>
      </c>
      <c r="Q106" s="407">
        <f t="shared" si="10"/>
        <v>58.02</v>
      </c>
      <c r="R106"/>
      <c r="S106" s="409">
        <f>+F107</f>
        <v>-8.6177180282661636E-3</v>
      </c>
      <c r="T106" s="409">
        <f>+M107</f>
        <v>1.4313162401390134E-2</v>
      </c>
      <c r="U106" s="312">
        <f>+S106-$S$285</f>
        <v>-1.0443076885549079E-2</v>
      </c>
      <c r="V106" s="312">
        <f>+T106-$T$285</f>
        <v>1.2052335528361009E-2</v>
      </c>
      <c r="W106" s="419">
        <f t="shared" si="11"/>
        <v>-1.258634665731088E-4</v>
      </c>
      <c r="X106" s="419">
        <f t="shared" si="12"/>
        <v>2.0486661792856818E-4</v>
      </c>
      <c r="Z106" s="285">
        <f t="shared" si="15"/>
        <v>42870</v>
      </c>
      <c r="AA106" s="312">
        <f t="shared" si="16"/>
        <v>0.15560046646200898</v>
      </c>
      <c r="AB106" s="312">
        <f t="shared" si="17"/>
        <v>0.17840635936703153</v>
      </c>
    </row>
    <row r="107" spans="1:28" ht="17.45" customHeight="1">
      <c r="A107" s="285">
        <v>42877</v>
      </c>
      <c r="B107" s="325">
        <v>58.060001</v>
      </c>
      <c r="C107" s="325">
        <v>58.560001</v>
      </c>
      <c r="D107" s="325">
        <v>57.23</v>
      </c>
      <c r="E107" s="325">
        <v>57.52</v>
      </c>
      <c r="F107" s="366">
        <f t="shared" si="13"/>
        <v>-8.6177180282661636E-3</v>
      </c>
      <c r="G107" s="366">
        <f t="shared" si="18"/>
        <v>0.14698274843374282</v>
      </c>
      <c r="I107">
        <v>2387.209961</v>
      </c>
      <c r="J107">
        <v>2418.709961</v>
      </c>
      <c r="K107">
        <v>2386.919922</v>
      </c>
      <c r="L107">
        <v>2415.820068</v>
      </c>
      <c r="M107" s="366">
        <f t="shared" si="14"/>
        <v>1.4313162401390134E-2</v>
      </c>
      <c r="N107" s="366">
        <f t="shared" si="19"/>
        <v>0.19271952176842166</v>
      </c>
      <c r="P107" s="285">
        <v>42877</v>
      </c>
      <c r="Q107" s="407">
        <f t="shared" si="10"/>
        <v>57.52</v>
      </c>
      <c r="R107"/>
      <c r="S107" s="409">
        <f>+F108</f>
        <v>6.7802503477050191E-3</v>
      </c>
      <c r="T107" s="409">
        <f>+M108</f>
        <v>9.6240611244065022E-3</v>
      </c>
      <c r="U107" s="312">
        <f>+S107-$S$285</f>
        <v>4.9548914904221034E-3</v>
      </c>
      <c r="V107" s="312">
        <f>+T107-$T$285</f>
        <v>7.3632342513773761E-3</v>
      </c>
      <c r="W107" s="419">
        <f t="shared" si="11"/>
        <v>3.6484026734134327E-5</v>
      </c>
      <c r="X107" s="419">
        <f t="shared" si="12"/>
        <v>9.2622552526312553E-5</v>
      </c>
      <c r="Z107" s="285">
        <f t="shared" si="15"/>
        <v>42877</v>
      </c>
      <c r="AA107" s="312">
        <f t="shared" si="16"/>
        <v>0.14698274843374282</v>
      </c>
      <c r="AB107" s="312">
        <f t="shared" si="17"/>
        <v>0.19271952176842166</v>
      </c>
    </row>
    <row r="108" spans="1:28" ht="17.45" customHeight="1">
      <c r="A108" s="285">
        <v>42884</v>
      </c>
      <c r="B108" s="325">
        <v>57.509998000000003</v>
      </c>
      <c r="C108" s="325">
        <v>58.360000999999997</v>
      </c>
      <c r="D108" s="325">
        <v>57.09</v>
      </c>
      <c r="E108" s="325">
        <v>57.91</v>
      </c>
      <c r="F108" s="366">
        <f t="shared" si="13"/>
        <v>6.7802503477050191E-3</v>
      </c>
      <c r="G108" s="366">
        <f t="shared" si="18"/>
        <v>0.15376299878144783</v>
      </c>
      <c r="I108">
        <v>2411.669922</v>
      </c>
      <c r="J108">
        <v>2440.2299800000001</v>
      </c>
      <c r="K108">
        <v>2403.5900879999999</v>
      </c>
      <c r="L108">
        <v>2439.070068</v>
      </c>
      <c r="M108" s="366">
        <f t="shared" si="14"/>
        <v>9.6240611244065022E-3</v>
      </c>
      <c r="N108" s="366">
        <f t="shared" si="19"/>
        <v>0.20234358289282817</v>
      </c>
      <c r="P108" s="285">
        <v>42884</v>
      </c>
      <c r="Q108" s="407">
        <f t="shared" si="10"/>
        <v>57.91</v>
      </c>
      <c r="R108"/>
      <c r="S108" s="409">
        <f>+F109</f>
        <v>-2.331201864962873E-2</v>
      </c>
      <c r="T108" s="409">
        <f>+M109</f>
        <v>-2.9929636281363914E-3</v>
      </c>
      <c r="U108" s="312">
        <f>+S108-$S$285</f>
        <v>-2.5137377506911647E-2</v>
      </c>
      <c r="V108" s="312">
        <f>+T108-$T$285</f>
        <v>-5.2537905011655174E-3</v>
      </c>
      <c r="W108" s="419">
        <f t="shared" si="11"/>
        <v>1.3206651517002415E-4</v>
      </c>
      <c r="X108" s="419">
        <f t="shared" si="12"/>
        <v>8.9578312793473518E-6</v>
      </c>
      <c r="Z108" s="285">
        <f t="shared" si="15"/>
        <v>42884</v>
      </c>
      <c r="AA108" s="312">
        <f t="shared" si="16"/>
        <v>0.15376299878144783</v>
      </c>
      <c r="AB108" s="312">
        <f t="shared" si="17"/>
        <v>0.20234358289282817</v>
      </c>
    </row>
    <row r="109" spans="1:28" ht="17.45" customHeight="1">
      <c r="A109" s="285">
        <v>42891</v>
      </c>
      <c r="B109" s="325">
        <v>58.049999</v>
      </c>
      <c r="C109" s="325">
        <v>58.27</v>
      </c>
      <c r="D109" s="325">
        <v>55.950001</v>
      </c>
      <c r="E109" s="325">
        <v>56.560001</v>
      </c>
      <c r="F109" s="366">
        <f t="shared" si="13"/>
        <v>-2.331201864962873E-2</v>
      </c>
      <c r="G109" s="366">
        <f t="shared" si="18"/>
        <v>0.13045098013181911</v>
      </c>
      <c r="I109">
        <v>2437.830078</v>
      </c>
      <c r="J109">
        <v>2446.1999510000001</v>
      </c>
      <c r="K109">
        <v>2415.6999510000001</v>
      </c>
      <c r="L109">
        <v>2431.7700199999999</v>
      </c>
      <c r="M109" s="366">
        <f t="shared" si="14"/>
        <v>-2.9929636281363914E-3</v>
      </c>
      <c r="N109" s="366">
        <f t="shared" si="19"/>
        <v>0.19935061926469178</v>
      </c>
      <c r="P109" s="285">
        <v>42891</v>
      </c>
      <c r="Q109" s="407">
        <f t="shared" si="10"/>
        <v>56.560001</v>
      </c>
      <c r="R109"/>
      <c r="S109" s="409">
        <f>+F110</f>
        <v>2.3161208925721155E-2</v>
      </c>
      <c r="T109" s="409">
        <f>+M110</f>
        <v>5.6743935020642233E-4</v>
      </c>
      <c r="U109" s="312">
        <f>+S109-$S$285</f>
        <v>2.1335850068438238E-2</v>
      </c>
      <c r="V109" s="312">
        <f>+T109-$T$285</f>
        <v>-1.6933875228227037E-3</v>
      </c>
      <c r="W109" s="419">
        <f t="shared" si="11"/>
        <v>-3.6129862294709241E-5</v>
      </c>
      <c r="X109" s="419">
        <f t="shared" si="12"/>
        <v>3.219874161626868E-7</v>
      </c>
      <c r="Z109" s="285">
        <f t="shared" si="15"/>
        <v>42891</v>
      </c>
      <c r="AA109" s="312">
        <f t="shared" si="16"/>
        <v>0.13045098013181911</v>
      </c>
      <c r="AB109" s="312">
        <f t="shared" si="17"/>
        <v>0.19935061926469178</v>
      </c>
    </row>
    <row r="110" spans="1:28" ht="17.45" customHeight="1">
      <c r="A110" s="285">
        <v>42898</v>
      </c>
      <c r="B110" s="325">
        <v>56.509998000000003</v>
      </c>
      <c r="C110" s="325">
        <v>58.009998000000003</v>
      </c>
      <c r="D110" s="325">
        <v>56.310001</v>
      </c>
      <c r="E110" s="325">
        <v>57.869999</v>
      </c>
      <c r="F110" s="366">
        <f t="shared" si="13"/>
        <v>2.3161208925721155E-2</v>
      </c>
      <c r="G110" s="366">
        <f t="shared" si="18"/>
        <v>0.15361218905754026</v>
      </c>
      <c r="I110">
        <v>2425.8798830000001</v>
      </c>
      <c r="J110">
        <v>2443.75</v>
      </c>
      <c r="K110">
        <v>2418.530029</v>
      </c>
      <c r="L110">
        <v>2433.1499020000001</v>
      </c>
      <c r="M110" s="366">
        <f t="shared" si="14"/>
        <v>5.6743935020642233E-4</v>
      </c>
      <c r="N110" s="366">
        <f t="shared" si="19"/>
        <v>0.1999180586148982</v>
      </c>
      <c r="P110" s="285">
        <v>42898</v>
      </c>
      <c r="Q110" s="407">
        <f t="shared" si="10"/>
        <v>57.869999</v>
      </c>
      <c r="R110"/>
      <c r="S110" s="409">
        <f>+F111</f>
        <v>-2.9375842913008654E-3</v>
      </c>
      <c r="T110" s="409">
        <f>+M111</f>
        <v>2.1166583266269967E-3</v>
      </c>
      <c r="U110" s="312">
        <f>+S110-$S$285</f>
        <v>-4.7629431485837811E-3</v>
      </c>
      <c r="V110" s="312">
        <f>+T110-$T$285</f>
        <v>-1.4416854640212935E-4</v>
      </c>
      <c r="W110" s="419">
        <f t="shared" si="11"/>
        <v>6.8666659032730492E-7</v>
      </c>
      <c r="X110" s="419">
        <f t="shared" si="12"/>
        <v>4.4802424716793978E-6</v>
      </c>
      <c r="Z110" s="285">
        <f t="shared" si="15"/>
        <v>42898</v>
      </c>
      <c r="AA110" s="312">
        <f t="shared" si="16"/>
        <v>0.15361218905754026</v>
      </c>
      <c r="AB110" s="312">
        <f t="shared" si="17"/>
        <v>0.1999180586148982</v>
      </c>
    </row>
    <row r="111" spans="1:28" ht="17.45" customHeight="1">
      <c r="A111" s="285">
        <v>42905</v>
      </c>
      <c r="B111" s="325">
        <v>58.080002</v>
      </c>
      <c r="C111" s="325">
        <v>58.470001000000003</v>
      </c>
      <c r="D111" s="325">
        <v>56.91</v>
      </c>
      <c r="E111" s="325">
        <v>57.700001</v>
      </c>
      <c r="F111" s="366">
        <f t="shared" si="13"/>
        <v>-2.9375842913008654E-3</v>
      </c>
      <c r="G111" s="366">
        <f t="shared" si="18"/>
        <v>0.1506746047662394</v>
      </c>
      <c r="I111">
        <v>2442.5500489999999</v>
      </c>
      <c r="J111">
        <v>2453.820068</v>
      </c>
      <c r="K111">
        <v>2430.73999</v>
      </c>
      <c r="L111">
        <v>2438.3000489999999</v>
      </c>
      <c r="M111" s="366">
        <f t="shared" si="14"/>
        <v>2.1166583266269967E-3</v>
      </c>
      <c r="N111" s="366">
        <f t="shared" si="19"/>
        <v>0.20203471694152519</v>
      </c>
      <c r="P111" s="285">
        <v>42905</v>
      </c>
      <c r="Q111" s="407">
        <f t="shared" si="10"/>
        <v>57.700001</v>
      </c>
      <c r="R111"/>
      <c r="S111" s="409">
        <f>+F112</f>
        <v>-2.5823257784692188E-2</v>
      </c>
      <c r="T111" s="409">
        <f>+M112</f>
        <v>-6.106769757933006E-3</v>
      </c>
      <c r="U111" s="312">
        <f>+S111-$S$285</f>
        <v>-2.7648616641975106E-2</v>
      </c>
      <c r="V111" s="312">
        <f>+T111-$T$285</f>
        <v>-8.3675966309621312E-3</v>
      </c>
      <c r="W111" s="419">
        <f t="shared" si="11"/>
        <v>2.3135247146415441E-4</v>
      </c>
      <c r="X111" s="419">
        <f t="shared" si="12"/>
        <v>3.7292636876405144E-5</v>
      </c>
      <c r="Z111" s="285">
        <f t="shared" si="15"/>
        <v>42905</v>
      </c>
      <c r="AA111" s="312">
        <f t="shared" si="16"/>
        <v>0.1506746047662394</v>
      </c>
      <c r="AB111" s="312">
        <f t="shared" si="17"/>
        <v>0.20203471694152519</v>
      </c>
    </row>
    <row r="112" spans="1:28" ht="17.45" customHeight="1">
      <c r="A112" s="285">
        <v>42912</v>
      </c>
      <c r="B112" s="325">
        <v>57.939999</v>
      </c>
      <c r="C112" s="325">
        <v>58.389999000000003</v>
      </c>
      <c r="D112" s="325">
        <v>56.09</v>
      </c>
      <c r="E112" s="325">
        <v>56.209999000000003</v>
      </c>
      <c r="F112" s="366">
        <f t="shared" si="13"/>
        <v>-2.5823257784692188E-2</v>
      </c>
      <c r="G112" s="366">
        <f t="shared" si="18"/>
        <v>0.12485134698154721</v>
      </c>
      <c r="I112">
        <v>2443.320068</v>
      </c>
      <c r="J112">
        <v>2450.419922</v>
      </c>
      <c r="K112">
        <v>2405.6999510000001</v>
      </c>
      <c r="L112">
        <v>2423.4099120000001</v>
      </c>
      <c r="M112" s="366">
        <f t="shared" si="14"/>
        <v>-6.106769757933006E-3</v>
      </c>
      <c r="N112" s="366">
        <f t="shared" si="19"/>
        <v>0.19592794718359219</v>
      </c>
      <c r="P112" s="285">
        <v>42912</v>
      </c>
      <c r="Q112" s="407">
        <f t="shared" si="10"/>
        <v>56.209999000000003</v>
      </c>
      <c r="R112"/>
      <c r="S112" s="409">
        <f>+F113</f>
        <v>-1.5833464078161663E-2</v>
      </c>
      <c r="T112" s="409">
        <f>+M113</f>
        <v>7.3038407214376377E-4</v>
      </c>
      <c r="U112" s="312">
        <f>+S112-$S$285</f>
        <v>-1.7658822935444581E-2</v>
      </c>
      <c r="V112" s="312">
        <f>+T112-$T$285</f>
        <v>-1.5304428008853623E-3</v>
      </c>
      <c r="W112" s="419">
        <f t="shared" si="11"/>
        <v>2.702581843366048E-5</v>
      </c>
      <c r="X112" s="419">
        <f t="shared" si="12"/>
        <v>5.3346089284130676E-7</v>
      </c>
      <c r="Z112" s="285">
        <f t="shared" si="15"/>
        <v>42912</v>
      </c>
      <c r="AA112" s="312">
        <f t="shared" si="16"/>
        <v>0.12485134698154721</v>
      </c>
      <c r="AB112" s="312">
        <f t="shared" si="17"/>
        <v>0.19592794718359219</v>
      </c>
    </row>
    <row r="113" spans="1:28" ht="17.45" customHeight="1">
      <c r="A113" s="285">
        <v>42919</v>
      </c>
      <c r="B113" s="325">
        <v>56.360000999999997</v>
      </c>
      <c r="C113" s="325">
        <v>56.360000999999997</v>
      </c>
      <c r="D113" s="325">
        <v>55.049999</v>
      </c>
      <c r="E113" s="325">
        <v>55.32</v>
      </c>
      <c r="F113" s="366">
        <f t="shared" si="13"/>
        <v>-1.5833464078161663E-2</v>
      </c>
      <c r="G113" s="366">
        <f t="shared" si="18"/>
        <v>0.10901788290338554</v>
      </c>
      <c r="I113">
        <v>2431.389893</v>
      </c>
      <c r="J113">
        <v>2439.169922</v>
      </c>
      <c r="K113">
        <v>2407.6999510000001</v>
      </c>
      <c r="L113">
        <v>2425.179932</v>
      </c>
      <c r="M113" s="366">
        <f t="shared" si="14"/>
        <v>7.3038407214376377E-4</v>
      </c>
      <c r="N113" s="366">
        <f t="shared" si="19"/>
        <v>0.19665833125573595</v>
      </c>
      <c r="P113" s="285">
        <v>42919</v>
      </c>
      <c r="Q113" s="407">
        <f t="shared" si="10"/>
        <v>55.32</v>
      </c>
      <c r="R113"/>
      <c r="S113" s="409">
        <f>+F114</f>
        <v>-6.3268076644974469E-3</v>
      </c>
      <c r="T113" s="409">
        <f>+M114</f>
        <v>1.4056725255798375E-2</v>
      </c>
      <c r="U113" s="312">
        <f>+S113-$S$285</f>
        <v>-8.1521665217803626E-3</v>
      </c>
      <c r="V113" s="312">
        <f>+T113-$T$285</f>
        <v>1.1795898382769249E-2</v>
      </c>
      <c r="W113" s="419">
        <f t="shared" si="11"/>
        <v>-9.6162127890334599E-5</v>
      </c>
      <c r="X113" s="419">
        <f t="shared" si="12"/>
        <v>1.9759152491699987E-4</v>
      </c>
      <c r="Z113" s="285">
        <f t="shared" si="15"/>
        <v>42919</v>
      </c>
      <c r="AA113" s="312">
        <f t="shared" si="16"/>
        <v>0.10901788290338554</v>
      </c>
      <c r="AB113" s="312">
        <f t="shared" si="17"/>
        <v>0.19665833125573595</v>
      </c>
    </row>
    <row r="114" spans="1:28" ht="17.45" customHeight="1">
      <c r="A114" s="285">
        <v>42926</v>
      </c>
      <c r="B114" s="325">
        <v>55.490001999999997</v>
      </c>
      <c r="C114" s="325">
        <v>55.799999</v>
      </c>
      <c r="D114" s="325">
        <v>54.639999000000003</v>
      </c>
      <c r="E114" s="325">
        <v>54.970001000000003</v>
      </c>
      <c r="F114" s="366">
        <f t="shared" si="13"/>
        <v>-6.3268076644974469E-3</v>
      </c>
      <c r="G114" s="366">
        <f t="shared" si="18"/>
        <v>0.1026910752388881</v>
      </c>
      <c r="I114">
        <v>2424.51001</v>
      </c>
      <c r="J114">
        <v>2463.540039</v>
      </c>
      <c r="K114">
        <v>2412.790039</v>
      </c>
      <c r="L114">
        <v>2459.2700199999999</v>
      </c>
      <c r="M114" s="366">
        <f t="shared" si="14"/>
        <v>1.4056725255798375E-2</v>
      </c>
      <c r="N114" s="366">
        <f t="shared" si="19"/>
        <v>0.21071505651153433</v>
      </c>
      <c r="P114" s="285">
        <v>42926</v>
      </c>
      <c r="Q114" s="407">
        <f t="shared" si="10"/>
        <v>54.970001000000003</v>
      </c>
      <c r="R114"/>
      <c r="S114" s="409">
        <f>+F115</f>
        <v>4.3659813649994383E-3</v>
      </c>
      <c r="T114" s="409">
        <f>+M115</f>
        <v>5.3959178504523475E-3</v>
      </c>
      <c r="U114" s="312">
        <f>+S114-$S$285</f>
        <v>2.5406225077165222E-3</v>
      </c>
      <c r="V114" s="312">
        <f>+T114-$T$285</f>
        <v>3.1350909774232215E-3</v>
      </c>
      <c r="W114" s="419">
        <f t="shared" si="11"/>
        <v>7.9650827009804285E-6</v>
      </c>
      <c r="X114" s="419">
        <f t="shared" si="12"/>
        <v>2.9115929448830283E-5</v>
      </c>
      <c r="Z114" s="285">
        <f t="shared" si="15"/>
        <v>42926</v>
      </c>
      <c r="AA114" s="312">
        <f t="shared" si="16"/>
        <v>0.1026910752388881</v>
      </c>
      <c r="AB114" s="312">
        <f t="shared" si="17"/>
        <v>0.21071505651153433</v>
      </c>
    </row>
    <row r="115" spans="1:28" ht="17.45" customHeight="1">
      <c r="A115" s="285">
        <v>42933</v>
      </c>
      <c r="B115" s="325">
        <v>54.959999000000003</v>
      </c>
      <c r="C115" s="325">
        <v>56.529998999999997</v>
      </c>
      <c r="D115" s="325">
        <v>54.82</v>
      </c>
      <c r="E115" s="325">
        <v>55.209999000000003</v>
      </c>
      <c r="F115" s="366">
        <f t="shared" si="13"/>
        <v>4.3659813649994383E-3</v>
      </c>
      <c r="G115" s="366">
        <f t="shared" si="18"/>
        <v>0.10705705660388753</v>
      </c>
      <c r="I115">
        <v>2459.5</v>
      </c>
      <c r="J115">
        <v>2477.6201169999999</v>
      </c>
      <c r="K115">
        <v>2450.3400879999999</v>
      </c>
      <c r="L115">
        <v>2472.540039</v>
      </c>
      <c r="M115" s="366">
        <f t="shared" si="14"/>
        <v>5.3959178504523475E-3</v>
      </c>
      <c r="N115" s="366">
        <f t="shared" si="19"/>
        <v>0.21611097436198667</v>
      </c>
      <c r="P115" s="285">
        <v>42933</v>
      </c>
      <c r="Q115" s="407">
        <f t="shared" si="10"/>
        <v>55.209999000000003</v>
      </c>
      <c r="R115"/>
      <c r="S115" s="409">
        <f>+F116</f>
        <v>3.9848035498062373E-3</v>
      </c>
      <c r="T115" s="409">
        <f>+M116</f>
        <v>-1.7793078901084947E-4</v>
      </c>
      <c r="U115" s="312">
        <f>+S115-$S$285</f>
        <v>2.1594446925233212E-3</v>
      </c>
      <c r="V115" s="312">
        <f>+T115-$T$285</f>
        <v>-2.4387576620399755E-3</v>
      </c>
      <c r="W115" s="419">
        <f t="shared" si="11"/>
        <v>-5.2663622896428082E-6</v>
      </c>
      <c r="X115" s="419">
        <f t="shared" si="12"/>
        <v>3.1659365678023431E-8</v>
      </c>
      <c r="Z115" s="285">
        <f t="shared" si="15"/>
        <v>42933</v>
      </c>
      <c r="AA115" s="312">
        <f t="shared" si="16"/>
        <v>0.10705705660388753</v>
      </c>
      <c r="AB115" s="312">
        <f t="shared" si="17"/>
        <v>0.21611097436198667</v>
      </c>
    </row>
    <row r="116" spans="1:28" ht="17.45" customHeight="1">
      <c r="A116" s="285">
        <v>42940</v>
      </c>
      <c r="B116" s="325">
        <v>55.310001</v>
      </c>
      <c r="C116" s="325">
        <v>55.869999</v>
      </c>
      <c r="D116" s="325">
        <v>54.380001</v>
      </c>
      <c r="E116" s="325">
        <v>55.43</v>
      </c>
      <c r="F116" s="366">
        <f t="shared" si="13"/>
        <v>3.9848035498062373E-3</v>
      </c>
      <c r="G116" s="366">
        <f t="shared" si="18"/>
        <v>0.11104186015369377</v>
      </c>
      <c r="I116">
        <v>2472.040039</v>
      </c>
      <c r="J116">
        <v>2484.040039</v>
      </c>
      <c r="K116">
        <v>2459.929932</v>
      </c>
      <c r="L116">
        <v>2472.1000979999999</v>
      </c>
      <c r="M116" s="366">
        <f t="shared" si="14"/>
        <v>-1.7793078901084947E-4</v>
      </c>
      <c r="N116" s="366">
        <f t="shared" si="19"/>
        <v>0.21593304357297582</v>
      </c>
      <c r="P116" s="285">
        <v>42940</v>
      </c>
      <c r="Q116" s="407">
        <f t="shared" si="10"/>
        <v>55.43</v>
      </c>
      <c r="R116"/>
      <c r="S116" s="409">
        <f>+F117</f>
        <v>8.8760562872090887E-2</v>
      </c>
      <c r="T116" s="409">
        <f>+M117</f>
        <v>1.9133448535626485E-3</v>
      </c>
      <c r="U116" s="312">
        <f>+S116-$S$285</f>
        <v>8.6935204014807976E-2</v>
      </c>
      <c r="V116" s="312">
        <f>+T116-$T$285</f>
        <v>-3.4748201946647756E-4</v>
      </c>
      <c r="W116" s="419">
        <f t="shared" si="11"/>
        <v>-3.0208420253795704E-5</v>
      </c>
      <c r="X116" s="419">
        <f t="shared" si="12"/>
        <v>3.6608885286546729E-6</v>
      </c>
      <c r="Z116" s="285">
        <f t="shared" si="15"/>
        <v>42940</v>
      </c>
      <c r="AA116" s="312">
        <f t="shared" si="16"/>
        <v>0.11104186015369377</v>
      </c>
      <c r="AB116" s="312">
        <f t="shared" si="17"/>
        <v>0.21593304357297582</v>
      </c>
    </row>
    <row r="117" spans="1:28" ht="17.45" customHeight="1">
      <c r="A117" s="285">
        <v>42947</v>
      </c>
      <c r="B117" s="325">
        <v>55.540000999999997</v>
      </c>
      <c r="C117" s="325">
        <v>61.07</v>
      </c>
      <c r="D117" s="325">
        <v>54.669998</v>
      </c>
      <c r="E117" s="325">
        <v>60.349997999999999</v>
      </c>
      <c r="F117" s="366">
        <f t="shared" si="13"/>
        <v>8.8760562872090887E-2</v>
      </c>
      <c r="G117" s="366">
        <f t="shared" si="18"/>
        <v>0.19980242302578466</v>
      </c>
      <c r="I117">
        <v>2475.9399410000001</v>
      </c>
      <c r="J117">
        <v>2480.3798830000001</v>
      </c>
      <c r="K117">
        <v>2466.4799800000001</v>
      </c>
      <c r="L117">
        <v>2476.830078</v>
      </c>
      <c r="M117" s="366">
        <f t="shared" si="14"/>
        <v>1.9133448535626485E-3</v>
      </c>
      <c r="N117" s="366">
        <f t="shared" si="19"/>
        <v>0.21784638842653847</v>
      </c>
      <c r="P117" s="285">
        <v>42947</v>
      </c>
      <c r="Q117" s="407">
        <f t="shared" si="10"/>
        <v>60.349997999999999</v>
      </c>
      <c r="R117"/>
      <c r="S117" s="409">
        <f>+F118</f>
        <v>-6.379450087140015E-2</v>
      </c>
      <c r="T117" s="409">
        <f>+M118</f>
        <v>-1.4336877735542375E-2</v>
      </c>
      <c r="U117" s="312">
        <f>+S117-$S$285</f>
        <v>-6.5619859728683061E-2</v>
      </c>
      <c r="V117" s="312">
        <f>+T117-$T$285</f>
        <v>-1.65977046085715E-2</v>
      </c>
      <c r="W117" s="419">
        <f t="shared" si="11"/>
        <v>1.0891390482325781E-3</v>
      </c>
      <c r="X117" s="419">
        <f t="shared" si="12"/>
        <v>2.0554606320389066E-4</v>
      </c>
      <c r="Z117" s="285">
        <f t="shared" si="15"/>
        <v>42947</v>
      </c>
      <c r="AA117" s="312">
        <f t="shared" si="16"/>
        <v>0.19980242302578466</v>
      </c>
      <c r="AB117" s="312">
        <f t="shared" si="17"/>
        <v>0.21784638842653847</v>
      </c>
    </row>
    <row r="118" spans="1:28" ht="17.45" customHeight="1">
      <c r="A118" s="285">
        <v>42954</v>
      </c>
      <c r="B118" s="325">
        <v>60.799999</v>
      </c>
      <c r="C118" s="325">
        <v>60.849997999999999</v>
      </c>
      <c r="D118" s="325">
        <v>56.049999</v>
      </c>
      <c r="E118" s="325">
        <v>56.5</v>
      </c>
      <c r="F118" s="366">
        <f t="shared" si="13"/>
        <v>-6.379450087140015E-2</v>
      </c>
      <c r="G118" s="366">
        <f t="shared" si="18"/>
        <v>0.13600792215438451</v>
      </c>
      <c r="I118">
        <v>2477.139893</v>
      </c>
      <c r="J118">
        <v>2490.8701169999999</v>
      </c>
      <c r="K118">
        <v>2437.75</v>
      </c>
      <c r="L118">
        <v>2441.320068</v>
      </c>
      <c r="M118" s="366">
        <f t="shared" si="14"/>
        <v>-1.4336877735542375E-2</v>
      </c>
      <c r="N118" s="366">
        <f t="shared" si="19"/>
        <v>0.2035095106909961</v>
      </c>
      <c r="P118" s="285">
        <v>42954</v>
      </c>
      <c r="Q118" s="407">
        <f t="shared" si="10"/>
        <v>56.5</v>
      </c>
      <c r="R118"/>
      <c r="S118" s="409">
        <f>+F119</f>
        <v>-8.6726017699114699E-3</v>
      </c>
      <c r="T118" s="409">
        <f>+M119</f>
        <v>-6.4596278082125203E-3</v>
      </c>
      <c r="U118" s="312">
        <f>+S118-$S$285</f>
        <v>-1.0497960627194386E-2</v>
      </c>
      <c r="V118" s="312">
        <f>+T118-$T$285</f>
        <v>-8.7204546812416454E-3</v>
      </c>
      <c r="W118" s="419">
        <f t="shared" si="11"/>
        <v>9.1546989894907764E-5</v>
      </c>
      <c r="X118" s="419">
        <f t="shared" si="12"/>
        <v>4.1726791420632486E-5</v>
      </c>
      <c r="Z118" s="285">
        <f t="shared" si="15"/>
        <v>42954</v>
      </c>
      <c r="AA118" s="312">
        <f t="shared" si="16"/>
        <v>0.13600792215438451</v>
      </c>
      <c r="AB118" s="312">
        <f t="shared" si="17"/>
        <v>0.2035095106909961</v>
      </c>
    </row>
    <row r="119" spans="1:28" ht="17.45" customHeight="1">
      <c r="A119" s="285">
        <v>42961</v>
      </c>
      <c r="B119" s="325">
        <v>57.049999</v>
      </c>
      <c r="C119" s="325">
        <v>57.740001999999997</v>
      </c>
      <c r="D119" s="325">
        <v>55.700001</v>
      </c>
      <c r="E119" s="325">
        <v>56.009998000000003</v>
      </c>
      <c r="F119" s="366">
        <f t="shared" si="13"/>
        <v>-8.6726017699114699E-3</v>
      </c>
      <c r="G119" s="366">
        <f t="shared" si="18"/>
        <v>0.12733532038447304</v>
      </c>
      <c r="I119">
        <v>2454.959961</v>
      </c>
      <c r="J119">
        <v>2474.929932</v>
      </c>
      <c r="K119">
        <v>2420.6899410000001</v>
      </c>
      <c r="L119">
        <v>2425.5500489999999</v>
      </c>
      <c r="M119" s="366">
        <f t="shared" si="14"/>
        <v>-6.4596278082125203E-3</v>
      </c>
      <c r="N119" s="366">
        <f t="shared" si="19"/>
        <v>0.19704988288278358</v>
      </c>
      <c r="P119" s="285">
        <v>42961</v>
      </c>
      <c r="Q119" s="407">
        <f t="shared" si="10"/>
        <v>56.009998000000003</v>
      </c>
      <c r="R119"/>
      <c r="S119" s="409">
        <f>+F120</f>
        <v>3.2315694780064019E-2</v>
      </c>
      <c r="T119" s="409">
        <f>+M120</f>
        <v>7.2148583399525013E-3</v>
      </c>
      <c r="U119" s="312">
        <f>+S119-$S$285</f>
        <v>3.0490335922781102E-2</v>
      </c>
      <c r="V119" s="312">
        <f>+T119-$T$285</f>
        <v>4.9540314669233752E-3</v>
      </c>
      <c r="W119" s="419">
        <f t="shared" si="11"/>
        <v>1.5105008359852175E-4</v>
      </c>
      <c r="X119" s="419">
        <f t="shared" si="12"/>
        <v>5.2054180865582161E-5</v>
      </c>
      <c r="Z119" s="285">
        <f t="shared" si="15"/>
        <v>42961</v>
      </c>
      <c r="AA119" s="312">
        <f t="shared" si="16"/>
        <v>0.12733532038447304</v>
      </c>
      <c r="AB119" s="312">
        <f t="shared" si="17"/>
        <v>0.19704988288278358</v>
      </c>
    </row>
    <row r="120" spans="1:28" ht="17.45" customHeight="1">
      <c r="A120" s="285">
        <v>42968</v>
      </c>
      <c r="B120" s="325">
        <v>56.040000999999997</v>
      </c>
      <c r="C120" s="325">
        <v>58.09</v>
      </c>
      <c r="D120" s="325">
        <v>55.869999</v>
      </c>
      <c r="E120" s="325">
        <v>57.82</v>
      </c>
      <c r="F120" s="366">
        <f t="shared" si="13"/>
        <v>3.2315694780064019E-2</v>
      </c>
      <c r="G120" s="366">
        <f t="shared" si="18"/>
        <v>0.15965101516453706</v>
      </c>
      <c r="I120">
        <v>2425.5</v>
      </c>
      <c r="J120">
        <v>2454.7700199999999</v>
      </c>
      <c r="K120">
        <v>2417.3500979999999</v>
      </c>
      <c r="L120">
        <v>2443.0500489999999</v>
      </c>
      <c r="M120" s="366">
        <f t="shared" si="14"/>
        <v>7.2148583399525013E-3</v>
      </c>
      <c r="N120" s="366">
        <f t="shared" si="19"/>
        <v>0.20426474122273608</v>
      </c>
      <c r="P120" s="285">
        <v>42968</v>
      </c>
      <c r="Q120" s="407">
        <f t="shared" si="10"/>
        <v>57.82</v>
      </c>
      <c r="R120"/>
      <c r="S120" s="409">
        <f>+F121</f>
        <v>3.1822898650985865E-2</v>
      </c>
      <c r="T120" s="409">
        <f>+M121</f>
        <v>1.3712367462022534E-2</v>
      </c>
      <c r="U120" s="312">
        <f>+S120-$S$285</f>
        <v>2.9997539793702947E-2</v>
      </c>
      <c r="V120" s="312">
        <f>+T120-$T$285</f>
        <v>1.1451540588993409E-2</v>
      </c>
      <c r="W120" s="419">
        <f t="shared" si="11"/>
        <v>3.4351804451753426E-4</v>
      </c>
      <c r="X120" s="419">
        <f t="shared" si="12"/>
        <v>1.8802902141353431E-4</v>
      </c>
      <c r="Z120" s="285">
        <f t="shared" si="15"/>
        <v>42968</v>
      </c>
      <c r="AA120" s="312">
        <f t="shared" si="16"/>
        <v>0.15965101516453706</v>
      </c>
      <c r="AB120" s="312">
        <f t="shared" si="17"/>
        <v>0.20426474122273608</v>
      </c>
    </row>
    <row r="121" spans="1:28" ht="17.45" customHeight="1">
      <c r="A121" s="285">
        <v>42975</v>
      </c>
      <c r="B121" s="325">
        <v>57.860000999999997</v>
      </c>
      <c r="C121" s="325">
        <v>59.93</v>
      </c>
      <c r="D121" s="325">
        <v>57.41</v>
      </c>
      <c r="E121" s="325">
        <v>59.66</v>
      </c>
      <c r="F121" s="366">
        <f t="shared" si="13"/>
        <v>3.1822898650985865E-2</v>
      </c>
      <c r="G121" s="366">
        <f t="shared" si="18"/>
        <v>0.19147391381552292</v>
      </c>
      <c r="I121">
        <v>2447.3500979999999</v>
      </c>
      <c r="J121">
        <v>2480.3798830000001</v>
      </c>
      <c r="K121">
        <v>2428.1999510000001</v>
      </c>
      <c r="L121">
        <v>2476.5500489999999</v>
      </c>
      <c r="M121" s="366">
        <f t="shared" si="14"/>
        <v>1.3712367462022534E-2</v>
      </c>
      <c r="N121" s="366">
        <f t="shared" si="19"/>
        <v>0.21797710868475861</v>
      </c>
      <c r="P121" s="285">
        <v>42975</v>
      </c>
      <c r="Q121" s="407">
        <f t="shared" si="10"/>
        <v>59.66</v>
      </c>
      <c r="R121"/>
      <c r="S121" s="409">
        <f>+F122</f>
        <v>-1.6761481729801186E-3</v>
      </c>
      <c r="T121" s="409">
        <f>+M122</f>
        <v>-6.1053145306331214E-3</v>
      </c>
      <c r="U121" s="312">
        <f>+S121-$S$285</f>
        <v>-3.5015070302630348E-3</v>
      </c>
      <c r="V121" s="312">
        <f>+T121-$T$285</f>
        <v>-8.3661414036622465E-3</v>
      </c>
      <c r="W121" s="419">
        <f t="shared" si="11"/>
        <v>2.9294102941098009E-5</v>
      </c>
      <c r="X121" s="419">
        <f t="shared" si="12"/>
        <v>3.7274865517959931E-5</v>
      </c>
      <c r="Z121" s="285">
        <f t="shared" si="15"/>
        <v>42975</v>
      </c>
      <c r="AA121" s="312">
        <f t="shared" si="16"/>
        <v>0.19147391381552292</v>
      </c>
      <c r="AB121" s="312">
        <f t="shared" si="17"/>
        <v>0.21797710868475861</v>
      </c>
    </row>
    <row r="122" spans="1:28" ht="17.45" customHeight="1">
      <c r="A122" s="285">
        <v>42982</v>
      </c>
      <c r="B122" s="325">
        <v>59.470001000000003</v>
      </c>
      <c r="C122" s="325">
        <v>59.990001999999997</v>
      </c>
      <c r="D122" s="325">
        <v>58.209999000000003</v>
      </c>
      <c r="E122" s="325">
        <v>59.560001</v>
      </c>
      <c r="F122" s="366">
        <f t="shared" si="13"/>
        <v>-1.6761481729801186E-3</v>
      </c>
      <c r="G122" s="366">
        <f t="shared" si="18"/>
        <v>0.1897977656425428</v>
      </c>
      <c r="I122">
        <v>2470.3500979999999</v>
      </c>
      <c r="J122">
        <v>2471.969971</v>
      </c>
      <c r="K122">
        <v>2446.5500489999999</v>
      </c>
      <c r="L122">
        <v>2461.429932</v>
      </c>
      <c r="M122" s="366">
        <f t="shared" si="14"/>
        <v>-6.1053145306331214E-3</v>
      </c>
      <c r="N122" s="366">
        <f t="shared" si="19"/>
        <v>0.21187179415412549</v>
      </c>
      <c r="P122" s="285">
        <v>42982</v>
      </c>
      <c r="Q122" s="407">
        <f t="shared" si="10"/>
        <v>59.560001</v>
      </c>
      <c r="R122"/>
      <c r="S122" s="409">
        <f>+F123</f>
        <v>1.6118183073905668E-2</v>
      </c>
      <c r="T122" s="409">
        <f>+M123</f>
        <v>1.5763214502097833E-2</v>
      </c>
      <c r="U122" s="312">
        <f>+S122-$S$285</f>
        <v>1.4292824216622752E-2</v>
      </c>
      <c r="V122" s="312">
        <f>+T122-$T$285</f>
        <v>1.3502387629068708E-2</v>
      </c>
      <c r="W122" s="419">
        <f t="shared" si="11"/>
        <v>1.9298725288698068E-4</v>
      </c>
      <c r="X122" s="419">
        <f t="shared" si="12"/>
        <v>2.4847893143914744E-4</v>
      </c>
      <c r="Z122" s="285">
        <f t="shared" si="15"/>
        <v>42982</v>
      </c>
      <c r="AA122" s="312">
        <f t="shared" si="16"/>
        <v>0.1897977656425428</v>
      </c>
      <c r="AB122" s="312">
        <f t="shared" si="17"/>
        <v>0.21187179415412549</v>
      </c>
    </row>
    <row r="123" spans="1:28" ht="17.45" customHeight="1">
      <c r="A123" s="285">
        <v>42989</v>
      </c>
      <c r="B123" s="325">
        <v>59.889999000000003</v>
      </c>
      <c r="C123" s="325">
        <v>60.75</v>
      </c>
      <c r="D123" s="325">
        <v>59.82</v>
      </c>
      <c r="E123" s="325">
        <v>60.52</v>
      </c>
      <c r="F123" s="366">
        <f t="shared" si="13"/>
        <v>1.6118183073905668E-2</v>
      </c>
      <c r="G123" s="366">
        <f t="shared" si="18"/>
        <v>0.20591594871644847</v>
      </c>
      <c r="I123">
        <v>2474.5200199999999</v>
      </c>
      <c r="J123">
        <v>2500.2299800000001</v>
      </c>
      <c r="K123">
        <v>2474.5200199999999</v>
      </c>
      <c r="L123">
        <v>2500.2299800000001</v>
      </c>
      <c r="M123" s="366">
        <f t="shared" si="14"/>
        <v>1.5763214502097833E-2</v>
      </c>
      <c r="N123" s="366">
        <f t="shared" si="19"/>
        <v>0.22763500865622333</v>
      </c>
      <c r="P123" s="285">
        <v>42989</v>
      </c>
      <c r="Q123" s="407">
        <f t="shared" si="10"/>
        <v>60.52</v>
      </c>
      <c r="R123"/>
      <c r="S123" s="409">
        <f>+F124</f>
        <v>1.2723083278254999E-2</v>
      </c>
      <c r="T123" s="409">
        <f>+M124</f>
        <v>7.9592318143473229E-4</v>
      </c>
      <c r="U123" s="312">
        <f>+S123-$S$285</f>
        <v>1.0897724420972083E-2</v>
      </c>
      <c r="V123" s="312">
        <f>+T123-$T$285</f>
        <v>-1.4649036915943938E-3</v>
      </c>
      <c r="W123" s="419">
        <f t="shared" si="11"/>
        <v>-1.5964116734260382E-5</v>
      </c>
      <c r="X123" s="419">
        <f t="shared" si="12"/>
        <v>6.3349371074518581E-7</v>
      </c>
      <c r="Z123" s="285">
        <f t="shared" si="15"/>
        <v>42989</v>
      </c>
      <c r="AA123" s="312">
        <f t="shared" si="16"/>
        <v>0.20591594871644847</v>
      </c>
      <c r="AB123" s="312">
        <f t="shared" si="17"/>
        <v>0.22763500865622333</v>
      </c>
    </row>
    <row r="124" spans="1:28" ht="17.45" customHeight="1">
      <c r="A124" s="285">
        <v>42996</v>
      </c>
      <c r="B124" s="325">
        <v>60.630001</v>
      </c>
      <c r="C124" s="325">
        <v>61.57</v>
      </c>
      <c r="D124" s="325">
        <v>60.080002</v>
      </c>
      <c r="E124" s="325">
        <v>61.290000999999997</v>
      </c>
      <c r="F124" s="366">
        <f t="shared" si="13"/>
        <v>1.2723083278254999E-2</v>
      </c>
      <c r="G124" s="366">
        <f t="shared" si="18"/>
        <v>0.21863903199470347</v>
      </c>
      <c r="I124">
        <v>2502.51001</v>
      </c>
      <c r="J124">
        <v>2508.8500979999999</v>
      </c>
      <c r="K124">
        <v>2496.540039</v>
      </c>
      <c r="L124">
        <v>2502.219971</v>
      </c>
      <c r="M124" s="366">
        <f t="shared" si="14"/>
        <v>7.9592318143473229E-4</v>
      </c>
      <c r="N124" s="366">
        <f t="shared" si="19"/>
        <v>0.22843093183765806</v>
      </c>
      <c r="P124" s="285">
        <v>42996</v>
      </c>
      <c r="Q124" s="407">
        <f t="shared" si="10"/>
        <v>61.290000999999997</v>
      </c>
      <c r="R124"/>
      <c r="S124" s="409">
        <f>+F125</f>
        <v>8.1579375402522913E-3</v>
      </c>
      <c r="T124" s="409">
        <f>+M125</f>
        <v>6.8499717045860109E-3</v>
      </c>
      <c r="U124" s="312">
        <f>+S124-$S$285</f>
        <v>6.3325786829693757E-3</v>
      </c>
      <c r="V124" s="312">
        <f>+T124-$T$285</f>
        <v>4.5891448315568848E-3</v>
      </c>
      <c r="W124" s="419">
        <f t="shared" si="11"/>
        <v>2.9061120733376216E-5</v>
      </c>
      <c r="X124" s="419">
        <f t="shared" si="12"/>
        <v>4.692211235362898E-5</v>
      </c>
      <c r="Z124" s="285">
        <f t="shared" si="15"/>
        <v>42996</v>
      </c>
      <c r="AA124" s="312">
        <f t="shared" si="16"/>
        <v>0.21863903199470347</v>
      </c>
      <c r="AB124" s="312">
        <f t="shared" si="17"/>
        <v>0.22843093183765806</v>
      </c>
    </row>
    <row r="125" spans="1:28" ht="17.45" customHeight="1">
      <c r="A125" s="285">
        <v>43003</v>
      </c>
      <c r="B125" s="325">
        <v>61.130001</v>
      </c>
      <c r="C125" s="325">
        <v>62.080002</v>
      </c>
      <c r="D125" s="325">
        <v>60.970001000000003</v>
      </c>
      <c r="E125" s="325">
        <v>61.790000999999997</v>
      </c>
      <c r="F125" s="366">
        <f t="shared" si="13"/>
        <v>8.1579375402522913E-3</v>
      </c>
      <c r="G125" s="366">
        <f t="shared" si="18"/>
        <v>0.22679696953495576</v>
      </c>
      <c r="I125">
        <v>2499.389893</v>
      </c>
      <c r="J125">
        <v>2519.4399410000001</v>
      </c>
      <c r="K125">
        <v>2488.030029</v>
      </c>
      <c r="L125">
        <v>2519.360107</v>
      </c>
      <c r="M125" s="366">
        <f t="shared" si="14"/>
        <v>6.8499717045860109E-3</v>
      </c>
      <c r="N125" s="366">
        <f t="shared" si="19"/>
        <v>0.23528090354224407</v>
      </c>
      <c r="P125" s="285">
        <v>43003</v>
      </c>
      <c r="Q125" s="407">
        <f t="shared" si="10"/>
        <v>61.790000999999997</v>
      </c>
      <c r="R125"/>
      <c r="S125" s="409">
        <f>+F126</f>
        <v>-3.0749797204242535E-3</v>
      </c>
      <c r="T125" s="409">
        <f>+M126</f>
        <v>1.1895866302212621E-2</v>
      </c>
      <c r="U125" s="312">
        <f>+S125-$S$285</f>
        <v>-4.9003385777071692E-3</v>
      </c>
      <c r="V125" s="312">
        <f>+T125-$T$285</f>
        <v>9.6350394291834958E-3</v>
      </c>
      <c r="W125" s="419">
        <f t="shared" si="11"/>
        <v>-4.7214955412557546E-5</v>
      </c>
      <c r="X125" s="419">
        <f t="shared" si="12"/>
        <v>1.4151163508011779E-4</v>
      </c>
      <c r="Z125" s="285">
        <f t="shared" si="15"/>
        <v>43003</v>
      </c>
      <c r="AA125" s="312">
        <f t="shared" si="16"/>
        <v>0.22679696953495576</v>
      </c>
      <c r="AB125" s="312">
        <f t="shared" si="17"/>
        <v>0.23528090354224407</v>
      </c>
    </row>
    <row r="126" spans="1:28" ht="17.45" customHeight="1">
      <c r="A126" s="285">
        <v>43010</v>
      </c>
      <c r="B126" s="325">
        <v>61.709999000000003</v>
      </c>
      <c r="C126" s="325">
        <v>61.799999</v>
      </c>
      <c r="D126" s="325">
        <v>60.23</v>
      </c>
      <c r="E126" s="325">
        <v>61.599997999999999</v>
      </c>
      <c r="F126" s="366">
        <f t="shared" si="13"/>
        <v>-3.0749797204242535E-3</v>
      </c>
      <c r="G126" s="366">
        <f t="shared" si="18"/>
        <v>0.22372198981453151</v>
      </c>
      <c r="I126">
        <v>2521.1999510000001</v>
      </c>
      <c r="J126">
        <v>2552.51001</v>
      </c>
      <c r="K126">
        <v>2520.3999020000001</v>
      </c>
      <c r="L126">
        <v>2549.330078</v>
      </c>
      <c r="M126" s="366">
        <f t="shared" si="14"/>
        <v>1.1895866302212621E-2</v>
      </c>
      <c r="N126" s="366">
        <f t="shared" si="19"/>
        <v>0.24717676984445669</v>
      </c>
      <c r="P126" s="285">
        <v>43010</v>
      </c>
      <c r="Q126" s="407">
        <f t="shared" si="10"/>
        <v>61.599997999999999</v>
      </c>
      <c r="R126"/>
      <c r="S126" s="409">
        <f>+F127</f>
        <v>-2.9220780169505467E-3</v>
      </c>
      <c r="T126" s="409">
        <f>+M127</f>
        <v>1.5062168815003218E-3</v>
      </c>
      <c r="U126" s="312">
        <f>+S126-$S$285</f>
        <v>-4.7474368742334624E-3</v>
      </c>
      <c r="V126" s="312">
        <f>+T126-$T$285</f>
        <v>-7.5460999152880421E-4</v>
      </c>
      <c r="W126" s="419">
        <f t="shared" si="11"/>
        <v>3.5824632994488457E-6</v>
      </c>
      <c r="X126" s="419">
        <f t="shared" si="12"/>
        <v>2.2686892941165546E-6</v>
      </c>
      <c r="Z126" s="285">
        <f t="shared" si="15"/>
        <v>43010</v>
      </c>
      <c r="AA126" s="312">
        <f t="shared" si="16"/>
        <v>0.22372198981453151</v>
      </c>
      <c r="AB126" s="312">
        <f t="shared" si="17"/>
        <v>0.24717676984445669</v>
      </c>
    </row>
    <row r="127" spans="1:28" ht="17.45" customHeight="1">
      <c r="A127" s="285">
        <v>43017</v>
      </c>
      <c r="B127" s="325">
        <v>61.639999000000003</v>
      </c>
      <c r="C127" s="325">
        <v>62.049999</v>
      </c>
      <c r="D127" s="325">
        <v>61.099997999999999</v>
      </c>
      <c r="E127" s="325">
        <v>61.419998</v>
      </c>
      <c r="F127" s="366">
        <f t="shared" si="13"/>
        <v>-2.9220780169505467E-3</v>
      </c>
      <c r="G127" s="366">
        <f t="shared" si="18"/>
        <v>0.22079991179758096</v>
      </c>
      <c r="I127">
        <v>2551.389893</v>
      </c>
      <c r="J127">
        <v>2557.6499020000001</v>
      </c>
      <c r="K127">
        <v>2541.6000979999999</v>
      </c>
      <c r="L127">
        <v>2553.169922</v>
      </c>
      <c r="M127" s="366">
        <f t="shared" si="14"/>
        <v>1.5062168815003218E-3</v>
      </c>
      <c r="N127" s="366">
        <f t="shared" si="19"/>
        <v>0.24868298672595701</v>
      </c>
      <c r="P127" s="285">
        <v>43017</v>
      </c>
      <c r="Q127" s="407">
        <f t="shared" si="10"/>
        <v>61.419998</v>
      </c>
      <c r="R127"/>
      <c r="S127" s="409">
        <f>+F128</f>
        <v>7.0009771084655892E-3</v>
      </c>
      <c r="T127" s="409">
        <f>+M128</f>
        <v>8.6324215282682637E-3</v>
      </c>
      <c r="U127" s="312">
        <f>+S127-$S$285</f>
        <v>5.1756182511826735E-3</v>
      </c>
      <c r="V127" s="312">
        <f>+T127-$T$285</f>
        <v>6.3715946552391376E-3</v>
      </c>
      <c r="W127" s="419">
        <f t="shared" si="11"/>
        <v>3.2976941586793653E-5</v>
      </c>
      <c r="X127" s="419">
        <f t="shared" si="12"/>
        <v>7.4518701441709384E-5</v>
      </c>
      <c r="Z127" s="285">
        <f t="shared" si="15"/>
        <v>43017</v>
      </c>
      <c r="AA127" s="312">
        <f t="shared" si="16"/>
        <v>0.22079991179758096</v>
      </c>
      <c r="AB127" s="312">
        <f t="shared" si="17"/>
        <v>0.24868298672595701</v>
      </c>
    </row>
    <row r="128" spans="1:28" ht="17.45" customHeight="1">
      <c r="A128" s="285">
        <v>43024</v>
      </c>
      <c r="B128" s="325">
        <v>61.619999</v>
      </c>
      <c r="C128" s="325">
        <v>62.23</v>
      </c>
      <c r="D128" s="325">
        <v>61.16</v>
      </c>
      <c r="E128" s="325">
        <v>61.849997999999999</v>
      </c>
      <c r="F128" s="366">
        <f t="shared" si="13"/>
        <v>7.0009771084655892E-3</v>
      </c>
      <c r="G128" s="366">
        <f t="shared" si="18"/>
        <v>0.22780088890604655</v>
      </c>
      <c r="I128">
        <v>2555.570068</v>
      </c>
      <c r="J128">
        <v>2575.4399410000001</v>
      </c>
      <c r="K128">
        <v>2547.919922</v>
      </c>
      <c r="L128">
        <v>2575.209961</v>
      </c>
      <c r="M128" s="366">
        <f t="shared" si="14"/>
        <v>8.6324215282682637E-3</v>
      </c>
      <c r="N128" s="366">
        <f t="shared" si="19"/>
        <v>0.25731540825422528</v>
      </c>
      <c r="P128" s="285">
        <v>43024</v>
      </c>
      <c r="Q128" s="407">
        <f t="shared" si="10"/>
        <v>61.849997999999999</v>
      </c>
      <c r="R128"/>
      <c r="S128" s="409">
        <f>+F129</f>
        <v>1.0832692347055639E-2</v>
      </c>
      <c r="T128" s="409">
        <f>+M129</f>
        <v>2.2755841615820227E-3</v>
      </c>
      <c r="U128" s="312">
        <f>+S128-$S$285</f>
        <v>9.0073334897727234E-3</v>
      </c>
      <c r="V128" s="312">
        <f>+T128-$T$285</f>
        <v>1.4757288552896645E-5</v>
      </c>
      <c r="W128" s="419">
        <f t="shared" si="11"/>
        <v>1.3292381940074559E-7</v>
      </c>
      <c r="X128" s="419">
        <f t="shared" si="12"/>
        <v>5.1782832764429575E-6</v>
      </c>
      <c r="Z128" s="285">
        <f t="shared" si="15"/>
        <v>43024</v>
      </c>
      <c r="AA128" s="312">
        <f t="shared" si="16"/>
        <v>0.22780088890604655</v>
      </c>
      <c r="AB128" s="312">
        <f t="shared" si="17"/>
        <v>0.25731540825422528</v>
      </c>
    </row>
    <row r="129" spans="1:28" ht="17.45" customHeight="1">
      <c r="A129" s="285">
        <v>43031</v>
      </c>
      <c r="B129" s="325">
        <v>62.16</v>
      </c>
      <c r="C129" s="325">
        <v>62.889999000000003</v>
      </c>
      <c r="D129" s="325">
        <v>61.299999</v>
      </c>
      <c r="E129" s="325">
        <v>62.52</v>
      </c>
      <c r="F129" s="366">
        <f t="shared" si="13"/>
        <v>1.0832692347055639E-2</v>
      </c>
      <c r="G129" s="366">
        <f t="shared" si="18"/>
        <v>0.23863358125310219</v>
      </c>
      <c r="I129">
        <v>2578.080078</v>
      </c>
      <c r="J129">
        <v>2582.9799800000001</v>
      </c>
      <c r="K129">
        <v>2544</v>
      </c>
      <c r="L129">
        <v>2581.070068</v>
      </c>
      <c r="M129" s="366">
        <f t="shared" si="14"/>
        <v>2.2755841615820227E-3</v>
      </c>
      <c r="N129" s="366">
        <f t="shared" si="19"/>
        <v>0.2595909924158073</v>
      </c>
      <c r="P129" s="285">
        <v>43031</v>
      </c>
      <c r="Q129" s="407">
        <f t="shared" si="10"/>
        <v>62.52</v>
      </c>
      <c r="R129"/>
      <c r="S129" s="409">
        <f>+F130</f>
        <v>7.7415243122200827E-2</v>
      </c>
      <c r="T129" s="409">
        <f>+M130</f>
        <v>2.6229508775970078E-3</v>
      </c>
      <c r="U129" s="312">
        <f>+S129-$S$285</f>
        <v>7.5589884264917917E-2</v>
      </c>
      <c r="V129" s="312">
        <f>+T129-$T$285</f>
        <v>3.6212400456788179E-4</v>
      </c>
      <c r="W129" s="419">
        <f t="shared" si="11"/>
        <v>2.7372911594834793E-5</v>
      </c>
      <c r="X129" s="419">
        <f t="shared" si="12"/>
        <v>6.8798713062869136E-6</v>
      </c>
      <c r="Z129" s="285">
        <f t="shared" si="15"/>
        <v>43031</v>
      </c>
      <c r="AA129" s="312">
        <f t="shared" si="16"/>
        <v>0.23863358125310219</v>
      </c>
      <c r="AB129" s="312">
        <f t="shared" si="17"/>
        <v>0.2595909924158073</v>
      </c>
    </row>
    <row r="130" spans="1:28" ht="17.45" customHeight="1">
      <c r="A130" s="285">
        <v>43038</v>
      </c>
      <c r="B130" s="325">
        <v>62.610000999999997</v>
      </c>
      <c r="C130" s="325">
        <v>70.480002999999996</v>
      </c>
      <c r="D130" s="325">
        <v>62.200001</v>
      </c>
      <c r="E130" s="325">
        <v>67.360000999999997</v>
      </c>
      <c r="F130" s="366">
        <f t="shared" si="13"/>
        <v>7.7415243122200827E-2</v>
      </c>
      <c r="G130" s="366">
        <f t="shared" si="18"/>
        <v>0.31604882437530302</v>
      </c>
      <c r="I130">
        <v>2577.75</v>
      </c>
      <c r="J130">
        <v>2588.419922</v>
      </c>
      <c r="K130">
        <v>2566.169922</v>
      </c>
      <c r="L130">
        <v>2587.8400879999999</v>
      </c>
      <c r="M130" s="366">
        <f t="shared" si="14"/>
        <v>2.6229508775970078E-3</v>
      </c>
      <c r="N130" s="366">
        <f t="shared" si="19"/>
        <v>0.26221394329340431</v>
      </c>
      <c r="P130" s="285">
        <v>43038</v>
      </c>
      <c r="Q130" s="407">
        <f t="shared" si="10"/>
        <v>67.360000999999997</v>
      </c>
      <c r="R130"/>
      <c r="S130" s="409">
        <f>+F131</f>
        <v>3.6668660381997231E-2</v>
      </c>
      <c r="T130" s="409">
        <f>+M131</f>
        <v>-2.1407964988600092E-3</v>
      </c>
      <c r="U130" s="312">
        <f>+S130-$S$285</f>
        <v>3.4843301524714314E-2</v>
      </c>
      <c r="V130" s="312">
        <f>+T130-$T$285</f>
        <v>-4.4016233718891353E-3</v>
      </c>
      <c r="W130" s="419">
        <f t="shared" si="11"/>
        <v>-1.5336709034496286E-4</v>
      </c>
      <c r="X130" s="419">
        <f t="shared" si="12"/>
        <v>4.5830096495312732E-6</v>
      </c>
      <c r="Z130" s="285">
        <f t="shared" si="15"/>
        <v>43038</v>
      </c>
      <c r="AA130" s="312">
        <f t="shared" si="16"/>
        <v>0.31604882437530302</v>
      </c>
      <c r="AB130" s="312">
        <f t="shared" si="17"/>
        <v>0.26221394329340431</v>
      </c>
    </row>
    <row r="131" spans="1:28" ht="17.45" customHeight="1">
      <c r="A131" s="285">
        <v>43045</v>
      </c>
      <c r="B131" s="325">
        <v>68.150002000000001</v>
      </c>
      <c r="C131" s="325">
        <v>70.949996999999996</v>
      </c>
      <c r="D131" s="325">
        <v>68.069999999999993</v>
      </c>
      <c r="E131" s="325">
        <v>69.830001999999993</v>
      </c>
      <c r="F131" s="366">
        <f t="shared" si="13"/>
        <v>3.6668660381997231E-2</v>
      </c>
      <c r="G131" s="366">
        <f t="shared" si="18"/>
        <v>0.35271748475730025</v>
      </c>
      <c r="I131">
        <v>2587.469971</v>
      </c>
      <c r="J131">
        <v>2597.0200199999999</v>
      </c>
      <c r="K131">
        <v>2566.330078</v>
      </c>
      <c r="L131">
        <v>2582.3000489999999</v>
      </c>
      <c r="M131" s="366">
        <f t="shared" si="14"/>
        <v>-2.1407964988600092E-3</v>
      </c>
      <c r="N131" s="366">
        <f t="shared" si="19"/>
        <v>0.2600731467945443</v>
      </c>
      <c r="P131" s="285">
        <v>43045</v>
      </c>
      <c r="Q131" s="407">
        <f t="shared" si="10"/>
        <v>69.830001999999993</v>
      </c>
      <c r="R131"/>
      <c r="S131" s="409">
        <f>+F132</f>
        <v>7.1595300827875796E-4</v>
      </c>
      <c r="T131" s="409">
        <f>+M132</f>
        <v>-1.3359992775959784E-3</v>
      </c>
      <c r="U131" s="312">
        <f>+S131-$S$285</f>
        <v>-1.1094058490041581E-3</v>
      </c>
      <c r="V131" s="312">
        <f>+T131-$T$285</f>
        <v>-3.5968261506251044E-3</v>
      </c>
      <c r="W131" s="419">
        <f t="shared" si="11"/>
        <v>3.9903399693546021E-6</v>
      </c>
      <c r="X131" s="419">
        <f t="shared" si="12"/>
        <v>1.7848940697369761E-6</v>
      </c>
      <c r="Z131" s="285">
        <f t="shared" si="15"/>
        <v>43045</v>
      </c>
      <c r="AA131" s="312">
        <f t="shared" si="16"/>
        <v>0.35271748475730025</v>
      </c>
      <c r="AB131" s="312">
        <f t="shared" si="17"/>
        <v>0.2600731467945443</v>
      </c>
    </row>
    <row r="132" spans="1:28" ht="17.45" customHeight="1">
      <c r="A132" s="285">
        <v>43052</v>
      </c>
      <c r="B132" s="325">
        <v>69.379997000000003</v>
      </c>
      <c r="C132" s="325">
        <v>70.739998</v>
      </c>
      <c r="D132" s="325">
        <v>68.849997999999999</v>
      </c>
      <c r="E132" s="325">
        <v>69.879997000000003</v>
      </c>
      <c r="F132" s="366">
        <f t="shared" si="13"/>
        <v>7.1595300827875796E-4</v>
      </c>
      <c r="G132" s="366">
        <f t="shared" si="18"/>
        <v>0.35343343776557901</v>
      </c>
      <c r="I132">
        <v>2576.530029</v>
      </c>
      <c r="J132">
        <v>2590.0900879999999</v>
      </c>
      <c r="K132">
        <v>2557.4499510000001</v>
      </c>
      <c r="L132">
        <v>2578.8500979999999</v>
      </c>
      <c r="M132" s="366">
        <f t="shared" si="14"/>
        <v>-1.3359992775959784E-3</v>
      </c>
      <c r="N132" s="366">
        <f t="shared" si="19"/>
        <v>0.25873714751694832</v>
      </c>
      <c r="P132" s="285">
        <v>43052</v>
      </c>
      <c r="Q132" s="407">
        <f t="shared" si="10"/>
        <v>69.879997000000003</v>
      </c>
      <c r="R132"/>
      <c r="S132" s="409">
        <f>+F133</f>
        <v>2.0892945945604424E-2</v>
      </c>
      <c r="T132" s="409">
        <f>+M133</f>
        <v>9.13966423185264E-3</v>
      </c>
      <c r="U132" s="312">
        <f>+S132-$S$285</f>
        <v>1.9067587088321507E-2</v>
      </c>
      <c r="V132" s="312">
        <f>+T132-$T$285</f>
        <v>6.8788373588235139E-3</v>
      </c>
      <c r="W132" s="419">
        <f t="shared" si="11"/>
        <v>1.3116283040576684E-4</v>
      </c>
      <c r="X132" s="419">
        <f t="shared" si="12"/>
        <v>8.3533462271006509E-5</v>
      </c>
      <c r="Z132" s="285">
        <f t="shared" si="15"/>
        <v>43052</v>
      </c>
      <c r="AA132" s="312">
        <f t="shared" si="16"/>
        <v>0.35343343776557901</v>
      </c>
      <c r="AB132" s="312">
        <f t="shared" si="17"/>
        <v>0.25873714751694832</v>
      </c>
    </row>
    <row r="133" spans="1:28" ht="17.45" customHeight="1">
      <c r="A133" s="285">
        <v>43059</v>
      </c>
      <c r="B133" s="325">
        <v>69.830001999999993</v>
      </c>
      <c r="C133" s="325">
        <v>71.449996999999996</v>
      </c>
      <c r="D133" s="325">
        <v>69.580001999999993</v>
      </c>
      <c r="E133" s="325">
        <v>71.339995999999999</v>
      </c>
      <c r="F133" s="366">
        <f t="shared" si="13"/>
        <v>2.0892945945604424E-2</v>
      </c>
      <c r="G133" s="366">
        <f t="shared" si="18"/>
        <v>0.37432638371118343</v>
      </c>
      <c r="I133">
        <v>2579.48999</v>
      </c>
      <c r="J133">
        <v>2604.209961</v>
      </c>
      <c r="K133">
        <v>2578.23999</v>
      </c>
      <c r="L133">
        <v>2602.419922</v>
      </c>
      <c r="M133" s="366">
        <f t="shared" si="14"/>
        <v>9.13966423185264E-3</v>
      </c>
      <c r="N133" s="366">
        <f t="shared" si="19"/>
        <v>0.26787681174880096</v>
      </c>
      <c r="P133" s="285">
        <v>43059</v>
      </c>
      <c r="Q133" s="407">
        <f t="shared" si="10"/>
        <v>71.339995999999999</v>
      </c>
      <c r="R133"/>
      <c r="S133" s="409">
        <f>+F134</f>
        <v>1.5699510271909745E-2</v>
      </c>
      <c r="T133" s="409">
        <f>+M134</f>
        <v>1.5293476914906456E-2</v>
      </c>
      <c r="U133" s="312">
        <f>+S133-$S$285</f>
        <v>1.3874151414626829E-2</v>
      </c>
      <c r="V133" s="312">
        <f>+T133-$T$285</f>
        <v>1.3032650041877331E-2</v>
      </c>
      <c r="W133" s="419">
        <f t="shared" si="11"/>
        <v>1.8081696001484877E-4</v>
      </c>
      <c r="X133" s="419">
        <f t="shared" si="12"/>
        <v>2.3389043614677671E-4</v>
      </c>
      <c r="Z133" s="285">
        <f t="shared" si="15"/>
        <v>43059</v>
      </c>
      <c r="AA133" s="312">
        <f t="shared" si="16"/>
        <v>0.37432638371118343</v>
      </c>
      <c r="AB133" s="312">
        <f t="shared" si="17"/>
        <v>0.26787681174880096</v>
      </c>
    </row>
    <row r="134" spans="1:28" ht="17.45" customHeight="1">
      <c r="A134" s="285">
        <v>43066</v>
      </c>
      <c r="B134" s="325">
        <v>71.410004000000001</v>
      </c>
      <c r="C134" s="325">
        <v>73.139999000000003</v>
      </c>
      <c r="D134" s="325">
        <v>70.989998</v>
      </c>
      <c r="E134" s="325">
        <v>72.459998999999996</v>
      </c>
      <c r="F134" s="366">
        <f t="shared" si="13"/>
        <v>1.5699510271909745E-2</v>
      </c>
      <c r="G134" s="366">
        <f t="shared" si="18"/>
        <v>0.39002589398309317</v>
      </c>
      <c r="I134">
        <v>2602.6599120000001</v>
      </c>
      <c r="J134">
        <v>2657.73999</v>
      </c>
      <c r="K134">
        <v>2598.8701169999999</v>
      </c>
      <c r="L134">
        <v>2642.219971</v>
      </c>
      <c r="M134" s="366">
        <f t="shared" si="14"/>
        <v>1.5293476914906456E-2</v>
      </c>
      <c r="N134" s="366">
        <f t="shared" si="19"/>
        <v>0.28317028866370741</v>
      </c>
      <c r="P134" s="285">
        <v>43066</v>
      </c>
      <c r="Q134" s="407">
        <f t="shared" si="10"/>
        <v>72.459998999999996</v>
      </c>
      <c r="R134"/>
      <c r="S134" s="409">
        <f>+F135</f>
        <v>-2.3460944292863495E-3</v>
      </c>
      <c r="T134" s="409">
        <f>+M135</f>
        <v>3.51220909002814E-3</v>
      </c>
      <c r="U134" s="312">
        <f>+S134-$S$285</f>
        <v>-4.1714532865692652E-3</v>
      </c>
      <c r="V134" s="312">
        <f>+T134-$T$285</f>
        <v>1.2513822169990139E-3</v>
      </c>
      <c r="W134" s="419">
        <f t="shared" si="11"/>
        <v>-5.2200824618548697E-6</v>
      </c>
      <c r="X134" s="419">
        <f t="shared" si="12"/>
        <v>1.2335612692076295E-5</v>
      </c>
      <c r="Z134" s="285">
        <f t="shared" si="15"/>
        <v>43066</v>
      </c>
      <c r="AA134" s="312">
        <f t="shared" si="16"/>
        <v>0.39002589398309317</v>
      </c>
      <c r="AB134" s="312">
        <f t="shared" si="17"/>
        <v>0.28317028866370741</v>
      </c>
    </row>
    <row r="135" spans="1:28" ht="17.45" customHeight="1">
      <c r="A135" s="285">
        <v>43073</v>
      </c>
      <c r="B135" s="325">
        <v>72.800003000000004</v>
      </c>
      <c r="C135" s="325">
        <v>73.330001999999993</v>
      </c>
      <c r="D135" s="325">
        <v>71.029999000000004</v>
      </c>
      <c r="E135" s="325">
        <v>72.290001000000004</v>
      </c>
      <c r="F135" s="366">
        <f t="shared" si="13"/>
        <v>-2.3460944292863495E-3</v>
      </c>
      <c r="G135" s="366">
        <f t="shared" si="18"/>
        <v>0.38767979955380683</v>
      </c>
      <c r="I135">
        <v>2657.1899410000001</v>
      </c>
      <c r="J135">
        <v>2665.1899410000001</v>
      </c>
      <c r="K135">
        <v>2624.75</v>
      </c>
      <c r="L135">
        <v>2651.5</v>
      </c>
      <c r="M135" s="366">
        <f t="shared" si="14"/>
        <v>3.51220909002814E-3</v>
      </c>
      <c r="N135" s="366">
        <f t="shared" si="19"/>
        <v>0.28668249775373555</v>
      </c>
      <c r="P135" s="285">
        <v>43073</v>
      </c>
      <c r="Q135" s="407">
        <f t="shared" si="10"/>
        <v>72.290001000000004</v>
      </c>
      <c r="R135"/>
      <c r="S135" s="409">
        <f>+F136</f>
        <v>-1.4386512458341327E-2</v>
      </c>
      <c r="T135" s="409">
        <f>+M136</f>
        <v>9.1684174995285694E-3</v>
      </c>
      <c r="U135" s="312">
        <f>+S135-$S$285</f>
        <v>-1.6211871315624245E-2</v>
      </c>
      <c r="V135" s="312">
        <f>+T135-$T$285</f>
        <v>6.9075906264994434E-3</v>
      </c>
      <c r="W135" s="419">
        <f t="shared" si="11"/>
        <v>-1.1198497033782123E-4</v>
      </c>
      <c r="X135" s="419">
        <f t="shared" si="12"/>
        <v>8.405987944566171E-5</v>
      </c>
      <c r="Z135" s="285">
        <f t="shared" si="15"/>
        <v>43073</v>
      </c>
      <c r="AA135" s="312">
        <f t="shared" si="16"/>
        <v>0.38767979955380683</v>
      </c>
      <c r="AB135" s="312">
        <f t="shared" si="17"/>
        <v>0.28668249775373555</v>
      </c>
    </row>
    <row r="136" spans="1:28" ht="17.45" customHeight="1">
      <c r="A136" s="285">
        <v>43080</v>
      </c>
      <c r="B136" s="325">
        <v>72.230002999999996</v>
      </c>
      <c r="C136" s="325">
        <v>72.349997999999999</v>
      </c>
      <c r="D136" s="325">
        <v>70.190002000000007</v>
      </c>
      <c r="E136" s="325">
        <v>71.25</v>
      </c>
      <c r="F136" s="366">
        <f t="shared" si="13"/>
        <v>-1.4386512458341327E-2</v>
      </c>
      <c r="G136" s="366">
        <f t="shared" si="18"/>
        <v>0.3732932870954655</v>
      </c>
      <c r="I136">
        <v>2652.1899410000001</v>
      </c>
      <c r="J136">
        <v>2679.6298830000001</v>
      </c>
      <c r="K136">
        <v>2651.469971</v>
      </c>
      <c r="L136">
        <v>2675.8100589999999</v>
      </c>
      <c r="M136" s="366">
        <f t="shared" si="14"/>
        <v>9.1684174995285694E-3</v>
      </c>
      <c r="N136" s="366">
        <f t="shared" si="19"/>
        <v>0.29585091525326412</v>
      </c>
      <c r="P136" s="285">
        <v>43080</v>
      </c>
      <c r="Q136" s="407">
        <f t="shared" si="10"/>
        <v>71.25</v>
      </c>
      <c r="R136"/>
      <c r="S136" s="409">
        <f>+F137</f>
        <v>2.3999985964912263E-2</v>
      </c>
      <c r="T136" s="409">
        <f>+M137</f>
        <v>2.8141119264699643E-3</v>
      </c>
      <c r="U136" s="312">
        <f>+S136-$S$285</f>
        <v>2.2174627107629345E-2</v>
      </c>
      <c r="V136" s="312">
        <f>+T136-$T$285</f>
        <v>5.5328505344083827E-4</v>
      </c>
      <c r="W136" s="419">
        <f t="shared" si="11"/>
        <v>1.2268889744275364E-5</v>
      </c>
      <c r="X136" s="419">
        <f t="shared" si="12"/>
        <v>7.9192259347004935E-6</v>
      </c>
      <c r="Z136" s="285">
        <f t="shared" si="15"/>
        <v>43080</v>
      </c>
      <c r="AA136" s="312">
        <f t="shared" si="16"/>
        <v>0.3732932870954655</v>
      </c>
      <c r="AB136" s="312">
        <f t="shared" si="17"/>
        <v>0.29585091525326412</v>
      </c>
    </row>
    <row r="137" spans="1:28" ht="17.45" customHeight="1">
      <c r="A137" s="285">
        <v>43087</v>
      </c>
      <c r="B137" s="325">
        <v>71.629997000000003</v>
      </c>
      <c r="C137" s="325">
        <v>73.610000999999997</v>
      </c>
      <c r="D137" s="325">
        <v>71.129997000000003</v>
      </c>
      <c r="E137" s="325">
        <v>72.959998999999996</v>
      </c>
      <c r="F137" s="366">
        <f t="shared" si="13"/>
        <v>2.3999985964912263E-2</v>
      </c>
      <c r="G137" s="366">
        <f t="shared" si="18"/>
        <v>0.39729327306037776</v>
      </c>
      <c r="I137">
        <v>2685.919922</v>
      </c>
      <c r="J137">
        <v>2694.969971</v>
      </c>
      <c r="K137">
        <v>2676.110107</v>
      </c>
      <c r="L137">
        <v>2683.3400879999999</v>
      </c>
      <c r="M137" s="366">
        <f t="shared" si="14"/>
        <v>2.8141119264699643E-3</v>
      </c>
      <c r="N137" s="366">
        <f t="shared" si="19"/>
        <v>0.29866502717973409</v>
      </c>
      <c r="P137" s="285">
        <v>43087</v>
      </c>
      <c r="Q137" s="407">
        <f t="shared" si="10"/>
        <v>72.959998999999996</v>
      </c>
      <c r="R137"/>
      <c r="S137" s="409">
        <f>+F138</f>
        <v>7.9495889247478413E-3</v>
      </c>
      <c r="T137" s="409">
        <f>+M138</f>
        <v>-3.6260707479878196E-3</v>
      </c>
      <c r="U137" s="312">
        <f>+S137-$S$285</f>
        <v>6.1242300674649256E-3</v>
      </c>
      <c r="V137" s="312">
        <f>+T137-$T$285</f>
        <v>-5.8868976210169456E-3</v>
      </c>
      <c r="W137" s="419">
        <f t="shared" si="11"/>
        <v>-3.605271541471972E-5</v>
      </c>
      <c r="X137" s="419">
        <f t="shared" si="12"/>
        <v>1.3148389069412945E-5</v>
      </c>
      <c r="Z137" s="285">
        <f t="shared" si="15"/>
        <v>43087</v>
      </c>
      <c r="AA137" s="312">
        <f t="shared" si="16"/>
        <v>0.39729327306037776</v>
      </c>
      <c r="AB137" s="312">
        <f t="shared" si="17"/>
        <v>0.29866502717973409</v>
      </c>
    </row>
    <row r="138" spans="1:28" ht="17.45" customHeight="1">
      <c r="A138" s="285">
        <v>43094</v>
      </c>
      <c r="B138" s="325">
        <v>72.980002999999996</v>
      </c>
      <c r="C138" s="325">
        <v>74.319999999999993</v>
      </c>
      <c r="D138" s="325">
        <v>72.529999000000004</v>
      </c>
      <c r="E138" s="325">
        <v>73.540001000000004</v>
      </c>
      <c r="F138" s="366">
        <f t="shared" si="13"/>
        <v>7.9495889247478413E-3</v>
      </c>
      <c r="G138" s="366">
        <f t="shared" si="18"/>
        <v>0.4052428619851256</v>
      </c>
      <c r="I138">
        <v>2679.0900879999999</v>
      </c>
      <c r="J138">
        <v>2692.1201169999999</v>
      </c>
      <c r="K138">
        <v>2673.610107</v>
      </c>
      <c r="L138">
        <v>2673.610107</v>
      </c>
      <c r="M138" s="366">
        <f t="shared" si="14"/>
        <v>-3.6260707479878196E-3</v>
      </c>
      <c r="N138" s="366">
        <f t="shared" si="19"/>
        <v>0.29503895643174627</v>
      </c>
      <c r="P138" s="285">
        <v>43094</v>
      </c>
      <c r="Q138" s="407">
        <f t="shared" si="10"/>
        <v>73.540001000000004</v>
      </c>
      <c r="R138"/>
      <c r="S138" s="409">
        <f>+F139</f>
        <v>-4.3513733430600166E-3</v>
      </c>
      <c r="T138" s="409">
        <f>+M139</f>
        <v>2.6009699326738911E-2</v>
      </c>
      <c r="U138" s="312">
        <f>+S138-$S$285</f>
        <v>-6.1767322003429322E-3</v>
      </c>
      <c r="V138" s="312">
        <f>+T138-$T$285</f>
        <v>2.3748872453709786E-2</v>
      </c>
      <c r="W138" s="419">
        <f t="shared" si="11"/>
        <v>-1.466904252066665E-4</v>
      </c>
      <c r="X138" s="419">
        <f t="shared" si="12"/>
        <v>6.7650445906736255E-4</v>
      </c>
      <c r="Z138" s="285">
        <f t="shared" si="15"/>
        <v>43094</v>
      </c>
      <c r="AA138" s="312">
        <f t="shared" si="16"/>
        <v>0.4052428619851256</v>
      </c>
      <c r="AB138" s="312">
        <f t="shared" si="17"/>
        <v>0.29503895643174627</v>
      </c>
    </row>
    <row r="139" spans="1:28" ht="17.45" customHeight="1">
      <c r="A139" s="285">
        <v>43101</v>
      </c>
      <c r="B139" s="325">
        <v>73.629997000000003</v>
      </c>
      <c r="C139" s="325">
        <v>75.480002999999996</v>
      </c>
      <c r="D139" s="325">
        <v>72.589995999999999</v>
      </c>
      <c r="E139" s="325">
        <v>73.220000999999996</v>
      </c>
      <c r="F139" s="366">
        <f t="shared" si="13"/>
        <v>-4.3513733430600166E-3</v>
      </c>
      <c r="G139" s="366">
        <f t="shared" si="18"/>
        <v>0.40089148864206559</v>
      </c>
      <c r="I139">
        <v>2683.7299800000001</v>
      </c>
      <c r="J139">
        <v>2743.4499510000001</v>
      </c>
      <c r="K139">
        <v>2682.360107</v>
      </c>
      <c r="L139">
        <v>2743.1499020000001</v>
      </c>
      <c r="M139" s="366">
        <f t="shared" si="14"/>
        <v>2.6009699326738911E-2</v>
      </c>
      <c r="N139" s="366">
        <f t="shared" si="19"/>
        <v>0.32104865575848518</v>
      </c>
      <c r="P139" s="285">
        <v>43101</v>
      </c>
      <c r="Q139" s="407">
        <f t="shared" si="10"/>
        <v>73.220000999999996</v>
      </c>
      <c r="R139"/>
      <c r="S139" s="409">
        <f>+F140</f>
        <v>7.7984142611525087E-2</v>
      </c>
      <c r="T139" s="409">
        <f>+M140</f>
        <v>1.5708251294828335E-2</v>
      </c>
      <c r="U139" s="312">
        <f>+S139-$S$285</f>
        <v>7.6158783754242176E-2</v>
      </c>
      <c r="V139" s="312">
        <f>+T139-$T$285</f>
        <v>1.344742442179921E-2</v>
      </c>
      <c r="W139" s="419">
        <f t="shared" si="11"/>
        <v>1.0241394885913211E-3</v>
      </c>
      <c r="X139" s="419">
        <f t="shared" si="12"/>
        <v>2.4674915874147606E-4</v>
      </c>
      <c r="Z139" s="285">
        <f t="shared" si="15"/>
        <v>43101</v>
      </c>
      <c r="AA139" s="312">
        <f t="shared" si="16"/>
        <v>0.40089148864206559</v>
      </c>
      <c r="AB139" s="312">
        <f t="shared" si="17"/>
        <v>0.32104865575848518</v>
      </c>
    </row>
    <row r="140" spans="1:28" ht="17.45" customHeight="1">
      <c r="A140" s="285">
        <v>43108</v>
      </c>
      <c r="B140" s="325">
        <v>74.400002000000001</v>
      </c>
      <c r="C140" s="325">
        <v>79.199996999999996</v>
      </c>
      <c r="D140" s="325">
        <v>73.449996999999996</v>
      </c>
      <c r="E140" s="325">
        <v>78.930000000000007</v>
      </c>
      <c r="F140" s="366">
        <f t="shared" si="13"/>
        <v>7.7984142611525087E-2</v>
      </c>
      <c r="G140" s="366">
        <f t="shared" si="18"/>
        <v>0.47887563125359067</v>
      </c>
      <c r="I140">
        <v>2742.669922</v>
      </c>
      <c r="J140">
        <v>2787.8500979999999</v>
      </c>
      <c r="K140">
        <v>2736.0600589999999</v>
      </c>
      <c r="L140">
        <v>2786.23999</v>
      </c>
      <c r="M140" s="366">
        <f t="shared" si="14"/>
        <v>1.5708251294828335E-2</v>
      </c>
      <c r="N140" s="366">
        <f t="shared" si="19"/>
        <v>0.33675690705331351</v>
      </c>
      <c r="P140" s="285">
        <v>43108</v>
      </c>
      <c r="Q140" s="407">
        <f t="shared" si="10"/>
        <v>78.930000000000007</v>
      </c>
      <c r="R140"/>
      <c r="S140" s="409">
        <f>+F141</f>
        <v>1.0262232357785228E-2</v>
      </c>
      <c r="T140" s="409">
        <f>+M141</f>
        <v>8.6353146485418364E-3</v>
      </c>
      <c r="U140" s="312">
        <f>+S140-$S$285</f>
        <v>8.4368735005023125E-3</v>
      </c>
      <c r="V140" s="312">
        <f>+T140-$T$285</f>
        <v>6.3744877755127103E-3</v>
      </c>
      <c r="W140" s="419">
        <f t="shared" si="11"/>
        <v>5.3780746992499117E-5</v>
      </c>
      <c r="X140" s="419">
        <f t="shared" si="12"/>
        <v>7.4568659079321225E-5</v>
      </c>
      <c r="Z140" s="285">
        <f t="shared" si="15"/>
        <v>43108</v>
      </c>
      <c r="AA140" s="312">
        <f t="shared" si="16"/>
        <v>0.47887563125359067</v>
      </c>
      <c r="AB140" s="312">
        <f t="shared" si="17"/>
        <v>0.33675690705331351</v>
      </c>
    </row>
    <row r="141" spans="1:28" ht="17.45" customHeight="1">
      <c r="A141" s="285">
        <v>43115</v>
      </c>
      <c r="B141" s="325">
        <v>79.400002000000001</v>
      </c>
      <c r="C141" s="325">
        <v>80.180000000000007</v>
      </c>
      <c r="D141" s="325">
        <v>76.849997999999999</v>
      </c>
      <c r="E141" s="325">
        <v>79.739998</v>
      </c>
      <c r="F141" s="366">
        <f t="shared" si="13"/>
        <v>1.0262232357785228E-2</v>
      </c>
      <c r="G141" s="366">
        <f t="shared" si="18"/>
        <v>0.4891378636113759</v>
      </c>
      <c r="I141">
        <v>2798.959961</v>
      </c>
      <c r="J141">
        <v>2810.330078</v>
      </c>
      <c r="K141">
        <v>2768.639893</v>
      </c>
      <c r="L141">
        <v>2810.3000489999999</v>
      </c>
      <c r="M141" s="366">
        <f t="shared" si="14"/>
        <v>8.6353146485418364E-3</v>
      </c>
      <c r="N141" s="366">
        <f t="shared" si="19"/>
        <v>0.34539222170185535</v>
      </c>
      <c r="P141" s="285">
        <v>43115</v>
      </c>
      <c r="Q141" s="407">
        <f t="shared" si="10"/>
        <v>79.739998</v>
      </c>
      <c r="R141"/>
      <c r="S141" s="409">
        <f>+F142</f>
        <v>2.3702019656433926E-2</v>
      </c>
      <c r="T141" s="409">
        <f>+M142</f>
        <v>2.2264550727337573E-2</v>
      </c>
      <c r="U141" s="312">
        <f>+S141-$S$285</f>
        <v>2.1876660799151008E-2</v>
      </c>
      <c r="V141" s="312">
        <f>+T141-$T$285</f>
        <v>2.0003723854308448E-2</v>
      </c>
      <c r="W141" s="419">
        <f t="shared" si="11"/>
        <v>4.3761468148059154E-4</v>
      </c>
      <c r="X141" s="419">
        <f t="shared" si="12"/>
        <v>4.9571021909018806E-4</v>
      </c>
      <c r="Z141" s="285">
        <f t="shared" si="15"/>
        <v>43115</v>
      </c>
      <c r="AA141" s="312">
        <f t="shared" si="16"/>
        <v>0.4891378636113759</v>
      </c>
      <c r="AB141" s="312">
        <f t="shared" si="17"/>
        <v>0.34539222170185535</v>
      </c>
    </row>
    <row r="142" spans="1:28" ht="17.45" customHeight="1">
      <c r="A142" s="285">
        <v>43122</v>
      </c>
      <c r="B142" s="325">
        <v>79.529999000000004</v>
      </c>
      <c r="C142" s="325">
        <v>82.5</v>
      </c>
      <c r="D142" s="325">
        <v>79.019997000000004</v>
      </c>
      <c r="E142" s="325">
        <v>81.629997000000003</v>
      </c>
      <c r="F142" s="366">
        <f t="shared" si="13"/>
        <v>2.3702019656433926E-2</v>
      </c>
      <c r="G142" s="366">
        <f t="shared" si="18"/>
        <v>0.51283988326780983</v>
      </c>
      <c r="I142">
        <v>2809.1599120000001</v>
      </c>
      <c r="J142">
        <v>2872.8701169999999</v>
      </c>
      <c r="K142">
        <v>2808.1201169999999</v>
      </c>
      <c r="L142">
        <v>2872.8701169999999</v>
      </c>
      <c r="M142" s="366">
        <f t="shared" si="14"/>
        <v>2.2264550727337573E-2</v>
      </c>
      <c r="N142" s="366">
        <f t="shared" si="19"/>
        <v>0.36765677242919292</v>
      </c>
      <c r="P142" s="285">
        <v>43122</v>
      </c>
      <c r="Q142" s="407">
        <f t="shared" si="10"/>
        <v>81.629997000000003</v>
      </c>
      <c r="R142"/>
      <c r="S142" s="409">
        <f>+F143</f>
        <v>-2.8543355208012544E-2</v>
      </c>
      <c r="T142" s="409">
        <f>+M143</f>
        <v>-3.8546898916419048E-2</v>
      </c>
      <c r="U142" s="312">
        <f>+S142-$S$285</f>
        <v>-3.0368714065295462E-2</v>
      </c>
      <c r="V142" s="312">
        <f>+T142-$T$285</f>
        <v>-4.0807725789448177E-2</v>
      </c>
      <c r="W142" s="419">
        <f t="shared" si="11"/>
        <v>1.2392781561547351E-3</v>
      </c>
      <c r="X142" s="419">
        <f t="shared" si="12"/>
        <v>1.485863416072628E-3</v>
      </c>
      <c r="Z142" s="285">
        <f t="shared" si="15"/>
        <v>43122</v>
      </c>
      <c r="AA142" s="312">
        <f t="shared" si="16"/>
        <v>0.51283988326780983</v>
      </c>
      <c r="AB142" s="312">
        <f t="shared" si="17"/>
        <v>0.36765677242919292</v>
      </c>
    </row>
    <row r="143" spans="1:28" ht="17.45" customHeight="1">
      <c r="A143" s="285">
        <v>43129</v>
      </c>
      <c r="B143" s="325">
        <v>81.339995999999999</v>
      </c>
      <c r="C143" s="325">
        <v>82.209998999999996</v>
      </c>
      <c r="D143" s="325">
        <v>79.139999000000003</v>
      </c>
      <c r="E143" s="325">
        <v>79.300003000000004</v>
      </c>
      <c r="F143" s="366">
        <f t="shared" si="13"/>
        <v>-2.8543355208012544E-2</v>
      </c>
      <c r="G143" s="366">
        <f t="shared" si="18"/>
        <v>0.48429652805979728</v>
      </c>
      <c r="I143">
        <v>2867.2299800000001</v>
      </c>
      <c r="J143">
        <v>2870.6201169999999</v>
      </c>
      <c r="K143">
        <v>2759.969971</v>
      </c>
      <c r="L143">
        <v>2762.1298830000001</v>
      </c>
      <c r="M143" s="366">
        <f t="shared" si="14"/>
        <v>-3.8546898916419048E-2</v>
      </c>
      <c r="N143" s="366">
        <f t="shared" si="19"/>
        <v>0.32910987351277388</v>
      </c>
      <c r="P143" s="285">
        <v>43129</v>
      </c>
      <c r="Q143" s="407">
        <f t="shared" si="10"/>
        <v>79.300003000000004</v>
      </c>
      <c r="R143"/>
      <c r="S143" s="409">
        <f>+F144</f>
        <v>-2.9255988804943733E-2</v>
      </c>
      <c r="T143" s="409">
        <f>+M144</f>
        <v>-5.1619525525404164E-2</v>
      </c>
      <c r="U143" s="312">
        <f>+S143-$S$285</f>
        <v>-3.1081347662226651E-2</v>
      </c>
      <c r="V143" s="312">
        <f>+T143-$T$285</f>
        <v>-5.3880352398433293E-2</v>
      </c>
      <c r="W143" s="419">
        <f t="shared" si="11"/>
        <v>1.6746739650589928E-3</v>
      </c>
      <c r="X143" s="419">
        <f t="shared" si="12"/>
        <v>2.6645754154678522E-3</v>
      </c>
      <c r="Z143" s="285">
        <f t="shared" si="15"/>
        <v>43129</v>
      </c>
      <c r="AA143" s="312">
        <f t="shared" si="16"/>
        <v>0.48429652805979728</v>
      </c>
      <c r="AB143" s="312">
        <f t="shared" si="17"/>
        <v>0.32910987351277388</v>
      </c>
    </row>
    <row r="144" spans="1:28" ht="17.45" customHeight="1">
      <c r="A144" s="285">
        <v>43136</v>
      </c>
      <c r="B144" s="325">
        <v>78.389999000000003</v>
      </c>
      <c r="C144" s="325">
        <v>79.639999000000003</v>
      </c>
      <c r="D144" s="325">
        <v>74.980002999999996</v>
      </c>
      <c r="E144" s="325">
        <v>76.980002999999996</v>
      </c>
      <c r="F144" s="366">
        <f t="shared" si="13"/>
        <v>-2.9255988804943733E-2</v>
      </c>
      <c r="G144" s="366">
        <f t="shared" si="18"/>
        <v>0.45504053925485355</v>
      </c>
      <c r="I144">
        <v>2741.0600589999999</v>
      </c>
      <c r="J144">
        <v>2763.389893</v>
      </c>
      <c r="K144">
        <v>2532.6899410000001</v>
      </c>
      <c r="L144">
        <v>2619.5500489999999</v>
      </c>
      <c r="M144" s="366">
        <f t="shared" si="14"/>
        <v>-5.1619525525404164E-2</v>
      </c>
      <c r="N144" s="366">
        <f t="shared" si="19"/>
        <v>0.27749034798736971</v>
      </c>
      <c r="P144" s="285">
        <v>43136</v>
      </c>
      <c r="Q144" s="407">
        <f t="shared" si="10"/>
        <v>76.980002999999996</v>
      </c>
      <c r="R144"/>
      <c r="S144" s="409">
        <f>+F145</f>
        <v>3.5723563170035222E-2</v>
      </c>
      <c r="T144" s="409">
        <f>+M145</f>
        <v>4.3011173633812128E-2</v>
      </c>
      <c r="U144" s="312">
        <f>+S144-$S$285</f>
        <v>3.3898204312752304E-2</v>
      </c>
      <c r="V144" s="312">
        <f>+T144-$T$285</f>
        <v>4.0750346760782999E-2</v>
      </c>
      <c r="W144" s="419">
        <f t="shared" si="11"/>
        <v>1.3813635803125261E-3</v>
      </c>
      <c r="X144" s="419">
        <f t="shared" si="12"/>
        <v>1.8499610573579355E-3</v>
      </c>
      <c r="Z144" s="285">
        <f t="shared" si="15"/>
        <v>43136</v>
      </c>
      <c r="AA144" s="312">
        <f t="shared" si="16"/>
        <v>0.45504053925485355</v>
      </c>
      <c r="AB144" s="312">
        <f t="shared" si="17"/>
        <v>0.27749034798736971</v>
      </c>
    </row>
    <row r="145" spans="1:28" ht="17.45" customHeight="1">
      <c r="A145" s="285">
        <v>43143</v>
      </c>
      <c r="B145" s="325">
        <v>77.410004000000001</v>
      </c>
      <c r="C145" s="325">
        <v>82.209998999999996</v>
      </c>
      <c r="D145" s="325">
        <v>76.989998</v>
      </c>
      <c r="E145" s="325">
        <v>79.730002999999996</v>
      </c>
      <c r="F145" s="366">
        <f t="shared" si="13"/>
        <v>3.5723563170035222E-2</v>
      </c>
      <c r="G145" s="366">
        <f t="shared" si="18"/>
        <v>0.49076410242488877</v>
      </c>
      <c r="I145">
        <v>2636.75</v>
      </c>
      <c r="J145">
        <v>2754.419922</v>
      </c>
      <c r="K145">
        <v>2622.4499510000001</v>
      </c>
      <c r="L145">
        <v>2732.219971</v>
      </c>
      <c r="M145" s="366">
        <f t="shared" si="14"/>
        <v>4.3011173633812128E-2</v>
      </c>
      <c r="N145" s="366">
        <f t="shared" si="19"/>
        <v>0.32050152162118184</v>
      </c>
      <c r="P145" s="285">
        <v>43143</v>
      </c>
      <c r="Q145" s="407">
        <f t="shared" si="10"/>
        <v>79.730002999999996</v>
      </c>
      <c r="R145"/>
      <c r="S145" s="409">
        <f>+F146</f>
        <v>2.6338767352109826E-3</v>
      </c>
      <c r="T145" s="409">
        <f>+M146</f>
        <v>5.5193498913195249E-3</v>
      </c>
      <c r="U145" s="312">
        <f>+S145-$S$285</f>
        <v>8.0851787792806653E-4</v>
      </c>
      <c r="V145" s="312">
        <f>+T145-$T$285</f>
        <v>3.2585230182903989E-3</v>
      </c>
      <c r="W145" s="419">
        <f t="shared" si="11"/>
        <v>2.6345741159279114E-6</v>
      </c>
      <c r="X145" s="419">
        <f t="shared" si="12"/>
        <v>3.0463223222808852E-5</v>
      </c>
      <c r="Z145" s="285">
        <f t="shared" si="15"/>
        <v>43143</v>
      </c>
      <c r="AA145" s="312">
        <f t="shared" si="16"/>
        <v>0.49076410242488877</v>
      </c>
      <c r="AB145" s="312">
        <f t="shared" si="17"/>
        <v>0.32050152162118184</v>
      </c>
    </row>
    <row r="146" spans="1:28" ht="17.45" customHeight="1">
      <c r="A146" s="285">
        <v>43150</v>
      </c>
      <c r="B146" s="325">
        <v>80.400002000000001</v>
      </c>
      <c r="C146" s="325">
        <v>83.019997000000004</v>
      </c>
      <c r="D146" s="325">
        <v>79.550003000000004</v>
      </c>
      <c r="E146" s="325">
        <v>79.940002000000007</v>
      </c>
      <c r="F146" s="366">
        <f t="shared" si="13"/>
        <v>2.6338767352109826E-3</v>
      </c>
      <c r="G146" s="366">
        <f t="shared" si="18"/>
        <v>0.49339797916009975</v>
      </c>
      <c r="I146">
        <v>2722.98999</v>
      </c>
      <c r="J146">
        <v>2747.76001</v>
      </c>
      <c r="K146">
        <v>2697.7700199999999</v>
      </c>
      <c r="L146">
        <v>2747.3000489999999</v>
      </c>
      <c r="M146" s="366">
        <f t="shared" si="14"/>
        <v>5.5193498913195249E-3</v>
      </c>
      <c r="N146" s="366">
        <f t="shared" si="19"/>
        <v>0.32602087151250136</v>
      </c>
      <c r="P146" s="285">
        <v>43150</v>
      </c>
      <c r="Q146" s="407">
        <f t="shared" si="10"/>
        <v>79.940002000000007</v>
      </c>
      <c r="R146"/>
      <c r="S146" s="409">
        <f>+F147</f>
        <v>-4.2281760263153556E-2</v>
      </c>
      <c r="T146" s="409">
        <f>+M147</f>
        <v>-2.040186656000742E-2</v>
      </c>
      <c r="U146" s="312">
        <f>+S146-$S$285</f>
        <v>-4.4107119120436473E-2</v>
      </c>
      <c r="V146" s="312">
        <f>+T146-$T$285</f>
        <v>-2.2662693433036545E-2</v>
      </c>
      <c r="W146" s="419">
        <f t="shared" si="11"/>
        <v>9.9958611884087638E-4</v>
      </c>
      <c r="X146" s="419">
        <f t="shared" si="12"/>
        <v>4.1623615913234901E-4</v>
      </c>
      <c r="Z146" s="285">
        <f t="shared" si="15"/>
        <v>43150</v>
      </c>
      <c r="AA146" s="312">
        <f t="shared" si="16"/>
        <v>0.49339797916009975</v>
      </c>
      <c r="AB146" s="312">
        <f t="shared" si="17"/>
        <v>0.32602087151250136</v>
      </c>
    </row>
    <row r="147" spans="1:28" ht="17.45" customHeight="1">
      <c r="A147" s="285">
        <v>43157</v>
      </c>
      <c r="B147" s="325">
        <v>80.050003000000004</v>
      </c>
      <c r="C147" s="325">
        <v>80.349997999999999</v>
      </c>
      <c r="D147" s="325">
        <v>74.589995999999999</v>
      </c>
      <c r="E147" s="325">
        <v>76.559997999999993</v>
      </c>
      <c r="F147" s="366">
        <f t="shared" si="13"/>
        <v>-4.2281760263153556E-2</v>
      </c>
      <c r="G147" s="366">
        <f t="shared" si="18"/>
        <v>0.4511162188969462</v>
      </c>
      <c r="I147">
        <v>2757.3701169999999</v>
      </c>
      <c r="J147">
        <v>2789.1499020000001</v>
      </c>
      <c r="K147">
        <v>2647.320068</v>
      </c>
      <c r="L147">
        <v>2691.25</v>
      </c>
      <c r="M147" s="366">
        <f t="shared" si="14"/>
        <v>-2.040186656000742E-2</v>
      </c>
      <c r="N147" s="366">
        <f t="shared" si="19"/>
        <v>0.30561900495249394</v>
      </c>
      <c r="P147" s="285">
        <v>43157</v>
      </c>
      <c r="Q147" s="407">
        <f t="shared" si="10"/>
        <v>76.559997999999993</v>
      </c>
      <c r="R147"/>
      <c r="S147" s="409">
        <f>+F148</f>
        <v>4.676072483700966E-2</v>
      </c>
      <c r="T147" s="409">
        <f>+M148</f>
        <v>3.541851110078964E-2</v>
      </c>
      <c r="U147" s="312">
        <f>+S147-$S$285</f>
        <v>4.4935365979726742E-2</v>
      </c>
      <c r="V147" s="312">
        <f>+T147-$T$285</f>
        <v>3.3157684227760512E-2</v>
      </c>
      <c r="W147" s="419">
        <f t="shared" si="11"/>
        <v>1.4899526758146316E-3</v>
      </c>
      <c r="X147" s="419">
        <f t="shared" si="12"/>
        <v>1.2544709285967589E-3</v>
      </c>
      <c r="Z147" s="285">
        <f t="shared" si="15"/>
        <v>43157</v>
      </c>
      <c r="AA147" s="312">
        <f t="shared" si="16"/>
        <v>0.4511162188969462</v>
      </c>
      <c r="AB147" s="312">
        <f t="shared" si="17"/>
        <v>0.30561900495249394</v>
      </c>
    </row>
    <row r="148" spans="1:28" ht="17.45" customHeight="1">
      <c r="A148" s="285">
        <v>43164</v>
      </c>
      <c r="B148" s="325">
        <v>76.089995999999999</v>
      </c>
      <c r="C148" s="325">
        <v>80.239998</v>
      </c>
      <c r="D148" s="325">
        <v>75.410004000000001</v>
      </c>
      <c r="E148" s="325">
        <v>80.139999000000003</v>
      </c>
      <c r="F148" s="366">
        <f t="shared" si="13"/>
        <v>4.676072483700966E-2</v>
      </c>
      <c r="G148" s="366">
        <f t="shared" si="18"/>
        <v>0.49787694373395586</v>
      </c>
      <c r="I148">
        <v>2681.0600589999999</v>
      </c>
      <c r="J148">
        <v>2786.570068</v>
      </c>
      <c r="K148">
        <v>2675.75</v>
      </c>
      <c r="L148">
        <v>2786.570068</v>
      </c>
      <c r="M148" s="366">
        <f t="shared" si="14"/>
        <v>3.541851110078964E-2</v>
      </c>
      <c r="N148" s="366">
        <f t="shared" si="19"/>
        <v>0.34103751605328358</v>
      </c>
      <c r="P148" s="285">
        <v>43164</v>
      </c>
      <c r="Q148" s="407">
        <f t="shared" si="10"/>
        <v>80.139999000000003</v>
      </c>
      <c r="R148"/>
      <c r="S148" s="409">
        <f>+F149</f>
        <v>-1.9964562265593067E-3</v>
      </c>
      <c r="T148" s="409">
        <f>+M149</f>
        <v>-1.2402364611920458E-2</v>
      </c>
      <c r="U148" s="312">
        <f>+S148-$S$285</f>
        <v>-3.8218150838422228E-3</v>
      </c>
      <c r="V148" s="312">
        <f>+T148-$T$285</f>
        <v>-1.4663191484949583E-2</v>
      </c>
      <c r="W148" s="419">
        <f t="shared" si="11"/>
        <v>5.6040006394447159E-5</v>
      </c>
      <c r="X148" s="419">
        <f t="shared" si="12"/>
        <v>1.5381864796701689E-4</v>
      </c>
      <c r="Z148" s="285">
        <f t="shared" si="15"/>
        <v>43164</v>
      </c>
      <c r="AA148" s="312">
        <f t="shared" si="16"/>
        <v>0.49787694373395586</v>
      </c>
      <c r="AB148" s="312">
        <f t="shared" si="17"/>
        <v>0.34103751605328358</v>
      </c>
    </row>
    <row r="149" spans="1:28" ht="17.45" customHeight="1">
      <c r="A149" s="285">
        <v>43171</v>
      </c>
      <c r="B149" s="325">
        <v>80.360000999999997</v>
      </c>
      <c r="C149" s="325">
        <v>81.599997999999999</v>
      </c>
      <c r="D149" s="325">
        <v>79.389999000000003</v>
      </c>
      <c r="E149" s="325">
        <v>79.980002999999996</v>
      </c>
      <c r="F149" s="366">
        <f t="shared" si="13"/>
        <v>-1.9964562265593067E-3</v>
      </c>
      <c r="G149" s="366">
        <f t="shared" si="18"/>
        <v>0.49588048750739655</v>
      </c>
      <c r="I149">
        <v>2790.540039</v>
      </c>
      <c r="J149">
        <v>2801.8999020000001</v>
      </c>
      <c r="K149">
        <v>2741.469971</v>
      </c>
      <c r="L149">
        <v>2752.01001</v>
      </c>
      <c r="M149" s="366">
        <f t="shared" si="14"/>
        <v>-1.2402364611920458E-2</v>
      </c>
      <c r="N149" s="366">
        <f t="shared" si="19"/>
        <v>0.32863515144136313</v>
      </c>
      <c r="P149" s="285">
        <v>43171</v>
      </c>
      <c r="Q149" s="407">
        <f t="shared" si="10"/>
        <v>79.980002999999996</v>
      </c>
      <c r="R149"/>
      <c r="S149" s="409">
        <f>+F150</f>
        <v>-4.526133863735915E-2</v>
      </c>
      <c r="T149" s="409">
        <f>+M150</f>
        <v>-5.9501963802813362E-2</v>
      </c>
      <c r="U149" s="312">
        <f>+S149-$S$285</f>
        <v>-4.7086697494642067E-2</v>
      </c>
      <c r="V149" s="312">
        <f>+T149-$T$285</f>
        <v>-6.1762790675842491E-2</v>
      </c>
      <c r="W149" s="419">
        <f t="shared" si="11"/>
        <v>2.9082058409782949E-3</v>
      </c>
      <c r="X149" s="419">
        <f t="shared" si="12"/>
        <v>3.5404836963913115E-3</v>
      </c>
      <c r="Z149" s="285">
        <f t="shared" si="15"/>
        <v>43171</v>
      </c>
      <c r="AA149" s="312">
        <f t="shared" si="16"/>
        <v>0.49588048750739655</v>
      </c>
      <c r="AB149" s="312">
        <f t="shared" si="17"/>
        <v>0.32863515144136313</v>
      </c>
    </row>
    <row r="150" spans="1:28" ht="17.45" customHeight="1">
      <c r="A150" s="285">
        <v>43178</v>
      </c>
      <c r="B150" s="325">
        <v>79.940002000000007</v>
      </c>
      <c r="C150" s="325">
        <v>80.629997000000003</v>
      </c>
      <c r="D150" s="325">
        <v>76.040001000000004</v>
      </c>
      <c r="E150" s="325">
        <v>76.360000999999997</v>
      </c>
      <c r="F150" s="366">
        <f t="shared" si="13"/>
        <v>-4.526133863735915E-2</v>
      </c>
      <c r="G150" s="366">
        <f t="shared" si="18"/>
        <v>0.4506191488700374</v>
      </c>
      <c r="I150">
        <v>2741.3798830000001</v>
      </c>
      <c r="J150">
        <v>2741.3798830000001</v>
      </c>
      <c r="K150">
        <v>2585.889893</v>
      </c>
      <c r="L150">
        <v>2588.26001</v>
      </c>
      <c r="M150" s="366">
        <f t="shared" si="14"/>
        <v>-5.9501963802813362E-2</v>
      </c>
      <c r="N150" s="366">
        <f t="shared" si="19"/>
        <v>0.26913318763854976</v>
      </c>
      <c r="P150" s="285">
        <v>43178</v>
      </c>
      <c r="Q150" s="407">
        <f t="shared" si="10"/>
        <v>76.360000999999997</v>
      </c>
      <c r="R150"/>
      <c r="S150" s="409">
        <f>+F151</f>
        <v>-1.3095730577582509E-3</v>
      </c>
      <c r="T150" s="409">
        <f>+M151</f>
        <v>2.0326438146374581E-2</v>
      </c>
      <c r="U150" s="312">
        <f>+S150-$S$285</f>
        <v>-3.1349319150411671E-3</v>
      </c>
      <c r="V150" s="312">
        <f>+T150-$T$285</f>
        <v>1.8065611273345456E-2</v>
      </c>
      <c r="W150" s="419">
        <f t="shared" si="11"/>
        <v>-5.6634461345538168E-5</v>
      </c>
      <c r="X150" s="419">
        <f t="shared" si="12"/>
        <v>4.1316408771839173E-4</v>
      </c>
      <c r="Z150" s="285">
        <f t="shared" si="15"/>
        <v>43178</v>
      </c>
      <c r="AA150" s="312">
        <f t="shared" si="16"/>
        <v>0.4506191488700374</v>
      </c>
      <c r="AB150" s="312">
        <f t="shared" si="17"/>
        <v>0.26913318763854976</v>
      </c>
    </row>
    <row r="151" spans="1:28" ht="17.45" customHeight="1">
      <c r="A151" s="285">
        <v>43185</v>
      </c>
      <c r="B151" s="325">
        <v>77.440002000000007</v>
      </c>
      <c r="C151" s="325">
        <v>78.879997000000003</v>
      </c>
      <c r="D151" s="325">
        <v>75.75</v>
      </c>
      <c r="E151" s="325">
        <v>76.260002</v>
      </c>
      <c r="F151" s="366">
        <f t="shared" si="13"/>
        <v>-1.3095730577582509E-3</v>
      </c>
      <c r="G151" s="366">
        <f t="shared" si="18"/>
        <v>0.44930957581227915</v>
      </c>
      <c r="I151">
        <v>2619.3500979999999</v>
      </c>
      <c r="J151">
        <v>2674.780029</v>
      </c>
      <c r="K151">
        <v>2593.0600589999999</v>
      </c>
      <c r="L151">
        <v>2640.8701169999999</v>
      </c>
      <c r="M151" s="366">
        <f t="shared" si="14"/>
        <v>2.0326438146374581E-2</v>
      </c>
      <c r="N151" s="366">
        <f t="shared" si="19"/>
        <v>0.28945962578492435</v>
      </c>
      <c r="P151" s="285">
        <v>43185</v>
      </c>
      <c r="Q151" s="407">
        <f t="shared" ref="Q151:Q214" si="20">+E151</f>
        <v>76.260002</v>
      </c>
      <c r="R151"/>
      <c r="S151" s="409">
        <f>+F152</f>
        <v>-1.770256969046502E-2</v>
      </c>
      <c r="T151" s="409">
        <f>+M152</f>
        <v>-1.3783391226127484E-2</v>
      </c>
      <c r="U151" s="312">
        <f>+S151-$S$285</f>
        <v>-1.9527928547747937E-2</v>
      </c>
      <c r="V151" s="312">
        <f>+T151-$T$285</f>
        <v>-1.6044218099156609E-2</v>
      </c>
      <c r="W151" s="419">
        <f t="shared" ref="W151:W214" si="21">+V151*U151</f>
        <v>3.133103446448145E-4</v>
      </c>
      <c r="X151" s="419">
        <f t="shared" ref="X151:X214" si="22">+T151^2</f>
        <v>1.899818736924881E-4</v>
      </c>
      <c r="Z151" s="285">
        <f t="shared" si="15"/>
        <v>43185</v>
      </c>
      <c r="AA151" s="312">
        <f t="shared" si="16"/>
        <v>0.44930957581227915</v>
      </c>
      <c r="AB151" s="312">
        <f t="shared" si="17"/>
        <v>0.28945962578492435</v>
      </c>
    </row>
    <row r="152" spans="1:28" ht="17.45" customHeight="1">
      <c r="A152" s="285">
        <v>43192</v>
      </c>
      <c r="B152" s="325">
        <v>76.470000999999996</v>
      </c>
      <c r="C152" s="325">
        <v>77.720000999999996</v>
      </c>
      <c r="D152" s="325">
        <v>74.419998000000007</v>
      </c>
      <c r="E152" s="325">
        <v>74.910004000000001</v>
      </c>
      <c r="F152" s="366">
        <f t="shared" ref="F152:F215" si="23">+E152/E151-1</f>
        <v>-1.770256969046502E-2</v>
      </c>
      <c r="G152" s="366">
        <f t="shared" si="18"/>
        <v>0.43160700612181413</v>
      </c>
      <c r="I152">
        <v>2633.4499510000001</v>
      </c>
      <c r="J152">
        <v>2672.080078</v>
      </c>
      <c r="K152">
        <v>2553.8000489999999</v>
      </c>
      <c r="L152">
        <v>2604.469971</v>
      </c>
      <c r="M152" s="366">
        <f t="shared" ref="M152:M215" si="24">+L152/L151-1</f>
        <v>-1.3783391226127484E-2</v>
      </c>
      <c r="N152" s="366">
        <f t="shared" si="19"/>
        <v>0.27567623455879686</v>
      </c>
      <c r="P152" s="285">
        <v>43192</v>
      </c>
      <c r="Q152" s="407">
        <f t="shared" si="20"/>
        <v>74.910004000000001</v>
      </c>
      <c r="R152"/>
      <c r="S152" s="409">
        <f>+F153</f>
        <v>1.3883232471860518E-2</v>
      </c>
      <c r="T152" s="409">
        <f>+M153</f>
        <v>1.9900432171271909E-2</v>
      </c>
      <c r="U152" s="312">
        <f>+S152-$S$285</f>
        <v>1.2057873614577603E-2</v>
      </c>
      <c r="V152" s="312">
        <f>+T152-$T$285</f>
        <v>1.7639605298242784E-2</v>
      </c>
      <c r="W152" s="419">
        <f t="shared" si="21"/>
        <v>2.1269613129724495E-4</v>
      </c>
      <c r="X152" s="419">
        <f t="shared" si="22"/>
        <v>3.96027200603394E-4</v>
      </c>
      <c r="Z152" s="285">
        <f t="shared" ref="Z152:Z215" si="25">+A152</f>
        <v>43192</v>
      </c>
      <c r="AA152" s="312">
        <f t="shared" ref="AA152:AA215" si="26">+G152</f>
        <v>0.43160700612181413</v>
      </c>
      <c r="AB152" s="312">
        <f t="shared" ref="AB152:AB215" si="27">+N152</f>
        <v>0.27567623455879686</v>
      </c>
    </row>
    <row r="153" spans="1:28" ht="17.45" customHeight="1">
      <c r="A153" s="285">
        <v>43199</v>
      </c>
      <c r="B153" s="325">
        <v>75.379997000000003</v>
      </c>
      <c r="C153" s="325">
        <v>77.430000000000007</v>
      </c>
      <c r="D153" s="325">
        <v>73.949996999999996</v>
      </c>
      <c r="E153" s="325">
        <v>75.949996999999996</v>
      </c>
      <c r="F153" s="366">
        <f t="shared" si="23"/>
        <v>1.3883232471860518E-2</v>
      </c>
      <c r="G153" s="366">
        <f t="shared" ref="G153:G216" si="28">+F153+G152</f>
        <v>0.44549023859367465</v>
      </c>
      <c r="I153">
        <v>2617.179932</v>
      </c>
      <c r="J153">
        <v>2680.26001</v>
      </c>
      <c r="K153">
        <v>2610.790039</v>
      </c>
      <c r="L153">
        <v>2656.3000489999999</v>
      </c>
      <c r="M153" s="366">
        <f t="shared" si="24"/>
        <v>1.9900432171271909E-2</v>
      </c>
      <c r="N153" s="366">
        <f t="shared" ref="N153:N216" si="29">+M153+N152</f>
        <v>0.29557666673006877</v>
      </c>
      <c r="P153" s="285">
        <v>43199</v>
      </c>
      <c r="Q153" s="407">
        <f t="shared" si="20"/>
        <v>75.949996999999996</v>
      </c>
      <c r="R153"/>
      <c r="S153" s="409">
        <f>+F154</f>
        <v>3.015142976240015E-2</v>
      </c>
      <c r="T153" s="409">
        <f>+M154</f>
        <v>5.210196041373516E-3</v>
      </c>
      <c r="U153" s="312">
        <f>+S153-$S$285</f>
        <v>2.8326070905117233E-2</v>
      </c>
      <c r="V153" s="312">
        <f>+T153-$T$285</f>
        <v>2.9493691683443899E-3</v>
      </c>
      <c r="W153" s="419">
        <f t="shared" si="21"/>
        <v>8.3544040187889839E-5</v>
      </c>
      <c r="X153" s="419">
        <f t="shared" si="22"/>
        <v>2.7146142789544258E-5</v>
      </c>
      <c r="Z153" s="285">
        <f t="shared" si="25"/>
        <v>43199</v>
      </c>
      <c r="AA153" s="312">
        <f t="shared" si="26"/>
        <v>0.44549023859367465</v>
      </c>
      <c r="AB153" s="312">
        <f t="shared" si="27"/>
        <v>0.29557666673006877</v>
      </c>
    </row>
    <row r="154" spans="1:28" ht="17.45" customHeight="1">
      <c r="A154" s="285">
        <v>43206</v>
      </c>
      <c r="B154" s="325">
        <v>76.459998999999996</v>
      </c>
      <c r="C154" s="325">
        <v>79.449996999999996</v>
      </c>
      <c r="D154" s="325">
        <v>76.459998999999996</v>
      </c>
      <c r="E154" s="325">
        <v>78.239998</v>
      </c>
      <c r="F154" s="366">
        <f t="shared" si="23"/>
        <v>3.015142976240015E-2</v>
      </c>
      <c r="G154" s="366">
        <f t="shared" si="28"/>
        <v>0.4756416683560748</v>
      </c>
      <c r="I154">
        <v>2670.1000979999999</v>
      </c>
      <c r="J154">
        <v>2717.48999</v>
      </c>
      <c r="K154">
        <v>2660.610107</v>
      </c>
      <c r="L154">
        <v>2670.139893</v>
      </c>
      <c r="M154" s="366">
        <f t="shared" si="24"/>
        <v>5.210196041373516E-3</v>
      </c>
      <c r="N154" s="366">
        <f t="shared" si="29"/>
        <v>0.30078686277144229</v>
      </c>
      <c r="P154" s="285">
        <v>43206</v>
      </c>
      <c r="Q154" s="407">
        <f t="shared" si="20"/>
        <v>78.239998</v>
      </c>
      <c r="R154"/>
      <c r="S154" s="409">
        <f>+F155</f>
        <v>-1.4953962549947963E-2</v>
      </c>
      <c r="T154" s="409">
        <f>+M155</f>
        <v>-8.6130693228048116E-5</v>
      </c>
      <c r="U154" s="312">
        <f>+S154-$S$285</f>
        <v>-1.6779321407230881E-2</v>
      </c>
      <c r="V154" s="312">
        <f>+T154-$T$285</f>
        <v>-2.3469575662571742E-3</v>
      </c>
      <c r="W154" s="419">
        <f t="shared" si="21"/>
        <v>3.9380355333361489E-5</v>
      </c>
      <c r="X154" s="419">
        <f t="shared" si="22"/>
        <v>7.4184963159441338E-9</v>
      </c>
      <c r="Z154" s="285">
        <f t="shared" si="25"/>
        <v>43206</v>
      </c>
      <c r="AA154" s="312">
        <f t="shared" si="26"/>
        <v>0.4756416683560748</v>
      </c>
      <c r="AB154" s="312">
        <f t="shared" si="27"/>
        <v>0.30078686277144229</v>
      </c>
    </row>
    <row r="155" spans="1:28" ht="17.45" customHeight="1">
      <c r="A155" s="285">
        <v>43213</v>
      </c>
      <c r="B155" s="325">
        <v>78.169998000000007</v>
      </c>
      <c r="C155" s="325">
        <v>78.779999000000004</v>
      </c>
      <c r="D155" s="325">
        <v>76.580001999999993</v>
      </c>
      <c r="E155" s="325">
        <v>77.069999999999993</v>
      </c>
      <c r="F155" s="366">
        <f t="shared" si="23"/>
        <v>-1.4953962549947963E-2</v>
      </c>
      <c r="G155" s="366">
        <f t="shared" si="28"/>
        <v>0.46068770580612683</v>
      </c>
      <c r="I155">
        <v>2675.3999020000001</v>
      </c>
      <c r="J155">
        <v>2683.5500489999999</v>
      </c>
      <c r="K155">
        <v>2612.669922</v>
      </c>
      <c r="L155">
        <v>2669.9099120000001</v>
      </c>
      <c r="M155" s="366">
        <f t="shared" si="24"/>
        <v>-8.6130693228048116E-5</v>
      </c>
      <c r="N155" s="366">
        <f t="shared" si="29"/>
        <v>0.30070073207821424</v>
      </c>
      <c r="P155" s="285">
        <v>43213</v>
      </c>
      <c r="Q155" s="407">
        <f t="shared" si="20"/>
        <v>77.069999999999993</v>
      </c>
      <c r="R155"/>
      <c r="S155" s="409">
        <f>+F156</f>
        <v>1.803553912028022E-2</v>
      </c>
      <c r="T155" s="409">
        <f>+M156</f>
        <v>-2.4307898820220553E-3</v>
      </c>
      <c r="U155" s="312">
        <f>+S155-$S$285</f>
        <v>1.6210180262997302E-2</v>
      </c>
      <c r="V155" s="312">
        <f>+T155-$T$285</f>
        <v>-4.6916167550511813E-3</v>
      </c>
      <c r="W155" s="419">
        <f t="shared" si="21"/>
        <v>-7.6051953324278101E-5</v>
      </c>
      <c r="X155" s="419">
        <f t="shared" si="22"/>
        <v>5.9087394505407971E-6</v>
      </c>
      <c r="Z155" s="285">
        <f t="shared" si="25"/>
        <v>43213</v>
      </c>
      <c r="AA155" s="312">
        <f t="shared" si="26"/>
        <v>0.46068770580612683</v>
      </c>
      <c r="AB155" s="312">
        <f t="shared" si="27"/>
        <v>0.30070073207821424</v>
      </c>
    </row>
    <row r="156" spans="1:28" ht="17.45" customHeight="1">
      <c r="A156" s="285">
        <v>43220</v>
      </c>
      <c r="B156" s="325">
        <v>77.330001999999993</v>
      </c>
      <c r="C156" s="325">
        <v>79.430000000000007</v>
      </c>
      <c r="D156" s="325">
        <v>75.349997999999999</v>
      </c>
      <c r="E156" s="325">
        <v>78.459998999999996</v>
      </c>
      <c r="F156" s="366">
        <f t="shared" si="23"/>
        <v>1.803553912028022E-2</v>
      </c>
      <c r="G156" s="366">
        <f t="shared" si="28"/>
        <v>0.47872324492640705</v>
      </c>
      <c r="I156">
        <v>2682.51001</v>
      </c>
      <c r="J156">
        <v>2682.8701169999999</v>
      </c>
      <c r="K156">
        <v>2594.6201169999999</v>
      </c>
      <c r="L156">
        <v>2663.419922</v>
      </c>
      <c r="M156" s="366">
        <f t="shared" si="24"/>
        <v>-2.4307898820220553E-3</v>
      </c>
      <c r="N156" s="366">
        <f t="shared" si="29"/>
        <v>0.29826994219619218</v>
      </c>
      <c r="P156" s="285">
        <v>43220</v>
      </c>
      <c r="Q156" s="407">
        <f t="shared" si="20"/>
        <v>78.459998999999996</v>
      </c>
      <c r="R156"/>
      <c r="S156" s="409">
        <f>+F157</f>
        <v>4.0020380321442506E-2</v>
      </c>
      <c r="T156" s="409">
        <f>+M157</f>
        <v>2.4141911858839071E-2</v>
      </c>
      <c r="U156" s="312">
        <f>+S156-$S$285</f>
        <v>3.8195021464159588E-2</v>
      </c>
      <c r="V156" s="312">
        <f>+T156-$T$285</f>
        <v>2.1881084985809946E-2</v>
      </c>
      <c r="W156" s="419">
        <f t="shared" si="21"/>
        <v>8.3574851069211098E-4</v>
      </c>
      <c r="X156" s="419">
        <f t="shared" si="22"/>
        <v>5.828319081999546E-4</v>
      </c>
      <c r="Z156" s="285">
        <f t="shared" si="25"/>
        <v>43220</v>
      </c>
      <c r="AA156" s="312">
        <f t="shared" si="26"/>
        <v>0.47872324492640705</v>
      </c>
      <c r="AB156" s="312">
        <f t="shared" si="27"/>
        <v>0.29826994219619218</v>
      </c>
    </row>
    <row r="157" spans="1:28" ht="17.45" customHeight="1">
      <c r="A157" s="285">
        <v>43227</v>
      </c>
      <c r="B157" s="325">
        <v>78.389999000000003</v>
      </c>
      <c r="C157" s="325">
        <v>82</v>
      </c>
      <c r="D157" s="325">
        <v>77.860000999999997</v>
      </c>
      <c r="E157" s="325">
        <v>81.599997999999999</v>
      </c>
      <c r="F157" s="366">
        <f t="shared" si="23"/>
        <v>4.0020380321442506E-2</v>
      </c>
      <c r="G157" s="366">
        <f t="shared" si="28"/>
        <v>0.51874362524784956</v>
      </c>
      <c r="I157">
        <v>2680.3400879999999</v>
      </c>
      <c r="J157">
        <v>2732.860107</v>
      </c>
      <c r="K157">
        <v>2655.1999510000001</v>
      </c>
      <c r="L157">
        <v>2727.719971</v>
      </c>
      <c r="M157" s="366">
        <f t="shared" si="24"/>
        <v>2.4141911858839071E-2</v>
      </c>
      <c r="N157" s="366">
        <f t="shared" si="29"/>
        <v>0.32241185405503126</v>
      </c>
      <c r="P157" s="285">
        <v>43227</v>
      </c>
      <c r="Q157" s="407">
        <f t="shared" si="20"/>
        <v>81.599997999999999</v>
      </c>
      <c r="R157"/>
      <c r="S157" s="409">
        <f>+F158</f>
        <v>-5.0244609074622248E-3</v>
      </c>
      <c r="T157" s="409">
        <f>+M158</f>
        <v>-5.4074465695951313E-3</v>
      </c>
      <c r="U157" s="312">
        <f>+S157-$S$285</f>
        <v>-6.8498197647451405E-3</v>
      </c>
      <c r="V157" s="312">
        <f>+T157-$T$285</f>
        <v>-7.6682734426242573E-3</v>
      </c>
      <c r="W157" s="419">
        <f t="shared" si="21"/>
        <v>5.2526290988757902E-5</v>
      </c>
      <c r="X157" s="419">
        <f t="shared" si="22"/>
        <v>2.9240478403026152E-5</v>
      </c>
      <c r="Z157" s="285">
        <f t="shared" si="25"/>
        <v>43227</v>
      </c>
      <c r="AA157" s="312">
        <f t="shared" si="26"/>
        <v>0.51874362524784956</v>
      </c>
      <c r="AB157" s="312">
        <f t="shared" si="27"/>
        <v>0.32241185405503126</v>
      </c>
    </row>
    <row r="158" spans="1:28" ht="17.45" customHeight="1">
      <c r="A158" s="285">
        <v>43234</v>
      </c>
      <c r="B158" s="325">
        <v>81.839995999999999</v>
      </c>
      <c r="C158" s="325">
        <v>82.120002999999997</v>
      </c>
      <c r="D158" s="325">
        <v>79.660004000000001</v>
      </c>
      <c r="E158" s="325">
        <v>81.190002000000007</v>
      </c>
      <c r="F158" s="366">
        <f t="shared" si="23"/>
        <v>-5.0244609074622248E-3</v>
      </c>
      <c r="G158" s="366">
        <f t="shared" si="28"/>
        <v>0.51371916434038734</v>
      </c>
      <c r="I158">
        <v>2738.469971</v>
      </c>
      <c r="J158">
        <v>2742.1000979999999</v>
      </c>
      <c r="K158">
        <v>2701.9099120000001</v>
      </c>
      <c r="L158">
        <v>2712.969971</v>
      </c>
      <c r="M158" s="366">
        <f t="shared" si="24"/>
        <v>-5.4074465695951313E-3</v>
      </c>
      <c r="N158" s="366">
        <f t="shared" si="29"/>
        <v>0.31700440748543612</v>
      </c>
      <c r="P158" s="285">
        <v>43234</v>
      </c>
      <c r="Q158" s="407">
        <f t="shared" si="20"/>
        <v>81.190002000000007</v>
      </c>
      <c r="R158"/>
      <c r="S158" s="409">
        <f>+F159</f>
        <v>-4.064552184639858E-3</v>
      </c>
      <c r="T158" s="409">
        <f>+M159</f>
        <v>3.0815331866420603E-3</v>
      </c>
      <c r="U158" s="312">
        <f>+S158-$S$285</f>
        <v>-5.8899110419227737E-3</v>
      </c>
      <c r="V158" s="312">
        <f>+T158-$T$285</f>
        <v>8.2070631361293427E-4</v>
      </c>
      <c r="W158" s="419">
        <f t="shared" si="21"/>
        <v>-4.8338871787245565E-6</v>
      </c>
      <c r="X158" s="419">
        <f t="shared" si="22"/>
        <v>9.4958467803763711E-6</v>
      </c>
      <c r="Z158" s="285">
        <f t="shared" si="25"/>
        <v>43234</v>
      </c>
      <c r="AA158" s="312">
        <f t="shared" si="26"/>
        <v>0.51371916434038734</v>
      </c>
      <c r="AB158" s="312">
        <f t="shared" si="27"/>
        <v>0.31700440748543612</v>
      </c>
    </row>
    <row r="159" spans="1:28" ht="17.45" customHeight="1">
      <c r="A159" s="285">
        <v>43241</v>
      </c>
      <c r="B159" s="325">
        <v>81.5</v>
      </c>
      <c r="C159" s="325">
        <v>82.120002999999997</v>
      </c>
      <c r="D159" s="325">
        <v>80.120002999999997</v>
      </c>
      <c r="E159" s="325">
        <v>80.860000999999997</v>
      </c>
      <c r="F159" s="366">
        <f t="shared" si="23"/>
        <v>-4.064552184639858E-3</v>
      </c>
      <c r="G159" s="366">
        <f t="shared" si="28"/>
        <v>0.50965461215574748</v>
      </c>
      <c r="I159">
        <v>2735.389893</v>
      </c>
      <c r="J159">
        <v>2742.23999</v>
      </c>
      <c r="K159">
        <v>2707.3798830000001</v>
      </c>
      <c r="L159">
        <v>2721.330078</v>
      </c>
      <c r="M159" s="366">
        <f t="shared" si="24"/>
        <v>3.0815331866420603E-3</v>
      </c>
      <c r="N159" s="366">
        <f t="shared" si="29"/>
        <v>0.32008594067207818</v>
      </c>
      <c r="P159" s="285">
        <v>43241</v>
      </c>
      <c r="Q159" s="407">
        <f t="shared" si="20"/>
        <v>80.860000999999997</v>
      </c>
      <c r="R159"/>
      <c r="S159" s="409">
        <f>+F160</f>
        <v>4.1058606961926758E-2</v>
      </c>
      <c r="T159" s="409">
        <f>+M160</f>
        <v>4.883655645979923E-3</v>
      </c>
      <c r="U159" s="312">
        <f>+S159-$S$285</f>
        <v>3.9233248104643841E-2</v>
      </c>
      <c r="V159" s="312">
        <f>+T159-$T$285</f>
        <v>2.6228287729507969E-3</v>
      </c>
      <c r="W159" s="419">
        <f t="shared" si="21"/>
        <v>1.0290209198517718E-4</v>
      </c>
      <c r="X159" s="419">
        <f t="shared" si="22"/>
        <v>2.3850092468511577E-5</v>
      </c>
      <c r="Z159" s="285">
        <f t="shared" si="25"/>
        <v>43241</v>
      </c>
      <c r="AA159" s="312">
        <f t="shared" si="26"/>
        <v>0.50965461215574748</v>
      </c>
      <c r="AB159" s="312">
        <f t="shared" si="27"/>
        <v>0.32008594067207818</v>
      </c>
    </row>
    <row r="160" spans="1:28" ht="17.45" customHeight="1">
      <c r="A160" s="285">
        <v>43248</v>
      </c>
      <c r="B160" s="325">
        <v>80.190002000000007</v>
      </c>
      <c r="C160" s="325">
        <v>84.660004000000001</v>
      </c>
      <c r="D160" s="325">
        <v>79.650002000000001</v>
      </c>
      <c r="E160" s="325">
        <v>84.18</v>
      </c>
      <c r="F160" s="366">
        <f t="shared" si="23"/>
        <v>4.1058606961926758E-2</v>
      </c>
      <c r="G160" s="366">
        <f t="shared" si="28"/>
        <v>0.55071321911767424</v>
      </c>
      <c r="I160">
        <v>2705.110107</v>
      </c>
      <c r="J160">
        <v>2736.929932</v>
      </c>
      <c r="K160">
        <v>2676.8100589999999</v>
      </c>
      <c r="L160">
        <v>2734.6201169999999</v>
      </c>
      <c r="M160" s="366">
        <f t="shared" si="24"/>
        <v>4.883655645979923E-3</v>
      </c>
      <c r="N160" s="366">
        <f t="shared" si="29"/>
        <v>0.32496959631805811</v>
      </c>
      <c r="P160" s="285">
        <v>43248</v>
      </c>
      <c r="Q160" s="407">
        <f t="shared" si="20"/>
        <v>84.18</v>
      </c>
      <c r="R160"/>
      <c r="S160" s="409">
        <f>+F161</f>
        <v>-1.8412960323117122E-2</v>
      </c>
      <c r="T160" s="409">
        <f>+M161</f>
        <v>1.6239883457275228E-2</v>
      </c>
      <c r="U160" s="312">
        <f>+S160-$S$285</f>
        <v>-2.023831918040004E-2</v>
      </c>
      <c r="V160" s="312">
        <f>+T160-$T$285</f>
        <v>1.3979056584246103E-2</v>
      </c>
      <c r="W160" s="419">
        <f t="shared" si="21"/>
        <v>-2.8291260899284537E-4</v>
      </c>
      <c r="X160" s="419">
        <f t="shared" si="22"/>
        <v>2.6373381470588163E-4</v>
      </c>
      <c r="Z160" s="285">
        <f t="shared" si="25"/>
        <v>43248</v>
      </c>
      <c r="AA160" s="312">
        <f t="shared" si="26"/>
        <v>0.55071321911767424</v>
      </c>
      <c r="AB160" s="312">
        <f t="shared" si="27"/>
        <v>0.32496959631805811</v>
      </c>
    </row>
    <row r="161" spans="1:28" ht="17.45" customHeight="1">
      <c r="A161" s="285">
        <v>43255</v>
      </c>
      <c r="B161" s="325">
        <v>84.5</v>
      </c>
      <c r="C161" s="325">
        <v>84.889999000000003</v>
      </c>
      <c r="D161" s="325">
        <v>82.190002000000007</v>
      </c>
      <c r="E161" s="325">
        <v>82.629997000000003</v>
      </c>
      <c r="F161" s="366">
        <f t="shared" si="23"/>
        <v>-1.8412960323117122E-2</v>
      </c>
      <c r="G161" s="366">
        <f t="shared" si="28"/>
        <v>0.53230025879455711</v>
      </c>
      <c r="I161">
        <v>2741.669922</v>
      </c>
      <c r="J161">
        <v>2779.8999020000001</v>
      </c>
      <c r="K161">
        <v>2739.51001</v>
      </c>
      <c r="L161">
        <v>2779.030029</v>
      </c>
      <c r="M161" s="366">
        <f t="shared" si="24"/>
        <v>1.6239883457275228E-2</v>
      </c>
      <c r="N161" s="366">
        <f t="shared" si="29"/>
        <v>0.34120947977533334</v>
      </c>
      <c r="P161" s="285">
        <v>43255</v>
      </c>
      <c r="Q161" s="407">
        <f t="shared" si="20"/>
        <v>82.629997000000003</v>
      </c>
      <c r="R161"/>
      <c r="S161" s="409">
        <f>+F162</f>
        <v>1.2828331580358121E-2</v>
      </c>
      <c r="T161" s="409">
        <f>+M162</f>
        <v>2.2665570124358325E-4</v>
      </c>
      <c r="U161" s="312">
        <f>+S161-$S$285</f>
        <v>1.1002972723075205E-2</v>
      </c>
      <c r="V161" s="312">
        <f>+T161-$T$285</f>
        <v>-2.0341711717855428E-3</v>
      </c>
      <c r="W161" s="419">
        <f t="shared" si="21"/>
        <v>-2.2381929917222254E-5</v>
      </c>
      <c r="X161" s="419">
        <f t="shared" si="22"/>
        <v>5.1372806906220464E-8</v>
      </c>
      <c r="Z161" s="285">
        <f t="shared" si="25"/>
        <v>43255</v>
      </c>
      <c r="AA161" s="312">
        <f t="shared" si="26"/>
        <v>0.53230025879455711</v>
      </c>
      <c r="AB161" s="312">
        <f t="shared" si="27"/>
        <v>0.34120947977533334</v>
      </c>
    </row>
    <row r="162" spans="1:28" ht="17.45" customHeight="1">
      <c r="A162" s="285">
        <v>43262</v>
      </c>
      <c r="B162" s="325">
        <v>82.75</v>
      </c>
      <c r="C162" s="325">
        <v>84.370002999999997</v>
      </c>
      <c r="D162" s="325">
        <v>82.300003000000004</v>
      </c>
      <c r="E162" s="325">
        <v>83.690002000000007</v>
      </c>
      <c r="F162" s="366">
        <f t="shared" si="23"/>
        <v>1.2828331580358121E-2</v>
      </c>
      <c r="G162" s="366">
        <f t="shared" si="28"/>
        <v>0.54512859037491523</v>
      </c>
      <c r="I162">
        <v>2780.179932</v>
      </c>
      <c r="J162">
        <v>2791.469971</v>
      </c>
      <c r="K162">
        <v>2761.7299800000001</v>
      </c>
      <c r="L162">
        <v>2779.6599120000001</v>
      </c>
      <c r="M162" s="366">
        <f t="shared" si="24"/>
        <v>2.2665570124358325E-4</v>
      </c>
      <c r="N162" s="366">
        <f t="shared" si="29"/>
        <v>0.34143613547657692</v>
      </c>
      <c r="P162" s="285">
        <v>43262</v>
      </c>
      <c r="Q162" s="407">
        <f t="shared" si="20"/>
        <v>83.690002000000007</v>
      </c>
      <c r="R162"/>
      <c r="S162" s="409">
        <f>+F163</f>
        <v>-5.2933443591027807E-2</v>
      </c>
      <c r="T162" s="409">
        <f>+M163</f>
        <v>-8.9147700742175928E-3</v>
      </c>
      <c r="U162" s="312">
        <f>+S162-$S$285</f>
        <v>-5.4758802448310724E-2</v>
      </c>
      <c r="V162" s="312">
        <f>+T162-$T$285</f>
        <v>-1.1175596947246718E-2</v>
      </c>
      <c r="W162" s="419">
        <f t="shared" si="21"/>
        <v>6.119623054762274E-4</v>
      </c>
      <c r="X162" s="419">
        <f t="shared" si="22"/>
        <v>7.9473125476165539E-5</v>
      </c>
      <c r="Z162" s="285">
        <f t="shared" si="25"/>
        <v>43262</v>
      </c>
      <c r="AA162" s="312">
        <f t="shared" si="26"/>
        <v>0.54512859037491523</v>
      </c>
      <c r="AB162" s="312">
        <f t="shared" si="27"/>
        <v>0.34143613547657692</v>
      </c>
    </row>
    <row r="163" spans="1:28" ht="17.45" customHeight="1">
      <c r="A163" s="285">
        <v>43269</v>
      </c>
      <c r="B163" s="325">
        <v>82.93</v>
      </c>
      <c r="C163" s="325">
        <v>83.980002999999996</v>
      </c>
      <c r="D163" s="325">
        <v>78.989998</v>
      </c>
      <c r="E163" s="325">
        <v>79.260002</v>
      </c>
      <c r="F163" s="366">
        <f t="shared" si="23"/>
        <v>-5.2933443591027807E-2</v>
      </c>
      <c r="G163" s="366">
        <f t="shared" si="28"/>
        <v>0.49219514678388743</v>
      </c>
      <c r="I163">
        <v>2765.790039</v>
      </c>
      <c r="J163">
        <v>2774.98999</v>
      </c>
      <c r="K163">
        <v>2743.1899410000001</v>
      </c>
      <c r="L163">
        <v>2754.8798830000001</v>
      </c>
      <c r="M163" s="366">
        <f t="shared" si="24"/>
        <v>-8.9147700742175928E-3</v>
      </c>
      <c r="N163" s="366">
        <f t="shared" si="29"/>
        <v>0.33252136540235933</v>
      </c>
      <c r="P163" s="285">
        <v>43269</v>
      </c>
      <c r="Q163" s="407">
        <f t="shared" si="20"/>
        <v>79.260002</v>
      </c>
      <c r="R163"/>
      <c r="S163" s="409">
        <f>+F164</f>
        <v>-2.6621245858661435E-2</v>
      </c>
      <c r="T163" s="409">
        <f>+M164</f>
        <v>-1.3252761481651887E-2</v>
      </c>
      <c r="U163" s="312">
        <f>+S163-$S$285</f>
        <v>-2.8446604715944353E-2</v>
      </c>
      <c r="V163" s="312">
        <f>+T163-$T$285</f>
        <v>-1.5513588354681012E-2</v>
      </c>
      <c r="W163" s="419">
        <f t="shared" si="21"/>
        <v>4.4130891565148829E-4</v>
      </c>
      <c r="X163" s="419">
        <f t="shared" si="22"/>
        <v>1.7563568688955592E-4</v>
      </c>
      <c r="Z163" s="285">
        <f t="shared" si="25"/>
        <v>43269</v>
      </c>
      <c r="AA163" s="312">
        <f t="shared" si="26"/>
        <v>0.49219514678388743</v>
      </c>
      <c r="AB163" s="312">
        <f t="shared" si="27"/>
        <v>0.33252136540235933</v>
      </c>
    </row>
    <row r="164" spans="1:28" ht="17.45" customHeight="1">
      <c r="A164" s="285">
        <v>43276</v>
      </c>
      <c r="B164" s="325">
        <v>78.569999999999993</v>
      </c>
      <c r="C164" s="325">
        <v>79.029999000000004</v>
      </c>
      <c r="D164" s="325">
        <v>75.430000000000007</v>
      </c>
      <c r="E164" s="325">
        <v>77.150002000000001</v>
      </c>
      <c r="F164" s="366">
        <f t="shared" si="23"/>
        <v>-2.6621245858661435E-2</v>
      </c>
      <c r="G164" s="366">
        <f t="shared" si="28"/>
        <v>0.46557390092522599</v>
      </c>
      <c r="I164">
        <v>2742.9399410000001</v>
      </c>
      <c r="J164">
        <v>2746.0900879999999</v>
      </c>
      <c r="K164">
        <v>2691.98999</v>
      </c>
      <c r="L164">
        <v>2718.3701169999999</v>
      </c>
      <c r="M164" s="366">
        <f t="shared" si="24"/>
        <v>-1.3252761481651887E-2</v>
      </c>
      <c r="N164" s="366">
        <f t="shared" si="29"/>
        <v>0.31926860392070744</v>
      </c>
      <c r="P164" s="285">
        <v>43276</v>
      </c>
      <c r="Q164" s="407">
        <f t="shared" si="20"/>
        <v>77.150002000000001</v>
      </c>
      <c r="R164"/>
      <c r="S164" s="409">
        <f>+F165</f>
        <v>3.8237147420942419E-2</v>
      </c>
      <c r="T164" s="409">
        <f>+M165</f>
        <v>1.5248089559542599E-2</v>
      </c>
      <c r="U164" s="312">
        <f>+S164-$S$285</f>
        <v>3.6411788563659502E-2</v>
      </c>
      <c r="V164" s="312">
        <f>+T164-$T$285</f>
        <v>1.2987262686513474E-2</v>
      </c>
      <c r="W164" s="419">
        <f t="shared" si="21"/>
        <v>4.7288946296203307E-4</v>
      </c>
      <c r="X164" s="419">
        <f t="shared" si="22"/>
        <v>2.3250423521583202E-4</v>
      </c>
      <c r="Z164" s="285">
        <f t="shared" si="25"/>
        <v>43276</v>
      </c>
      <c r="AA164" s="312">
        <f t="shared" si="26"/>
        <v>0.46557390092522599</v>
      </c>
      <c r="AB164" s="312">
        <f t="shared" si="27"/>
        <v>0.31926860392070744</v>
      </c>
    </row>
    <row r="165" spans="1:28" ht="17.45" customHeight="1">
      <c r="A165" s="285">
        <v>43283</v>
      </c>
      <c r="B165" s="325">
        <v>76.419998000000007</v>
      </c>
      <c r="C165" s="325">
        <v>80.779999000000004</v>
      </c>
      <c r="D165" s="325">
        <v>76.129997000000003</v>
      </c>
      <c r="E165" s="325">
        <v>80.099997999999999</v>
      </c>
      <c r="F165" s="366">
        <f t="shared" si="23"/>
        <v>3.8237147420942419E-2</v>
      </c>
      <c r="G165" s="366">
        <f t="shared" si="28"/>
        <v>0.50381104834616841</v>
      </c>
      <c r="I165">
        <v>2704.9499510000001</v>
      </c>
      <c r="J165">
        <v>2764.4099120000001</v>
      </c>
      <c r="K165">
        <v>2698.9499510000001</v>
      </c>
      <c r="L165">
        <v>2759.820068</v>
      </c>
      <c r="M165" s="366">
        <f t="shared" si="24"/>
        <v>1.5248089559542599E-2</v>
      </c>
      <c r="N165" s="366">
        <f t="shared" si="29"/>
        <v>0.33451669348025004</v>
      </c>
      <c r="P165" s="285">
        <v>43283</v>
      </c>
      <c r="Q165" s="407">
        <f t="shared" si="20"/>
        <v>80.099997999999999</v>
      </c>
      <c r="R165"/>
      <c r="S165" s="409">
        <f>+F166</f>
        <v>1.3982559650001392E-2</v>
      </c>
      <c r="T165" s="409">
        <f>+M166</f>
        <v>1.5033585515619174E-2</v>
      </c>
      <c r="U165" s="312">
        <f>+S165-$S$285</f>
        <v>1.2157200792718476E-2</v>
      </c>
      <c r="V165" s="312">
        <f>+T165-$T$285</f>
        <v>1.2772758642590049E-2</v>
      </c>
      <c r="W165" s="419">
        <f t="shared" si="21"/>
        <v>1.5528099149489751E-4</v>
      </c>
      <c r="X165" s="419">
        <f t="shared" si="22"/>
        <v>2.2600869345543463E-4</v>
      </c>
      <c r="Z165" s="285">
        <f t="shared" si="25"/>
        <v>43283</v>
      </c>
      <c r="AA165" s="312">
        <f t="shared" si="26"/>
        <v>0.50381104834616841</v>
      </c>
      <c r="AB165" s="312">
        <f t="shared" si="27"/>
        <v>0.33451669348025004</v>
      </c>
    </row>
    <row r="166" spans="1:28" ht="17.45" customHeight="1">
      <c r="A166" s="285">
        <v>43290</v>
      </c>
      <c r="B166" s="325">
        <v>80.540001000000004</v>
      </c>
      <c r="C166" s="325">
        <v>81.339995999999999</v>
      </c>
      <c r="D166" s="325">
        <v>78.910004000000001</v>
      </c>
      <c r="E166" s="325">
        <v>81.220000999999996</v>
      </c>
      <c r="F166" s="366">
        <f t="shared" si="23"/>
        <v>1.3982559650001392E-2</v>
      </c>
      <c r="G166" s="366">
        <f t="shared" si="28"/>
        <v>0.5177936079961698</v>
      </c>
      <c r="I166">
        <v>2775.6201169999999</v>
      </c>
      <c r="J166">
        <v>2804.530029</v>
      </c>
      <c r="K166">
        <v>2770.7299800000001</v>
      </c>
      <c r="L166">
        <v>2801.3100589999999</v>
      </c>
      <c r="M166" s="366">
        <f t="shared" si="24"/>
        <v>1.5033585515619174E-2</v>
      </c>
      <c r="N166" s="366">
        <f t="shared" si="29"/>
        <v>0.34955027899586921</v>
      </c>
      <c r="P166" s="285">
        <v>43290</v>
      </c>
      <c r="Q166" s="407">
        <f t="shared" si="20"/>
        <v>81.220000999999996</v>
      </c>
      <c r="R166"/>
      <c r="S166" s="409">
        <f>+F167</f>
        <v>1.3297241894887568E-2</v>
      </c>
      <c r="T166" s="409">
        <f>+M167</f>
        <v>1.8563421722261886E-4</v>
      </c>
      <c r="U166" s="312">
        <f>+S166-$S$285</f>
        <v>1.1471883037604652E-2</v>
      </c>
      <c r="V166" s="312">
        <f>+T166-$T$285</f>
        <v>-2.0751926558065072E-3</v>
      </c>
      <c r="W166" s="419">
        <f t="shared" si="21"/>
        <v>-2.380636742790842E-5</v>
      </c>
      <c r="X166" s="419">
        <f t="shared" si="22"/>
        <v>3.4460062603854446E-8</v>
      </c>
      <c r="Z166" s="285">
        <f t="shared" si="25"/>
        <v>43290</v>
      </c>
      <c r="AA166" s="312">
        <f t="shared" si="26"/>
        <v>0.5177936079961698</v>
      </c>
      <c r="AB166" s="312">
        <f t="shared" si="27"/>
        <v>0.34955027899586921</v>
      </c>
    </row>
    <row r="167" spans="1:28" ht="17.45" customHeight="1">
      <c r="A167" s="285">
        <v>43297</v>
      </c>
      <c r="B167" s="325">
        <v>81.440002000000007</v>
      </c>
      <c r="C167" s="325">
        <v>83.279999000000004</v>
      </c>
      <c r="D167" s="325">
        <v>80.319999999999993</v>
      </c>
      <c r="E167" s="325">
        <v>82.300003000000004</v>
      </c>
      <c r="F167" s="366">
        <f t="shared" si="23"/>
        <v>1.3297241894887568E-2</v>
      </c>
      <c r="G167" s="366">
        <f t="shared" si="28"/>
        <v>0.53109084989105737</v>
      </c>
      <c r="I167">
        <v>2797.360107</v>
      </c>
      <c r="J167">
        <v>2816.76001</v>
      </c>
      <c r="K167">
        <v>2789.23999</v>
      </c>
      <c r="L167">
        <v>2801.830078</v>
      </c>
      <c r="M167" s="366">
        <f t="shared" si="24"/>
        <v>1.8563421722261886E-4</v>
      </c>
      <c r="N167" s="366">
        <f t="shared" si="29"/>
        <v>0.34973591321309183</v>
      </c>
      <c r="P167" s="285">
        <v>43297</v>
      </c>
      <c r="Q167" s="407">
        <f t="shared" si="20"/>
        <v>82.300003000000004</v>
      </c>
      <c r="R167"/>
      <c r="S167" s="409">
        <f>+F168</f>
        <v>-4.6901590027888518E-2</v>
      </c>
      <c r="T167" s="409">
        <f>+M168</f>
        <v>6.0638902171139542E-3</v>
      </c>
      <c r="U167" s="312">
        <f>+S167-$S$285</f>
        <v>-4.8726948885171435E-2</v>
      </c>
      <c r="V167" s="312">
        <f>+T167-$T$285</f>
        <v>3.8030633440848281E-3</v>
      </c>
      <c r="W167" s="419">
        <f t="shared" si="21"/>
        <v>-1.8531167317429058E-4</v>
      </c>
      <c r="X167" s="419">
        <f t="shared" si="22"/>
        <v>3.6770764565210319E-5</v>
      </c>
      <c r="Z167" s="285">
        <f t="shared" si="25"/>
        <v>43297</v>
      </c>
      <c r="AA167" s="312">
        <f t="shared" si="26"/>
        <v>0.53109084989105737</v>
      </c>
      <c r="AB167" s="312">
        <f t="shared" si="27"/>
        <v>0.34973591321309183</v>
      </c>
    </row>
    <row r="168" spans="1:28" ht="17.45" customHeight="1">
      <c r="A168" s="285">
        <v>43304</v>
      </c>
      <c r="B168" s="325">
        <v>82.330001999999993</v>
      </c>
      <c r="C168" s="325">
        <v>82.330001999999993</v>
      </c>
      <c r="D168" s="325">
        <v>78.400002000000001</v>
      </c>
      <c r="E168" s="325">
        <v>78.440002000000007</v>
      </c>
      <c r="F168" s="366">
        <f t="shared" si="23"/>
        <v>-4.6901590027888518E-2</v>
      </c>
      <c r="G168" s="366">
        <f t="shared" si="28"/>
        <v>0.48418925986316885</v>
      </c>
      <c r="I168">
        <v>2799.169922</v>
      </c>
      <c r="J168">
        <v>2848.030029</v>
      </c>
      <c r="K168">
        <v>2795.139893</v>
      </c>
      <c r="L168">
        <v>2818.820068</v>
      </c>
      <c r="M168" s="366">
        <f t="shared" si="24"/>
        <v>6.0638902171139542E-3</v>
      </c>
      <c r="N168" s="366">
        <f t="shared" si="29"/>
        <v>0.35579980343020579</v>
      </c>
      <c r="P168" s="285">
        <v>43304</v>
      </c>
      <c r="Q168" s="407">
        <f t="shared" si="20"/>
        <v>78.440002000000007</v>
      </c>
      <c r="R168"/>
      <c r="S168" s="409">
        <f>+F169</f>
        <v>-1.2749362245044749E-3</v>
      </c>
      <c r="T168" s="409">
        <f>+M169</f>
        <v>7.6379582522541067E-3</v>
      </c>
      <c r="U168" s="312">
        <f>+S168-$S$285</f>
        <v>-3.100295081787391E-3</v>
      </c>
      <c r="V168" s="312">
        <f>+T168-$T$285</f>
        <v>5.3771313792249807E-3</v>
      </c>
      <c r="W168" s="419">
        <f t="shared" si="21"/>
        <v>-1.6670693969135857E-5</v>
      </c>
      <c r="X168" s="419">
        <f t="shared" si="22"/>
        <v>5.8338406263176606E-5</v>
      </c>
      <c r="Z168" s="285">
        <f t="shared" si="25"/>
        <v>43304</v>
      </c>
      <c r="AA168" s="312">
        <f t="shared" si="26"/>
        <v>0.48418925986316885</v>
      </c>
      <c r="AB168" s="312">
        <f t="shared" si="27"/>
        <v>0.35579980343020579</v>
      </c>
    </row>
    <row r="169" spans="1:28" ht="17.45" customHeight="1">
      <c r="A169" s="285">
        <v>43311</v>
      </c>
      <c r="B169" s="325">
        <v>78.449996999999996</v>
      </c>
      <c r="C169" s="325">
        <v>81.309997999999993</v>
      </c>
      <c r="D169" s="325">
        <v>76.809997999999993</v>
      </c>
      <c r="E169" s="325">
        <v>78.339995999999999</v>
      </c>
      <c r="F169" s="366">
        <f t="shared" si="23"/>
        <v>-1.2749362245044749E-3</v>
      </c>
      <c r="G169" s="366">
        <f t="shared" si="28"/>
        <v>0.48291432363866438</v>
      </c>
      <c r="I169">
        <v>2819</v>
      </c>
      <c r="J169">
        <v>2840.3798830000001</v>
      </c>
      <c r="K169">
        <v>2796.3400879999999</v>
      </c>
      <c r="L169">
        <v>2840.3500979999999</v>
      </c>
      <c r="M169" s="366">
        <f t="shared" si="24"/>
        <v>7.6379582522541067E-3</v>
      </c>
      <c r="N169" s="366">
        <f t="shared" si="29"/>
        <v>0.36343776168245989</v>
      </c>
      <c r="P169" s="285">
        <v>43311</v>
      </c>
      <c r="Q169" s="407">
        <f t="shared" si="20"/>
        <v>78.339995999999999</v>
      </c>
      <c r="R169"/>
      <c r="S169" s="409">
        <f>+F170</f>
        <v>-8.424764280049124E-3</v>
      </c>
      <c r="T169" s="409">
        <f>+M170</f>
        <v>-2.4891540676545976E-3</v>
      </c>
      <c r="U169" s="312">
        <f>+S169-$S$285</f>
        <v>-1.025012313733204E-2</v>
      </c>
      <c r="V169" s="312">
        <f>+T169-$T$285</f>
        <v>-4.7499809406837236E-3</v>
      </c>
      <c r="W169" s="419">
        <f t="shared" si="21"/>
        <v>4.8687889541988439E-5</v>
      </c>
      <c r="X169" s="419">
        <f t="shared" si="22"/>
        <v>6.1958879725214286E-6</v>
      </c>
      <c r="Z169" s="285">
        <f t="shared" si="25"/>
        <v>43311</v>
      </c>
      <c r="AA169" s="312">
        <f t="shared" si="26"/>
        <v>0.48291432363866438</v>
      </c>
      <c r="AB169" s="312">
        <f t="shared" si="27"/>
        <v>0.36343776168245989</v>
      </c>
    </row>
    <row r="170" spans="1:28" ht="17.45" customHeight="1">
      <c r="A170" s="285">
        <v>43318</v>
      </c>
      <c r="B170" s="325">
        <v>78.190002000000007</v>
      </c>
      <c r="C170" s="325">
        <v>79.559997999999993</v>
      </c>
      <c r="D170" s="325">
        <v>77.400002000000001</v>
      </c>
      <c r="E170" s="325">
        <v>77.680000000000007</v>
      </c>
      <c r="F170" s="366">
        <f t="shared" si="23"/>
        <v>-8.424764280049124E-3</v>
      </c>
      <c r="G170" s="366">
        <f t="shared" si="28"/>
        <v>0.47448955935861525</v>
      </c>
      <c r="I170">
        <v>2840.290039</v>
      </c>
      <c r="J170">
        <v>2863.429932</v>
      </c>
      <c r="K170">
        <v>2825.8100589999999</v>
      </c>
      <c r="L170">
        <v>2833.280029</v>
      </c>
      <c r="M170" s="366">
        <f t="shared" si="24"/>
        <v>-2.4891540676545976E-3</v>
      </c>
      <c r="N170" s="366">
        <f t="shared" si="29"/>
        <v>0.36094860761480529</v>
      </c>
      <c r="P170" s="285">
        <v>43318</v>
      </c>
      <c r="Q170" s="407">
        <f t="shared" si="20"/>
        <v>77.680000000000007</v>
      </c>
      <c r="R170"/>
      <c r="S170" s="409">
        <f>+F171</f>
        <v>9.1400489186406197E-3</v>
      </c>
      <c r="T170" s="409">
        <f>+M171</f>
        <v>5.9471191790199107E-3</v>
      </c>
      <c r="U170" s="312">
        <f>+S170-$S$285</f>
        <v>7.3146900613577041E-3</v>
      </c>
      <c r="V170" s="312">
        <f>+T170-$T$285</f>
        <v>3.6862923059907847E-3</v>
      </c>
      <c r="W170" s="419">
        <f t="shared" si="21"/>
        <v>2.6964085693890163E-5</v>
      </c>
      <c r="X170" s="419">
        <f t="shared" si="22"/>
        <v>3.5368226529466454E-5</v>
      </c>
      <c r="Z170" s="285">
        <f t="shared" si="25"/>
        <v>43318</v>
      </c>
      <c r="AA170" s="312">
        <f t="shared" si="26"/>
        <v>0.47448955935861525</v>
      </c>
      <c r="AB170" s="312">
        <f t="shared" si="27"/>
        <v>0.36094860761480529</v>
      </c>
    </row>
    <row r="171" spans="1:28" ht="17.45" customHeight="1">
      <c r="A171" s="285">
        <v>43325</v>
      </c>
      <c r="B171" s="325">
        <v>77.75</v>
      </c>
      <c r="C171" s="325">
        <v>78.650002000000001</v>
      </c>
      <c r="D171" s="325">
        <v>75.910004000000001</v>
      </c>
      <c r="E171" s="325">
        <v>78.389999000000003</v>
      </c>
      <c r="F171" s="366">
        <f t="shared" si="23"/>
        <v>9.1400489186406197E-3</v>
      </c>
      <c r="G171" s="366">
        <f t="shared" si="28"/>
        <v>0.48362960827725587</v>
      </c>
      <c r="I171">
        <v>2835.459961</v>
      </c>
      <c r="J171">
        <v>2855.6298830000001</v>
      </c>
      <c r="K171">
        <v>2802.48999</v>
      </c>
      <c r="L171">
        <v>2850.1298830000001</v>
      </c>
      <c r="M171" s="366">
        <f t="shared" si="24"/>
        <v>5.9471191790199107E-3</v>
      </c>
      <c r="N171" s="366">
        <f t="shared" si="29"/>
        <v>0.36689572679382521</v>
      </c>
      <c r="P171" s="285">
        <v>43325</v>
      </c>
      <c r="Q171" s="407">
        <f t="shared" si="20"/>
        <v>78.389999000000003</v>
      </c>
      <c r="R171"/>
      <c r="S171" s="409">
        <f>+F172</f>
        <v>-1.2118854600317031E-2</v>
      </c>
      <c r="T171" s="409">
        <f>+M172</f>
        <v>8.6171715003207083E-3</v>
      </c>
      <c r="U171" s="312">
        <f>+S171-$S$285</f>
        <v>-1.3944213457599946E-2</v>
      </c>
      <c r="V171" s="312">
        <f>+T171-$T$285</f>
        <v>6.3563446272915823E-3</v>
      </c>
      <c r="W171" s="419">
        <f t="shared" si="21"/>
        <v>-8.8634226293022399E-5</v>
      </c>
      <c r="X171" s="419">
        <f t="shared" si="22"/>
        <v>7.4255644665939446E-5</v>
      </c>
      <c r="Z171" s="285">
        <f t="shared" si="25"/>
        <v>43325</v>
      </c>
      <c r="AA171" s="312">
        <f t="shared" si="26"/>
        <v>0.48362960827725587</v>
      </c>
      <c r="AB171" s="312">
        <f t="shared" si="27"/>
        <v>0.36689572679382521</v>
      </c>
    </row>
    <row r="172" spans="1:28" ht="17.45" customHeight="1">
      <c r="A172" s="285">
        <v>43332</v>
      </c>
      <c r="B172" s="325">
        <v>78.569999999999993</v>
      </c>
      <c r="C172" s="325">
        <v>79.339995999999999</v>
      </c>
      <c r="D172" s="325">
        <v>77.25</v>
      </c>
      <c r="E172" s="325">
        <v>77.440002000000007</v>
      </c>
      <c r="F172" s="366">
        <f t="shared" si="23"/>
        <v>-1.2118854600317031E-2</v>
      </c>
      <c r="G172" s="366">
        <f t="shared" si="28"/>
        <v>0.47151075367693884</v>
      </c>
      <c r="I172">
        <v>2853.929932</v>
      </c>
      <c r="J172">
        <v>2876.1599120000001</v>
      </c>
      <c r="K172">
        <v>2850.6201169999999</v>
      </c>
      <c r="L172">
        <v>2874.6899410000001</v>
      </c>
      <c r="M172" s="366">
        <f t="shared" si="24"/>
        <v>8.6171715003207083E-3</v>
      </c>
      <c r="N172" s="366">
        <f t="shared" si="29"/>
        <v>0.37551289829414591</v>
      </c>
      <c r="P172" s="285">
        <v>43332</v>
      </c>
      <c r="Q172" s="407">
        <f t="shared" si="20"/>
        <v>77.440002000000007</v>
      </c>
      <c r="R172"/>
      <c r="S172" s="409">
        <f>+F173</f>
        <v>-1.03307073778236E-3</v>
      </c>
      <c r="T172" s="409">
        <f>+M173</f>
        <v>9.3332079461294626E-3</v>
      </c>
      <c r="U172" s="312">
        <f>+S172-$S$285</f>
        <v>-2.8584295950652761E-3</v>
      </c>
      <c r="V172" s="312">
        <f>+T172-$T$285</f>
        <v>7.0723810731003365E-3</v>
      </c>
      <c r="W172" s="419">
        <f t="shared" si="21"/>
        <v>-2.0215903366929518E-5</v>
      </c>
      <c r="X172" s="419">
        <f t="shared" si="22"/>
        <v>8.7108770565694145E-5</v>
      </c>
      <c r="Z172" s="285">
        <f t="shared" si="25"/>
        <v>43332</v>
      </c>
      <c r="AA172" s="312">
        <f t="shared" si="26"/>
        <v>0.47151075367693884</v>
      </c>
      <c r="AB172" s="312">
        <f t="shared" si="27"/>
        <v>0.37551289829414591</v>
      </c>
    </row>
    <row r="173" spans="1:28" ht="17.45" customHeight="1">
      <c r="A173" s="285">
        <v>43339</v>
      </c>
      <c r="B173" s="325">
        <v>77.690002000000007</v>
      </c>
      <c r="C173" s="325">
        <v>79.309997999999993</v>
      </c>
      <c r="D173" s="325">
        <v>76.970000999999996</v>
      </c>
      <c r="E173" s="325">
        <v>77.360000999999997</v>
      </c>
      <c r="F173" s="366">
        <f t="shared" si="23"/>
        <v>-1.03307073778236E-3</v>
      </c>
      <c r="G173" s="366">
        <f t="shared" si="28"/>
        <v>0.47047768293915648</v>
      </c>
      <c r="I173">
        <v>2884.6899410000001</v>
      </c>
      <c r="J173">
        <v>2916.5</v>
      </c>
      <c r="K173">
        <v>2884.6899410000001</v>
      </c>
      <c r="L173">
        <v>2901.5200199999999</v>
      </c>
      <c r="M173" s="366">
        <f t="shared" si="24"/>
        <v>9.3332079461294626E-3</v>
      </c>
      <c r="N173" s="366">
        <f t="shared" si="29"/>
        <v>0.38484610624027538</v>
      </c>
      <c r="P173" s="285">
        <v>43339</v>
      </c>
      <c r="Q173" s="407">
        <f t="shared" si="20"/>
        <v>77.360000999999997</v>
      </c>
      <c r="R173"/>
      <c r="S173" s="409">
        <f>+F174</f>
        <v>-1.5899741262929812E-2</v>
      </c>
      <c r="T173" s="409">
        <f>+M174</f>
        <v>-1.0284295057181758E-2</v>
      </c>
      <c r="U173" s="312">
        <f>+S173-$S$285</f>
        <v>-1.7725100120212729E-2</v>
      </c>
      <c r="V173" s="312">
        <f>+T173-$T$285</f>
        <v>-1.2545121930210883E-2</v>
      </c>
      <c r="W173" s="419">
        <f t="shared" si="21"/>
        <v>2.2236354223326428E-4</v>
      </c>
      <c r="X173" s="419">
        <f t="shared" si="22"/>
        <v>1.0576672482317314E-4</v>
      </c>
      <c r="Z173" s="285">
        <f t="shared" si="25"/>
        <v>43339</v>
      </c>
      <c r="AA173" s="312">
        <f t="shared" si="26"/>
        <v>0.47047768293915648</v>
      </c>
      <c r="AB173" s="312">
        <f t="shared" si="27"/>
        <v>0.38484610624027538</v>
      </c>
    </row>
    <row r="174" spans="1:28" ht="17.45" customHeight="1">
      <c r="A174" s="285">
        <v>43346</v>
      </c>
      <c r="B174" s="325">
        <v>77.360000999999997</v>
      </c>
      <c r="C174" s="325">
        <v>77.650002000000001</v>
      </c>
      <c r="D174" s="325">
        <v>74.720000999999996</v>
      </c>
      <c r="E174" s="325">
        <v>76.129997000000003</v>
      </c>
      <c r="F174" s="366">
        <f t="shared" si="23"/>
        <v>-1.5899741262929812E-2</v>
      </c>
      <c r="G174" s="366">
        <f t="shared" si="28"/>
        <v>0.45457794167622667</v>
      </c>
      <c r="I174">
        <v>2896.959961</v>
      </c>
      <c r="J174">
        <v>2900.179932</v>
      </c>
      <c r="K174">
        <v>2864.1201169999999</v>
      </c>
      <c r="L174">
        <v>2871.679932</v>
      </c>
      <c r="M174" s="366">
        <f t="shared" si="24"/>
        <v>-1.0284295057181758E-2</v>
      </c>
      <c r="N174" s="366">
        <f t="shared" si="29"/>
        <v>0.37456181118309362</v>
      </c>
      <c r="P174" s="285">
        <v>43346</v>
      </c>
      <c r="Q174" s="407">
        <f t="shared" si="20"/>
        <v>76.129997000000003</v>
      </c>
      <c r="R174"/>
      <c r="S174" s="409">
        <f>+F175</f>
        <v>1.5237147585859034E-2</v>
      </c>
      <c r="T174" s="409">
        <f>+M175</f>
        <v>1.1596016543810261E-2</v>
      </c>
      <c r="U174" s="312">
        <f>+S174-$S$285</f>
        <v>1.3411788728576119E-2</v>
      </c>
      <c r="V174" s="312">
        <f>+T174-$T$285</f>
        <v>9.3351896707811362E-3</v>
      </c>
      <c r="W174" s="419">
        <f t="shared" si="21"/>
        <v>1.2520159160570266E-4</v>
      </c>
      <c r="X174" s="419">
        <f t="shared" si="22"/>
        <v>1.3446759968432128E-4</v>
      </c>
      <c r="Z174" s="285">
        <f t="shared" si="25"/>
        <v>43346</v>
      </c>
      <c r="AA174" s="312">
        <f t="shared" si="26"/>
        <v>0.45457794167622667</v>
      </c>
      <c r="AB174" s="312">
        <f t="shared" si="27"/>
        <v>0.37456181118309362</v>
      </c>
    </row>
    <row r="175" spans="1:28" ht="17.45" customHeight="1">
      <c r="A175" s="285">
        <v>43353</v>
      </c>
      <c r="B175" s="325">
        <v>76.459998999999996</v>
      </c>
      <c r="C175" s="325">
        <v>77.830001999999993</v>
      </c>
      <c r="D175" s="325">
        <v>75.459998999999996</v>
      </c>
      <c r="E175" s="325">
        <v>77.290001000000004</v>
      </c>
      <c r="F175" s="366">
        <f t="shared" si="23"/>
        <v>1.5237147585859034E-2</v>
      </c>
      <c r="G175" s="366">
        <f t="shared" si="28"/>
        <v>0.46981508926208571</v>
      </c>
      <c r="I175">
        <v>2881.389893</v>
      </c>
      <c r="J175">
        <v>2908.3000489999999</v>
      </c>
      <c r="K175">
        <v>2866.780029</v>
      </c>
      <c r="L175">
        <v>2904.9799800000001</v>
      </c>
      <c r="M175" s="366">
        <f t="shared" si="24"/>
        <v>1.1596016543810261E-2</v>
      </c>
      <c r="N175" s="366">
        <f t="shared" si="29"/>
        <v>0.38615782772690388</v>
      </c>
      <c r="P175" s="285">
        <v>43353</v>
      </c>
      <c r="Q175" s="407">
        <f t="shared" si="20"/>
        <v>77.290001000000004</v>
      </c>
      <c r="R175"/>
      <c r="S175" s="409">
        <f>+F176</f>
        <v>8.2804889600143206E-3</v>
      </c>
      <c r="T175" s="409">
        <f>+M176</f>
        <v>8.4991780218739432E-3</v>
      </c>
      <c r="U175" s="312">
        <f>+S175-$S$285</f>
        <v>6.4551301027314049E-3</v>
      </c>
      <c r="V175" s="312">
        <f>+T175-$T$285</f>
        <v>6.2383511488448172E-3</v>
      </c>
      <c r="W175" s="419">
        <f t="shared" si="21"/>
        <v>4.026936829231722E-5</v>
      </c>
      <c r="X175" s="419">
        <f t="shared" si="22"/>
        <v>7.2236027047505068E-5</v>
      </c>
      <c r="Z175" s="285">
        <f t="shared" si="25"/>
        <v>43353</v>
      </c>
      <c r="AA175" s="312">
        <f t="shared" si="26"/>
        <v>0.46981508926208571</v>
      </c>
      <c r="AB175" s="312">
        <f t="shared" si="27"/>
        <v>0.38615782772690388</v>
      </c>
    </row>
    <row r="176" spans="1:28" ht="17.45" customHeight="1">
      <c r="A176" s="285">
        <v>43360</v>
      </c>
      <c r="B176" s="325">
        <v>77.230002999999996</v>
      </c>
      <c r="C176" s="325">
        <v>78.940002000000007</v>
      </c>
      <c r="D176" s="325">
        <v>76.25</v>
      </c>
      <c r="E176" s="325">
        <v>77.930000000000007</v>
      </c>
      <c r="F176" s="366">
        <f t="shared" si="23"/>
        <v>8.2804889600143206E-3</v>
      </c>
      <c r="G176" s="366">
        <f t="shared" si="28"/>
        <v>0.47809557822210003</v>
      </c>
      <c r="I176">
        <v>2903.830078</v>
      </c>
      <c r="J176">
        <v>2940.9099120000001</v>
      </c>
      <c r="K176">
        <v>2886.1599120000001</v>
      </c>
      <c r="L176">
        <v>2929.669922</v>
      </c>
      <c r="M176" s="366">
        <f t="shared" si="24"/>
        <v>8.4991780218739432E-3</v>
      </c>
      <c r="N176" s="366">
        <f t="shared" si="29"/>
        <v>0.39465700574877782</v>
      </c>
      <c r="P176" s="285">
        <v>43360</v>
      </c>
      <c r="Q176" s="407">
        <f t="shared" si="20"/>
        <v>77.930000000000007</v>
      </c>
      <c r="R176"/>
      <c r="S176" s="409">
        <f>+F177</f>
        <v>2.1301116386500674E-2</v>
      </c>
      <c r="T176" s="409">
        <f>+M177</f>
        <v>-5.3555323356321294E-3</v>
      </c>
      <c r="U176" s="312">
        <f>+S176-$S$285</f>
        <v>1.9475757529217756E-2</v>
      </c>
      <c r="V176" s="312">
        <f>+T176-$T$285</f>
        <v>-7.6163592086612554E-3</v>
      </c>
      <c r="W176" s="419">
        <f t="shared" si="21"/>
        <v>-1.4833436520331143E-4</v>
      </c>
      <c r="X176" s="419">
        <f t="shared" si="22"/>
        <v>2.8681726598001332E-5</v>
      </c>
      <c r="Z176" s="285">
        <f t="shared" si="25"/>
        <v>43360</v>
      </c>
      <c r="AA176" s="312">
        <f t="shared" si="26"/>
        <v>0.47809557822210003</v>
      </c>
      <c r="AB176" s="312">
        <f t="shared" si="27"/>
        <v>0.39465700574877782</v>
      </c>
    </row>
    <row r="177" spans="1:28" ht="17.45" customHeight="1">
      <c r="A177" s="285">
        <v>43367</v>
      </c>
      <c r="B177" s="325">
        <v>77.589995999999999</v>
      </c>
      <c r="C177" s="325">
        <v>81.230002999999996</v>
      </c>
      <c r="D177" s="325">
        <v>76.730002999999996</v>
      </c>
      <c r="E177" s="325">
        <v>79.589995999999999</v>
      </c>
      <c r="F177" s="366">
        <f t="shared" si="23"/>
        <v>2.1301116386500674E-2</v>
      </c>
      <c r="G177" s="366">
        <f t="shared" si="28"/>
        <v>0.4993966946086007</v>
      </c>
      <c r="I177">
        <v>2921.830078</v>
      </c>
      <c r="J177">
        <v>2931.1499020000001</v>
      </c>
      <c r="K177">
        <v>2903.280029</v>
      </c>
      <c r="L177">
        <v>2913.9799800000001</v>
      </c>
      <c r="M177" s="366">
        <f t="shared" si="24"/>
        <v>-5.3555323356321294E-3</v>
      </c>
      <c r="N177" s="366">
        <f t="shared" si="29"/>
        <v>0.38930147341314569</v>
      </c>
      <c r="P177" s="285">
        <v>43367</v>
      </c>
      <c r="Q177" s="407">
        <f t="shared" si="20"/>
        <v>79.589995999999999</v>
      </c>
      <c r="R177"/>
      <c r="S177" s="409">
        <f>+F178</f>
        <v>-4.9503633597368202E-2</v>
      </c>
      <c r="T177" s="409">
        <f>+M178</f>
        <v>-9.7495220265720883E-3</v>
      </c>
      <c r="U177" s="312">
        <f>+S177-$S$285</f>
        <v>-5.1328992454651119E-2</v>
      </c>
      <c r="V177" s="312">
        <f>+T177-$T$285</f>
        <v>-1.2010348899601214E-2</v>
      </c>
      <c r="W177" s="419">
        <f t="shared" si="21"/>
        <v>6.1647910804535811E-4</v>
      </c>
      <c r="X177" s="419">
        <f t="shared" si="22"/>
        <v>9.5053179746614321E-5</v>
      </c>
      <c r="Z177" s="285">
        <f t="shared" si="25"/>
        <v>43367</v>
      </c>
      <c r="AA177" s="312">
        <f t="shared" si="26"/>
        <v>0.4993966946086007</v>
      </c>
      <c r="AB177" s="312">
        <f t="shared" si="27"/>
        <v>0.38930147341314569</v>
      </c>
    </row>
    <row r="178" spans="1:28" ht="17.45" customHeight="1">
      <c r="A178" s="285">
        <v>43374</v>
      </c>
      <c r="B178" s="325">
        <v>80.430000000000007</v>
      </c>
      <c r="C178" s="325">
        <v>80.430000000000007</v>
      </c>
      <c r="D178" s="325">
        <v>75.169998000000007</v>
      </c>
      <c r="E178" s="325">
        <v>75.650002000000001</v>
      </c>
      <c r="F178" s="366">
        <f t="shared" si="23"/>
        <v>-4.9503633597368202E-2</v>
      </c>
      <c r="G178" s="366">
        <f t="shared" si="28"/>
        <v>0.4498930610112325</v>
      </c>
      <c r="I178">
        <v>2926.290039</v>
      </c>
      <c r="J178">
        <v>2939.860107</v>
      </c>
      <c r="K178">
        <v>2869.290039</v>
      </c>
      <c r="L178">
        <v>2885.570068</v>
      </c>
      <c r="M178" s="366">
        <f t="shared" si="24"/>
        <v>-9.7495220265720883E-3</v>
      </c>
      <c r="N178" s="366">
        <f t="shared" si="29"/>
        <v>0.3795519513865736</v>
      </c>
      <c r="P178" s="285">
        <v>43374</v>
      </c>
      <c r="Q178" s="407">
        <f t="shared" si="20"/>
        <v>75.650002000000001</v>
      </c>
      <c r="R178"/>
      <c r="S178" s="409">
        <f>+F179</f>
        <v>-5.2214208798038175E-2</v>
      </c>
      <c r="T178" s="409">
        <f>+M179</f>
        <v>-4.1045679782120592E-2</v>
      </c>
      <c r="U178" s="312">
        <f>+S178-$S$285</f>
        <v>-5.4039567655321093E-2</v>
      </c>
      <c r="V178" s="312">
        <f>+T178-$T$285</f>
        <v>-4.3306506655149721E-2</v>
      </c>
      <c r="W178" s="419">
        <f t="shared" si="21"/>
        <v>2.3402648963065766E-3</v>
      </c>
      <c r="X178" s="419">
        <f t="shared" si="22"/>
        <v>1.6847478287763831E-3</v>
      </c>
      <c r="Z178" s="285">
        <f t="shared" si="25"/>
        <v>43374</v>
      </c>
      <c r="AA178" s="312">
        <f t="shared" si="26"/>
        <v>0.4498930610112325</v>
      </c>
      <c r="AB178" s="312">
        <f t="shared" si="27"/>
        <v>0.3795519513865736</v>
      </c>
    </row>
    <row r="179" spans="1:28" ht="17.45" customHeight="1">
      <c r="A179" s="285">
        <v>43381</v>
      </c>
      <c r="B179" s="325">
        <v>75.300003000000004</v>
      </c>
      <c r="C179" s="325">
        <v>76.449996999999996</v>
      </c>
      <c r="D179" s="325">
        <v>69.540001000000004</v>
      </c>
      <c r="E179" s="325">
        <v>71.699996999999996</v>
      </c>
      <c r="F179" s="366">
        <f t="shared" si="23"/>
        <v>-5.2214208798038175E-2</v>
      </c>
      <c r="G179" s="366">
        <f t="shared" si="28"/>
        <v>0.39767885221319432</v>
      </c>
      <c r="I179">
        <v>2877.530029</v>
      </c>
      <c r="J179">
        <v>2894.830078</v>
      </c>
      <c r="K179">
        <v>2710.51001</v>
      </c>
      <c r="L179">
        <v>2767.1298830000001</v>
      </c>
      <c r="M179" s="366">
        <f t="shared" si="24"/>
        <v>-4.1045679782120592E-2</v>
      </c>
      <c r="N179" s="366">
        <f t="shared" si="29"/>
        <v>0.33850627160445301</v>
      </c>
      <c r="P179" s="285">
        <v>43381</v>
      </c>
      <c r="Q179" s="407">
        <f t="shared" si="20"/>
        <v>71.699996999999996</v>
      </c>
      <c r="R179"/>
      <c r="S179" s="409">
        <f>+F180</f>
        <v>-2.8730796181204776E-2</v>
      </c>
      <c r="T179" s="409">
        <f>+M180</f>
        <v>2.3495319247368585E-4</v>
      </c>
      <c r="U179" s="312">
        <f>+S179-$S$285</f>
        <v>-3.0556155038487694E-2</v>
      </c>
      <c r="V179" s="312">
        <f>+T179-$T$285</f>
        <v>-2.0258736805554402E-3</v>
      </c>
      <c r="W179" s="419">
        <f t="shared" si="21"/>
        <v>6.190291027144373E-5</v>
      </c>
      <c r="X179" s="419">
        <f t="shared" si="22"/>
        <v>5.5203002653576864E-8</v>
      </c>
      <c r="Z179" s="285">
        <f t="shared" si="25"/>
        <v>43381</v>
      </c>
      <c r="AA179" s="312">
        <f t="shared" si="26"/>
        <v>0.39767885221319432</v>
      </c>
      <c r="AB179" s="312">
        <f t="shared" si="27"/>
        <v>0.33850627160445301</v>
      </c>
    </row>
    <row r="180" spans="1:28" ht="17.45" customHeight="1">
      <c r="A180" s="285">
        <v>43388</v>
      </c>
      <c r="B180" s="325">
        <v>71.779999000000004</v>
      </c>
      <c r="C180" s="325">
        <v>73.150002000000001</v>
      </c>
      <c r="D180" s="325">
        <v>69.599997999999999</v>
      </c>
      <c r="E180" s="325">
        <v>69.639999000000003</v>
      </c>
      <c r="F180" s="366">
        <f t="shared" si="23"/>
        <v>-2.8730796181204776E-2</v>
      </c>
      <c r="G180" s="366">
        <f t="shared" si="28"/>
        <v>0.36894805603198955</v>
      </c>
      <c r="I180">
        <v>2763.830078</v>
      </c>
      <c r="J180">
        <v>2816.9399410000001</v>
      </c>
      <c r="K180">
        <v>2749.030029</v>
      </c>
      <c r="L180">
        <v>2767.780029</v>
      </c>
      <c r="M180" s="366">
        <f t="shared" si="24"/>
        <v>2.3495319247368585E-4</v>
      </c>
      <c r="N180" s="366">
        <f t="shared" si="29"/>
        <v>0.3387412247969267</v>
      </c>
      <c r="P180" s="285">
        <v>43388</v>
      </c>
      <c r="Q180" s="407">
        <f t="shared" si="20"/>
        <v>69.639999000000003</v>
      </c>
      <c r="R180"/>
      <c r="S180" s="409">
        <f>+F181</f>
        <v>-3.747846119297038E-2</v>
      </c>
      <c r="T180" s="409">
        <f>+M181</f>
        <v>-3.9414291185349115E-2</v>
      </c>
      <c r="U180" s="312">
        <f>+S180-$S$285</f>
        <v>-3.9303820050253298E-2</v>
      </c>
      <c r="V180" s="312">
        <f>+T180-$T$285</f>
        <v>-4.1675118058378244E-2</v>
      </c>
      <c r="W180" s="419">
        <f t="shared" si="21"/>
        <v>1.6379913407395601E-3</v>
      </c>
      <c r="X180" s="419">
        <f t="shared" si="22"/>
        <v>1.553486349643489E-3</v>
      </c>
      <c r="Z180" s="285">
        <f t="shared" si="25"/>
        <v>43388</v>
      </c>
      <c r="AA180" s="312">
        <f t="shared" si="26"/>
        <v>0.36894805603198955</v>
      </c>
      <c r="AB180" s="312">
        <f t="shared" si="27"/>
        <v>0.3387412247969267</v>
      </c>
    </row>
    <row r="181" spans="1:28" ht="17.45" customHeight="1">
      <c r="A181" s="285">
        <v>43395</v>
      </c>
      <c r="B181" s="325">
        <v>69.830001999999993</v>
      </c>
      <c r="C181" s="325">
        <v>70.480002999999996</v>
      </c>
      <c r="D181" s="325">
        <v>65.25</v>
      </c>
      <c r="E181" s="325">
        <v>67.029999000000004</v>
      </c>
      <c r="F181" s="366">
        <f t="shared" si="23"/>
        <v>-3.747846119297038E-2</v>
      </c>
      <c r="G181" s="366">
        <f t="shared" si="28"/>
        <v>0.33146959483901917</v>
      </c>
      <c r="I181">
        <v>2773.9399410000001</v>
      </c>
      <c r="J181">
        <v>2778.9399410000001</v>
      </c>
      <c r="K181">
        <v>2628.1599120000001</v>
      </c>
      <c r="L181">
        <v>2658.6899410000001</v>
      </c>
      <c r="M181" s="366">
        <f t="shared" si="24"/>
        <v>-3.9414291185349115E-2</v>
      </c>
      <c r="N181" s="366">
        <f t="shared" si="29"/>
        <v>0.29932693361157758</v>
      </c>
      <c r="P181" s="285">
        <v>43395</v>
      </c>
      <c r="Q181" s="407">
        <f t="shared" si="20"/>
        <v>67.029999000000004</v>
      </c>
      <c r="R181"/>
      <c r="S181" s="409">
        <f>+F182</f>
        <v>6.5642265636912889E-2</v>
      </c>
      <c r="T181" s="409">
        <f>+M182</f>
        <v>2.4211216587289863E-2</v>
      </c>
      <c r="U181" s="312">
        <f>+S181-$S$285</f>
        <v>6.3816906779629978E-2</v>
      </c>
      <c r="V181" s="312">
        <f>+T181-$T$285</f>
        <v>2.1950389714260738E-2</v>
      </c>
      <c r="W181" s="419">
        <f t="shared" si="21"/>
        <v>1.4008059741715262E-3</v>
      </c>
      <c r="X181" s="419">
        <f t="shared" si="22"/>
        <v>5.8618300863665985E-4</v>
      </c>
      <c r="Z181" s="285">
        <f t="shared" si="25"/>
        <v>43395</v>
      </c>
      <c r="AA181" s="312">
        <f t="shared" si="26"/>
        <v>0.33146959483901917</v>
      </c>
      <c r="AB181" s="312">
        <f t="shared" si="27"/>
        <v>0.29932693361157758</v>
      </c>
    </row>
    <row r="182" spans="1:28" ht="17.45" customHeight="1">
      <c r="A182" s="285">
        <v>43402</v>
      </c>
      <c r="B182" s="325">
        <v>68.010002</v>
      </c>
      <c r="C182" s="325">
        <v>72.470000999999996</v>
      </c>
      <c r="D182" s="325">
        <v>64.819999999999993</v>
      </c>
      <c r="E182" s="325">
        <v>71.430000000000007</v>
      </c>
      <c r="F182" s="366">
        <f t="shared" si="23"/>
        <v>6.5642265636912889E-2</v>
      </c>
      <c r="G182" s="366">
        <f t="shared" si="28"/>
        <v>0.39711186047593205</v>
      </c>
      <c r="I182">
        <v>2682.6499020000001</v>
      </c>
      <c r="J182">
        <v>2756.5500489999999</v>
      </c>
      <c r="K182">
        <v>2603.540039</v>
      </c>
      <c r="L182">
        <v>2723.0600589999999</v>
      </c>
      <c r="M182" s="366">
        <f t="shared" si="24"/>
        <v>2.4211216587289863E-2</v>
      </c>
      <c r="N182" s="366">
        <f t="shared" si="29"/>
        <v>0.32353815019886745</v>
      </c>
      <c r="P182" s="285">
        <v>43402</v>
      </c>
      <c r="Q182" s="407">
        <f t="shared" si="20"/>
        <v>71.430000000000007</v>
      </c>
      <c r="R182"/>
      <c r="S182" s="409">
        <f>+F183</f>
        <v>-2.7159484810303836E-2</v>
      </c>
      <c r="T182" s="409">
        <f>+M183</f>
        <v>2.1281187246851019E-2</v>
      </c>
      <c r="U182" s="312">
        <f>+S182-$S$285</f>
        <v>-2.8984843667586753E-2</v>
      </c>
      <c r="V182" s="312">
        <f>+T182-$T$285</f>
        <v>1.9020360373821894E-2</v>
      </c>
      <c r="W182" s="419">
        <f t="shared" si="21"/>
        <v>-5.5130217193638954E-4</v>
      </c>
      <c r="X182" s="419">
        <f t="shared" si="22"/>
        <v>4.5288893063553443E-4</v>
      </c>
      <c r="Z182" s="285">
        <f t="shared" si="25"/>
        <v>43402</v>
      </c>
      <c r="AA182" s="312">
        <f t="shared" si="26"/>
        <v>0.39711186047593205</v>
      </c>
      <c r="AB182" s="312">
        <f t="shared" si="27"/>
        <v>0.32353815019886745</v>
      </c>
    </row>
    <row r="183" spans="1:28" ht="17.45" customHeight="1">
      <c r="A183" s="285">
        <v>43409</v>
      </c>
      <c r="B183" s="325">
        <v>71.480002999999996</v>
      </c>
      <c r="C183" s="325">
        <v>71.790001000000004</v>
      </c>
      <c r="D183" s="325">
        <v>68.959998999999996</v>
      </c>
      <c r="E183" s="325">
        <v>69.489998</v>
      </c>
      <c r="F183" s="366">
        <f t="shared" si="23"/>
        <v>-2.7159484810303836E-2</v>
      </c>
      <c r="G183" s="366">
        <f t="shared" si="28"/>
        <v>0.36995237566562822</v>
      </c>
      <c r="I183">
        <v>2726.3701169999999</v>
      </c>
      <c r="J183">
        <v>2815.1499020000001</v>
      </c>
      <c r="K183">
        <v>2717.9399410000001</v>
      </c>
      <c r="L183">
        <v>2781.01001</v>
      </c>
      <c r="M183" s="366">
        <f t="shared" si="24"/>
        <v>2.1281187246851019E-2</v>
      </c>
      <c r="N183" s="366">
        <f t="shared" si="29"/>
        <v>0.34481933744571847</v>
      </c>
      <c r="P183" s="285">
        <v>43409</v>
      </c>
      <c r="Q183" s="407">
        <f t="shared" si="20"/>
        <v>69.489998</v>
      </c>
      <c r="R183"/>
      <c r="S183" s="409">
        <f>+F184</f>
        <v>2.2161477109266858E-2</v>
      </c>
      <c r="T183" s="409">
        <f>+M184</f>
        <v>-1.6087676721451283E-2</v>
      </c>
      <c r="U183" s="312">
        <f>+S183-$S$285</f>
        <v>2.0336118251983941E-2</v>
      </c>
      <c r="V183" s="312">
        <f>+T183-$T$285</f>
        <v>-1.8348503594480408E-2</v>
      </c>
      <c r="W183" s="419">
        <f t="shared" si="21"/>
        <v>-3.7313733884430597E-4</v>
      </c>
      <c r="X183" s="419">
        <f t="shared" si="22"/>
        <v>2.5881334229392551E-4</v>
      </c>
      <c r="Z183" s="285">
        <f t="shared" si="25"/>
        <v>43409</v>
      </c>
      <c r="AA183" s="312">
        <f t="shared" si="26"/>
        <v>0.36995237566562822</v>
      </c>
      <c r="AB183" s="312">
        <f t="shared" si="27"/>
        <v>0.34481933744571847</v>
      </c>
    </row>
    <row r="184" spans="1:28" ht="17.45" customHeight="1">
      <c r="A184" s="285">
        <v>43416</v>
      </c>
      <c r="B184" s="325">
        <v>69.25</v>
      </c>
      <c r="C184" s="325">
        <v>71.279999000000004</v>
      </c>
      <c r="D184" s="325">
        <v>68.160004000000001</v>
      </c>
      <c r="E184" s="325">
        <v>71.029999000000004</v>
      </c>
      <c r="F184" s="366">
        <f t="shared" si="23"/>
        <v>2.2161477109266858E-2</v>
      </c>
      <c r="G184" s="366">
        <f t="shared" si="28"/>
        <v>0.39211385277489508</v>
      </c>
      <c r="I184">
        <v>2773.929932</v>
      </c>
      <c r="J184">
        <v>2775.98999</v>
      </c>
      <c r="K184">
        <v>2670.75</v>
      </c>
      <c r="L184">
        <v>2736.2700199999999</v>
      </c>
      <c r="M184" s="366">
        <f t="shared" si="24"/>
        <v>-1.6087676721451283E-2</v>
      </c>
      <c r="N184" s="366">
        <f t="shared" si="29"/>
        <v>0.32873166072426718</v>
      </c>
      <c r="P184" s="285">
        <v>43416</v>
      </c>
      <c r="Q184" s="407">
        <f t="shared" si="20"/>
        <v>71.029999000000004</v>
      </c>
      <c r="R184"/>
      <c r="S184" s="409">
        <f>+F185</f>
        <v>-1.5345586587999227E-2</v>
      </c>
      <c r="T184" s="409">
        <f>+M185</f>
        <v>-3.7901946899231875E-2</v>
      </c>
      <c r="U184" s="312">
        <f>+S184-$S$285</f>
        <v>-1.7170945445282144E-2</v>
      </c>
      <c r="V184" s="312">
        <f>+T184-$T$285</f>
        <v>-4.0162773772261004E-2</v>
      </c>
      <c r="W184" s="419">
        <f t="shared" si="21"/>
        <v>6.8963279737470221E-4</v>
      </c>
      <c r="X184" s="419">
        <f t="shared" si="22"/>
        <v>1.4365575787521929E-3</v>
      </c>
      <c r="Z184" s="285">
        <f t="shared" si="25"/>
        <v>43416</v>
      </c>
      <c r="AA184" s="312">
        <f t="shared" si="26"/>
        <v>0.39211385277489508</v>
      </c>
      <c r="AB184" s="312">
        <f t="shared" si="27"/>
        <v>0.32873166072426718</v>
      </c>
    </row>
    <row r="185" spans="1:28" ht="17.45" customHeight="1">
      <c r="A185" s="285">
        <v>43423</v>
      </c>
      <c r="B185" s="325">
        <v>70.930000000000007</v>
      </c>
      <c r="C185" s="325">
        <v>71.209998999999996</v>
      </c>
      <c r="D185" s="325">
        <v>67.930000000000007</v>
      </c>
      <c r="E185" s="325">
        <v>69.940002000000007</v>
      </c>
      <c r="F185" s="366">
        <f t="shared" si="23"/>
        <v>-1.5345586587999227E-2</v>
      </c>
      <c r="G185" s="366">
        <f t="shared" si="28"/>
        <v>0.37676826618689585</v>
      </c>
      <c r="I185">
        <v>2730.73999</v>
      </c>
      <c r="J185">
        <v>2733.1599120000001</v>
      </c>
      <c r="K185">
        <v>2631.0900879999999</v>
      </c>
      <c r="L185">
        <v>2632.5600589999999</v>
      </c>
      <c r="M185" s="366">
        <f t="shared" si="24"/>
        <v>-3.7901946899231875E-2</v>
      </c>
      <c r="N185" s="366">
        <f t="shared" si="29"/>
        <v>0.29082971382503531</v>
      </c>
      <c r="P185" s="285">
        <v>43423</v>
      </c>
      <c r="Q185" s="407">
        <f t="shared" si="20"/>
        <v>69.940002000000007</v>
      </c>
      <c r="R185"/>
      <c r="S185" s="409">
        <f>+F186</f>
        <v>1.9588160720956038E-2</v>
      </c>
      <c r="T185" s="409">
        <f>+M186</f>
        <v>4.8473675866857135E-2</v>
      </c>
      <c r="U185" s="312">
        <f>+S185-$S$285</f>
        <v>1.7762801863673121E-2</v>
      </c>
      <c r="V185" s="312">
        <f>+T185-$T$285</f>
        <v>4.6212848993828007E-2</v>
      </c>
      <c r="W185" s="419">
        <f t="shared" si="21"/>
        <v>8.2086968023321264E-4</v>
      </c>
      <c r="X185" s="419">
        <f t="shared" si="22"/>
        <v>2.3496972520451278E-3</v>
      </c>
      <c r="Z185" s="285">
        <f t="shared" si="25"/>
        <v>43423</v>
      </c>
      <c r="AA185" s="312">
        <f t="shared" si="26"/>
        <v>0.37676826618689585</v>
      </c>
      <c r="AB185" s="312">
        <f t="shared" si="27"/>
        <v>0.29082971382503531</v>
      </c>
    </row>
    <row r="186" spans="1:28" ht="17.45" customHeight="1">
      <c r="A186" s="285">
        <v>43430</v>
      </c>
      <c r="B186" s="325">
        <v>70.589995999999999</v>
      </c>
      <c r="C186" s="325">
        <v>72.870002999999997</v>
      </c>
      <c r="D186" s="325">
        <v>70</v>
      </c>
      <c r="E186" s="325">
        <v>71.309997999999993</v>
      </c>
      <c r="F186" s="366">
        <f t="shared" si="23"/>
        <v>1.9588160720956038E-2</v>
      </c>
      <c r="G186" s="366">
        <f t="shared" si="28"/>
        <v>0.39635642690785189</v>
      </c>
      <c r="I186">
        <v>2649.969971</v>
      </c>
      <c r="J186">
        <v>2760.8798830000001</v>
      </c>
      <c r="K186">
        <v>2649.969971</v>
      </c>
      <c r="L186">
        <v>2760.169922</v>
      </c>
      <c r="M186" s="366">
        <f t="shared" si="24"/>
        <v>4.8473675866857135E-2</v>
      </c>
      <c r="N186" s="366">
        <f t="shared" si="29"/>
        <v>0.33930338969189244</v>
      </c>
      <c r="P186" s="285">
        <v>43430</v>
      </c>
      <c r="Q186" s="407">
        <f t="shared" si="20"/>
        <v>71.309997999999993</v>
      </c>
      <c r="R186"/>
      <c r="S186" s="409">
        <f>+F187</f>
        <v>-2.6363736540842231E-2</v>
      </c>
      <c r="T186" s="409">
        <f>+M187</f>
        <v>-4.6044210172362043E-2</v>
      </c>
      <c r="U186" s="312">
        <f>+S186-$S$285</f>
        <v>-2.8189095398125148E-2</v>
      </c>
      <c r="V186" s="312">
        <f>+T186-$T$285</f>
        <v>-4.8305037045391172E-2</v>
      </c>
      <c r="W186" s="419">
        <f t="shared" si="21"/>
        <v>1.361675297482501E-3</v>
      </c>
      <c r="X186" s="419">
        <f t="shared" si="22"/>
        <v>2.1200692903966482E-3</v>
      </c>
      <c r="Z186" s="285">
        <f t="shared" si="25"/>
        <v>43430</v>
      </c>
      <c r="AA186" s="312">
        <f t="shared" si="26"/>
        <v>0.39635642690785189</v>
      </c>
      <c r="AB186" s="312">
        <f t="shared" si="27"/>
        <v>0.33930338969189244</v>
      </c>
    </row>
    <row r="187" spans="1:28" ht="17.45" customHeight="1">
      <c r="A187" s="285">
        <v>43437</v>
      </c>
      <c r="B187" s="325">
        <v>72.349997999999999</v>
      </c>
      <c r="C187" s="325">
        <v>73.349997999999999</v>
      </c>
      <c r="D187" s="325">
        <v>68.849997999999999</v>
      </c>
      <c r="E187" s="325">
        <v>69.430000000000007</v>
      </c>
      <c r="F187" s="366">
        <f t="shared" si="23"/>
        <v>-2.6363736540842231E-2</v>
      </c>
      <c r="G187" s="366">
        <f t="shared" si="28"/>
        <v>0.36999269036700966</v>
      </c>
      <c r="I187">
        <v>2790.5</v>
      </c>
      <c r="J187">
        <v>2800.179932</v>
      </c>
      <c r="K187">
        <v>2621.530029</v>
      </c>
      <c r="L187">
        <v>2633.080078</v>
      </c>
      <c r="M187" s="366">
        <f t="shared" si="24"/>
        <v>-4.6044210172362043E-2</v>
      </c>
      <c r="N187" s="366">
        <f t="shared" si="29"/>
        <v>0.2932591795195304</v>
      </c>
      <c r="P187" s="285">
        <v>43437</v>
      </c>
      <c r="Q187" s="407">
        <f t="shared" si="20"/>
        <v>69.430000000000007</v>
      </c>
      <c r="R187"/>
      <c r="S187" s="409">
        <f>+F188</f>
        <v>-2.6069379230880152E-2</v>
      </c>
      <c r="T187" s="409">
        <f>+M188</f>
        <v>-1.2582270959705988E-2</v>
      </c>
      <c r="U187" s="312">
        <f>+S187-$S$285</f>
        <v>-2.7894738088163069E-2</v>
      </c>
      <c r="V187" s="312">
        <f>+T187-$T$285</f>
        <v>-1.4843097832735113E-2</v>
      </c>
      <c r="W187" s="419">
        <f t="shared" si="21"/>
        <v>4.1404432646112687E-4</v>
      </c>
      <c r="X187" s="419">
        <f t="shared" si="22"/>
        <v>1.5831354250346065E-4</v>
      </c>
      <c r="Z187" s="285">
        <f t="shared" si="25"/>
        <v>43437</v>
      </c>
      <c r="AA187" s="312">
        <f t="shared" si="26"/>
        <v>0.36999269036700966</v>
      </c>
      <c r="AB187" s="312">
        <f t="shared" si="27"/>
        <v>0.2932591795195304</v>
      </c>
    </row>
    <row r="188" spans="1:28" ht="17.45" customHeight="1">
      <c r="A188" s="285">
        <v>43444</v>
      </c>
      <c r="B188" s="325">
        <v>69.25</v>
      </c>
      <c r="C188" s="325">
        <v>69.949996999999996</v>
      </c>
      <c r="D188" s="325">
        <v>66.190002000000007</v>
      </c>
      <c r="E188" s="325">
        <v>67.620002999999997</v>
      </c>
      <c r="F188" s="366">
        <f t="shared" si="23"/>
        <v>-2.6069379230880152E-2</v>
      </c>
      <c r="G188" s="366">
        <f t="shared" si="28"/>
        <v>0.34392331113612951</v>
      </c>
      <c r="I188">
        <v>2630.860107</v>
      </c>
      <c r="J188">
        <v>2685.4399410000001</v>
      </c>
      <c r="K188">
        <v>2583.2299800000001</v>
      </c>
      <c r="L188">
        <v>2599.9499510000001</v>
      </c>
      <c r="M188" s="366">
        <f t="shared" si="24"/>
        <v>-1.2582270959705988E-2</v>
      </c>
      <c r="N188" s="366">
        <f t="shared" si="29"/>
        <v>0.28067690855982441</v>
      </c>
      <c r="P188" s="285">
        <v>43444</v>
      </c>
      <c r="Q188" s="407">
        <f t="shared" si="20"/>
        <v>67.620002999999997</v>
      </c>
      <c r="R188"/>
      <c r="S188" s="409">
        <f>+F189</f>
        <v>-3.8745975802455979E-2</v>
      </c>
      <c r="T188" s="409">
        <f>+M189</f>
        <v>-7.0512831960279576E-2</v>
      </c>
      <c r="U188" s="312">
        <f>+S188-$S$285</f>
        <v>-4.0571334659738896E-2</v>
      </c>
      <c r="V188" s="312">
        <f>+T188-$T$285</f>
        <v>-7.2773658833308705E-2</v>
      </c>
      <c r="W188" s="419">
        <f t="shared" si="21"/>
        <v>2.9525244669398312E-3</v>
      </c>
      <c r="X188" s="419">
        <f t="shared" si="22"/>
        <v>4.9720594710586244E-3</v>
      </c>
      <c r="Z188" s="285">
        <f t="shared" si="25"/>
        <v>43444</v>
      </c>
      <c r="AA188" s="312">
        <f t="shared" si="26"/>
        <v>0.34392331113612951</v>
      </c>
      <c r="AB188" s="312">
        <f t="shared" si="27"/>
        <v>0.28067690855982441</v>
      </c>
    </row>
    <row r="189" spans="1:28" ht="17.45" customHeight="1">
      <c r="A189" s="285">
        <v>43451</v>
      </c>
      <c r="B189" s="325">
        <v>67.440002000000007</v>
      </c>
      <c r="C189" s="325">
        <v>68.699996999999996</v>
      </c>
      <c r="D189" s="325">
        <v>64.199996999999996</v>
      </c>
      <c r="E189" s="325">
        <v>65</v>
      </c>
      <c r="F189" s="366">
        <f t="shared" si="23"/>
        <v>-3.8745975802455979E-2</v>
      </c>
      <c r="G189" s="366">
        <f t="shared" si="28"/>
        <v>0.30517733533367353</v>
      </c>
      <c r="I189">
        <v>2590.75</v>
      </c>
      <c r="J189">
        <v>2601.1298830000001</v>
      </c>
      <c r="K189">
        <v>2408.5500489999999</v>
      </c>
      <c r="L189">
        <v>2416.6201169999999</v>
      </c>
      <c r="M189" s="366">
        <f t="shared" si="24"/>
        <v>-7.0512831960279576E-2</v>
      </c>
      <c r="N189" s="366">
        <f t="shared" si="29"/>
        <v>0.21016407659954484</v>
      </c>
      <c r="P189" s="285">
        <v>43451</v>
      </c>
      <c r="Q189" s="407">
        <f t="shared" si="20"/>
        <v>65</v>
      </c>
      <c r="R189"/>
      <c r="S189" s="409">
        <f>+F190</f>
        <v>4.0153861538461566E-2</v>
      </c>
      <c r="T189" s="409">
        <f>+M190</f>
        <v>2.8601877686016186E-2</v>
      </c>
      <c r="U189" s="312">
        <f>+S189-$S$285</f>
        <v>3.8328502681178649E-2</v>
      </c>
      <c r="V189" s="312">
        <f>+T189-$T$285</f>
        <v>2.6341050812987061E-2</v>
      </c>
      <c r="W189" s="419">
        <f t="shared" si="21"/>
        <v>1.0096130367106375E-3</v>
      </c>
      <c r="X189" s="419">
        <f t="shared" si="22"/>
        <v>8.1806740716583058E-4</v>
      </c>
      <c r="Z189" s="285">
        <f t="shared" si="25"/>
        <v>43451</v>
      </c>
      <c r="AA189" s="312">
        <f t="shared" si="26"/>
        <v>0.30517733533367353</v>
      </c>
      <c r="AB189" s="312">
        <f t="shared" si="27"/>
        <v>0.21016407659954484</v>
      </c>
    </row>
    <row r="190" spans="1:28" ht="17.45" customHeight="1">
      <c r="A190" s="285">
        <v>43458</v>
      </c>
      <c r="B190" s="325">
        <v>64.620002999999997</v>
      </c>
      <c r="C190" s="325">
        <v>68.339995999999999</v>
      </c>
      <c r="D190" s="325">
        <v>63.450001</v>
      </c>
      <c r="E190" s="325">
        <v>67.610000999999997</v>
      </c>
      <c r="F190" s="366">
        <f t="shared" si="23"/>
        <v>4.0153861538461566E-2</v>
      </c>
      <c r="G190" s="366">
        <f t="shared" si="28"/>
        <v>0.34533119687213509</v>
      </c>
      <c r="I190">
        <v>2400.5600589999999</v>
      </c>
      <c r="J190">
        <v>2520.2700199999999</v>
      </c>
      <c r="K190">
        <v>2346.580078</v>
      </c>
      <c r="L190">
        <v>2485.73999</v>
      </c>
      <c r="M190" s="366">
        <f t="shared" si="24"/>
        <v>2.8601877686016186E-2</v>
      </c>
      <c r="N190" s="366">
        <f t="shared" si="29"/>
        <v>0.23876595428556102</v>
      </c>
      <c r="P190" s="285">
        <v>43458</v>
      </c>
      <c r="Q190" s="407">
        <f t="shared" si="20"/>
        <v>67.610000999999997</v>
      </c>
      <c r="R190"/>
      <c r="S190" s="409">
        <f>+F191</f>
        <v>-6.3600206129266201E-3</v>
      </c>
      <c r="T190" s="409">
        <f>+M191</f>
        <v>1.8585994989765542E-2</v>
      </c>
      <c r="U190" s="312">
        <f>+S190-$S$285</f>
        <v>-8.1853794702095358E-3</v>
      </c>
      <c r="V190" s="312">
        <f>+T190-$T$285</f>
        <v>1.6325168116736417E-2</v>
      </c>
      <c r="W190" s="419">
        <f t="shared" si="21"/>
        <v>-1.3362769595045353E-4</v>
      </c>
      <c r="X190" s="419">
        <f t="shared" si="22"/>
        <v>3.4543920975958981E-4</v>
      </c>
      <c r="Z190" s="285">
        <f t="shared" si="25"/>
        <v>43458</v>
      </c>
      <c r="AA190" s="312">
        <f t="shared" si="26"/>
        <v>0.34533119687213509</v>
      </c>
      <c r="AB190" s="312">
        <f t="shared" si="27"/>
        <v>0.23876595428556102</v>
      </c>
    </row>
    <row r="191" spans="1:28" ht="17.45" customHeight="1">
      <c r="A191" s="285">
        <v>43465</v>
      </c>
      <c r="B191" s="325">
        <v>67.970000999999996</v>
      </c>
      <c r="C191" s="325">
        <v>68.440002000000007</v>
      </c>
      <c r="D191" s="325">
        <v>64.279999000000004</v>
      </c>
      <c r="E191" s="325">
        <v>67.180000000000007</v>
      </c>
      <c r="F191" s="366">
        <f t="shared" si="23"/>
        <v>-6.3600206129266201E-3</v>
      </c>
      <c r="G191" s="366">
        <f t="shared" si="28"/>
        <v>0.33897117625920847</v>
      </c>
      <c r="I191">
        <v>2498.9399410000001</v>
      </c>
      <c r="J191">
        <v>2538.070068</v>
      </c>
      <c r="K191">
        <v>2443.959961</v>
      </c>
      <c r="L191">
        <v>2531.9399410000001</v>
      </c>
      <c r="M191" s="366">
        <f t="shared" si="24"/>
        <v>1.8585994989765542E-2</v>
      </c>
      <c r="N191" s="366">
        <f t="shared" si="29"/>
        <v>0.25735194927532656</v>
      </c>
      <c r="P191" s="285">
        <v>43465</v>
      </c>
      <c r="Q191" s="407">
        <f t="shared" si="20"/>
        <v>67.180000000000007</v>
      </c>
      <c r="R191"/>
      <c r="S191" s="409">
        <f>+F192</f>
        <v>1.6373905924382148E-2</v>
      </c>
      <c r="T191" s="409">
        <f>+M192</f>
        <v>2.5403473423068812E-2</v>
      </c>
      <c r="U191" s="312">
        <f>+S191-$S$285</f>
        <v>1.4548547067099233E-2</v>
      </c>
      <c r="V191" s="312">
        <f>+T191-$T$285</f>
        <v>2.3142646550039687E-2</v>
      </c>
      <c r="W191" s="419">
        <f t="shared" si="21"/>
        <v>3.3669188259049404E-4</v>
      </c>
      <c r="X191" s="419">
        <f t="shared" si="22"/>
        <v>6.4533646195656343E-4</v>
      </c>
      <c r="Z191" s="285">
        <f t="shared" si="25"/>
        <v>43465</v>
      </c>
      <c r="AA191" s="312">
        <f t="shared" si="26"/>
        <v>0.33897117625920847</v>
      </c>
      <c r="AB191" s="312">
        <f t="shared" si="27"/>
        <v>0.25735194927532656</v>
      </c>
    </row>
    <row r="192" spans="1:28" ht="17.45" customHeight="1">
      <c r="A192" s="285">
        <v>43472</v>
      </c>
      <c r="B192" s="325">
        <v>66.629997000000003</v>
      </c>
      <c r="C192" s="325">
        <v>69.050003000000004</v>
      </c>
      <c r="D192" s="325">
        <v>66.400002000000001</v>
      </c>
      <c r="E192" s="325">
        <v>68.279999000000004</v>
      </c>
      <c r="F192" s="366">
        <f t="shared" si="23"/>
        <v>1.6373905924382148E-2</v>
      </c>
      <c r="G192" s="366">
        <f t="shared" si="28"/>
        <v>0.35534508218359062</v>
      </c>
      <c r="I192">
        <v>2535.610107</v>
      </c>
      <c r="J192">
        <v>2597.820068</v>
      </c>
      <c r="K192">
        <v>2524.5600589999999</v>
      </c>
      <c r="L192">
        <v>2596.26001</v>
      </c>
      <c r="M192" s="366">
        <f t="shared" si="24"/>
        <v>2.5403473423068812E-2</v>
      </c>
      <c r="N192" s="366">
        <f t="shared" si="29"/>
        <v>0.28275542269839538</v>
      </c>
      <c r="P192" s="285">
        <v>43472</v>
      </c>
      <c r="Q192" s="407">
        <f t="shared" si="20"/>
        <v>68.279999000000004</v>
      </c>
      <c r="R192"/>
      <c r="S192" s="409">
        <f>+F193</f>
        <v>-2.3432337777276047E-3</v>
      </c>
      <c r="T192" s="409">
        <f>+M193</f>
        <v>2.867584552904634E-2</v>
      </c>
      <c r="U192" s="312">
        <f>+S192-$S$285</f>
        <v>-4.1685926350105203E-3</v>
      </c>
      <c r="V192" s="312">
        <f>+T192-$T$285</f>
        <v>2.6415018656017215E-2</v>
      </c>
      <c r="W192" s="419">
        <f t="shared" si="21"/>
        <v>-1.1011345222313885E-4</v>
      </c>
      <c r="X192" s="419">
        <f t="shared" si="22"/>
        <v>8.2230411680572692E-4</v>
      </c>
      <c r="Z192" s="285">
        <f t="shared" si="25"/>
        <v>43472</v>
      </c>
      <c r="AA192" s="312">
        <f t="shared" si="26"/>
        <v>0.35534508218359062</v>
      </c>
      <c r="AB192" s="312">
        <f t="shared" si="27"/>
        <v>0.28275542269839538</v>
      </c>
    </row>
    <row r="193" spans="1:28" ht="17.45" customHeight="1">
      <c r="A193" s="285">
        <v>43479</v>
      </c>
      <c r="B193" s="325">
        <v>67.709998999999996</v>
      </c>
      <c r="C193" s="325">
        <v>68.559997999999993</v>
      </c>
      <c r="D193" s="325">
        <v>66.449996999999996</v>
      </c>
      <c r="E193" s="325">
        <v>68.120002999999997</v>
      </c>
      <c r="F193" s="366">
        <f t="shared" si="23"/>
        <v>-2.3432337777276047E-3</v>
      </c>
      <c r="G193" s="366">
        <f t="shared" si="28"/>
        <v>0.35300184840586302</v>
      </c>
      <c r="I193">
        <v>2580.3100589999999</v>
      </c>
      <c r="J193">
        <v>2675.469971</v>
      </c>
      <c r="K193">
        <v>2570.4099120000001</v>
      </c>
      <c r="L193">
        <v>2670.709961</v>
      </c>
      <c r="M193" s="366">
        <f t="shared" si="24"/>
        <v>2.867584552904634E-2</v>
      </c>
      <c r="N193" s="366">
        <f t="shared" si="29"/>
        <v>0.31143126822744172</v>
      </c>
      <c r="P193" s="285">
        <v>43479</v>
      </c>
      <c r="Q193" s="407">
        <f t="shared" si="20"/>
        <v>68.120002999999997</v>
      </c>
      <c r="R193"/>
      <c r="S193" s="409">
        <f>+F194</f>
        <v>-7.486817051373329E-3</v>
      </c>
      <c r="T193" s="409">
        <f>+M194</f>
        <v>-2.2278536744484434E-3</v>
      </c>
      <c r="U193" s="312">
        <f>+S193-$S$285</f>
        <v>-9.3121759086562447E-3</v>
      </c>
      <c r="V193" s="312">
        <f>+T193-$T$285</f>
        <v>-4.4886805474775695E-3</v>
      </c>
      <c r="W193" s="419">
        <f t="shared" si="21"/>
        <v>4.1799382855874544E-5</v>
      </c>
      <c r="X193" s="419">
        <f t="shared" si="22"/>
        <v>4.9633319947534309E-6</v>
      </c>
      <c r="Z193" s="285">
        <f t="shared" si="25"/>
        <v>43479</v>
      </c>
      <c r="AA193" s="312">
        <f t="shared" si="26"/>
        <v>0.35300184840586302</v>
      </c>
      <c r="AB193" s="312">
        <f t="shared" si="27"/>
        <v>0.31143126822744172</v>
      </c>
    </row>
    <row r="194" spans="1:28" ht="17.45" customHeight="1">
      <c r="A194" s="285">
        <v>43486</v>
      </c>
      <c r="B194" s="325">
        <v>67.760002</v>
      </c>
      <c r="C194" s="325">
        <v>68.029999000000004</v>
      </c>
      <c r="D194" s="325">
        <v>66.690002000000007</v>
      </c>
      <c r="E194" s="325">
        <v>67.610000999999997</v>
      </c>
      <c r="F194" s="366">
        <f t="shared" si="23"/>
        <v>-7.486817051373329E-3</v>
      </c>
      <c r="G194" s="366">
        <f t="shared" si="28"/>
        <v>0.34551503135448969</v>
      </c>
      <c r="I194">
        <v>2657.8798830000001</v>
      </c>
      <c r="J194">
        <v>2672.3798830000001</v>
      </c>
      <c r="K194">
        <v>2612.860107</v>
      </c>
      <c r="L194">
        <v>2664.76001</v>
      </c>
      <c r="M194" s="366">
        <f t="shared" si="24"/>
        <v>-2.2278536744484434E-3</v>
      </c>
      <c r="N194" s="366">
        <f t="shared" si="29"/>
        <v>0.30920341455299327</v>
      </c>
      <c r="P194" s="285">
        <v>43486</v>
      </c>
      <c r="Q194" s="407">
        <f t="shared" si="20"/>
        <v>67.610000999999997</v>
      </c>
      <c r="R194"/>
      <c r="S194" s="409">
        <f>+F195</f>
        <v>4.2005560686206866E-2</v>
      </c>
      <c r="T194" s="409">
        <f>+M195</f>
        <v>1.5674964665955082E-2</v>
      </c>
      <c r="U194" s="312">
        <f>+S194-$S$285</f>
        <v>4.0180201828923949E-2</v>
      </c>
      <c r="V194" s="312">
        <f>+T194-$T$285</f>
        <v>1.3414137792925957E-2</v>
      </c>
      <c r="W194" s="419">
        <f t="shared" si="21"/>
        <v>5.389827638807614E-4</v>
      </c>
      <c r="X194" s="419">
        <f t="shared" si="22"/>
        <v>2.4570451727894035E-4</v>
      </c>
      <c r="Z194" s="285">
        <f t="shared" si="25"/>
        <v>43486</v>
      </c>
      <c r="AA194" s="312">
        <f t="shared" si="26"/>
        <v>0.34551503135448969</v>
      </c>
      <c r="AB194" s="312">
        <f t="shared" si="27"/>
        <v>0.30920341455299327</v>
      </c>
    </row>
    <row r="195" spans="1:28" ht="17.45" customHeight="1">
      <c r="A195" s="285">
        <v>43493</v>
      </c>
      <c r="B195" s="325">
        <v>66.940002000000007</v>
      </c>
      <c r="C195" s="325">
        <v>70.660004000000001</v>
      </c>
      <c r="D195" s="325">
        <v>66.830001999999993</v>
      </c>
      <c r="E195" s="325">
        <v>70.449996999999996</v>
      </c>
      <c r="F195" s="366">
        <f t="shared" si="23"/>
        <v>4.2005560686206866E-2</v>
      </c>
      <c r="G195" s="366">
        <f t="shared" si="28"/>
        <v>0.38752059204069655</v>
      </c>
      <c r="I195">
        <v>2644.969971</v>
      </c>
      <c r="J195">
        <v>2716.6599120000001</v>
      </c>
      <c r="K195">
        <v>2624.0600589999999</v>
      </c>
      <c r="L195">
        <v>2706.530029</v>
      </c>
      <c r="M195" s="366">
        <f t="shared" si="24"/>
        <v>1.5674964665955082E-2</v>
      </c>
      <c r="N195" s="366">
        <f t="shared" si="29"/>
        <v>0.32487837921894835</v>
      </c>
      <c r="P195" s="285">
        <v>43493</v>
      </c>
      <c r="Q195" s="407">
        <f t="shared" si="20"/>
        <v>70.449996999999996</v>
      </c>
      <c r="R195"/>
      <c r="S195" s="409">
        <f>+F196</f>
        <v>-3.5486161908566682E-3</v>
      </c>
      <c r="T195" s="409">
        <f>+M196</f>
        <v>4.9873970934610767E-4</v>
      </c>
      <c r="U195" s="312">
        <f>+S195-$S$285</f>
        <v>-5.3739750481395839E-3</v>
      </c>
      <c r="V195" s="312">
        <f>+T195-$T$285</f>
        <v>-1.7620871636830184E-3</v>
      </c>
      <c r="W195" s="419">
        <f t="shared" si="21"/>
        <v>9.4694124502795916E-6</v>
      </c>
      <c r="X195" s="419">
        <f t="shared" si="22"/>
        <v>2.4874129767863997E-7</v>
      </c>
      <c r="Z195" s="285">
        <f t="shared" si="25"/>
        <v>43493</v>
      </c>
      <c r="AA195" s="312">
        <f t="shared" si="26"/>
        <v>0.38752059204069655</v>
      </c>
      <c r="AB195" s="312">
        <f t="shared" si="27"/>
        <v>0.32487837921894835</v>
      </c>
    </row>
    <row r="196" spans="1:28" ht="17.45" customHeight="1">
      <c r="A196" s="285">
        <v>43500</v>
      </c>
      <c r="B196" s="325">
        <v>70.349997999999999</v>
      </c>
      <c r="C196" s="325">
        <v>71.190002000000007</v>
      </c>
      <c r="D196" s="325">
        <v>69.269997000000004</v>
      </c>
      <c r="E196" s="325">
        <v>70.199996999999996</v>
      </c>
      <c r="F196" s="366">
        <f t="shared" si="23"/>
        <v>-3.5486161908566682E-3</v>
      </c>
      <c r="G196" s="366">
        <f t="shared" si="28"/>
        <v>0.38397197584983989</v>
      </c>
      <c r="I196">
        <v>2706.48999</v>
      </c>
      <c r="J196">
        <v>2738.9799800000001</v>
      </c>
      <c r="K196">
        <v>2681.830078</v>
      </c>
      <c r="L196">
        <v>2707.8798830000001</v>
      </c>
      <c r="M196" s="366">
        <f t="shared" si="24"/>
        <v>4.9873970934610767E-4</v>
      </c>
      <c r="N196" s="366">
        <f t="shared" si="29"/>
        <v>0.32537711892829446</v>
      </c>
      <c r="P196" s="285">
        <v>43500</v>
      </c>
      <c r="Q196" s="407">
        <f t="shared" si="20"/>
        <v>70.199996999999996</v>
      </c>
      <c r="R196"/>
      <c r="S196" s="409">
        <f>+F197</f>
        <v>3.048431754206482E-2</v>
      </c>
      <c r="T196" s="409">
        <f>+M197</f>
        <v>2.5008574207868506E-2</v>
      </c>
      <c r="U196" s="312">
        <f>+S196-$S$285</f>
        <v>2.8658958684781903E-2</v>
      </c>
      <c r="V196" s="312">
        <f>+T196-$T$285</f>
        <v>2.2747747334839381E-2</v>
      </c>
      <c r="W196" s="419">
        <f t="shared" si="21"/>
        <v>6.5192675104101946E-4</v>
      </c>
      <c r="X196" s="419">
        <f t="shared" si="22"/>
        <v>6.2542878391046587E-4</v>
      </c>
      <c r="Z196" s="285">
        <f t="shared" si="25"/>
        <v>43500</v>
      </c>
      <c r="AA196" s="312">
        <f t="shared" si="26"/>
        <v>0.38397197584983989</v>
      </c>
      <c r="AB196" s="312">
        <f t="shared" si="27"/>
        <v>0.32537711892829446</v>
      </c>
    </row>
    <row r="197" spans="1:28" ht="17.45" customHeight="1">
      <c r="A197" s="285">
        <v>43507</v>
      </c>
      <c r="B197" s="325">
        <v>70.449996999999996</v>
      </c>
      <c r="C197" s="325">
        <v>73.949996999999996</v>
      </c>
      <c r="D197" s="325">
        <v>70.180000000000007</v>
      </c>
      <c r="E197" s="325">
        <v>72.339995999999999</v>
      </c>
      <c r="F197" s="366">
        <f t="shared" si="23"/>
        <v>3.048431754206482E-2</v>
      </c>
      <c r="G197" s="366">
        <f t="shared" si="28"/>
        <v>0.41445629339190471</v>
      </c>
      <c r="I197">
        <v>2712.3999020000001</v>
      </c>
      <c r="J197">
        <v>2775.6599120000001</v>
      </c>
      <c r="K197">
        <v>2703.790039</v>
      </c>
      <c r="L197">
        <v>2775.6000979999999</v>
      </c>
      <c r="M197" s="366">
        <f t="shared" si="24"/>
        <v>2.5008574207868506E-2</v>
      </c>
      <c r="N197" s="366">
        <f t="shared" si="29"/>
        <v>0.35038569313616297</v>
      </c>
      <c r="P197" s="285">
        <v>43507</v>
      </c>
      <c r="Q197" s="407">
        <f t="shared" si="20"/>
        <v>72.339995999999999</v>
      </c>
      <c r="R197"/>
      <c r="S197" s="409">
        <f>+F198</f>
        <v>3.6770861861811666E-2</v>
      </c>
      <c r="T197" s="409">
        <f>+M198</f>
        <v>6.1499579900938794E-3</v>
      </c>
      <c r="U197" s="312">
        <f>+S197-$S$285</f>
        <v>3.4945503004528748E-2</v>
      </c>
      <c r="V197" s="312">
        <f>+T197-$T$285</f>
        <v>3.8891311170647534E-3</v>
      </c>
      <c r="W197" s="419">
        <f t="shared" si="21"/>
        <v>1.3590764313639258E-4</v>
      </c>
      <c r="X197" s="419">
        <f t="shared" si="22"/>
        <v>3.7821983279919552E-5</v>
      </c>
      <c r="Z197" s="285">
        <f t="shared" si="25"/>
        <v>43507</v>
      </c>
      <c r="AA197" s="312">
        <f t="shared" si="26"/>
        <v>0.41445629339190471</v>
      </c>
      <c r="AB197" s="312">
        <f t="shared" si="27"/>
        <v>0.35038569313616297</v>
      </c>
    </row>
    <row r="198" spans="1:28" ht="17.45" customHeight="1">
      <c r="A198" s="285">
        <v>43514</v>
      </c>
      <c r="B198" s="325">
        <v>72.309997999999993</v>
      </c>
      <c r="C198" s="325">
        <v>75.690002000000007</v>
      </c>
      <c r="D198" s="325">
        <v>71.739998</v>
      </c>
      <c r="E198" s="325">
        <v>75</v>
      </c>
      <c r="F198" s="366">
        <f t="shared" si="23"/>
        <v>3.6770861861811666E-2</v>
      </c>
      <c r="G198" s="366">
        <f t="shared" si="28"/>
        <v>0.45122715525371637</v>
      </c>
      <c r="I198">
        <v>2769.280029</v>
      </c>
      <c r="J198">
        <v>2794.1999510000001</v>
      </c>
      <c r="K198">
        <v>2764.5500489999999</v>
      </c>
      <c r="L198">
        <v>2792.669922</v>
      </c>
      <c r="M198" s="366">
        <f t="shared" si="24"/>
        <v>6.1499579900938794E-3</v>
      </c>
      <c r="N198" s="366">
        <f t="shared" si="29"/>
        <v>0.35653565112625685</v>
      </c>
      <c r="P198" s="285">
        <v>43514</v>
      </c>
      <c r="Q198" s="407">
        <f t="shared" si="20"/>
        <v>75</v>
      </c>
      <c r="R198"/>
      <c r="S198" s="409">
        <f>+F199</f>
        <v>-1.2400000000000078E-2</v>
      </c>
      <c r="T198" s="409">
        <f>+M199</f>
        <v>3.9460513801459207E-3</v>
      </c>
      <c r="U198" s="312">
        <f>+S198-$S$285</f>
        <v>-1.4225358857282993E-2</v>
      </c>
      <c r="V198" s="312">
        <f>+T198-$T$285</f>
        <v>1.6852245071167947E-3</v>
      </c>
      <c r="W198" s="419">
        <f t="shared" si="21"/>
        <v>-2.3972923368824263E-5</v>
      </c>
      <c r="X198" s="419">
        <f t="shared" si="22"/>
        <v>1.5571321494751526E-5</v>
      </c>
      <c r="Z198" s="285">
        <f t="shared" si="25"/>
        <v>43514</v>
      </c>
      <c r="AA198" s="312">
        <f t="shared" si="26"/>
        <v>0.45122715525371637</v>
      </c>
      <c r="AB198" s="312">
        <f t="shared" si="27"/>
        <v>0.35653565112625685</v>
      </c>
    </row>
    <row r="199" spans="1:28" ht="17.45" customHeight="1">
      <c r="A199" s="285">
        <v>43521</v>
      </c>
      <c r="B199" s="325">
        <v>75.260002</v>
      </c>
      <c r="C199" s="325">
        <v>75.260002</v>
      </c>
      <c r="D199" s="325">
        <v>71.930000000000007</v>
      </c>
      <c r="E199" s="325">
        <v>74.069999999999993</v>
      </c>
      <c r="F199" s="366">
        <f t="shared" si="23"/>
        <v>-1.2400000000000078E-2</v>
      </c>
      <c r="G199" s="366">
        <f t="shared" si="28"/>
        <v>0.43882715525371629</v>
      </c>
      <c r="I199">
        <v>2804.3500979999999</v>
      </c>
      <c r="J199">
        <v>2813.48999</v>
      </c>
      <c r="K199">
        <v>2775.1298830000001</v>
      </c>
      <c r="L199">
        <v>2803.6899410000001</v>
      </c>
      <c r="M199" s="366">
        <f t="shared" si="24"/>
        <v>3.9460513801459207E-3</v>
      </c>
      <c r="N199" s="366">
        <f t="shared" si="29"/>
        <v>0.36048170250640277</v>
      </c>
      <c r="P199" s="285">
        <v>43521</v>
      </c>
      <c r="Q199" s="407">
        <f t="shared" si="20"/>
        <v>74.069999999999993</v>
      </c>
      <c r="R199"/>
      <c r="S199" s="409">
        <f>+F200</f>
        <v>-1.8901066558660529E-2</v>
      </c>
      <c r="T199" s="409">
        <f>+M200</f>
        <v>-2.162146110150065E-2</v>
      </c>
      <c r="U199" s="312">
        <f>+S199-$S$285</f>
        <v>-2.0726425415943446E-2</v>
      </c>
      <c r="V199" s="312">
        <f>+T199-$T$285</f>
        <v>-2.3882287974529775E-2</v>
      </c>
      <c r="W199" s="419">
        <f t="shared" si="21"/>
        <v>4.9499446046617442E-4</v>
      </c>
      <c r="X199" s="419">
        <f t="shared" si="22"/>
        <v>4.674875801637057E-4</v>
      </c>
      <c r="Z199" s="285">
        <f t="shared" si="25"/>
        <v>43521</v>
      </c>
      <c r="AA199" s="312">
        <f t="shared" si="26"/>
        <v>0.43882715525371629</v>
      </c>
      <c r="AB199" s="312">
        <f t="shared" si="27"/>
        <v>0.36048170250640277</v>
      </c>
    </row>
    <row r="200" spans="1:28" ht="17.45" customHeight="1">
      <c r="A200" s="285">
        <v>43528</v>
      </c>
      <c r="B200" s="325">
        <v>74.339995999999999</v>
      </c>
      <c r="C200" s="325">
        <v>75.569999999999993</v>
      </c>
      <c r="D200" s="325">
        <v>71.819999999999993</v>
      </c>
      <c r="E200" s="325">
        <v>72.669998000000007</v>
      </c>
      <c r="F200" s="366">
        <f t="shared" si="23"/>
        <v>-1.8901066558660529E-2</v>
      </c>
      <c r="G200" s="366">
        <f t="shared" si="28"/>
        <v>0.41992608869505577</v>
      </c>
      <c r="I200">
        <v>2814.3701169999999</v>
      </c>
      <c r="J200">
        <v>2816.8798830000001</v>
      </c>
      <c r="K200">
        <v>2722.2700199999999</v>
      </c>
      <c r="L200">
        <v>2743.070068</v>
      </c>
      <c r="M200" s="366">
        <f t="shared" si="24"/>
        <v>-2.162146110150065E-2</v>
      </c>
      <c r="N200" s="366">
        <f t="shared" si="29"/>
        <v>0.33886024140490212</v>
      </c>
      <c r="P200" s="285">
        <v>43528</v>
      </c>
      <c r="Q200" s="407">
        <f t="shared" si="20"/>
        <v>72.669998000000007</v>
      </c>
      <c r="R200"/>
      <c r="S200" s="409">
        <f>+F201</f>
        <v>-3.9906565017382434E-3</v>
      </c>
      <c r="T200" s="409">
        <f>+M201</f>
        <v>2.8949283113974156E-2</v>
      </c>
      <c r="U200" s="312">
        <f>+S200-$S$285</f>
        <v>-5.8160153590211591E-3</v>
      </c>
      <c r="V200" s="312">
        <f>+T200-$T$285</f>
        <v>2.6688456240945031E-2</v>
      </c>
      <c r="W200" s="419">
        <f t="shared" si="21"/>
        <v>-1.5522047140590039E-4</v>
      </c>
      <c r="X200" s="419">
        <f t="shared" si="22"/>
        <v>8.3806099281302923E-4</v>
      </c>
      <c r="Z200" s="285">
        <f t="shared" si="25"/>
        <v>43528</v>
      </c>
      <c r="AA200" s="312">
        <f t="shared" si="26"/>
        <v>0.41992608869505577</v>
      </c>
      <c r="AB200" s="312">
        <f t="shared" si="27"/>
        <v>0.33886024140490212</v>
      </c>
    </row>
    <row r="201" spans="1:28" ht="17.45" customHeight="1">
      <c r="A201" s="285">
        <v>43535</v>
      </c>
      <c r="B201" s="325">
        <v>72.989998</v>
      </c>
      <c r="C201" s="325">
        <v>73.449996999999996</v>
      </c>
      <c r="D201" s="325">
        <v>71.430000000000007</v>
      </c>
      <c r="E201" s="325">
        <v>72.379997000000003</v>
      </c>
      <c r="F201" s="366">
        <f t="shared" si="23"/>
        <v>-3.9906565017382434E-3</v>
      </c>
      <c r="G201" s="366">
        <f t="shared" si="28"/>
        <v>0.41593543219331752</v>
      </c>
      <c r="I201">
        <v>2747.610107</v>
      </c>
      <c r="J201">
        <v>2830.7299800000001</v>
      </c>
      <c r="K201">
        <v>2747.610107</v>
      </c>
      <c r="L201">
        <v>2822.4799800000001</v>
      </c>
      <c r="M201" s="366">
        <f t="shared" si="24"/>
        <v>2.8949283113974156E-2</v>
      </c>
      <c r="N201" s="366">
        <f t="shared" si="29"/>
        <v>0.36780952451887627</v>
      </c>
      <c r="P201" s="285">
        <v>43535</v>
      </c>
      <c r="Q201" s="407">
        <f t="shared" si="20"/>
        <v>72.379997000000003</v>
      </c>
      <c r="R201"/>
      <c r="S201" s="409">
        <f>+F202</f>
        <v>8.2896659970848052E-3</v>
      </c>
      <c r="T201" s="409">
        <f>+M202</f>
        <v>-7.713081812541378E-3</v>
      </c>
      <c r="U201" s="312">
        <f>+S201-$S$285</f>
        <v>6.4643071398018895E-3</v>
      </c>
      <c r="V201" s="312">
        <f>+T201-$T$285</f>
        <v>-9.9739086855705032E-3</v>
      </c>
      <c r="W201" s="419">
        <f t="shared" si="21"/>
        <v>-6.447440912786549E-5</v>
      </c>
      <c r="X201" s="419">
        <f t="shared" si="22"/>
        <v>5.9491631046956589E-5</v>
      </c>
      <c r="Z201" s="285">
        <f t="shared" si="25"/>
        <v>43535</v>
      </c>
      <c r="AA201" s="312">
        <f t="shared" si="26"/>
        <v>0.41593543219331752</v>
      </c>
      <c r="AB201" s="312">
        <f t="shared" si="27"/>
        <v>0.36780952451887627</v>
      </c>
    </row>
    <row r="202" spans="1:28" ht="17.45" customHeight="1">
      <c r="A202" s="285">
        <v>43542</v>
      </c>
      <c r="B202" s="325">
        <v>72.720000999999996</v>
      </c>
      <c r="C202" s="325">
        <v>73.800003000000004</v>
      </c>
      <c r="D202" s="325">
        <v>71.150002000000001</v>
      </c>
      <c r="E202" s="325">
        <v>72.980002999999996</v>
      </c>
      <c r="F202" s="366">
        <f t="shared" si="23"/>
        <v>8.2896659970848052E-3</v>
      </c>
      <c r="G202" s="366">
        <f t="shared" si="28"/>
        <v>0.42422509819040233</v>
      </c>
      <c r="I202">
        <v>2822.610107</v>
      </c>
      <c r="J202">
        <v>2860.3100589999999</v>
      </c>
      <c r="K202">
        <v>2800.469971</v>
      </c>
      <c r="L202">
        <v>2800.709961</v>
      </c>
      <c r="M202" s="366">
        <f t="shared" si="24"/>
        <v>-7.713081812541378E-3</v>
      </c>
      <c r="N202" s="366">
        <f t="shared" si="29"/>
        <v>0.3600964427063349</v>
      </c>
      <c r="P202" s="285">
        <v>43542</v>
      </c>
      <c r="Q202" s="407">
        <f t="shared" si="20"/>
        <v>72.980002999999996</v>
      </c>
      <c r="R202"/>
      <c r="S202" s="409">
        <f>+F203</f>
        <v>-5.6180184043018722E-3</v>
      </c>
      <c r="T202" s="409">
        <f>+M203</f>
        <v>1.2029071724360518E-2</v>
      </c>
      <c r="U202" s="312">
        <f>+S202-$S$285</f>
        <v>-7.4433772615847878E-3</v>
      </c>
      <c r="V202" s="312">
        <f>+T202-$T$285</f>
        <v>9.7682448513313931E-3</v>
      </c>
      <c r="W202" s="419">
        <f t="shared" si="21"/>
        <v>-7.2708731611992772E-5</v>
      </c>
      <c r="X202" s="419">
        <f t="shared" si="22"/>
        <v>1.4469856654980974E-4</v>
      </c>
      <c r="Z202" s="285">
        <f t="shared" si="25"/>
        <v>43542</v>
      </c>
      <c r="AA202" s="312">
        <f t="shared" si="26"/>
        <v>0.42422509819040233</v>
      </c>
      <c r="AB202" s="312">
        <f t="shared" si="27"/>
        <v>0.3600964427063349</v>
      </c>
    </row>
    <row r="203" spans="1:28" ht="17.45" customHeight="1">
      <c r="A203" s="285">
        <v>43549</v>
      </c>
      <c r="B203" s="325">
        <v>72.569999999999993</v>
      </c>
      <c r="C203" s="325">
        <v>73.169998000000007</v>
      </c>
      <c r="D203" s="325">
        <v>70.519997000000004</v>
      </c>
      <c r="E203" s="325">
        <v>72.569999999999993</v>
      </c>
      <c r="F203" s="366">
        <f t="shared" si="23"/>
        <v>-5.6180184043018722E-3</v>
      </c>
      <c r="G203" s="366">
        <f t="shared" si="28"/>
        <v>0.41860707978610046</v>
      </c>
      <c r="I203">
        <v>2796.01001</v>
      </c>
      <c r="J203">
        <v>2836.030029</v>
      </c>
      <c r="K203">
        <v>2785.0200199999999</v>
      </c>
      <c r="L203">
        <v>2834.3999020000001</v>
      </c>
      <c r="M203" s="366">
        <f t="shared" si="24"/>
        <v>1.2029071724360518E-2</v>
      </c>
      <c r="N203" s="366">
        <f t="shared" si="29"/>
        <v>0.37212551443069541</v>
      </c>
      <c r="P203" s="285">
        <v>43549</v>
      </c>
      <c r="Q203" s="407">
        <f t="shared" si="20"/>
        <v>72.569999999999993</v>
      </c>
      <c r="R203"/>
      <c r="S203" s="409">
        <f>+F204</f>
        <v>5.6359432272288901E-2</v>
      </c>
      <c r="T203" s="409">
        <f>+M204</f>
        <v>2.058287116042945E-2</v>
      </c>
      <c r="U203" s="312">
        <f>+S203-$S$285</f>
        <v>5.4534073415005983E-2</v>
      </c>
      <c r="V203" s="312">
        <f>+T203-$T$285</f>
        <v>1.8322044287400325E-2</v>
      </c>
      <c r="W203" s="419">
        <f t="shared" si="21"/>
        <v>9.9917570828208027E-4</v>
      </c>
      <c r="X203" s="419">
        <f t="shared" si="22"/>
        <v>4.2365458520683837E-4</v>
      </c>
      <c r="Z203" s="285">
        <f t="shared" si="25"/>
        <v>43549</v>
      </c>
      <c r="AA203" s="312">
        <f t="shared" si="26"/>
        <v>0.41860707978610046</v>
      </c>
      <c r="AB203" s="312">
        <f t="shared" si="27"/>
        <v>0.37212551443069541</v>
      </c>
    </row>
    <row r="204" spans="1:28" ht="17.45" customHeight="1">
      <c r="A204" s="285">
        <v>43556</v>
      </c>
      <c r="B204" s="325">
        <v>73.169998000000007</v>
      </c>
      <c r="C204" s="325">
        <v>76.709998999999996</v>
      </c>
      <c r="D204" s="325">
        <v>72.860000999999997</v>
      </c>
      <c r="E204" s="325">
        <v>76.660004000000001</v>
      </c>
      <c r="F204" s="366">
        <f t="shared" si="23"/>
        <v>5.6359432272288901E-2</v>
      </c>
      <c r="G204" s="366">
        <f t="shared" si="28"/>
        <v>0.47496651205838936</v>
      </c>
      <c r="I204">
        <v>2848.6298830000001</v>
      </c>
      <c r="J204">
        <v>2893.23999</v>
      </c>
      <c r="K204">
        <v>2848.6298830000001</v>
      </c>
      <c r="L204">
        <v>2892.73999</v>
      </c>
      <c r="M204" s="366">
        <f t="shared" si="24"/>
        <v>2.058287116042945E-2</v>
      </c>
      <c r="N204" s="366">
        <f t="shared" si="29"/>
        <v>0.39270838559112486</v>
      </c>
      <c r="P204" s="285">
        <v>43556</v>
      </c>
      <c r="Q204" s="407">
        <f t="shared" si="20"/>
        <v>76.660004000000001</v>
      </c>
      <c r="R204"/>
      <c r="S204" s="409">
        <f>+F205</f>
        <v>-6.0006127836883527E-3</v>
      </c>
      <c r="T204" s="409">
        <f>+M205</f>
        <v>5.0712895215998532E-3</v>
      </c>
      <c r="U204" s="312">
        <f>+S204-$S$285</f>
        <v>-7.8259716409712684E-3</v>
      </c>
      <c r="V204" s="312">
        <f>+T204-$T$285</f>
        <v>2.8104626485707272E-3</v>
      </c>
      <c r="W204" s="419">
        <f t="shared" si="21"/>
        <v>-2.1994600985723511E-5</v>
      </c>
      <c r="X204" s="419">
        <f t="shared" si="22"/>
        <v>2.5717977411888467E-5</v>
      </c>
      <c r="Z204" s="285">
        <f t="shared" si="25"/>
        <v>43556</v>
      </c>
      <c r="AA204" s="312">
        <f t="shared" si="26"/>
        <v>0.47496651205838936</v>
      </c>
      <c r="AB204" s="312">
        <f t="shared" si="27"/>
        <v>0.39270838559112486</v>
      </c>
    </row>
    <row r="205" spans="1:28" ht="17.45" customHeight="1">
      <c r="A205" s="285">
        <v>43563</v>
      </c>
      <c r="B205" s="325">
        <v>76.680000000000007</v>
      </c>
      <c r="C205" s="325">
        <v>76.989998</v>
      </c>
      <c r="D205" s="325">
        <v>75.25</v>
      </c>
      <c r="E205" s="325">
        <v>76.199996999999996</v>
      </c>
      <c r="F205" s="366">
        <f t="shared" si="23"/>
        <v>-6.0006127836883527E-3</v>
      </c>
      <c r="G205" s="366">
        <f t="shared" si="28"/>
        <v>0.468965899274701</v>
      </c>
      <c r="I205">
        <v>2888.459961</v>
      </c>
      <c r="J205">
        <v>2910.540039</v>
      </c>
      <c r="K205">
        <v>2873.330078</v>
      </c>
      <c r="L205">
        <v>2907.4099120000001</v>
      </c>
      <c r="M205" s="366">
        <f t="shared" si="24"/>
        <v>5.0712895215998532E-3</v>
      </c>
      <c r="N205" s="366">
        <f t="shared" si="29"/>
        <v>0.39777967511272472</v>
      </c>
      <c r="P205" s="285">
        <v>43563</v>
      </c>
      <c r="Q205" s="407">
        <f t="shared" si="20"/>
        <v>76.199996999999996</v>
      </c>
      <c r="R205"/>
      <c r="S205" s="409">
        <f>+F206</f>
        <v>-2.2309449697220929E-3</v>
      </c>
      <c r="T205" s="409">
        <f>+M206</f>
        <v>-8.1855777892803072E-4</v>
      </c>
      <c r="U205" s="312">
        <f>+S205-$S$285</f>
        <v>-4.0563038270050086E-3</v>
      </c>
      <c r="V205" s="312">
        <f>+T205-$T$285</f>
        <v>-3.0793846519571568E-3</v>
      </c>
      <c r="W205" s="419">
        <f t="shared" si="21"/>
        <v>1.2490919748554301E-5</v>
      </c>
      <c r="X205" s="419">
        <f t="shared" si="22"/>
        <v>6.7003683744359078E-7</v>
      </c>
      <c r="Z205" s="285">
        <f t="shared" si="25"/>
        <v>43563</v>
      </c>
      <c r="AA205" s="312">
        <f t="shared" si="26"/>
        <v>0.468965899274701</v>
      </c>
      <c r="AB205" s="312">
        <f t="shared" si="27"/>
        <v>0.39777967511272472</v>
      </c>
    </row>
    <row r="206" spans="1:28" ht="17.45" customHeight="1">
      <c r="A206" s="285">
        <v>43570</v>
      </c>
      <c r="B206" s="325">
        <v>76.370002999999997</v>
      </c>
      <c r="C206" s="325">
        <v>77.129997000000003</v>
      </c>
      <c r="D206" s="325">
        <v>75.269997000000004</v>
      </c>
      <c r="E206" s="325">
        <v>76.029999000000004</v>
      </c>
      <c r="F206" s="366">
        <f t="shared" si="23"/>
        <v>-2.2309449697220929E-3</v>
      </c>
      <c r="G206" s="366">
        <f t="shared" si="28"/>
        <v>0.46673495430497891</v>
      </c>
      <c r="I206">
        <v>2908.320068</v>
      </c>
      <c r="J206">
        <v>2918</v>
      </c>
      <c r="K206">
        <v>2891.8999020000001</v>
      </c>
      <c r="L206">
        <v>2905.030029</v>
      </c>
      <c r="M206" s="366">
        <f t="shared" si="24"/>
        <v>-8.1855777892803072E-4</v>
      </c>
      <c r="N206" s="366">
        <f t="shared" si="29"/>
        <v>0.39696111733379669</v>
      </c>
      <c r="P206" s="285">
        <v>43570</v>
      </c>
      <c r="Q206" s="407">
        <f t="shared" si="20"/>
        <v>76.029999000000004</v>
      </c>
      <c r="R206"/>
      <c r="S206" s="409">
        <f>+F207</f>
        <v>1.1705892564854548E-2</v>
      </c>
      <c r="T206" s="409">
        <f>+M207</f>
        <v>1.1996383394355714E-2</v>
      </c>
      <c r="U206" s="312">
        <f>+S206-$S$285</f>
        <v>9.8805337075716319E-3</v>
      </c>
      <c r="V206" s="312">
        <f>+T206-$T$285</f>
        <v>9.7355565213265889E-3</v>
      </c>
      <c r="W206" s="419">
        <f t="shared" si="21"/>
        <v>9.6192494370936186E-5</v>
      </c>
      <c r="X206" s="419">
        <f t="shared" si="22"/>
        <v>1.4391321454437352E-4</v>
      </c>
      <c r="Z206" s="285">
        <f t="shared" si="25"/>
        <v>43570</v>
      </c>
      <c r="AA206" s="312">
        <f t="shared" si="26"/>
        <v>0.46673495430497891</v>
      </c>
      <c r="AB206" s="312">
        <f t="shared" si="27"/>
        <v>0.39696111733379669</v>
      </c>
    </row>
    <row r="207" spans="1:28" ht="17.45" customHeight="1">
      <c r="A207" s="285">
        <v>43577</v>
      </c>
      <c r="B207" s="325">
        <v>75.599997999999999</v>
      </c>
      <c r="C207" s="325">
        <v>77.069999999999993</v>
      </c>
      <c r="D207" s="325">
        <v>75.25</v>
      </c>
      <c r="E207" s="325">
        <v>76.919998000000007</v>
      </c>
      <c r="F207" s="366">
        <f t="shared" si="23"/>
        <v>1.1705892564854548E-2</v>
      </c>
      <c r="G207" s="366">
        <f t="shared" si="28"/>
        <v>0.47844084686983346</v>
      </c>
      <c r="I207">
        <v>2898.780029</v>
      </c>
      <c r="J207">
        <v>2939.8798830000001</v>
      </c>
      <c r="K207">
        <v>2896.3500979999999</v>
      </c>
      <c r="L207">
        <v>2939.8798830000001</v>
      </c>
      <c r="M207" s="366">
        <f t="shared" si="24"/>
        <v>1.1996383394355714E-2</v>
      </c>
      <c r="N207" s="366">
        <f t="shared" si="29"/>
        <v>0.4089575007281524</v>
      </c>
      <c r="P207" s="285">
        <v>43577</v>
      </c>
      <c r="Q207" s="407">
        <f t="shared" si="20"/>
        <v>76.919998000000007</v>
      </c>
      <c r="R207"/>
      <c r="S207" s="409">
        <f>+F208</f>
        <v>8.9703980491522284E-3</v>
      </c>
      <c r="T207" s="409">
        <f>+M208</f>
        <v>1.9592671228874092E-3</v>
      </c>
      <c r="U207" s="312">
        <f>+S207-$S$285</f>
        <v>7.1450391918693127E-3</v>
      </c>
      <c r="V207" s="312">
        <f>+T207-$T$285</f>
        <v>-3.0155975014171683E-4</v>
      </c>
      <c r="W207" s="419">
        <f t="shared" si="21"/>
        <v>-2.1546562334528842E-6</v>
      </c>
      <c r="X207" s="419">
        <f t="shared" si="22"/>
        <v>3.8387276588275067E-6</v>
      </c>
      <c r="Z207" s="285">
        <f t="shared" si="25"/>
        <v>43577</v>
      </c>
      <c r="AA207" s="312">
        <f t="shared" si="26"/>
        <v>0.47844084686983346</v>
      </c>
      <c r="AB207" s="312">
        <f t="shared" si="27"/>
        <v>0.4089575007281524</v>
      </c>
    </row>
    <row r="208" spans="1:28" ht="17.45" customHeight="1">
      <c r="A208" s="285">
        <v>43584</v>
      </c>
      <c r="B208" s="325">
        <v>76.400002000000001</v>
      </c>
      <c r="C208" s="325">
        <v>79.650002000000001</v>
      </c>
      <c r="D208" s="325">
        <v>75.690002000000007</v>
      </c>
      <c r="E208" s="325">
        <v>77.610000999999997</v>
      </c>
      <c r="F208" s="366">
        <f t="shared" si="23"/>
        <v>8.9703980491522284E-3</v>
      </c>
      <c r="G208" s="366">
        <f t="shared" si="28"/>
        <v>0.48741124491898569</v>
      </c>
      <c r="I208">
        <v>2940.580078</v>
      </c>
      <c r="J208">
        <v>2954.1298830000001</v>
      </c>
      <c r="K208">
        <v>2900.5</v>
      </c>
      <c r="L208">
        <v>2945.639893</v>
      </c>
      <c r="M208" s="366">
        <f t="shared" si="24"/>
        <v>1.9592671228874092E-3</v>
      </c>
      <c r="N208" s="366">
        <f t="shared" si="29"/>
        <v>0.41091676785103981</v>
      </c>
      <c r="P208" s="285">
        <v>43584</v>
      </c>
      <c r="Q208" s="407">
        <f t="shared" si="20"/>
        <v>77.610000999999997</v>
      </c>
      <c r="R208"/>
      <c r="S208" s="409">
        <f>+F209</f>
        <v>-1.5848524470448044E-2</v>
      </c>
      <c r="T208" s="409">
        <f>+M209</f>
        <v>-2.1808501152044912E-2</v>
      </c>
      <c r="U208" s="312">
        <f>+S208-$S$285</f>
        <v>-1.7673883327730962E-2</v>
      </c>
      <c r="V208" s="312">
        <f>+T208-$T$285</f>
        <v>-2.4069328025074038E-2</v>
      </c>
      <c r="W208" s="419">
        <f t="shared" si="21"/>
        <v>4.2539849529204361E-4</v>
      </c>
      <c r="X208" s="419">
        <f t="shared" si="22"/>
        <v>4.7561072249874427E-4</v>
      </c>
      <c r="Z208" s="285">
        <f t="shared" si="25"/>
        <v>43584</v>
      </c>
      <c r="AA208" s="312">
        <f t="shared" si="26"/>
        <v>0.48741124491898569</v>
      </c>
      <c r="AB208" s="312">
        <f t="shared" si="27"/>
        <v>0.41091676785103981</v>
      </c>
    </row>
    <row r="209" spans="1:28" ht="17.45" customHeight="1">
      <c r="A209" s="285">
        <v>43591</v>
      </c>
      <c r="B209" s="325">
        <v>76.660004000000001</v>
      </c>
      <c r="C209" s="325">
        <v>77.669998000000007</v>
      </c>
      <c r="D209" s="325">
        <v>75.650002000000001</v>
      </c>
      <c r="E209" s="325">
        <v>76.379997000000003</v>
      </c>
      <c r="F209" s="366">
        <f t="shared" si="23"/>
        <v>-1.5848524470448044E-2</v>
      </c>
      <c r="G209" s="366">
        <f t="shared" si="28"/>
        <v>0.47156272044853764</v>
      </c>
      <c r="I209">
        <v>2908.889893</v>
      </c>
      <c r="J209">
        <v>2937.320068</v>
      </c>
      <c r="K209">
        <v>2825.389893</v>
      </c>
      <c r="L209">
        <v>2881.3999020000001</v>
      </c>
      <c r="M209" s="366">
        <f t="shared" si="24"/>
        <v>-2.1808501152044912E-2</v>
      </c>
      <c r="N209" s="366">
        <f t="shared" si="29"/>
        <v>0.3891082666989949</v>
      </c>
      <c r="P209" s="285">
        <v>43591</v>
      </c>
      <c r="Q209" s="407">
        <f t="shared" si="20"/>
        <v>76.379997000000003</v>
      </c>
      <c r="R209"/>
      <c r="S209" s="409">
        <f>+F210</f>
        <v>1.3223383603955918E-2</v>
      </c>
      <c r="T209" s="409">
        <f>+M210</f>
        <v>-7.5900165696611843E-3</v>
      </c>
      <c r="U209" s="312">
        <f>+S209-$S$285</f>
        <v>1.1398024746673003E-2</v>
      </c>
      <c r="V209" s="312">
        <f>+T209-$T$285</f>
        <v>-9.8508434426903095E-3</v>
      </c>
      <c r="W209" s="419">
        <f t="shared" si="21"/>
        <v>-1.1228015733538562E-4</v>
      </c>
      <c r="X209" s="419">
        <f t="shared" si="22"/>
        <v>5.760835152773133E-5</v>
      </c>
      <c r="Z209" s="285">
        <f t="shared" si="25"/>
        <v>43591</v>
      </c>
      <c r="AA209" s="312">
        <f t="shared" si="26"/>
        <v>0.47156272044853764</v>
      </c>
      <c r="AB209" s="312">
        <f t="shared" si="27"/>
        <v>0.3891082666989949</v>
      </c>
    </row>
    <row r="210" spans="1:28" ht="17.45" customHeight="1">
      <c r="A210" s="285">
        <v>43598</v>
      </c>
      <c r="B210" s="325">
        <v>75.089995999999999</v>
      </c>
      <c r="C210" s="325">
        <v>78.540001000000004</v>
      </c>
      <c r="D210" s="325">
        <v>74.230002999999996</v>
      </c>
      <c r="E210" s="325">
        <v>77.389999000000003</v>
      </c>
      <c r="F210" s="366">
        <f t="shared" si="23"/>
        <v>1.3223383603955918E-2</v>
      </c>
      <c r="G210" s="366">
        <f t="shared" si="28"/>
        <v>0.48478610405249356</v>
      </c>
      <c r="I210">
        <v>2840.1899410000001</v>
      </c>
      <c r="J210">
        <v>2892.1499020000001</v>
      </c>
      <c r="K210">
        <v>2801.429932</v>
      </c>
      <c r="L210">
        <v>2859.530029</v>
      </c>
      <c r="M210" s="366">
        <f t="shared" si="24"/>
        <v>-7.5900165696611843E-3</v>
      </c>
      <c r="N210" s="366">
        <f t="shared" si="29"/>
        <v>0.38151825012933371</v>
      </c>
      <c r="P210" s="285">
        <v>43598</v>
      </c>
      <c r="Q210" s="407">
        <f t="shared" si="20"/>
        <v>77.389999000000003</v>
      </c>
      <c r="R210"/>
      <c r="S210" s="409">
        <f>+F211</f>
        <v>-3.7730947638337731E-2</v>
      </c>
      <c r="T210" s="409">
        <f>+M211</f>
        <v>-1.1704710095912119E-2</v>
      </c>
      <c r="U210" s="312">
        <f>+S210-$S$285</f>
        <v>-3.9556306495620648E-2</v>
      </c>
      <c r="V210" s="312">
        <f>+T210-$T$285</f>
        <v>-1.3965536968941244E-2</v>
      </c>
      <c r="W210" s="419">
        <f t="shared" si="21"/>
        <v>5.524250607193608E-4</v>
      </c>
      <c r="X210" s="419">
        <f t="shared" si="22"/>
        <v>1.3700023842934709E-4</v>
      </c>
      <c r="Z210" s="285">
        <f t="shared" si="25"/>
        <v>43598</v>
      </c>
      <c r="AA210" s="312">
        <f t="shared" si="26"/>
        <v>0.48478610405249356</v>
      </c>
      <c r="AB210" s="312">
        <f t="shared" si="27"/>
        <v>0.38151825012933371</v>
      </c>
    </row>
    <row r="211" spans="1:28" ht="17.45" customHeight="1">
      <c r="A211" s="285">
        <v>43605</v>
      </c>
      <c r="B211" s="325">
        <v>76.910004000000001</v>
      </c>
      <c r="C211" s="325">
        <v>77.139999000000003</v>
      </c>
      <c r="D211" s="325">
        <v>74.230002999999996</v>
      </c>
      <c r="E211" s="325">
        <v>74.470000999999996</v>
      </c>
      <c r="F211" s="366">
        <f t="shared" si="23"/>
        <v>-3.7730947638337731E-2</v>
      </c>
      <c r="G211" s="366">
        <f t="shared" si="28"/>
        <v>0.44705515641415583</v>
      </c>
      <c r="I211">
        <v>2841.9399410000001</v>
      </c>
      <c r="J211">
        <v>2868.8798830000001</v>
      </c>
      <c r="K211">
        <v>2805.48999</v>
      </c>
      <c r="L211">
        <v>2826.0600589999999</v>
      </c>
      <c r="M211" s="366">
        <f t="shared" si="24"/>
        <v>-1.1704710095912119E-2</v>
      </c>
      <c r="N211" s="366">
        <f t="shared" si="29"/>
        <v>0.36981354003342159</v>
      </c>
      <c r="P211" s="285">
        <v>43605</v>
      </c>
      <c r="Q211" s="407">
        <f t="shared" si="20"/>
        <v>74.470000999999996</v>
      </c>
      <c r="R211"/>
      <c r="S211" s="409">
        <f>+F212</f>
        <v>-2.9944984155431897E-2</v>
      </c>
      <c r="T211" s="409">
        <f>+M212</f>
        <v>-2.6184864601279889E-2</v>
      </c>
      <c r="U211" s="312">
        <f>+S211-$S$285</f>
        <v>-3.1770343012714815E-2</v>
      </c>
      <c r="V211" s="312">
        <f>+T211-$T$285</f>
        <v>-2.8445691474309014E-2</v>
      </c>
      <c r="W211" s="419">
        <f t="shared" si="21"/>
        <v>9.0372937537265476E-4</v>
      </c>
      <c r="X211" s="419">
        <f t="shared" si="22"/>
        <v>6.8564713418736061E-4</v>
      </c>
      <c r="Z211" s="285">
        <f t="shared" si="25"/>
        <v>43605</v>
      </c>
      <c r="AA211" s="312">
        <f t="shared" si="26"/>
        <v>0.44705515641415583</v>
      </c>
      <c r="AB211" s="312">
        <f t="shared" si="27"/>
        <v>0.36981354003342159</v>
      </c>
    </row>
    <row r="212" spans="1:28" ht="17.45" customHeight="1">
      <c r="A212" s="285">
        <v>43612</v>
      </c>
      <c r="B212" s="325">
        <v>74.269997000000004</v>
      </c>
      <c r="C212" s="325">
        <v>74.739998</v>
      </c>
      <c r="D212" s="325">
        <v>71.209998999999996</v>
      </c>
      <c r="E212" s="325">
        <v>72.239998</v>
      </c>
      <c r="F212" s="366">
        <f t="shared" si="23"/>
        <v>-2.9944984155431897E-2</v>
      </c>
      <c r="G212" s="366">
        <f t="shared" si="28"/>
        <v>0.41711017225872393</v>
      </c>
      <c r="I212">
        <v>2830.030029</v>
      </c>
      <c r="J212">
        <v>2840.51001</v>
      </c>
      <c r="K212">
        <v>2750.5200199999999</v>
      </c>
      <c r="L212">
        <v>2752.0600589999999</v>
      </c>
      <c r="M212" s="366">
        <f t="shared" si="24"/>
        <v>-2.6184864601279889E-2</v>
      </c>
      <c r="N212" s="366">
        <f t="shared" si="29"/>
        <v>0.34362867543214171</v>
      </c>
      <c r="P212" s="285">
        <v>43612</v>
      </c>
      <c r="Q212" s="407">
        <f t="shared" si="20"/>
        <v>72.239998</v>
      </c>
      <c r="R212"/>
      <c r="S212" s="409">
        <f>+F213</f>
        <v>1.9103059775832154E-2</v>
      </c>
      <c r="T212" s="409">
        <f>+M213</f>
        <v>4.4068816232182284E-2</v>
      </c>
      <c r="U212" s="312">
        <f>+S212-$S$285</f>
        <v>1.7277700918549237E-2</v>
      </c>
      <c r="V212" s="312">
        <f>+T212-$T$285</f>
        <v>4.1807989359153155E-2</v>
      </c>
      <c r="W212" s="419">
        <f t="shared" si="21"/>
        <v>7.2234593615333714E-4</v>
      </c>
      <c r="X212" s="419">
        <f t="shared" si="22"/>
        <v>1.9420605641058528E-3</v>
      </c>
      <c r="Z212" s="285">
        <f t="shared" si="25"/>
        <v>43612</v>
      </c>
      <c r="AA212" s="312">
        <f t="shared" si="26"/>
        <v>0.41711017225872393</v>
      </c>
      <c r="AB212" s="312">
        <f t="shared" si="27"/>
        <v>0.34362867543214171</v>
      </c>
    </row>
    <row r="213" spans="1:28" ht="17.45" customHeight="1">
      <c r="A213" s="285">
        <v>43619</v>
      </c>
      <c r="B213" s="325">
        <v>72.25</v>
      </c>
      <c r="C213" s="325">
        <v>74.199996999999996</v>
      </c>
      <c r="D213" s="325">
        <v>71.010002</v>
      </c>
      <c r="E213" s="325">
        <v>73.620002999999997</v>
      </c>
      <c r="F213" s="366">
        <f t="shared" si="23"/>
        <v>1.9103059775832154E-2</v>
      </c>
      <c r="G213" s="366">
        <f t="shared" si="28"/>
        <v>0.43621323203455609</v>
      </c>
      <c r="I213">
        <v>2751.530029</v>
      </c>
      <c r="J213">
        <v>2884.969971</v>
      </c>
      <c r="K213">
        <v>2728.8100589999999</v>
      </c>
      <c r="L213">
        <v>2873.3400879999999</v>
      </c>
      <c r="M213" s="366">
        <f t="shared" si="24"/>
        <v>4.4068816232182284E-2</v>
      </c>
      <c r="N213" s="366">
        <f t="shared" si="29"/>
        <v>0.38769749166432399</v>
      </c>
      <c r="P213" s="285">
        <v>43619</v>
      </c>
      <c r="Q213" s="407">
        <f t="shared" si="20"/>
        <v>73.620002999999997</v>
      </c>
      <c r="R213"/>
      <c r="S213" s="409">
        <f>+F214</f>
        <v>1.3854875827701507E-2</v>
      </c>
      <c r="T213" s="409">
        <f>+M214</f>
        <v>4.7470510215497086E-3</v>
      </c>
      <c r="U213" s="312">
        <f>+S213-$S$285</f>
        <v>1.2029516970418591E-2</v>
      </c>
      <c r="V213" s="312">
        <f>+T213-$T$285</f>
        <v>2.4862241485205825E-3</v>
      </c>
      <c r="W213" s="419">
        <f t="shared" si="21"/>
        <v>2.990807558689286E-5</v>
      </c>
      <c r="X213" s="419">
        <f t="shared" si="22"/>
        <v>2.2534493401196132E-5</v>
      </c>
      <c r="Z213" s="285">
        <f t="shared" si="25"/>
        <v>43619</v>
      </c>
      <c r="AA213" s="312">
        <f t="shared" si="26"/>
        <v>0.43621323203455609</v>
      </c>
      <c r="AB213" s="312">
        <f t="shared" si="27"/>
        <v>0.38769749166432399</v>
      </c>
    </row>
    <row r="214" spans="1:28" ht="17.45" customHeight="1">
      <c r="A214" s="285">
        <v>43626</v>
      </c>
      <c r="B214" s="325">
        <v>74.120002999999997</v>
      </c>
      <c r="C214" s="325">
        <v>75.980002999999996</v>
      </c>
      <c r="D214" s="325">
        <v>74.069999999999993</v>
      </c>
      <c r="E214" s="325">
        <v>74.639999000000003</v>
      </c>
      <c r="F214" s="366">
        <f t="shared" si="23"/>
        <v>1.3854875827701507E-2</v>
      </c>
      <c r="G214" s="366">
        <f t="shared" si="28"/>
        <v>0.45006810786225759</v>
      </c>
      <c r="I214">
        <v>2885.830078</v>
      </c>
      <c r="J214">
        <v>2910.610107</v>
      </c>
      <c r="K214">
        <v>2874.679932</v>
      </c>
      <c r="L214">
        <v>2886.9799800000001</v>
      </c>
      <c r="M214" s="366">
        <f t="shared" si="24"/>
        <v>4.7470510215497086E-3</v>
      </c>
      <c r="N214" s="366">
        <f t="shared" si="29"/>
        <v>0.3924445426858737</v>
      </c>
      <c r="P214" s="285">
        <v>43626</v>
      </c>
      <c r="Q214" s="407">
        <f t="shared" si="20"/>
        <v>74.639999000000003</v>
      </c>
      <c r="R214"/>
      <c r="S214" s="409">
        <f>+F215</f>
        <v>3.617430380726594E-3</v>
      </c>
      <c r="T214" s="409">
        <f>+M215</f>
        <v>2.1988368966798344E-2</v>
      </c>
      <c r="U214" s="312">
        <f>+S214-$S$285</f>
        <v>1.7920715234436778E-3</v>
      </c>
      <c r="V214" s="312">
        <f>+T214-$T$285</f>
        <v>1.9727542093769219E-2</v>
      </c>
      <c r="W214" s="419">
        <f t="shared" si="21"/>
        <v>3.5353166413780283E-5</v>
      </c>
      <c r="X214" s="419">
        <f t="shared" si="22"/>
        <v>4.834883698200605E-4</v>
      </c>
      <c r="Z214" s="285">
        <f t="shared" si="25"/>
        <v>43626</v>
      </c>
      <c r="AA214" s="312">
        <f t="shared" si="26"/>
        <v>0.45006810786225759</v>
      </c>
      <c r="AB214" s="312">
        <f t="shared" si="27"/>
        <v>0.3924445426858737</v>
      </c>
    </row>
    <row r="215" spans="1:28" ht="17.45" customHeight="1">
      <c r="A215" s="285">
        <v>43633</v>
      </c>
      <c r="B215" s="325">
        <v>74.629997000000003</v>
      </c>
      <c r="C215" s="325">
        <v>76.680000000000007</v>
      </c>
      <c r="D215" s="325">
        <v>73.930000000000007</v>
      </c>
      <c r="E215" s="325">
        <v>74.910004000000001</v>
      </c>
      <c r="F215" s="366">
        <f t="shared" si="23"/>
        <v>3.617430380726594E-3</v>
      </c>
      <c r="G215" s="366">
        <f t="shared" si="28"/>
        <v>0.45368553824298419</v>
      </c>
      <c r="I215">
        <v>2889.75</v>
      </c>
      <c r="J215">
        <v>2964.1499020000001</v>
      </c>
      <c r="K215">
        <v>2887.3000489999999</v>
      </c>
      <c r="L215">
        <v>2950.459961</v>
      </c>
      <c r="M215" s="366">
        <f t="shared" si="24"/>
        <v>2.1988368966798344E-2</v>
      </c>
      <c r="N215" s="366">
        <f t="shared" si="29"/>
        <v>0.41443291165267204</v>
      </c>
      <c r="P215" s="285">
        <v>43633</v>
      </c>
      <c r="Q215" s="407">
        <f t="shared" ref="Q215:Q278" si="30">+E215</f>
        <v>74.910004000000001</v>
      </c>
      <c r="R215"/>
      <c r="S215" s="409">
        <f>+F216</f>
        <v>1.628611580370487E-2</v>
      </c>
      <c r="T215" s="409">
        <f>+M216</f>
        <v>-2.9486761776124082E-3</v>
      </c>
      <c r="U215" s="312">
        <f>+S215-$S$285</f>
        <v>1.4460756946421955E-2</v>
      </c>
      <c r="V215" s="312">
        <f>+T215-$T$285</f>
        <v>-5.2095030506415342E-3</v>
      </c>
      <c r="W215" s="419">
        <f t="shared" ref="W215:W278" si="31">+V215*U215</f>
        <v>-7.5333357426970933E-5</v>
      </c>
      <c r="X215" s="419">
        <f t="shared" ref="X215:X278" si="32">+T215^2</f>
        <v>8.6946912004189224E-6</v>
      </c>
      <c r="Z215" s="285">
        <f t="shared" si="25"/>
        <v>43633</v>
      </c>
      <c r="AA215" s="312">
        <f t="shared" si="26"/>
        <v>0.45368553824298419</v>
      </c>
      <c r="AB215" s="312">
        <f t="shared" si="27"/>
        <v>0.41443291165267204</v>
      </c>
    </row>
    <row r="216" spans="1:28" ht="17.45" customHeight="1">
      <c r="A216" s="285">
        <v>43640</v>
      </c>
      <c r="B216" s="325">
        <v>74.849997999999999</v>
      </c>
      <c r="C216" s="325">
        <v>76.300003000000004</v>
      </c>
      <c r="D216" s="325">
        <v>72.970000999999996</v>
      </c>
      <c r="E216" s="325">
        <v>76.129997000000003</v>
      </c>
      <c r="F216" s="366">
        <f t="shared" ref="F216:F279" si="33">+E216/E215-1</f>
        <v>1.628611580370487E-2</v>
      </c>
      <c r="G216" s="366">
        <f t="shared" si="28"/>
        <v>0.46997165404668906</v>
      </c>
      <c r="I216">
        <v>2951.419922</v>
      </c>
      <c r="J216">
        <v>2954.919922</v>
      </c>
      <c r="K216">
        <v>2912.98999</v>
      </c>
      <c r="L216">
        <v>2941.76001</v>
      </c>
      <c r="M216" s="366">
        <f t="shared" ref="M216:M279" si="34">+L216/L215-1</f>
        <v>-2.9486761776124082E-3</v>
      </c>
      <c r="N216" s="366">
        <f t="shared" si="29"/>
        <v>0.41148423547505963</v>
      </c>
      <c r="P216" s="285">
        <v>43640</v>
      </c>
      <c r="Q216" s="407">
        <f t="shared" si="30"/>
        <v>76.129997000000003</v>
      </c>
      <c r="R216"/>
      <c r="S216" s="409">
        <f>+F217</f>
        <v>1.8258243199458013E-2</v>
      </c>
      <c r="T216" s="409">
        <f>+M217</f>
        <v>1.6537685546959446E-2</v>
      </c>
      <c r="U216" s="312">
        <f>+S216-$S$285</f>
        <v>1.6432884342175096E-2</v>
      </c>
      <c r="V216" s="312">
        <f>+T216-$T$285</f>
        <v>1.4276858673930321E-2</v>
      </c>
      <c r="W216" s="419">
        <f t="shared" si="31"/>
        <v>2.3460996735827626E-4</v>
      </c>
      <c r="X216" s="419">
        <f t="shared" si="32"/>
        <v>2.7349504325011135E-4</v>
      </c>
      <c r="Z216" s="285">
        <f t="shared" ref="Z216:Z279" si="35">+A216</f>
        <v>43640</v>
      </c>
      <c r="AA216" s="312">
        <f t="shared" ref="AA216:AA278" si="36">+G216</f>
        <v>0.46997165404668906</v>
      </c>
      <c r="AB216" s="312">
        <f t="shared" ref="AB216:AB278" si="37">+N216</f>
        <v>0.41148423547505963</v>
      </c>
    </row>
    <row r="217" spans="1:28" ht="17.45" customHeight="1">
      <c r="A217" s="285">
        <v>43647</v>
      </c>
      <c r="B217" s="325">
        <v>77.559997999999993</v>
      </c>
      <c r="C217" s="325">
        <v>78.239998</v>
      </c>
      <c r="D217" s="325">
        <v>76.059997999999993</v>
      </c>
      <c r="E217" s="325">
        <v>77.519997000000004</v>
      </c>
      <c r="F217" s="366">
        <f t="shared" si="33"/>
        <v>1.8258243199458013E-2</v>
      </c>
      <c r="G217" s="366">
        <f t="shared" ref="G217:G280" si="38">+F217+G216</f>
        <v>0.48822989724614707</v>
      </c>
      <c r="I217">
        <v>2971.4099120000001</v>
      </c>
      <c r="J217">
        <v>2995.8400879999999</v>
      </c>
      <c r="K217">
        <v>2952.219971</v>
      </c>
      <c r="L217">
        <v>2990.4099120000001</v>
      </c>
      <c r="M217" s="366">
        <f t="shared" si="34"/>
        <v>1.6537685546959446E-2</v>
      </c>
      <c r="N217" s="366">
        <f t="shared" ref="N217:N280" si="39">+M217+N216</f>
        <v>0.42802192102201908</v>
      </c>
      <c r="P217" s="285">
        <v>43647</v>
      </c>
      <c r="Q217" s="407">
        <f t="shared" si="30"/>
        <v>77.519997000000004</v>
      </c>
      <c r="R217"/>
      <c r="S217" s="409">
        <f>+F218</f>
        <v>7.7405833748911412E-4</v>
      </c>
      <c r="T217" s="409">
        <f>+M218</f>
        <v>7.8116742143810036E-3</v>
      </c>
      <c r="U217" s="312">
        <f>+S217-$S$285</f>
        <v>-1.051300519793802E-3</v>
      </c>
      <c r="V217" s="312">
        <f>+T217-$T$285</f>
        <v>5.5508473413518776E-3</v>
      </c>
      <c r="W217" s="419">
        <f t="shared" si="31"/>
        <v>-5.8356086952592729E-6</v>
      </c>
      <c r="X217" s="419">
        <f t="shared" si="32"/>
        <v>6.1022254031625067E-5</v>
      </c>
      <c r="Z217" s="285">
        <f t="shared" si="35"/>
        <v>43647</v>
      </c>
      <c r="AA217" s="312">
        <f t="shared" si="36"/>
        <v>0.48822989724614707</v>
      </c>
      <c r="AB217" s="312">
        <f t="shared" si="37"/>
        <v>0.42802192102201908</v>
      </c>
    </row>
    <row r="218" spans="1:28" ht="17.45" customHeight="1">
      <c r="A218" s="285">
        <v>43654</v>
      </c>
      <c r="B218" s="325">
        <v>77.300003000000004</v>
      </c>
      <c r="C218" s="325">
        <v>77.910004000000001</v>
      </c>
      <c r="D218" s="325">
        <v>75.779999000000004</v>
      </c>
      <c r="E218" s="325">
        <v>77.580001999999993</v>
      </c>
      <c r="F218" s="366">
        <f t="shared" si="33"/>
        <v>7.7405833748911412E-4</v>
      </c>
      <c r="G218" s="366">
        <f t="shared" si="38"/>
        <v>0.48900395558363619</v>
      </c>
      <c r="I218">
        <v>2979.7700199999999</v>
      </c>
      <c r="J218">
        <v>3013.919922</v>
      </c>
      <c r="K218">
        <v>2963.4399410000001</v>
      </c>
      <c r="L218">
        <v>3013.7700199999999</v>
      </c>
      <c r="M218" s="366">
        <f t="shared" si="34"/>
        <v>7.8116742143810036E-3</v>
      </c>
      <c r="N218" s="366">
        <f t="shared" si="39"/>
        <v>0.43583359523640008</v>
      </c>
      <c r="P218" s="285">
        <v>43654</v>
      </c>
      <c r="Q218" s="407">
        <f t="shared" si="30"/>
        <v>77.580001999999993</v>
      </c>
      <c r="R218"/>
      <c r="S218" s="409">
        <f>+F219</f>
        <v>-6.4453465726888037E-4</v>
      </c>
      <c r="T218" s="409">
        <f>+M219</f>
        <v>-1.2330042688525999E-2</v>
      </c>
      <c r="U218" s="312">
        <f>+S218-$S$285</f>
        <v>-2.4698935145517965E-3</v>
      </c>
      <c r="V218" s="312">
        <f>+T218-$T$285</f>
        <v>-1.4590869561555125E-2</v>
      </c>
      <c r="W218" s="419">
        <f t="shared" si="31"/>
        <v>3.6037894101756216E-5</v>
      </c>
      <c r="X218" s="419">
        <f t="shared" si="32"/>
        <v>1.5202995270087346E-4</v>
      </c>
      <c r="Z218" s="285">
        <f t="shared" si="35"/>
        <v>43654</v>
      </c>
      <c r="AA218" s="312">
        <f t="shared" si="36"/>
        <v>0.48900395558363619</v>
      </c>
      <c r="AB218" s="312">
        <f t="shared" si="37"/>
        <v>0.43583359523640008</v>
      </c>
    </row>
    <row r="219" spans="1:28" ht="17.45" customHeight="1">
      <c r="A219" s="285">
        <v>43661</v>
      </c>
      <c r="B219" s="325">
        <v>77.260002</v>
      </c>
      <c r="C219" s="325">
        <v>81.569999999999993</v>
      </c>
      <c r="D219" s="325">
        <v>76.860000999999997</v>
      </c>
      <c r="E219" s="325">
        <v>77.529999000000004</v>
      </c>
      <c r="F219" s="366">
        <f t="shared" si="33"/>
        <v>-6.4453465726888037E-4</v>
      </c>
      <c r="G219" s="366">
        <f t="shared" si="38"/>
        <v>0.4883594209263673</v>
      </c>
      <c r="I219">
        <v>3017.8000489999999</v>
      </c>
      <c r="J219">
        <v>3017.8000489999999</v>
      </c>
      <c r="K219">
        <v>2973.0900879999999</v>
      </c>
      <c r="L219">
        <v>2976.610107</v>
      </c>
      <c r="M219" s="366">
        <f t="shared" si="34"/>
        <v>-1.2330042688525999E-2</v>
      </c>
      <c r="N219" s="366">
        <f t="shared" si="39"/>
        <v>0.42350355254787408</v>
      </c>
      <c r="P219" s="285">
        <v>43661</v>
      </c>
      <c r="Q219" s="407">
        <f t="shared" si="30"/>
        <v>77.529999000000004</v>
      </c>
      <c r="R219"/>
      <c r="S219" s="409">
        <f>+F220</f>
        <v>1.0705559276480647E-2</v>
      </c>
      <c r="T219" s="409">
        <f>+M220</f>
        <v>1.6545667127911834E-2</v>
      </c>
      <c r="U219" s="312">
        <f>+S219-$S$285</f>
        <v>8.8802004191977316E-3</v>
      </c>
      <c r="V219" s="312">
        <f>+T219-$T$285</f>
        <v>1.4284840254882709E-2</v>
      </c>
      <c r="W219" s="419">
        <f t="shared" si="31"/>
        <v>1.2685224441958207E-4</v>
      </c>
      <c r="X219" s="419">
        <f t="shared" si="32"/>
        <v>2.7375910070766225E-4</v>
      </c>
      <c r="Z219" s="285">
        <f t="shared" si="35"/>
        <v>43661</v>
      </c>
      <c r="AA219" s="312">
        <f t="shared" si="36"/>
        <v>0.4883594209263673</v>
      </c>
      <c r="AB219" s="312">
        <f t="shared" si="37"/>
        <v>0.42350355254787408</v>
      </c>
    </row>
    <row r="220" spans="1:28" ht="17.45" customHeight="1">
      <c r="A220" s="285">
        <v>43668</v>
      </c>
      <c r="B220" s="325">
        <v>77.580001999999993</v>
      </c>
      <c r="C220" s="325">
        <v>78.650002000000001</v>
      </c>
      <c r="D220" s="325">
        <v>76.480002999999996</v>
      </c>
      <c r="E220" s="325">
        <v>78.360000999999997</v>
      </c>
      <c r="F220" s="366">
        <f t="shared" si="33"/>
        <v>1.0705559276480647E-2</v>
      </c>
      <c r="G220" s="366">
        <f t="shared" si="38"/>
        <v>0.49906498020284795</v>
      </c>
      <c r="I220">
        <v>2981.929932</v>
      </c>
      <c r="J220">
        <v>3027.9799800000001</v>
      </c>
      <c r="K220">
        <v>2976.6499020000001</v>
      </c>
      <c r="L220">
        <v>3025.860107</v>
      </c>
      <c r="M220" s="366">
        <f t="shared" si="34"/>
        <v>1.6545667127911834E-2</v>
      </c>
      <c r="N220" s="366">
        <f t="shared" si="39"/>
        <v>0.44004921967578592</v>
      </c>
      <c r="P220" s="285">
        <v>43668</v>
      </c>
      <c r="Q220" s="407">
        <f t="shared" si="30"/>
        <v>78.360000999999997</v>
      </c>
      <c r="R220"/>
      <c r="S220" s="409">
        <f>+F221</f>
        <v>-2.7309851616770686E-2</v>
      </c>
      <c r="T220" s="409">
        <f>+M221</f>
        <v>-3.10027743129897E-2</v>
      </c>
      <c r="U220" s="312">
        <f>+S220-$S$285</f>
        <v>-2.9135210474053604E-2</v>
      </c>
      <c r="V220" s="312">
        <f>+T220-$T$285</f>
        <v>-3.3263601186018829E-2</v>
      </c>
      <c r="W220" s="419">
        <f t="shared" si="31"/>
        <v>9.6914202167963767E-4</v>
      </c>
      <c r="X220" s="419">
        <f t="shared" si="32"/>
        <v>9.6117201510217401E-4</v>
      </c>
      <c r="Z220" s="285">
        <f t="shared" si="35"/>
        <v>43668</v>
      </c>
      <c r="AA220" s="312">
        <f t="shared" si="36"/>
        <v>0.49906498020284795</v>
      </c>
      <c r="AB220" s="312">
        <f t="shared" si="37"/>
        <v>0.44004921967578592</v>
      </c>
    </row>
    <row r="221" spans="1:28" ht="17.45" customHeight="1">
      <c r="A221" s="285">
        <v>43675</v>
      </c>
      <c r="B221" s="325">
        <v>78.190002000000007</v>
      </c>
      <c r="C221" s="325">
        <v>79.389999000000003</v>
      </c>
      <c r="D221" s="325">
        <v>75.940002000000007</v>
      </c>
      <c r="E221" s="325">
        <v>76.220000999999996</v>
      </c>
      <c r="F221" s="366">
        <f t="shared" si="33"/>
        <v>-2.7309851616770686E-2</v>
      </c>
      <c r="G221" s="366">
        <f t="shared" si="38"/>
        <v>0.47175512858607727</v>
      </c>
      <c r="I221">
        <v>3024.469971</v>
      </c>
      <c r="J221">
        <v>3025.610107</v>
      </c>
      <c r="K221">
        <v>2914.110107</v>
      </c>
      <c r="L221">
        <v>2932.0500489999999</v>
      </c>
      <c r="M221" s="366">
        <f t="shared" si="34"/>
        <v>-3.10027743129897E-2</v>
      </c>
      <c r="N221" s="366">
        <f t="shared" si="39"/>
        <v>0.40904644536279622</v>
      </c>
      <c r="P221" s="285">
        <v>43675</v>
      </c>
      <c r="Q221" s="407">
        <f t="shared" si="30"/>
        <v>76.220000999999996</v>
      </c>
      <c r="R221"/>
      <c r="S221" s="409">
        <f>+F222</f>
        <v>-9.7087114968681387E-3</v>
      </c>
      <c r="T221" s="409">
        <f>+M222</f>
        <v>-4.5702313316821064E-3</v>
      </c>
      <c r="U221" s="312">
        <f>+S221-$S$285</f>
        <v>-1.1534070354151054E-2</v>
      </c>
      <c r="V221" s="312">
        <f>+T221-$T$285</f>
        <v>-6.8310582047112324E-3</v>
      </c>
      <c r="W221" s="419">
        <f t="shared" si="31"/>
        <v>7.8789905926440155E-5</v>
      </c>
      <c r="X221" s="419">
        <f t="shared" si="32"/>
        <v>2.0887014425088801E-5</v>
      </c>
      <c r="Z221" s="285">
        <f t="shared" si="35"/>
        <v>43675</v>
      </c>
      <c r="AA221" s="312">
        <f t="shared" si="36"/>
        <v>0.47175512858607727</v>
      </c>
      <c r="AB221" s="312">
        <f t="shared" si="37"/>
        <v>0.40904644536279622</v>
      </c>
    </row>
    <row r="222" spans="1:28" ht="17.45" customHeight="1">
      <c r="A222" s="285">
        <v>43682</v>
      </c>
      <c r="B222" s="325">
        <v>74.949996999999996</v>
      </c>
      <c r="C222" s="325">
        <v>76.139999000000003</v>
      </c>
      <c r="D222" s="325">
        <v>72.660004000000001</v>
      </c>
      <c r="E222" s="325">
        <v>75.480002999999996</v>
      </c>
      <c r="F222" s="366">
        <f t="shared" si="33"/>
        <v>-9.7087114968681387E-3</v>
      </c>
      <c r="G222" s="366">
        <f t="shared" si="38"/>
        <v>0.46204641708920913</v>
      </c>
      <c r="I222">
        <v>2898.070068</v>
      </c>
      <c r="J222">
        <v>2938.719971</v>
      </c>
      <c r="K222">
        <v>2822.1201169999999</v>
      </c>
      <c r="L222">
        <v>2918.6499020000001</v>
      </c>
      <c r="M222" s="366">
        <f t="shared" si="34"/>
        <v>-4.5702313316821064E-3</v>
      </c>
      <c r="N222" s="366">
        <f t="shared" si="39"/>
        <v>0.40447621403111411</v>
      </c>
      <c r="P222" s="285">
        <v>43682</v>
      </c>
      <c r="Q222" s="407">
        <f t="shared" si="30"/>
        <v>75.480002999999996</v>
      </c>
      <c r="R222"/>
      <c r="S222" s="409">
        <f>+F223</f>
        <v>-1.2851099118265763E-2</v>
      </c>
      <c r="T222" s="409">
        <f>+M223</f>
        <v>-1.0268436094189703E-2</v>
      </c>
      <c r="U222" s="312">
        <f>+S222-$S$285</f>
        <v>-1.4676457975548679E-2</v>
      </c>
      <c r="V222" s="312">
        <f>+T222-$T$285</f>
        <v>-1.2529262967218829E-2</v>
      </c>
      <c r="W222" s="419">
        <f t="shared" si="31"/>
        <v>1.8388520140298549E-4</v>
      </c>
      <c r="X222" s="419">
        <f t="shared" si="32"/>
        <v>1.0544077982045789E-4</v>
      </c>
      <c r="Z222" s="285">
        <f t="shared" si="35"/>
        <v>43682</v>
      </c>
      <c r="AA222" s="312">
        <f t="shared" si="36"/>
        <v>0.46204641708920913</v>
      </c>
      <c r="AB222" s="312">
        <f t="shared" si="37"/>
        <v>0.40447621403111411</v>
      </c>
    </row>
    <row r="223" spans="1:28" ht="17.45" customHeight="1">
      <c r="A223" s="285">
        <v>43689</v>
      </c>
      <c r="B223" s="325">
        <v>75.379997000000003</v>
      </c>
      <c r="C223" s="325">
        <v>75.830001999999993</v>
      </c>
      <c r="D223" s="325">
        <v>71.510002</v>
      </c>
      <c r="E223" s="325">
        <v>74.510002</v>
      </c>
      <c r="F223" s="366">
        <f t="shared" si="33"/>
        <v>-1.2851099118265763E-2</v>
      </c>
      <c r="G223" s="366">
        <f t="shared" si="38"/>
        <v>0.44919531797094336</v>
      </c>
      <c r="I223">
        <v>2907.070068</v>
      </c>
      <c r="J223">
        <v>2943.3100589999999</v>
      </c>
      <c r="K223">
        <v>2825.51001</v>
      </c>
      <c r="L223">
        <v>2888.679932</v>
      </c>
      <c r="M223" s="366">
        <f t="shared" si="34"/>
        <v>-1.0268436094189703E-2</v>
      </c>
      <c r="N223" s="366">
        <f t="shared" si="39"/>
        <v>0.39420777793692441</v>
      </c>
      <c r="P223" s="285">
        <v>43689</v>
      </c>
      <c r="Q223" s="407">
        <f t="shared" si="30"/>
        <v>74.510002</v>
      </c>
      <c r="R223"/>
      <c r="S223" s="409">
        <f>+F224</f>
        <v>-3.0197288143946066E-2</v>
      </c>
      <c r="T223" s="409">
        <f>+M224</f>
        <v>-1.4390595697190589E-2</v>
      </c>
      <c r="U223" s="312">
        <f>+S223-$S$285</f>
        <v>-3.2022647001228983E-2</v>
      </c>
      <c r="V223" s="312">
        <f>+T223-$T$285</f>
        <v>-1.6651422570219714E-2</v>
      </c>
      <c r="W223" s="419">
        <f t="shared" si="31"/>
        <v>5.3322262703444289E-4</v>
      </c>
      <c r="X223" s="419">
        <f t="shared" si="32"/>
        <v>2.0708924452000029E-4</v>
      </c>
      <c r="Z223" s="285">
        <f t="shared" si="35"/>
        <v>43689</v>
      </c>
      <c r="AA223" s="312">
        <f t="shared" si="36"/>
        <v>0.44919531797094336</v>
      </c>
      <c r="AB223" s="312">
        <f t="shared" si="37"/>
        <v>0.39420777793692441</v>
      </c>
    </row>
    <row r="224" spans="1:28" ht="17.45" customHeight="1">
      <c r="A224" s="285">
        <v>43696</v>
      </c>
      <c r="B224" s="325">
        <v>74.519997000000004</v>
      </c>
      <c r="C224" s="325">
        <v>76.169998000000007</v>
      </c>
      <c r="D224" s="325">
        <v>72.089995999999999</v>
      </c>
      <c r="E224" s="325">
        <v>72.260002</v>
      </c>
      <c r="F224" s="366">
        <f t="shared" si="33"/>
        <v>-3.0197288143946066E-2</v>
      </c>
      <c r="G224" s="366">
        <f t="shared" si="38"/>
        <v>0.4189980298269973</v>
      </c>
      <c r="I224">
        <v>2913.4799800000001</v>
      </c>
      <c r="J224">
        <v>2939.080078</v>
      </c>
      <c r="K224">
        <v>2834.969971</v>
      </c>
      <c r="L224">
        <v>2847.110107</v>
      </c>
      <c r="M224" s="366">
        <f t="shared" si="34"/>
        <v>-1.4390595697190589E-2</v>
      </c>
      <c r="N224" s="366">
        <f t="shared" si="39"/>
        <v>0.37981718223973382</v>
      </c>
      <c r="P224" s="285">
        <v>43696</v>
      </c>
      <c r="Q224" s="407">
        <f t="shared" si="30"/>
        <v>72.260002</v>
      </c>
      <c r="R224"/>
      <c r="S224" s="409">
        <f>+F225</f>
        <v>-1.5222806110634091E-3</v>
      </c>
      <c r="T224" s="409">
        <f>+M225</f>
        <v>2.7870314465502366E-2</v>
      </c>
      <c r="U224" s="312">
        <f>+S224-$S$285</f>
        <v>-3.3476394683463252E-3</v>
      </c>
      <c r="V224" s="312">
        <f>+T224-$T$285</f>
        <v>2.5609487592473241E-2</v>
      </c>
      <c r="W224" s="419">
        <f t="shared" si="31"/>
        <v>-8.5731331428688933E-5</v>
      </c>
      <c r="X224" s="419">
        <f t="shared" si="32"/>
        <v>7.7675442840599042E-4</v>
      </c>
      <c r="Z224" s="285">
        <f t="shared" si="35"/>
        <v>43696</v>
      </c>
      <c r="AA224" s="312">
        <f t="shared" si="36"/>
        <v>0.4189980298269973</v>
      </c>
      <c r="AB224" s="312">
        <f t="shared" si="37"/>
        <v>0.37981718223973382</v>
      </c>
    </row>
    <row r="225" spans="1:28" ht="17.45" customHeight="1">
      <c r="A225" s="285">
        <v>43703</v>
      </c>
      <c r="B225" s="325">
        <v>72.660004000000001</v>
      </c>
      <c r="C225" s="325">
        <v>72.870002999999997</v>
      </c>
      <c r="D225" s="325">
        <v>70.800003000000004</v>
      </c>
      <c r="E225" s="325">
        <v>72.150002000000001</v>
      </c>
      <c r="F225" s="366">
        <f t="shared" si="33"/>
        <v>-1.5222806110634091E-3</v>
      </c>
      <c r="G225" s="366">
        <f t="shared" si="38"/>
        <v>0.41747574921593389</v>
      </c>
      <c r="I225">
        <v>2866.6999510000001</v>
      </c>
      <c r="J225">
        <v>2940.429932</v>
      </c>
      <c r="K225">
        <v>2853.0500489999999</v>
      </c>
      <c r="L225">
        <v>2926.459961</v>
      </c>
      <c r="M225" s="366">
        <f t="shared" si="34"/>
        <v>2.7870314465502366E-2</v>
      </c>
      <c r="N225" s="366">
        <f t="shared" si="39"/>
        <v>0.40768749670523619</v>
      </c>
      <c r="P225" s="285">
        <v>43703</v>
      </c>
      <c r="Q225" s="407">
        <f t="shared" si="30"/>
        <v>72.150002000000001</v>
      </c>
      <c r="R225"/>
      <c r="S225" s="409">
        <f>+F226</f>
        <v>2.0374233669459896E-2</v>
      </c>
      <c r="T225" s="409">
        <f>+M226</f>
        <v>1.7854336193325437E-2</v>
      </c>
      <c r="U225" s="312">
        <f>+S225-$S$285</f>
        <v>1.8548874812176978E-2</v>
      </c>
      <c r="V225" s="312">
        <f>+T225-$T$285</f>
        <v>1.5593509320296312E-2</v>
      </c>
      <c r="W225" s="419">
        <f t="shared" si="31"/>
        <v>2.8924205226469121E-4</v>
      </c>
      <c r="X225" s="419">
        <f t="shared" si="32"/>
        <v>3.1877732090429068E-4</v>
      </c>
      <c r="Z225" s="285">
        <f t="shared" si="35"/>
        <v>43703</v>
      </c>
      <c r="AA225" s="312">
        <f t="shared" si="36"/>
        <v>0.41747574921593389</v>
      </c>
      <c r="AB225" s="312">
        <f t="shared" si="37"/>
        <v>0.40768749670523619</v>
      </c>
    </row>
    <row r="226" spans="1:28" ht="17.45" customHeight="1">
      <c r="A226" s="285">
        <v>43710</v>
      </c>
      <c r="B226" s="325">
        <v>71.669998000000007</v>
      </c>
      <c r="C226" s="325">
        <v>74.800003000000004</v>
      </c>
      <c r="D226" s="325">
        <v>70.870002999999997</v>
      </c>
      <c r="E226" s="325">
        <v>73.620002999999997</v>
      </c>
      <c r="F226" s="366">
        <f t="shared" si="33"/>
        <v>2.0374233669459896E-2</v>
      </c>
      <c r="G226" s="366">
        <f t="shared" si="38"/>
        <v>0.43784998288539378</v>
      </c>
      <c r="I226">
        <v>2909.01001</v>
      </c>
      <c r="J226">
        <v>2985.860107</v>
      </c>
      <c r="K226">
        <v>2891.8500979999999</v>
      </c>
      <c r="L226">
        <v>2978.709961</v>
      </c>
      <c r="M226" s="366">
        <f t="shared" si="34"/>
        <v>1.7854336193325437E-2</v>
      </c>
      <c r="N226" s="366">
        <f t="shared" si="39"/>
        <v>0.42554183289856162</v>
      </c>
      <c r="P226" s="285">
        <v>43710</v>
      </c>
      <c r="Q226" s="407">
        <f t="shared" si="30"/>
        <v>73.620002999999997</v>
      </c>
      <c r="R226"/>
      <c r="S226" s="409">
        <f>+F227</f>
        <v>4.9714695067317516E-2</v>
      </c>
      <c r="T226" s="409">
        <f>+M227</f>
        <v>9.6283063391549017E-3</v>
      </c>
      <c r="U226" s="312">
        <f>+S226-$S$285</f>
        <v>4.7889336210034598E-2</v>
      </c>
      <c r="V226" s="312">
        <f>+T226-$T$285</f>
        <v>7.3674794661257757E-3</v>
      </c>
      <c r="W226" s="419">
        <f t="shared" si="31"/>
        <v>3.5282370117382348E-4</v>
      </c>
      <c r="X226" s="419">
        <f t="shared" si="32"/>
        <v>9.2704282960610467E-5</v>
      </c>
      <c r="Z226" s="285">
        <f t="shared" si="35"/>
        <v>43710</v>
      </c>
      <c r="AA226" s="312">
        <f t="shared" si="36"/>
        <v>0.43784998288539378</v>
      </c>
      <c r="AB226" s="312">
        <f t="shared" si="37"/>
        <v>0.42554183289856162</v>
      </c>
    </row>
    <row r="227" spans="1:28" ht="17.45" customHeight="1">
      <c r="A227" s="285">
        <v>43717</v>
      </c>
      <c r="B227" s="325">
        <v>73.900002000000001</v>
      </c>
      <c r="C227" s="325">
        <v>77.860000999999997</v>
      </c>
      <c r="D227" s="325">
        <v>73.569999999999993</v>
      </c>
      <c r="E227" s="325">
        <v>77.279999000000004</v>
      </c>
      <c r="F227" s="366">
        <f t="shared" si="33"/>
        <v>4.9714695067317516E-2</v>
      </c>
      <c r="G227" s="366">
        <f t="shared" si="38"/>
        <v>0.4875646779527113</v>
      </c>
      <c r="I227">
        <v>2988.429932</v>
      </c>
      <c r="J227">
        <v>3020.73999</v>
      </c>
      <c r="K227">
        <v>2957.01001</v>
      </c>
      <c r="L227">
        <v>3007.389893</v>
      </c>
      <c r="M227" s="366">
        <f t="shared" si="34"/>
        <v>9.6283063391549017E-3</v>
      </c>
      <c r="N227" s="366">
        <f t="shared" si="39"/>
        <v>0.43517013923771652</v>
      </c>
      <c r="P227" s="285">
        <v>43717</v>
      </c>
      <c r="Q227" s="407">
        <f t="shared" si="30"/>
        <v>77.279999000000004</v>
      </c>
      <c r="R227"/>
      <c r="S227" s="409">
        <f>+F228</f>
        <v>-2.1609705248572864E-2</v>
      </c>
      <c r="T227" s="409">
        <f>+M228</f>
        <v>-5.0940601468597579E-3</v>
      </c>
      <c r="U227" s="312">
        <f>+S227-$S$285</f>
        <v>-2.3435064105855781E-2</v>
      </c>
      <c r="V227" s="312">
        <f>+T227-$T$285</f>
        <v>-7.354887019888884E-3</v>
      </c>
      <c r="W227" s="419">
        <f t="shared" si="31"/>
        <v>1.7236224880242258E-4</v>
      </c>
      <c r="X227" s="419">
        <f t="shared" si="32"/>
        <v>2.5949448779824858E-5</v>
      </c>
      <c r="Z227" s="285">
        <f t="shared" si="35"/>
        <v>43717</v>
      </c>
      <c r="AA227" s="312">
        <f t="shared" si="36"/>
        <v>0.4875646779527113</v>
      </c>
      <c r="AB227" s="312">
        <f t="shared" si="37"/>
        <v>0.43517013923771652</v>
      </c>
    </row>
    <row r="228" spans="1:28" ht="17.45" customHeight="1">
      <c r="A228" s="285">
        <v>43724</v>
      </c>
      <c r="B228" s="325">
        <v>76.470000999999996</v>
      </c>
      <c r="C228" s="325">
        <v>77.220000999999996</v>
      </c>
      <c r="D228" s="325">
        <v>75.150002000000001</v>
      </c>
      <c r="E228" s="325">
        <v>75.610000999999997</v>
      </c>
      <c r="F228" s="366">
        <f t="shared" si="33"/>
        <v>-2.1609705248572864E-2</v>
      </c>
      <c r="G228" s="366">
        <f t="shared" si="38"/>
        <v>0.46595497270413844</v>
      </c>
      <c r="I228">
        <v>2996.4099120000001</v>
      </c>
      <c r="J228">
        <v>3021.98999</v>
      </c>
      <c r="K228">
        <v>2978.570068</v>
      </c>
      <c r="L228">
        <v>2992.070068</v>
      </c>
      <c r="M228" s="366">
        <f t="shared" si="34"/>
        <v>-5.0940601468597579E-3</v>
      </c>
      <c r="N228" s="366">
        <f t="shared" si="39"/>
        <v>0.43007607909085677</v>
      </c>
      <c r="P228" s="285">
        <v>43724</v>
      </c>
      <c r="Q228" s="407">
        <f t="shared" si="30"/>
        <v>75.610000999999997</v>
      </c>
      <c r="R228"/>
      <c r="S228" s="409">
        <f>+F229</f>
        <v>-3.6238565847922732E-2</v>
      </c>
      <c r="T228" s="409">
        <f>+M229</f>
        <v>-1.0120093551231668E-2</v>
      </c>
      <c r="U228" s="312">
        <f>+S228-$S$285</f>
        <v>-3.806392470520565E-2</v>
      </c>
      <c r="V228" s="312">
        <f>+T228-$T$285</f>
        <v>-1.2380920424260793E-2</v>
      </c>
      <c r="W228" s="419">
        <f t="shared" si="31"/>
        <v>4.712664228102056E-4</v>
      </c>
      <c r="X228" s="419">
        <f t="shared" si="32"/>
        <v>1.0241629348568079E-4</v>
      </c>
      <c r="Z228" s="285">
        <f t="shared" si="35"/>
        <v>43724</v>
      </c>
      <c r="AA228" s="312">
        <f t="shared" si="36"/>
        <v>0.46595497270413844</v>
      </c>
      <c r="AB228" s="312">
        <f t="shared" si="37"/>
        <v>0.43007607909085677</v>
      </c>
    </row>
    <row r="229" spans="1:28" ht="17.45" customHeight="1">
      <c r="A229" s="285">
        <v>43731</v>
      </c>
      <c r="B229" s="325">
        <v>75.209998999999996</v>
      </c>
      <c r="C229" s="325">
        <v>76.220000999999996</v>
      </c>
      <c r="D229" s="325">
        <v>72.550003000000004</v>
      </c>
      <c r="E229" s="325">
        <v>72.870002999999997</v>
      </c>
      <c r="F229" s="366">
        <f t="shared" si="33"/>
        <v>-3.6238565847922732E-2</v>
      </c>
      <c r="G229" s="366">
        <f t="shared" si="38"/>
        <v>0.4297164068562157</v>
      </c>
      <c r="I229">
        <v>2983.5</v>
      </c>
      <c r="J229">
        <v>3007.9799800000001</v>
      </c>
      <c r="K229">
        <v>2945.530029</v>
      </c>
      <c r="L229">
        <v>2961.790039</v>
      </c>
      <c r="M229" s="366">
        <f t="shared" si="34"/>
        <v>-1.0120093551231668E-2</v>
      </c>
      <c r="N229" s="366">
        <f t="shared" si="39"/>
        <v>0.4199559855396251</v>
      </c>
      <c r="P229" s="285">
        <v>43731</v>
      </c>
      <c r="Q229" s="407">
        <f t="shared" si="30"/>
        <v>72.870002999999997</v>
      </c>
      <c r="R229"/>
      <c r="S229" s="409">
        <f>+F230</f>
        <v>-7.2733220554416222E-3</v>
      </c>
      <c r="T229" s="409">
        <f>+M230</f>
        <v>-3.3020669497902944E-3</v>
      </c>
      <c r="U229" s="312">
        <f>+S229-$S$285</f>
        <v>-9.0986809127245379E-3</v>
      </c>
      <c r="V229" s="312">
        <f>+T229-$T$285</f>
        <v>-5.5628938228194204E-3</v>
      </c>
      <c r="W229" s="419">
        <f t="shared" si="31"/>
        <v>5.0614995845200295E-5</v>
      </c>
      <c r="X229" s="419">
        <f t="shared" si="32"/>
        <v>1.0903646140897379E-5</v>
      </c>
      <c r="Z229" s="285">
        <f t="shared" si="35"/>
        <v>43731</v>
      </c>
      <c r="AA229" s="312">
        <f t="shared" si="36"/>
        <v>0.4297164068562157</v>
      </c>
      <c r="AB229" s="312">
        <f t="shared" si="37"/>
        <v>0.4199559855396251</v>
      </c>
    </row>
    <row r="230" spans="1:28" ht="17.45" customHeight="1">
      <c r="A230" s="285">
        <v>43738</v>
      </c>
      <c r="B230" s="325">
        <v>73.25</v>
      </c>
      <c r="C230" s="325">
        <v>74.709998999999996</v>
      </c>
      <c r="D230" s="325">
        <v>71.209998999999996</v>
      </c>
      <c r="E230" s="325">
        <v>72.339995999999999</v>
      </c>
      <c r="F230" s="366">
        <f t="shared" si="33"/>
        <v>-7.2733220554416222E-3</v>
      </c>
      <c r="G230" s="366">
        <f t="shared" si="38"/>
        <v>0.42244308480077408</v>
      </c>
      <c r="I230">
        <v>2967.070068</v>
      </c>
      <c r="J230">
        <v>2992.530029</v>
      </c>
      <c r="K230">
        <v>2855.9399410000001</v>
      </c>
      <c r="L230">
        <v>2952.01001</v>
      </c>
      <c r="M230" s="366">
        <f t="shared" si="34"/>
        <v>-3.3020669497902944E-3</v>
      </c>
      <c r="N230" s="366">
        <f t="shared" si="39"/>
        <v>0.4166539185898348</v>
      </c>
      <c r="P230" s="285">
        <v>43738</v>
      </c>
      <c r="Q230" s="407">
        <f t="shared" si="30"/>
        <v>72.339995999999999</v>
      </c>
      <c r="R230"/>
      <c r="S230" s="409">
        <f>+F231</f>
        <v>-8.8470975309427047E-3</v>
      </c>
      <c r="T230" s="409">
        <f>+M231</f>
        <v>6.1856192689535572E-3</v>
      </c>
      <c r="U230" s="312">
        <f>+S230-$S$285</f>
        <v>-1.067245638822562E-2</v>
      </c>
      <c r="V230" s="312">
        <f>+T230-$T$285</f>
        <v>3.9247923959244311E-3</v>
      </c>
      <c r="W230" s="419">
        <f t="shared" si="31"/>
        <v>-4.1887175678343035E-5</v>
      </c>
      <c r="X230" s="419">
        <f t="shared" si="32"/>
        <v>3.8261885740449537E-5</v>
      </c>
      <c r="Z230" s="285">
        <f t="shared" si="35"/>
        <v>43738</v>
      </c>
      <c r="AA230" s="312">
        <f t="shared" si="36"/>
        <v>0.42244308480077408</v>
      </c>
      <c r="AB230" s="312">
        <f t="shared" si="37"/>
        <v>0.4166539185898348</v>
      </c>
    </row>
    <row r="231" spans="1:28" ht="17.45" customHeight="1">
      <c r="A231" s="285">
        <v>43745</v>
      </c>
      <c r="B231" s="325">
        <v>72.069999999999993</v>
      </c>
      <c r="C231" s="325">
        <v>72.459998999999996</v>
      </c>
      <c r="D231" s="325">
        <v>69.459998999999996</v>
      </c>
      <c r="E231" s="325">
        <v>71.699996999999996</v>
      </c>
      <c r="F231" s="366">
        <f t="shared" si="33"/>
        <v>-8.8470975309427047E-3</v>
      </c>
      <c r="G231" s="366">
        <f t="shared" si="38"/>
        <v>0.41359598726983138</v>
      </c>
      <c r="I231">
        <v>2944.2299800000001</v>
      </c>
      <c r="J231">
        <v>2993.280029</v>
      </c>
      <c r="K231">
        <v>2892.6599120000001</v>
      </c>
      <c r="L231">
        <v>2970.2700199999999</v>
      </c>
      <c r="M231" s="366">
        <f t="shared" si="34"/>
        <v>6.1856192689535572E-3</v>
      </c>
      <c r="N231" s="366">
        <f t="shared" si="39"/>
        <v>0.42283953785878836</v>
      </c>
      <c r="P231" s="285">
        <v>43745</v>
      </c>
      <c r="Q231" s="407">
        <f t="shared" si="30"/>
        <v>71.699996999999996</v>
      </c>
      <c r="R231"/>
      <c r="S231" s="409">
        <f>+F232</f>
        <v>-2.3709861522030362E-2</v>
      </c>
      <c r="T231" s="409">
        <f>+M232</f>
        <v>5.3631255383306264E-3</v>
      </c>
      <c r="U231" s="312">
        <f>+S231-$S$285</f>
        <v>-2.553522037931328E-2</v>
      </c>
      <c r="V231" s="312">
        <f>+T231-$T$285</f>
        <v>3.1022986653015004E-3</v>
      </c>
      <c r="W231" s="419">
        <f t="shared" si="31"/>
        <v>-7.9217880100923262E-5</v>
      </c>
      <c r="X231" s="419">
        <f t="shared" si="32"/>
        <v>2.8763115539894173E-5</v>
      </c>
      <c r="Z231" s="285">
        <f t="shared" si="35"/>
        <v>43745</v>
      </c>
      <c r="AA231" s="312">
        <f t="shared" si="36"/>
        <v>0.41359598726983138</v>
      </c>
      <c r="AB231" s="312">
        <f t="shared" si="37"/>
        <v>0.42283953785878836</v>
      </c>
    </row>
    <row r="232" spans="1:28" ht="17.45" customHeight="1">
      <c r="A232" s="285">
        <v>43752</v>
      </c>
      <c r="B232" s="325">
        <v>71.260002</v>
      </c>
      <c r="C232" s="325">
        <v>71.680000000000007</v>
      </c>
      <c r="D232" s="325">
        <v>69.290001000000004</v>
      </c>
      <c r="E232" s="325">
        <v>70</v>
      </c>
      <c r="F232" s="366">
        <f t="shared" si="33"/>
        <v>-2.3709861522030362E-2</v>
      </c>
      <c r="G232" s="366">
        <f t="shared" si="38"/>
        <v>0.38988612574780102</v>
      </c>
      <c r="I232">
        <v>2965.8100589999999</v>
      </c>
      <c r="J232">
        <v>3008.290039</v>
      </c>
      <c r="K232">
        <v>2962.9399410000001</v>
      </c>
      <c r="L232">
        <v>2986.1999510000001</v>
      </c>
      <c r="M232" s="366">
        <f t="shared" si="34"/>
        <v>5.3631255383306264E-3</v>
      </c>
      <c r="N232" s="366">
        <f t="shared" si="39"/>
        <v>0.42820266339711899</v>
      </c>
      <c r="P232" s="285">
        <v>43752</v>
      </c>
      <c r="Q232" s="407">
        <f t="shared" si="30"/>
        <v>70</v>
      </c>
      <c r="R232"/>
      <c r="S232" s="409">
        <f>+F233</f>
        <v>5.0571442857142879E-2</v>
      </c>
      <c r="T232" s="409">
        <f>+M233</f>
        <v>1.217269392420528E-2</v>
      </c>
      <c r="U232" s="312">
        <f>+S232-$S$285</f>
        <v>4.8746083999859961E-2</v>
      </c>
      <c r="V232" s="312">
        <f>+T232-$T$285</f>
        <v>9.9118670511761549E-3</v>
      </c>
      <c r="W232" s="419">
        <f t="shared" si="31"/>
        <v>4.8316470387207712E-4</v>
      </c>
      <c r="X232" s="419">
        <f t="shared" si="32"/>
        <v>1.4817447737238413E-4</v>
      </c>
      <c r="Z232" s="285">
        <f t="shared" si="35"/>
        <v>43752</v>
      </c>
      <c r="AA232" s="312">
        <f t="shared" si="36"/>
        <v>0.38988612574780102</v>
      </c>
      <c r="AB232" s="312">
        <f t="shared" si="37"/>
        <v>0.42820266339711899</v>
      </c>
    </row>
    <row r="233" spans="1:28" ht="17.45" customHeight="1">
      <c r="A233" s="285">
        <v>43759</v>
      </c>
      <c r="B233" s="325">
        <v>70.370002999999997</v>
      </c>
      <c r="C233" s="325">
        <v>73.849997999999999</v>
      </c>
      <c r="D233" s="325">
        <v>69.029999000000004</v>
      </c>
      <c r="E233" s="325">
        <v>73.540001000000004</v>
      </c>
      <c r="F233" s="366">
        <f t="shared" si="33"/>
        <v>5.0571442857142879E-2</v>
      </c>
      <c r="G233" s="366">
        <f t="shared" si="38"/>
        <v>0.44045756860494389</v>
      </c>
      <c r="I233">
        <v>2996.4799800000001</v>
      </c>
      <c r="J233">
        <v>3027.389893</v>
      </c>
      <c r="K233">
        <v>2991.209961</v>
      </c>
      <c r="L233">
        <v>3022.5500489999999</v>
      </c>
      <c r="M233" s="366">
        <f t="shared" si="34"/>
        <v>1.217269392420528E-2</v>
      </c>
      <c r="N233" s="366">
        <f t="shared" si="39"/>
        <v>0.44037535732132427</v>
      </c>
      <c r="P233" s="285">
        <v>43759</v>
      </c>
      <c r="Q233" s="407">
        <f t="shared" si="30"/>
        <v>73.540001000000004</v>
      </c>
      <c r="R233"/>
      <c r="S233" s="409">
        <f>+F234</f>
        <v>2.4340508235783043E-2</v>
      </c>
      <c r="T233" s="409">
        <f>+M234</f>
        <v>1.4676303876151264E-2</v>
      </c>
      <c r="U233" s="312">
        <f>+S233-$S$285</f>
        <v>2.2515149378500125E-2</v>
      </c>
      <c r="V233" s="312">
        <f>+T233-$T$285</f>
        <v>1.2415477003122139E-2</v>
      </c>
      <c r="W233" s="419">
        <f t="shared" si="31"/>
        <v>2.7953631933062801E-4</v>
      </c>
      <c r="X233" s="419">
        <f t="shared" si="32"/>
        <v>2.1539389546513263E-4</v>
      </c>
      <c r="Z233" s="285">
        <f t="shared" si="35"/>
        <v>43759</v>
      </c>
      <c r="AA233" s="312">
        <f t="shared" si="36"/>
        <v>0.44045756860494389</v>
      </c>
      <c r="AB233" s="312">
        <f t="shared" si="37"/>
        <v>0.44037535732132427</v>
      </c>
    </row>
    <row r="234" spans="1:28" ht="17.45" customHeight="1">
      <c r="A234" s="285">
        <v>43766</v>
      </c>
      <c r="B234" s="325">
        <v>73.849997999999999</v>
      </c>
      <c r="C234" s="325">
        <v>75.800003000000004</v>
      </c>
      <c r="D234" s="325">
        <v>71.669998000000007</v>
      </c>
      <c r="E234" s="325">
        <v>75.330001999999993</v>
      </c>
      <c r="F234" s="366">
        <f t="shared" si="33"/>
        <v>2.4340508235783043E-2</v>
      </c>
      <c r="G234" s="366">
        <f t="shared" si="38"/>
        <v>0.46479807684072694</v>
      </c>
      <c r="I234">
        <v>3032.1201169999999</v>
      </c>
      <c r="J234">
        <v>3066.9499510000001</v>
      </c>
      <c r="K234">
        <v>3023.1899410000001</v>
      </c>
      <c r="L234">
        <v>3066.9099120000001</v>
      </c>
      <c r="M234" s="366">
        <f t="shared" si="34"/>
        <v>1.4676303876151264E-2</v>
      </c>
      <c r="N234" s="366">
        <f t="shared" si="39"/>
        <v>0.45505166119747553</v>
      </c>
      <c r="P234" s="285">
        <v>43766</v>
      </c>
      <c r="Q234" s="407">
        <f t="shared" si="30"/>
        <v>75.330001999999993</v>
      </c>
      <c r="R234"/>
      <c r="S234" s="409">
        <f>+F235</f>
        <v>3.2390746518233371E-2</v>
      </c>
      <c r="T234" s="409">
        <f>+M235</f>
        <v>8.5330729466825961E-3</v>
      </c>
      <c r="U234" s="312">
        <f>+S234-$S$285</f>
        <v>3.0565387660950454E-2</v>
      </c>
      <c r="V234" s="312">
        <f>+T234-$T$285</f>
        <v>6.27224607365347E-3</v>
      </c>
      <c r="W234" s="419">
        <f t="shared" si="31"/>
        <v>1.917136327460927E-4</v>
      </c>
      <c r="X234" s="419">
        <f t="shared" si="32"/>
        <v>7.2813333913406401E-5</v>
      </c>
      <c r="Z234" s="285">
        <f t="shared" si="35"/>
        <v>43766</v>
      </c>
      <c r="AA234" s="312">
        <f t="shared" si="36"/>
        <v>0.46479807684072694</v>
      </c>
      <c r="AB234" s="312">
        <f t="shared" si="37"/>
        <v>0.45505166119747553</v>
      </c>
    </row>
    <row r="235" spans="1:28" ht="17.45" customHeight="1">
      <c r="A235" s="285">
        <v>43773</v>
      </c>
      <c r="B235" s="325">
        <v>75.709998999999996</v>
      </c>
      <c r="C235" s="325">
        <v>79.169998000000007</v>
      </c>
      <c r="D235" s="325">
        <v>75.410004000000001</v>
      </c>
      <c r="E235" s="325">
        <v>77.769997000000004</v>
      </c>
      <c r="F235" s="366">
        <f t="shared" si="33"/>
        <v>3.2390746518233371E-2</v>
      </c>
      <c r="G235" s="366">
        <f t="shared" si="38"/>
        <v>0.49718882335896031</v>
      </c>
      <c r="I235">
        <v>3078.959961</v>
      </c>
      <c r="J235">
        <v>3097.7700199999999</v>
      </c>
      <c r="K235">
        <v>3065.889893</v>
      </c>
      <c r="L235">
        <v>3093.080078</v>
      </c>
      <c r="M235" s="366">
        <f t="shared" si="34"/>
        <v>8.5330729466825961E-3</v>
      </c>
      <c r="N235" s="366">
        <f t="shared" si="39"/>
        <v>0.46358473414415813</v>
      </c>
      <c r="P235" s="285">
        <v>43773</v>
      </c>
      <c r="Q235" s="407">
        <f t="shared" si="30"/>
        <v>77.769997000000004</v>
      </c>
      <c r="R235"/>
      <c r="S235" s="409">
        <f>+F236</f>
        <v>2.4431272641041168E-3</v>
      </c>
      <c r="T235" s="409">
        <f>+M236</f>
        <v>8.8519800036033214E-3</v>
      </c>
      <c r="U235" s="312">
        <f>+S235-$S$285</f>
        <v>6.1776840682120073E-4</v>
      </c>
      <c r="V235" s="312">
        <f>+T235-$T$285</f>
        <v>6.5911531305741953E-3</v>
      </c>
      <c r="W235" s="419">
        <f t="shared" si="31"/>
        <v>4.0718061685893901E-6</v>
      </c>
      <c r="X235" s="419">
        <f t="shared" si="32"/>
        <v>7.8357549984193057E-5</v>
      </c>
      <c r="Z235" s="285">
        <f t="shared" si="35"/>
        <v>43773</v>
      </c>
      <c r="AA235" s="312">
        <f t="shared" si="36"/>
        <v>0.49718882335896031</v>
      </c>
      <c r="AB235" s="312">
        <f t="shared" si="37"/>
        <v>0.46358473414415813</v>
      </c>
    </row>
    <row r="236" spans="1:28" ht="17.45" customHeight="1">
      <c r="A236" s="285">
        <v>43780</v>
      </c>
      <c r="B236" s="325">
        <v>77.319999999999993</v>
      </c>
      <c r="C236" s="325">
        <v>78.309997999999993</v>
      </c>
      <c r="D236" s="325">
        <v>75.389999000000003</v>
      </c>
      <c r="E236" s="325">
        <v>77.959998999999996</v>
      </c>
      <c r="F236" s="366">
        <f t="shared" si="33"/>
        <v>2.4431272641041168E-3</v>
      </c>
      <c r="G236" s="366">
        <f t="shared" si="38"/>
        <v>0.49963195062306442</v>
      </c>
      <c r="I236">
        <v>3080.330078</v>
      </c>
      <c r="J236">
        <v>3120.459961</v>
      </c>
      <c r="K236">
        <v>3075.820068</v>
      </c>
      <c r="L236">
        <v>3120.459961</v>
      </c>
      <c r="M236" s="366">
        <f t="shared" si="34"/>
        <v>8.8519800036033214E-3</v>
      </c>
      <c r="N236" s="366">
        <f t="shared" si="39"/>
        <v>0.47243671414776145</v>
      </c>
      <c r="P236" s="285">
        <v>43780</v>
      </c>
      <c r="Q236" s="407">
        <f t="shared" si="30"/>
        <v>77.959998999999996</v>
      </c>
      <c r="R236"/>
      <c r="S236" s="409">
        <f>+F237</f>
        <v>8.4659313553865356E-3</v>
      </c>
      <c r="T236" s="409">
        <f>+M237</f>
        <v>-3.2591099155589998E-3</v>
      </c>
      <c r="U236" s="312">
        <f>+S236-$S$285</f>
        <v>6.64057249810362E-3</v>
      </c>
      <c r="V236" s="312">
        <f>+T236-$T$285</f>
        <v>-5.5199367885881258E-3</v>
      </c>
      <c r="W236" s="419">
        <f t="shared" si="31"/>
        <v>-3.6655540429568725E-5</v>
      </c>
      <c r="X236" s="419">
        <f t="shared" si="32"/>
        <v>1.0621797441694991E-5</v>
      </c>
      <c r="Z236" s="285">
        <f t="shared" si="35"/>
        <v>43780</v>
      </c>
      <c r="AA236" s="312">
        <f t="shared" si="36"/>
        <v>0.49963195062306442</v>
      </c>
      <c r="AB236" s="312">
        <f t="shared" si="37"/>
        <v>0.47243671414776145</v>
      </c>
    </row>
    <row r="237" spans="1:28" ht="17.45" customHeight="1">
      <c r="A237" s="285">
        <v>43787</v>
      </c>
      <c r="B237" s="325">
        <v>78.029999000000004</v>
      </c>
      <c r="C237" s="325">
        <v>79.940002000000007</v>
      </c>
      <c r="D237" s="325">
        <v>76.480002999999996</v>
      </c>
      <c r="E237" s="325">
        <v>78.620002999999997</v>
      </c>
      <c r="F237" s="366">
        <f t="shared" si="33"/>
        <v>8.4659313553865356E-3</v>
      </c>
      <c r="G237" s="366">
        <f t="shared" si="38"/>
        <v>0.50809788197845096</v>
      </c>
      <c r="I237">
        <v>3117.9099120000001</v>
      </c>
      <c r="J237">
        <v>3127.639893</v>
      </c>
      <c r="K237">
        <v>3091.4099120000001</v>
      </c>
      <c r="L237">
        <v>3110.290039</v>
      </c>
      <c r="M237" s="366">
        <f t="shared" si="34"/>
        <v>-3.2591099155589998E-3</v>
      </c>
      <c r="N237" s="366">
        <f t="shared" si="39"/>
        <v>0.46917760423220245</v>
      </c>
      <c r="P237" s="285">
        <v>43787</v>
      </c>
      <c r="Q237" s="407">
        <f t="shared" si="30"/>
        <v>78.620002999999997</v>
      </c>
      <c r="R237"/>
      <c r="S237" s="409">
        <f>+F238</f>
        <v>2.7728312348194839E-2</v>
      </c>
      <c r="T237" s="409">
        <f>+M238</f>
        <v>9.8672280125577938E-3</v>
      </c>
      <c r="U237" s="312">
        <f>+S237-$S$285</f>
        <v>2.5902953490911922E-2</v>
      </c>
      <c r="V237" s="312">
        <f>+T237-$T$285</f>
        <v>7.6064011395286677E-3</v>
      </c>
      <c r="W237" s="419">
        <f t="shared" si="31"/>
        <v>1.9702825495043053E-4</v>
      </c>
      <c r="X237" s="419">
        <f t="shared" si="32"/>
        <v>9.7362188651805231E-5</v>
      </c>
      <c r="Z237" s="285">
        <f t="shared" si="35"/>
        <v>43787</v>
      </c>
      <c r="AA237" s="312">
        <f t="shared" si="36"/>
        <v>0.50809788197845096</v>
      </c>
      <c r="AB237" s="312">
        <f t="shared" si="37"/>
        <v>0.46917760423220245</v>
      </c>
    </row>
    <row r="238" spans="1:28" ht="17.45" customHeight="1">
      <c r="A238" s="285">
        <v>43794</v>
      </c>
      <c r="B238" s="325">
        <v>78.910004000000001</v>
      </c>
      <c r="C238" s="325">
        <v>81.550003000000004</v>
      </c>
      <c r="D238" s="325">
        <v>78.389999000000003</v>
      </c>
      <c r="E238" s="325">
        <v>80.800003000000004</v>
      </c>
      <c r="F238" s="366">
        <f t="shared" si="33"/>
        <v>2.7728312348194839E-2</v>
      </c>
      <c r="G238" s="366">
        <f t="shared" si="38"/>
        <v>0.5358261943266458</v>
      </c>
      <c r="I238">
        <v>3117.4399410000001</v>
      </c>
      <c r="J238">
        <v>3154.26001</v>
      </c>
      <c r="K238">
        <v>3117.4399410000001</v>
      </c>
      <c r="L238">
        <v>3140.9799800000001</v>
      </c>
      <c r="M238" s="366">
        <f t="shared" si="34"/>
        <v>9.8672280125577938E-3</v>
      </c>
      <c r="N238" s="366">
        <f t="shared" si="39"/>
        <v>0.47904483224476024</v>
      </c>
      <c r="P238" s="285">
        <v>43794</v>
      </c>
      <c r="Q238" s="407">
        <f t="shared" si="30"/>
        <v>80.800003000000004</v>
      </c>
      <c r="R238"/>
      <c r="S238" s="409">
        <f>+F239</f>
        <v>1.4850865785240863E-3</v>
      </c>
      <c r="T238" s="409">
        <f>+M239</f>
        <v>1.5695521879766083E-3</v>
      </c>
      <c r="U238" s="312">
        <f>+S238-$S$285</f>
        <v>-3.4027227875882979E-4</v>
      </c>
      <c r="V238" s="312">
        <f>+T238-$T$285</f>
        <v>-6.9127468505251772E-4</v>
      </c>
      <c r="W238" s="419">
        <f t="shared" si="31"/>
        <v>2.3522161233111257E-7</v>
      </c>
      <c r="X238" s="419">
        <f t="shared" si="32"/>
        <v>2.4634940707821584E-6</v>
      </c>
      <c r="Z238" s="285">
        <f t="shared" si="35"/>
        <v>43794</v>
      </c>
      <c r="AA238" s="312">
        <f t="shared" si="36"/>
        <v>0.5358261943266458</v>
      </c>
      <c r="AB238" s="312">
        <f t="shared" si="37"/>
        <v>0.47904483224476024</v>
      </c>
    </row>
    <row r="239" spans="1:28" ht="17.45" customHeight="1">
      <c r="A239" s="285">
        <v>43801</v>
      </c>
      <c r="B239" s="325">
        <v>80.980002999999996</v>
      </c>
      <c r="C239" s="325">
        <v>81.629997000000003</v>
      </c>
      <c r="D239" s="325">
        <v>79.080001999999993</v>
      </c>
      <c r="E239" s="325">
        <v>80.919998000000007</v>
      </c>
      <c r="F239" s="366">
        <f t="shared" si="33"/>
        <v>1.4850865785240863E-3</v>
      </c>
      <c r="G239" s="366">
        <f t="shared" si="38"/>
        <v>0.53731128090516989</v>
      </c>
      <c r="I239">
        <v>3143.8500979999999</v>
      </c>
      <c r="J239">
        <v>3150.6000979999999</v>
      </c>
      <c r="K239">
        <v>3070.330078</v>
      </c>
      <c r="L239">
        <v>3145.9099120000001</v>
      </c>
      <c r="M239" s="366">
        <f t="shared" si="34"/>
        <v>1.5695521879766083E-3</v>
      </c>
      <c r="N239" s="366">
        <f t="shared" si="39"/>
        <v>0.48061438443273685</v>
      </c>
      <c r="P239" s="285">
        <v>43801</v>
      </c>
      <c r="Q239" s="407">
        <f t="shared" si="30"/>
        <v>80.919998000000007</v>
      </c>
      <c r="R239"/>
      <c r="S239" s="409">
        <f>+F240</f>
        <v>3.1512642894528931E-2</v>
      </c>
      <c r="T239" s="409">
        <f>+M240</f>
        <v>7.276157817706741E-3</v>
      </c>
      <c r="U239" s="312">
        <f>+S239-$S$285</f>
        <v>2.9687284037246013E-2</v>
      </c>
      <c r="V239" s="312">
        <f>+T239-$T$285</f>
        <v>5.0153309446776149E-3</v>
      </c>
      <c r="W239" s="419">
        <f t="shared" si="31"/>
        <v>1.4889155429543372E-4</v>
      </c>
      <c r="X239" s="419">
        <f t="shared" si="32"/>
        <v>5.2942472588174922E-5</v>
      </c>
      <c r="Z239" s="285">
        <f t="shared" si="35"/>
        <v>43801</v>
      </c>
      <c r="AA239" s="312">
        <f t="shared" si="36"/>
        <v>0.53731128090516989</v>
      </c>
      <c r="AB239" s="312">
        <f t="shared" si="37"/>
        <v>0.48061438443273685</v>
      </c>
    </row>
    <row r="240" spans="1:28" ht="17.45" customHeight="1">
      <c r="A240" s="285">
        <v>43808</v>
      </c>
      <c r="B240" s="325">
        <v>80.910004000000001</v>
      </c>
      <c r="C240" s="325">
        <v>83.620002999999997</v>
      </c>
      <c r="D240" s="325">
        <v>79.779999000000004</v>
      </c>
      <c r="E240" s="325">
        <v>83.470000999999996</v>
      </c>
      <c r="F240" s="366">
        <f t="shared" si="33"/>
        <v>3.1512642894528931E-2</v>
      </c>
      <c r="G240" s="366">
        <f t="shared" si="38"/>
        <v>0.56882392379969882</v>
      </c>
      <c r="I240">
        <v>3141.860107</v>
      </c>
      <c r="J240">
        <v>3182.679932</v>
      </c>
      <c r="K240">
        <v>3126.0900879999999</v>
      </c>
      <c r="L240">
        <v>3168.8000489999999</v>
      </c>
      <c r="M240" s="366">
        <f t="shared" si="34"/>
        <v>7.276157817706741E-3</v>
      </c>
      <c r="N240" s="366">
        <f t="shared" si="39"/>
        <v>0.48789054225044359</v>
      </c>
      <c r="P240" s="285">
        <v>43808</v>
      </c>
      <c r="Q240" s="407">
        <f t="shared" si="30"/>
        <v>83.470000999999996</v>
      </c>
      <c r="R240"/>
      <c r="S240" s="409">
        <f>+F241</f>
        <v>6.3495818096372281E-2</v>
      </c>
      <c r="T240" s="409">
        <f>+M241</f>
        <v>1.6542514891888738E-2</v>
      </c>
      <c r="U240" s="312">
        <f>+S240-$S$285</f>
        <v>6.1670459239089363E-2</v>
      </c>
      <c r="V240" s="312">
        <f>+T240-$T$285</f>
        <v>1.4281688018859613E-2</v>
      </c>
      <c r="W240" s="419">
        <f t="shared" si="31"/>
        <v>8.8075825883247264E-4</v>
      </c>
      <c r="X240" s="419">
        <f t="shared" si="32"/>
        <v>2.7365479894836067E-4</v>
      </c>
      <c r="Z240" s="285">
        <f t="shared" si="35"/>
        <v>43808</v>
      </c>
      <c r="AA240" s="312">
        <f t="shared" si="36"/>
        <v>0.56882392379969882</v>
      </c>
      <c r="AB240" s="312">
        <f t="shared" si="37"/>
        <v>0.48789054225044359</v>
      </c>
    </row>
    <row r="241" spans="1:28" ht="17.45" customHeight="1">
      <c r="A241" s="285">
        <v>43815</v>
      </c>
      <c r="B241" s="325">
        <v>83.989998</v>
      </c>
      <c r="C241" s="325">
        <v>88.870002999999997</v>
      </c>
      <c r="D241" s="325">
        <v>83.980002999999996</v>
      </c>
      <c r="E241" s="325">
        <v>88.769997000000004</v>
      </c>
      <c r="F241" s="366">
        <f t="shared" si="33"/>
        <v>6.3495818096372281E-2</v>
      </c>
      <c r="G241" s="366">
        <f t="shared" si="38"/>
        <v>0.6323197418960711</v>
      </c>
      <c r="I241">
        <v>3183.6298830000001</v>
      </c>
      <c r="J241">
        <v>3225.6499020000001</v>
      </c>
      <c r="K241">
        <v>3183.6298830000001</v>
      </c>
      <c r="L241">
        <v>3221.219971</v>
      </c>
      <c r="M241" s="366">
        <f t="shared" si="34"/>
        <v>1.6542514891888738E-2</v>
      </c>
      <c r="N241" s="366">
        <f t="shared" si="39"/>
        <v>0.50443305714233233</v>
      </c>
      <c r="P241" s="285">
        <v>43815</v>
      </c>
      <c r="Q241" s="407">
        <f t="shared" si="30"/>
        <v>88.769997000000004</v>
      </c>
      <c r="R241"/>
      <c r="S241" s="409">
        <f>+F242</f>
        <v>2.1516312544203497E-2</v>
      </c>
      <c r="T241" s="409">
        <f>+M242</f>
        <v>5.8363133127365963E-3</v>
      </c>
      <c r="U241" s="312">
        <f>+S241-$S$285</f>
        <v>1.969095368692058E-2</v>
      </c>
      <c r="V241" s="312">
        <f>+T241-$T$285</f>
        <v>3.5754864397074702E-3</v>
      </c>
      <c r="W241" s="419">
        <f t="shared" si="31"/>
        <v>7.0404737892492347E-5</v>
      </c>
      <c r="X241" s="419">
        <f t="shared" si="32"/>
        <v>3.4062553084426423E-5</v>
      </c>
      <c r="Z241" s="285">
        <f t="shared" si="35"/>
        <v>43815</v>
      </c>
      <c r="AA241" s="312">
        <f t="shared" si="36"/>
        <v>0.6323197418960711</v>
      </c>
      <c r="AB241" s="312">
        <f t="shared" si="37"/>
        <v>0.50443305714233233</v>
      </c>
    </row>
    <row r="242" spans="1:28" ht="17.45" customHeight="1">
      <c r="A242" s="285">
        <v>43822</v>
      </c>
      <c r="B242" s="325">
        <v>88.980002999999996</v>
      </c>
      <c r="C242" s="325">
        <v>91.129997000000003</v>
      </c>
      <c r="D242" s="325">
        <v>88.860000999999997</v>
      </c>
      <c r="E242" s="325">
        <v>90.68</v>
      </c>
      <c r="F242" s="366">
        <f t="shared" si="33"/>
        <v>2.1516312544203497E-2</v>
      </c>
      <c r="G242" s="366">
        <f t="shared" si="38"/>
        <v>0.65383605444027459</v>
      </c>
      <c r="I242">
        <v>3226.0500489999999</v>
      </c>
      <c r="J242">
        <v>3247.929932</v>
      </c>
      <c r="K242">
        <v>3220.51001</v>
      </c>
      <c r="L242">
        <v>3240.0200199999999</v>
      </c>
      <c r="M242" s="366">
        <f t="shared" si="34"/>
        <v>5.8363133127365963E-3</v>
      </c>
      <c r="N242" s="366">
        <f t="shared" si="39"/>
        <v>0.51026937045506893</v>
      </c>
      <c r="P242" s="285">
        <v>43822</v>
      </c>
      <c r="Q242" s="407">
        <f t="shared" si="30"/>
        <v>90.68</v>
      </c>
      <c r="R242"/>
      <c r="S242" s="409">
        <f>+F243</f>
        <v>-1.9629444199382506E-2</v>
      </c>
      <c r="T242" s="409">
        <f>+M243</f>
        <v>-1.5956450787609766E-3</v>
      </c>
      <c r="U242" s="312">
        <f>+S242-$S$285</f>
        <v>-2.1454803056665424E-2</v>
      </c>
      <c r="V242" s="312">
        <f>+T242-$T$285</f>
        <v>-3.8564719517901027E-3</v>
      </c>
      <c r="W242" s="419">
        <f t="shared" si="31"/>
        <v>8.2739846219210774E-5</v>
      </c>
      <c r="X242" s="419">
        <f t="shared" si="32"/>
        <v>2.5460832173741231E-6</v>
      </c>
      <c r="Z242" s="285">
        <f t="shared" si="35"/>
        <v>43822</v>
      </c>
      <c r="AA242" s="312">
        <f t="shared" si="36"/>
        <v>0.65383605444027459</v>
      </c>
      <c r="AB242" s="312">
        <f t="shared" si="37"/>
        <v>0.51026937045506893</v>
      </c>
    </row>
    <row r="243" spans="1:28" ht="17.45" customHeight="1">
      <c r="A243" s="285">
        <v>43829</v>
      </c>
      <c r="B243" s="325">
        <v>90.75</v>
      </c>
      <c r="C243" s="325">
        <v>90.93</v>
      </c>
      <c r="D243" s="325">
        <v>88.099997999999999</v>
      </c>
      <c r="E243" s="325">
        <v>88.900002000000001</v>
      </c>
      <c r="F243" s="366">
        <f t="shared" si="33"/>
        <v>-1.9629444199382506E-2</v>
      </c>
      <c r="G243" s="366">
        <f t="shared" si="38"/>
        <v>0.63420661024089209</v>
      </c>
      <c r="I243">
        <v>3240.0900879999999</v>
      </c>
      <c r="J243">
        <v>3258.139893</v>
      </c>
      <c r="K243">
        <v>3212.030029</v>
      </c>
      <c r="L243">
        <v>3234.8500979999999</v>
      </c>
      <c r="M243" s="366">
        <f t="shared" si="34"/>
        <v>-1.5956450787609766E-3</v>
      </c>
      <c r="N243" s="366">
        <f t="shared" si="39"/>
        <v>0.50867372537630795</v>
      </c>
      <c r="P243" s="285">
        <v>43829</v>
      </c>
      <c r="Q243" s="407">
        <f t="shared" si="30"/>
        <v>88.900002000000001</v>
      </c>
      <c r="R243"/>
      <c r="S243" s="409">
        <f>+F244</f>
        <v>-3.1946051024835831E-2</v>
      </c>
      <c r="T243" s="409">
        <f>+M244</f>
        <v>9.4285667267417494E-3</v>
      </c>
      <c r="U243" s="312">
        <f>+S243-$S$285</f>
        <v>-3.3771409882118748E-2</v>
      </c>
      <c r="V243" s="312">
        <f>+T243-$T$285</f>
        <v>7.1677398537126234E-3</v>
      </c>
      <c r="W243" s="419">
        <f t="shared" si="31"/>
        <v>-2.4206468052812688E-4</v>
      </c>
      <c r="X243" s="419">
        <f t="shared" si="32"/>
        <v>8.8897870520621624E-5</v>
      </c>
      <c r="Z243" s="285">
        <f t="shared" si="35"/>
        <v>43829</v>
      </c>
      <c r="AA243" s="312">
        <f t="shared" si="36"/>
        <v>0.63420661024089209</v>
      </c>
      <c r="AB243" s="312">
        <f t="shared" si="37"/>
        <v>0.50867372537630795</v>
      </c>
    </row>
    <row r="244" spans="1:28" ht="17.45" customHeight="1">
      <c r="A244" s="285">
        <v>43836</v>
      </c>
      <c r="B244" s="325">
        <v>88.099997999999999</v>
      </c>
      <c r="C244" s="325">
        <v>88.440002000000007</v>
      </c>
      <c r="D244" s="325">
        <v>85.779999000000004</v>
      </c>
      <c r="E244" s="325">
        <v>86.059997999999993</v>
      </c>
      <c r="F244" s="366">
        <f t="shared" si="33"/>
        <v>-3.1946051024835831E-2</v>
      </c>
      <c r="G244" s="366">
        <f t="shared" si="38"/>
        <v>0.60226055921605626</v>
      </c>
      <c r="I244">
        <v>3217.5500489999999</v>
      </c>
      <c r="J244">
        <v>3282.98999</v>
      </c>
      <c r="K244">
        <v>3214.639893</v>
      </c>
      <c r="L244">
        <v>3265.3500979999999</v>
      </c>
      <c r="M244" s="366">
        <f t="shared" si="34"/>
        <v>9.4285667267417494E-3</v>
      </c>
      <c r="N244" s="366">
        <f t="shared" si="39"/>
        <v>0.5181022921030497</v>
      </c>
      <c r="P244" s="285">
        <v>43836</v>
      </c>
      <c r="Q244" s="407">
        <f t="shared" si="30"/>
        <v>86.059997999999993</v>
      </c>
      <c r="R244"/>
      <c r="S244" s="409">
        <f>+F245</f>
        <v>2.4750221351388157E-2</v>
      </c>
      <c r="T244" s="409">
        <f>+M245</f>
        <v>1.9682428245401562E-2</v>
      </c>
      <c r="U244" s="312">
        <f>+S244-$S$285</f>
        <v>2.292486249410524E-2</v>
      </c>
      <c r="V244" s="312">
        <f>+T244-$T$285</f>
        <v>1.7421601372372437E-2</v>
      </c>
      <c r="W244" s="419">
        <f t="shared" si="31"/>
        <v>3.9938781588875328E-4</v>
      </c>
      <c r="X244" s="419">
        <f t="shared" si="32"/>
        <v>3.8739798163538121E-4</v>
      </c>
      <c r="Z244" s="285">
        <f t="shared" si="35"/>
        <v>43836</v>
      </c>
      <c r="AA244" s="312">
        <f t="shared" si="36"/>
        <v>0.60226055921605626</v>
      </c>
      <c r="AB244" s="312">
        <f t="shared" si="37"/>
        <v>0.5181022921030497</v>
      </c>
    </row>
    <row r="245" spans="1:28" ht="17.45" customHeight="1">
      <c r="A245" s="285">
        <v>43843</v>
      </c>
      <c r="B245" s="325">
        <v>86.209998999999996</v>
      </c>
      <c r="C245" s="325">
        <v>88.800003000000004</v>
      </c>
      <c r="D245" s="325">
        <v>86.010002</v>
      </c>
      <c r="E245" s="325">
        <v>88.190002000000007</v>
      </c>
      <c r="F245" s="366">
        <f t="shared" si="33"/>
        <v>2.4750221351388157E-2</v>
      </c>
      <c r="G245" s="366">
        <f t="shared" si="38"/>
        <v>0.62701078056744441</v>
      </c>
      <c r="I245">
        <v>3271.1298830000001</v>
      </c>
      <c r="J245">
        <v>3329.8798830000001</v>
      </c>
      <c r="K245">
        <v>3268.429932</v>
      </c>
      <c r="L245">
        <v>3329.6201169999999</v>
      </c>
      <c r="M245" s="366">
        <f t="shared" si="34"/>
        <v>1.9682428245401562E-2</v>
      </c>
      <c r="N245" s="366">
        <f t="shared" si="39"/>
        <v>0.53778472034845126</v>
      </c>
      <c r="P245" s="285">
        <v>43843</v>
      </c>
      <c r="Q245" s="407">
        <f t="shared" si="30"/>
        <v>88.190002000000007</v>
      </c>
      <c r="R245"/>
      <c r="S245" s="409">
        <f>+F246</f>
        <v>-4.524328052515536E-2</v>
      </c>
      <c r="T245" s="409">
        <f>+M246</f>
        <v>-1.0256469146627256E-2</v>
      </c>
      <c r="U245" s="312">
        <f>+S245-$S$285</f>
        <v>-4.7068639382438278E-2</v>
      </c>
      <c r="V245" s="312">
        <f>+T245-$T$285</f>
        <v>-1.2517296019656381E-2</v>
      </c>
      <c r="W245" s="419">
        <f t="shared" si="31"/>
        <v>5.8917209239243626E-4</v>
      </c>
      <c r="X245" s="419">
        <f t="shared" si="32"/>
        <v>1.0519515935571684E-4</v>
      </c>
      <c r="Z245" s="285">
        <f t="shared" si="35"/>
        <v>43843</v>
      </c>
      <c r="AA245" s="312">
        <f t="shared" si="36"/>
        <v>0.62701078056744441</v>
      </c>
      <c r="AB245" s="312">
        <f t="shared" si="37"/>
        <v>0.53778472034845126</v>
      </c>
    </row>
    <row r="246" spans="1:28" ht="17.45" customHeight="1">
      <c r="A246" s="285">
        <v>43850</v>
      </c>
      <c r="B246" s="325">
        <v>87.18</v>
      </c>
      <c r="C246" s="325">
        <v>87.82</v>
      </c>
      <c r="D246" s="325">
        <v>83.379997000000003</v>
      </c>
      <c r="E246" s="325">
        <v>84.199996999999996</v>
      </c>
      <c r="F246" s="366">
        <f t="shared" si="33"/>
        <v>-4.524328052515536E-2</v>
      </c>
      <c r="G246" s="366">
        <f t="shared" si="38"/>
        <v>0.58176750004228905</v>
      </c>
      <c r="I246">
        <v>3321.030029</v>
      </c>
      <c r="J246">
        <v>3337.7700199999999</v>
      </c>
      <c r="K246">
        <v>3281.530029</v>
      </c>
      <c r="L246">
        <v>3295.469971</v>
      </c>
      <c r="M246" s="366">
        <f t="shared" si="34"/>
        <v>-1.0256469146627256E-2</v>
      </c>
      <c r="N246" s="366">
        <f t="shared" si="39"/>
        <v>0.52752825120182401</v>
      </c>
      <c r="P246" s="285">
        <v>43850</v>
      </c>
      <c r="Q246" s="407">
        <f t="shared" si="30"/>
        <v>84.199996999999996</v>
      </c>
      <c r="R246"/>
      <c r="S246" s="409">
        <f>+F247</f>
        <v>4.0380524004057783E-3</v>
      </c>
      <c r="T246" s="409">
        <f>+M247</f>
        <v>-2.1226092671320584E-2</v>
      </c>
      <c r="U246" s="312">
        <f>+S246-$S$285</f>
        <v>2.2126935431228622E-3</v>
      </c>
      <c r="V246" s="312">
        <f>+T246-$T$285</f>
        <v>-2.348691954434971E-2</v>
      </c>
      <c r="W246" s="419">
        <f t="shared" si="31"/>
        <v>-5.1969355223628761E-5</v>
      </c>
      <c r="X246" s="419">
        <f t="shared" si="32"/>
        <v>4.5054701009148942E-4</v>
      </c>
      <c r="Z246" s="285">
        <f t="shared" si="35"/>
        <v>43850</v>
      </c>
      <c r="AA246" s="312">
        <f t="shared" si="36"/>
        <v>0.58176750004228905</v>
      </c>
      <c r="AB246" s="312">
        <f t="shared" si="37"/>
        <v>0.52752825120182401</v>
      </c>
    </row>
    <row r="247" spans="1:28" ht="17.45" customHeight="1">
      <c r="A247" s="285">
        <v>43857</v>
      </c>
      <c r="B247" s="325">
        <v>81.160004000000001</v>
      </c>
      <c r="C247" s="325">
        <v>85.980002999999996</v>
      </c>
      <c r="D247" s="325">
        <v>81.160004000000001</v>
      </c>
      <c r="E247" s="325">
        <v>84.540001000000004</v>
      </c>
      <c r="F247" s="366">
        <f t="shared" si="33"/>
        <v>4.0380524004057783E-3</v>
      </c>
      <c r="G247" s="366">
        <f t="shared" si="38"/>
        <v>0.58580555244269483</v>
      </c>
      <c r="I247">
        <v>3247.1599120000001</v>
      </c>
      <c r="J247">
        <v>3293.469971</v>
      </c>
      <c r="K247">
        <v>3214.679932</v>
      </c>
      <c r="L247">
        <v>3225.5200199999999</v>
      </c>
      <c r="M247" s="366">
        <f t="shared" si="34"/>
        <v>-2.1226092671320584E-2</v>
      </c>
      <c r="N247" s="366">
        <f t="shared" si="39"/>
        <v>0.50630215853050342</v>
      </c>
      <c r="P247" s="285">
        <v>43857</v>
      </c>
      <c r="Q247" s="407">
        <f t="shared" si="30"/>
        <v>84.540001000000004</v>
      </c>
      <c r="R247"/>
      <c r="S247" s="409">
        <f>+F248</f>
        <v>4.1045670202913831E-2</v>
      </c>
      <c r="T247" s="409">
        <f>+M248</f>
        <v>3.1681694848076036E-2</v>
      </c>
      <c r="U247" s="312">
        <f>+S247-$S$285</f>
        <v>3.9220311345630914E-2</v>
      </c>
      <c r="V247" s="312">
        <f>+T247-$T$285</f>
        <v>2.9420867975046911E-2</v>
      </c>
      <c r="W247" s="419">
        <f t="shared" si="31"/>
        <v>1.1538956020400416E-3</v>
      </c>
      <c r="X247" s="419">
        <f t="shared" si="32"/>
        <v>1.0037297884466076E-3</v>
      </c>
      <c r="Z247" s="285">
        <f t="shared" si="35"/>
        <v>43857</v>
      </c>
      <c r="AA247" s="312">
        <f t="shared" si="36"/>
        <v>0.58580555244269483</v>
      </c>
      <c r="AB247" s="312">
        <f t="shared" si="37"/>
        <v>0.50630215853050342</v>
      </c>
    </row>
    <row r="248" spans="1:28" ht="17.45" customHeight="1">
      <c r="A248" s="285">
        <v>43864</v>
      </c>
      <c r="B248" s="325">
        <v>85.129997000000003</v>
      </c>
      <c r="C248" s="325">
        <v>90.650002000000001</v>
      </c>
      <c r="D248" s="325">
        <v>85.129997000000003</v>
      </c>
      <c r="E248" s="325">
        <v>88.010002</v>
      </c>
      <c r="F248" s="366">
        <f t="shared" si="33"/>
        <v>4.1045670202913831E-2</v>
      </c>
      <c r="G248" s="366">
        <f t="shared" si="38"/>
        <v>0.62685122264560866</v>
      </c>
      <c r="I248">
        <v>3235.6599120000001</v>
      </c>
      <c r="J248">
        <v>3347.959961</v>
      </c>
      <c r="K248">
        <v>3235.6599120000001</v>
      </c>
      <c r="L248">
        <v>3327.709961</v>
      </c>
      <c r="M248" s="366">
        <f t="shared" si="34"/>
        <v>3.1681694848076036E-2</v>
      </c>
      <c r="N248" s="366">
        <f t="shared" si="39"/>
        <v>0.53798385337857946</v>
      </c>
      <c r="P248" s="285">
        <v>43864</v>
      </c>
      <c r="Q248" s="407">
        <f t="shared" si="30"/>
        <v>88.010002</v>
      </c>
      <c r="R248"/>
      <c r="S248" s="409">
        <f>+F249</f>
        <v>-7.9536414508885045E-4</v>
      </c>
      <c r="T248" s="409">
        <f>+M249</f>
        <v>1.5761575261877159E-2</v>
      </c>
      <c r="U248" s="312">
        <f>+S248-$S$285</f>
        <v>-2.6207230023717666E-3</v>
      </c>
      <c r="V248" s="312">
        <f>+T248-$T$285</f>
        <v>1.3500748388848034E-2</v>
      </c>
      <c r="W248" s="419">
        <f t="shared" si="31"/>
        <v>-3.5381721851887609E-5</v>
      </c>
      <c r="X248" s="419">
        <f t="shared" si="32"/>
        <v>2.4842725473581801E-4</v>
      </c>
      <c r="Z248" s="285">
        <f t="shared" si="35"/>
        <v>43864</v>
      </c>
      <c r="AA248" s="312">
        <f t="shared" si="36"/>
        <v>0.62685122264560866</v>
      </c>
      <c r="AB248" s="312">
        <f t="shared" si="37"/>
        <v>0.53798385337857946</v>
      </c>
    </row>
    <row r="249" spans="1:28" ht="17.45" customHeight="1">
      <c r="A249" s="285">
        <v>43871</v>
      </c>
      <c r="B249" s="325">
        <v>87.489998</v>
      </c>
      <c r="C249" s="325">
        <v>90.760002</v>
      </c>
      <c r="D249" s="325">
        <v>87.010002</v>
      </c>
      <c r="E249" s="325">
        <v>87.940002000000007</v>
      </c>
      <c r="F249" s="366">
        <f t="shared" si="33"/>
        <v>-7.9536414508885045E-4</v>
      </c>
      <c r="G249" s="366">
        <f t="shared" si="38"/>
        <v>0.62605585850051981</v>
      </c>
      <c r="I249">
        <v>3318.280029</v>
      </c>
      <c r="J249">
        <v>3385.0900879999999</v>
      </c>
      <c r="K249">
        <v>3317.7700199999999</v>
      </c>
      <c r="L249">
        <v>3380.1599120000001</v>
      </c>
      <c r="M249" s="366">
        <f t="shared" si="34"/>
        <v>1.5761575261877159E-2</v>
      </c>
      <c r="N249" s="366">
        <f t="shared" si="39"/>
        <v>0.55374542864045662</v>
      </c>
      <c r="P249" s="285">
        <v>43871</v>
      </c>
      <c r="Q249" s="407">
        <f t="shared" si="30"/>
        <v>87.940002000000007</v>
      </c>
      <c r="R249"/>
      <c r="S249" s="409">
        <f>+F250</f>
        <v>4.3438707222226203E-2</v>
      </c>
      <c r="T249" s="409">
        <f>+M250</f>
        <v>-1.2546717641801375E-2</v>
      </c>
      <c r="U249" s="312">
        <f>+S249-$S$285</f>
        <v>4.1613348364943285E-2</v>
      </c>
      <c r="V249" s="312">
        <f>+T249-$T$285</f>
        <v>-1.48075445148305E-2</v>
      </c>
      <c r="W249" s="419">
        <f t="shared" si="31"/>
        <v>-6.1619150832504675E-4</v>
      </c>
      <c r="X249" s="419">
        <f t="shared" si="32"/>
        <v>1.5742012358308985E-4</v>
      </c>
      <c r="Z249" s="285">
        <f t="shared" si="35"/>
        <v>43871</v>
      </c>
      <c r="AA249" s="312">
        <f t="shared" si="36"/>
        <v>0.62605585850051981</v>
      </c>
      <c r="AB249" s="312">
        <f t="shared" si="37"/>
        <v>0.55374542864045662</v>
      </c>
    </row>
    <row r="250" spans="1:28" ht="17.45" customHeight="1">
      <c r="A250" s="285">
        <v>43878</v>
      </c>
      <c r="B250" s="325">
        <v>88.040001000000004</v>
      </c>
      <c r="C250" s="325">
        <v>94.980002999999996</v>
      </c>
      <c r="D250" s="325">
        <v>87.980002999999996</v>
      </c>
      <c r="E250" s="325">
        <v>91.760002</v>
      </c>
      <c r="F250" s="366">
        <f t="shared" si="33"/>
        <v>4.3438707222226203E-2</v>
      </c>
      <c r="G250" s="366">
        <f t="shared" si="38"/>
        <v>0.66949456572274602</v>
      </c>
      <c r="I250">
        <v>3369.040039</v>
      </c>
      <c r="J250">
        <v>3393.5200199999999</v>
      </c>
      <c r="K250">
        <v>3328.4499510000001</v>
      </c>
      <c r="L250">
        <v>3337.75</v>
      </c>
      <c r="M250" s="366">
        <f t="shared" si="34"/>
        <v>-1.2546717641801375E-2</v>
      </c>
      <c r="N250" s="366">
        <f t="shared" si="39"/>
        <v>0.54119871099865524</v>
      </c>
      <c r="P250" s="285">
        <v>43878</v>
      </c>
      <c r="Q250" s="407">
        <f t="shared" si="30"/>
        <v>91.760002</v>
      </c>
      <c r="R250"/>
      <c r="S250" s="409">
        <f>+F251</f>
        <v>-0.16521364068845601</v>
      </c>
      <c r="T250" s="409">
        <f>+M251</f>
        <v>-0.11490675724664823</v>
      </c>
      <c r="U250" s="312">
        <f>+S250-$S$285</f>
        <v>-0.16703899954573892</v>
      </c>
      <c r="V250" s="312">
        <f>+T250-$T$285</f>
        <v>-0.11716758411967736</v>
      </c>
      <c r="W250" s="419">
        <f t="shared" si="31"/>
        <v>1.9571556030542114E-2</v>
      </c>
      <c r="X250" s="419">
        <f t="shared" si="32"/>
        <v>1.3203562860940146E-2</v>
      </c>
      <c r="Z250" s="285">
        <f t="shared" si="35"/>
        <v>43878</v>
      </c>
      <c r="AA250" s="312">
        <f t="shared" si="36"/>
        <v>0.66949456572274602</v>
      </c>
      <c r="AB250" s="312">
        <f t="shared" si="37"/>
        <v>0.54119871099865524</v>
      </c>
    </row>
    <row r="251" spans="1:28" ht="17.45" customHeight="1">
      <c r="A251" s="285">
        <v>43885</v>
      </c>
      <c r="B251" s="325">
        <v>86.43</v>
      </c>
      <c r="C251" s="325">
        <v>86.900002000000001</v>
      </c>
      <c r="D251" s="325">
        <v>74.5</v>
      </c>
      <c r="E251" s="325">
        <v>76.599997999999999</v>
      </c>
      <c r="F251" s="366">
        <f t="shared" si="33"/>
        <v>-0.16521364068845601</v>
      </c>
      <c r="G251" s="366">
        <f t="shared" si="38"/>
        <v>0.50428092503429001</v>
      </c>
      <c r="I251">
        <v>3257.610107</v>
      </c>
      <c r="J251">
        <v>3259.8100589999999</v>
      </c>
      <c r="K251">
        <v>2855.8400879999999</v>
      </c>
      <c r="L251">
        <v>2954.219971</v>
      </c>
      <c r="M251" s="366">
        <f t="shared" si="34"/>
        <v>-0.11490675724664823</v>
      </c>
      <c r="N251" s="366">
        <f t="shared" si="39"/>
        <v>0.42629195375200701</v>
      </c>
      <c r="P251" s="285">
        <v>43885</v>
      </c>
      <c r="Q251" s="407">
        <f t="shared" si="30"/>
        <v>76.599997999999999</v>
      </c>
      <c r="R251"/>
      <c r="S251" s="409">
        <f>+F252</f>
        <v>-9.6344610870616521E-2</v>
      </c>
      <c r="T251" s="409">
        <f>+M252</f>
        <v>6.1438031623135547E-3</v>
      </c>
      <c r="U251" s="312">
        <f>+S251-$S$285</f>
        <v>-9.8169969727899431E-2</v>
      </c>
      <c r="V251" s="312">
        <f>+T251-$T$285</f>
        <v>3.8829762892844287E-3</v>
      </c>
      <c r="W251" s="419">
        <f t="shared" si="31"/>
        <v>-3.8119166477320362E-4</v>
      </c>
      <c r="X251" s="419">
        <f t="shared" si="32"/>
        <v>3.7746317297254037E-5</v>
      </c>
      <c r="Z251" s="285">
        <f t="shared" si="35"/>
        <v>43885</v>
      </c>
      <c r="AA251" s="312">
        <f t="shared" si="36"/>
        <v>0.50428092503429001</v>
      </c>
      <c r="AB251" s="312">
        <f t="shared" si="37"/>
        <v>0.42629195375200701</v>
      </c>
    </row>
    <row r="252" spans="1:28" ht="17.45" customHeight="1">
      <c r="A252" s="285">
        <v>43892</v>
      </c>
      <c r="B252" s="325">
        <v>77.120002999999997</v>
      </c>
      <c r="C252" s="325">
        <v>77.660004000000001</v>
      </c>
      <c r="D252" s="325">
        <v>66.639999000000003</v>
      </c>
      <c r="E252" s="325">
        <v>69.220000999999996</v>
      </c>
      <c r="F252" s="366">
        <f t="shared" si="33"/>
        <v>-9.6344610870616521E-2</v>
      </c>
      <c r="G252" s="366">
        <f t="shared" si="38"/>
        <v>0.40793631416367349</v>
      </c>
      <c r="I252">
        <v>2974.280029</v>
      </c>
      <c r="J252">
        <v>3136.719971</v>
      </c>
      <c r="K252">
        <v>2901.540039</v>
      </c>
      <c r="L252">
        <v>2972.3701169999999</v>
      </c>
      <c r="M252" s="366">
        <f t="shared" si="34"/>
        <v>6.1438031623135547E-3</v>
      </c>
      <c r="N252" s="366">
        <f t="shared" si="39"/>
        <v>0.43243575691432057</v>
      </c>
      <c r="P252" s="285">
        <v>43892</v>
      </c>
      <c r="Q252" s="407">
        <f t="shared" si="30"/>
        <v>69.220000999999996</v>
      </c>
      <c r="R252"/>
      <c r="S252" s="409">
        <f>+F253</f>
        <v>-0.20470964743268349</v>
      </c>
      <c r="T252" s="409">
        <f>+M253</f>
        <v>-8.7926498623186133E-2</v>
      </c>
      <c r="U252" s="312">
        <f>+S252-$S$285</f>
        <v>-0.20653500628996641</v>
      </c>
      <c r="V252" s="312">
        <f>+T252-$T$285</f>
        <v>-9.0187325496215262E-2</v>
      </c>
      <c r="W252" s="419">
        <f t="shared" si="31"/>
        <v>1.8626839838636066E-2</v>
      </c>
      <c r="X252" s="419">
        <f t="shared" si="32"/>
        <v>7.7310691601331534E-3</v>
      </c>
      <c r="Z252" s="285">
        <f t="shared" si="35"/>
        <v>43892</v>
      </c>
      <c r="AA252" s="312">
        <f t="shared" si="36"/>
        <v>0.40793631416367349</v>
      </c>
      <c r="AB252" s="312">
        <f t="shared" si="37"/>
        <v>0.43243575691432057</v>
      </c>
    </row>
    <row r="253" spans="1:28" ht="17.45" customHeight="1">
      <c r="A253" s="285">
        <v>43899</v>
      </c>
      <c r="B253" s="325">
        <v>64.169998000000007</v>
      </c>
      <c r="C253" s="325">
        <v>68.400002000000001</v>
      </c>
      <c r="D253" s="325">
        <v>51.25</v>
      </c>
      <c r="E253" s="325">
        <v>55.049999</v>
      </c>
      <c r="F253" s="366">
        <f t="shared" si="33"/>
        <v>-0.20470964743268349</v>
      </c>
      <c r="G253" s="366">
        <f t="shared" si="38"/>
        <v>0.20322666673098999</v>
      </c>
      <c r="I253">
        <v>2863.889893</v>
      </c>
      <c r="J253">
        <v>2882.5900879999999</v>
      </c>
      <c r="K253">
        <v>2478.860107</v>
      </c>
      <c r="L253">
        <v>2711.0200199999999</v>
      </c>
      <c r="M253" s="366">
        <f t="shared" si="34"/>
        <v>-8.7926498623186133E-2</v>
      </c>
      <c r="N253" s="366">
        <f t="shared" si="39"/>
        <v>0.34450925829113443</v>
      </c>
      <c r="P253" s="285">
        <v>43899</v>
      </c>
      <c r="Q253" s="407">
        <f t="shared" si="30"/>
        <v>55.049999</v>
      </c>
      <c r="R253"/>
      <c r="S253" s="409">
        <f>+F254</f>
        <v>-0.15131695097760123</v>
      </c>
      <c r="T253" s="409">
        <f>+M254</f>
        <v>-0.14979605277868802</v>
      </c>
      <c r="U253" s="312">
        <f>+S253-$S$285</f>
        <v>-0.15314230983488414</v>
      </c>
      <c r="V253" s="312">
        <f>+T253-$T$285</f>
        <v>-0.15205687965171713</v>
      </c>
      <c r="W253" s="419">
        <f t="shared" si="31"/>
        <v>2.3286341776148953E-2</v>
      </c>
      <c r="X253" s="419">
        <f t="shared" si="32"/>
        <v>2.2438857428075484E-2</v>
      </c>
      <c r="Z253" s="285">
        <f t="shared" si="35"/>
        <v>43899</v>
      </c>
      <c r="AA253" s="312">
        <f t="shared" si="36"/>
        <v>0.20322666673098999</v>
      </c>
      <c r="AB253" s="312">
        <f t="shared" si="37"/>
        <v>0.34450925829113443</v>
      </c>
    </row>
    <row r="254" spans="1:28" ht="17.45" customHeight="1">
      <c r="A254" s="285">
        <v>43906</v>
      </c>
      <c r="B254" s="325">
        <v>44.009998000000003</v>
      </c>
      <c r="C254" s="325">
        <v>53.25</v>
      </c>
      <c r="D254" s="325">
        <v>24.02</v>
      </c>
      <c r="E254" s="325">
        <v>46.720001000000003</v>
      </c>
      <c r="F254" s="366">
        <f t="shared" si="33"/>
        <v>-0.15131695097760123</v>
      </c>
      <c r="G254" s="366">
        <f t="shared" si="38"/>
        <v>5.1909715753388763E-2</v>
      </c>
      <c r="I254">
        <v>2508.5900879999999</v>
      </c>
      <c r="J254">
        <v>2562.9799800000001</v>
      </c>
      <c r="K254">
        <v>2280.5200199999999</v>
      </c>
      <c r="L254">
        <v>2304.919922</v>
      </c>
      <c r="M254" s="366">
        <f t="shared" si="34"/>
        <v>-0.14979605277868802</v>
      </c>
      <c r="N254" s="366">
        <f t="shared" si="39"/>
        <v>0.19471320551244642</v>
      </c>
      <c r="P254" s="285">
        <v>43906</v>
      </c>
      <c r="Q254" s="407">
        <f t="shared" si="30"/>
        <v>46.720001000000003</v>
      </c>
      <c r="R254"/>
      <c r="S254" s="409">
        <f>+F255</f>
        <v>5.1797901288572312E-2</v>
      </c>
      <c r="T254" s="409">
        <f>+M255</f>
        <v>0.10262831551854656</v>
      </c>
      <c r="U254" s="312">
        <f>+S254-$S$285</f>
        <v>4.9972542431289395E-2</v>
      </c>
      <c r="V254" s="312">
        <f>+T254-$T$285</f>
        <v>0.10036748864551744</v>
      </c>
      <c r="W254" s="419">
        <f t="shared" si="31"/>
        <v>5.0156185850600762E-3</v>
      </c>
      <c r="X254" s="419">
        <f t="shared" si="32"/>
        <v>1.0532571146174346E-2</v>
      </c>
      <c r="Z254" s="285">
        <f t="shared" si="35"/>
        <v>43906</v>
      </c>
      <c r="AA254" s="312">
        <f t="shared" si="36"/>
        <v>5.1909715753388763E-2</v>
      </c>
      <c r="AB254" s="312">
        <f t="shared" si="37"/>
        <v>0.19471320551244642</v>
      </c>
    </row>
    <row r="255" spans="1:28" ht="17.45" customHeight="1">
      <c r="A255" s="285">
        <v>43913</v>
      </c>
      <c r="B255" s="325">
        <v>46.330002</v>
      </c>
      <c r="C255" s="325">
        <v>57.400002000000001</v>
      </c>
      <c r="D255" s="325">
        <v>44.02</v>
      </c>
      <c r="E255" s="325">
        <v>49.139999000000003</v>
      </c>
      <c r="F255" s="366">
        <f t="shared" si="33"/>
        <v>5.1797901288572312E-2</v>
      </c>
      <c r="G255" s="366">
        <f t="shared" si="38"/>
        <v>0.10370761704196108</v>
      </c>
      <c r="I255">
        <v>2290.709961</v>
      </c>
      <c r="J255">
        <v>2637.01001</v>
      </c>
      <c r="K255">
        <v>2191.860107</v>
      </c>
      <c r="L255">
        <v>2541.469971</v>
      </c>
      <c r="M255" s="366">
        <f t="shared" si="34"/>
        <v>0.10262831551854656</v>
      </c>
      <c r="N255" s="366">
        <f t="shared" si="39"/>
        <v>0.29734152103099298</v>
      </c>
      <c r="P255" s="285">
        <v>43913</v>
      </c>
      <c r="Q255" s="407">
        <f t="shared" si="30"/>
        <v>49.139999000000003</v>
      </c>
      <c r="R255"/>
      <c r="S255" s="409">
        <f>+F256</f>
        <v>-0.18762721179542563</v>
      </c>
      <c r="T255" s="409">
        <f>+M256</f>
        <v>-2.0783274877419267E-2</v>
      </c>
      <c r="U255" s="312">
        <f>+S255-$S$285</f>
        <v>-0.18945257065270854</v>
      </c>
      <c r="V255" s="312">
        <f>+T255-$T$285</f>
        <v>-2.3044101750448392E-2</v>
      </c>
      <c r="W255" s="419">
        <f t="shared" si="31"/>
        <v>4.3657643150050284E-3</v>
      </c>
      <c r="X255" s="419">
        <f t="shared" si="32"/>
        <v>4.3194451463036683E-4</v>
      </c>
      <c r="Z255" s="285">
        <f t="shared" si="35"/>
        <v>43913</v>
      </c>
      <c r="AA255" s="312">
        <f t="shared" si="36"/>
        <v>0.10370761704196108</v>
      </c>
      <c r="AB255" s="312">
        <f t="shared" si="37"/>
        <v>0.29734152103099298</v>
      </c>
    </row>
    <row r="256" spans="1:28" ht="17.45" customHeight="1">
      <c r="A256" s="285">
        <v>43920</v>
      </c>
      <c r="B256" s="325">
        <v>47.599997999999999</v>
      </c>
      <c r="C256" s="325">
        <v>51.18</v>
      </c>
      <c r="D256" s="325">
        <v>36.119999</v>
      </c>
      <c r="E256" s="325">
        <v>39.919998</v>
      </c>
      <c r="F256" s="366">
        <f t="shared" si="33"/>
        <v>-0.18762721179542563</v>
      </c>
      <c r="G256" s="366">
        <f t="shared" si="38"/>
        <v>-8.3919594753464555E-2</v>
      </c>
      <c r="I256">
        <v>2558.9799800000001</v>
      </c>
      <c r="J256">
        <v>2641.389893</v>
      </c>
      <c r="K256">
        <v>2447.48999</v>
      </c>
      <c r="L256">
        <v>2488.6499020000001</v>
      </c>
      <c r="M256" s="366">
        <f t="shared" si="34"/>
        <v>-2.0783274877419267E-2</v>
      </c>
      <c r="N256" s="366">
        <f t="shared" si="39"/>
        <v>0.27655824615357372</v>
      </c>
      <c r="P256" s="285">
        <v>43920</v>
      </c>
      <c r="Q256" s="407">
        <f t="shared" si="30"/>
        <v>39.919998</v>
      </c>
      <c r="R256"/>
      <c r="S256" s="409">
        <f>+F257</f>
        <v>0.33166339336990935</v>
      </c>
      <c r="T256" s="409">
        <f>+M257</f>
        <v>0.12101749055098709</v>
      </c>
      <c r="U256" s="312">
        <f>+S256-$S$285</f>
        <v>0.32983803451262644</v>
      </c>
      <c r="V256" s="312">
        <f>+T256-$T$285</f>
        <v>0.11875666367795797</v>
      </c>
      <c r="W256" s="419">
        <f t="shared" si="31"/>
        <v>3.9170464532814669E-2</v>
      </c>
      <c r="X256" s="419">
        <f t="shared" si="32"/>
        <v>1.464523301925825E-2</v>
      </c>
      <c r="Z256" s="285">
        <f t="shared" si="35"/>
        <v>43920</v>
      </c>
      <c r="AA256" s="312">
        <f t="shared" si="36"/>
        <v>-8.3919594753464555E-2</v>
      </c>
      <c r="AB256" s="312">
        <f t="shared" si="37"/>
        <v>0.27655824615357372</v>
      </c>
    </row>
    <row r="257" spans="1:28" ht="17.45" customHeight="1">
      <c r="A257" s="285">
        <v>43927</v>
      </c>
      <c r="B257" s="325">
        <v>43.470001000000003</v>
      </c>
      <c r="C257" s="325">
        <v>56.669998</v>
      </c>
      <c r="D257" s="325">
        <v>42.900002000000001</v>
      </c>
      <c r="E257" s="325">
        <v>53.16</v>
      </c>
      <c r="F257" s="366">
        <f t="shared" si="33"/>
        <v>0.33166339336990935</v>
      </c>
      <c r="G257" s="366">
        <f t="shared" si="38"/>
        <v>0.2477437986164448</v>
      </c>
      <c r="I257">
        <v>2578.280029</v>
      </c>
      <c r="J257">
        <v>2818.570068</v>
      </c>
      <c r="K257">
        <v>2574.570068</v>
      </c>
      <c r="L257">
        <v>2789.820068</v>
      </c>
      <c r="M257" s="366">
        <f t="shared" si="34"/>
        <v>0.12101749055098709</v>
      </c>
      <c r="N257" s="366">
        <f t="shared" si="39"/>
        <v>0.39757573670456081</v>
      </c>
      <c r="P257" s="285">
        <v>43927</v>
      </c>
      <c r="Q257" s="407">
        <f t="shared" si="30"/>
        <v>53.16</v>
      </c>
      <c r="R257"/>
      <c r="S257" s="409">
        <f>+F258</f>
        <v>7.3363449962377869E-2</v>
      </c>
      <c r="T257" s="409">
        <f>+M258</f>
        <v>3.0374715549576381E-2</v>
      </c>
      <c r="U257" s="312">
        <f>+S257-$S$285</f>
        <v>7.1538091105094959E-2</v>
      </c>
      <c r="V257" s="312">
        <f>+T257-$T$285</f>
        <v>2.8113888676547256E-2</v>
      </c>
      <c r="W257" s="419">
        <f t="shared" si="31"/>
        <v>2.0112139294613351E-3</v>
      </c>
      <c r="X257" s="419">
        <f t="shared" si="32"/>
        <v>9.2262334471767717E-4</v>
      </c>
      <c r="Z257" s="285">
        <f t="shared" si="35"/>
        <v>43927</v>
      </c>
      <c r="AA257" s="312">
        <f t="shared" si="36"/>
        <v>0.2477437986164448</v>
      </c>
      <c r="AB257" s="312">
        <f t="shared" si="37"/>
        <v>0.39757573670456081</v>
      </c>
    </row>
    <row r="258" spans="1:28" ht="17.45" customHeight="1">
      <c r="A258" s="285">
        <v>43934</v>
      </c>
      <c r="B258" s="325">
        <v>53.02</v>
      </c>
      <c r="C258" s="325">
        <v>57.310001</v>
      </c>
      <c r="D258" s="325">
        <v>50.02</v>
      </c>
      <c r="E258" s="325">
        <v>57.060001</v>
      </c>
      <c r="F258" s="366">
        <f t="shared" si="33"/>
        <v>7.3363449962377869E-2</v>
      </c>
      <c r="G258" s="366">
        <f t="shared" si="38"/>
        <v>0.32110724857882267</v>
      </c>
      <c r="I258">
        <v>2782.459961</v>
      </c>
      <c r="J258">
        <v>2879.219971</v>
      </c>
      <c r="K258">
        <v>2721.169922</v>
      </c>
      <c r="L258">
        <v>2874.5600589999999</v>
      </c>
      <c r="M258" s="366">
        <f t="shared" si="34"/>
        <v>3.0374715549576381E-2</v>
      </c>
      <c r="N258" s="366">
        <f t="shared" si="39"/>
        <v>0.42795045225413719</v>
      </c>
      <c r="P258" s="285">
        <v>43934</v>
      </c>
      <c r="Q258" s="407">
        <f t="shared" si="30"/>
        <v>57.060001</v>
      </c>
      <c r="R258"/>
      <c r="S258" s="409">
        <f>+F259</f>
        <v>-7.7637573122369852E-2</v>
      </c>
      <c r="T258" s="409">
        <f>+M259</f>
        <v>-1.3156819904175721E-2</v>
      </c>
      <c r="U258" s="312">
        <f>+S258-$S$285</f>
        <v>-7.9462931979652762E-2</v>
      </c>
      <c r="V258" s="312">
        <f>+T258-$T$285</f>
        <v>-1.5417646777204846E-2</v>
      </c>
      <c r="W258" s="419">
        <f t="shared" si="31"/>
        <v>1.2251314171433413E-3</v>
      </c>
      <c r="X258" s="419">
        <f t="shared" si="32"/>
        <v>1.731019099909144E-4</v>
      </c>
      <c r="Z258" s="285">
        <f t="shared" si="35"/>
        <v>43934</v>
      </c>
      <c r="AA258" s="312">
        <f t="shared" si="36"/>
        <v>0.32110724857882267</v>
      </c>
      <c r="AB258" s="312">
        <f t="shared" si="37"/>
        <v>0.42795045225413719</v>
      </c>
    </row>
    <row r="259" spans="1:28" ht="17.45" customHeight="1">
      <c r="A259" s="285">
        <v>43941</v>
      </c>
      <c r="B259" s="325">
        <v>55.209999000000003</v>
      </c>
      <c r="C259" s="325">
        <v>56.700001</v>
      </c>
      <c r="D259" s="325">
        <v>52.209999000000003</v>
      </c>
      <c r="E259" s="325">
        <v>52.630001</v>
      </c>
      <c r="F259" s="366">
        <f t="shared" si="33"/>
        <v>-7.7637573122369852E-2</v>
      </c>
      <c r="G259" s="366">
        <f t="shared" si="38"/>
        <v>0.24346967545645282</v>
      </c>
      <c r="I259">
        <v>2845.6201169999999</v>
      </c>
      <c r="J259">
        <v>2868.9799800000001</v>
      </c>
      <c r="K259">
        <v>2727.1000979999999</v>
      </c>
      <c r="L259">
        <v>2836.73999</v>
      </c>
      <c r="M259" s="366">
        <f t="shared" si="34"/>
        <v>-1.3156819904175721E-2</v>
      </c>
      <c r="N259" s="366">
        <f t="shared" si="39"/>
        <v>0.41479363234996147</v>
      </c>
      <c r="P259" s="285">
        <v>43941</v>
      </c>
      <c r="Q259" s="407">
        <f t="shared" si="30"/>
        <v>52.630001</v>
      </c>
      <c r="R259"/>
      <c r="S259" s="409">
        <f>+F260</f>
        <v>-2.0900664622826137E-2</v>
      </c>
      <c r="T259" s="409">
        <f>+M260</f>
        <v>-2.1256897076421533E-3</v>
      </c>
      <c r="U259" s="312">
        <f>+S259-$S$285</f>
        <v>-2.2726023480109055E-2</v>
      </c>
      <c r="V259" s="312">
        <f>+T259-$T$285</f>
        <v>-4.3865165806712793E-3</v>
      </c>
      <c r="W259" s="419">
        <f t="shared" si="31"/>
        <v>9.9688078808223183E-5</v>
      </c>
      <c r="X259" s="419">
        <f t="shared" si="32"/>
        <v>4.5185567331757829E-6</v>
      </c>
      <c r="Z259" s="285">
        <f t="shared" si="35"/>
        <v>43941</v>
      </c>
      <c r="AA259" s="312">
        <f t="shared" si="36"/>
        <v>0.24346967545645282</v>
      </c>
      <c r="AB259" s="312">
        <f t="shared" si="37"/>
        <v>0.41479363234996147</v>
      </c>
    </row>
    <row r="260" spans="1:28" ht="17.45" customHeight="1">
      <c r="A260" s="285">
        <v>43948</v>
      </c>
      <c r="B260" s="325">
        <v>53.700001</v>
      </c>
      <c r="C260" s="325">
        <v>60.029998999999997</v>
      </c>
      <c r="D260" s="325">
        <v>51.349997999999999</v>
      </c>
      <c r="E260" s="325">
        <v>51.529998999999997</v>
      </c>
      <c r="F260" s="366">
        <f t="shared" si="33"/>
        <v>-2.0900664622826137E-2</v>
      </c>
      <c r="G260" s="366">
        <f t="shared" si="38"/>
        <v>0.22256901083362668</v>
      </c>
      <c r="I260">
        <v>2854.6499020000001</v>
      </c>
      <c r="J260">
        <v>2954.860107</v>
      </c>
      <c r="K260">
        <v>2821.610107</v>
      </c>
      <c r="L260">
        <v>2830.709961</v>
      </c>
      <c r="M260" s="366">
        <f t="shared" si="34"/>
        <v>-2.1256897076421533E-3</v>
      </c>
      <c r="N260" s="366">
        <f t="shared" si="39"/>
        <v>0.41266794264231932</v>
      </c>
      <c r="P260" s="285">
        <v>43948</v>
      </c>
      <c r="Q260" s="407">
        <f t="shared" si="30"/>
        <v>51.529998999999997</v>
      </c>
      <c r="R260"/>
      <c r="S260" s="409">
        <f>+F261</f>
        <v>3.0273647007057036E-2</v>
      </c>
      <c r="T260" s="409">
        <f>+M261</f>
        <v>3.5005383584051364E-2</v>
      </c>
      <c r="U260" s="312">
        <f>+S260-$S$285</f>
        <v>2.8448288149774119E-2</v>
      </c>
      <c r="V260" s="312">
        <f>+T260-$T$285</f>
        <v>3.2744556711022235E-2</v>
      </c>
      <c r="W260" s="419">
        <f t="shared" si="31"/>
        <v>9.3152658465178045E-4</v>
      </c>
      <c r="X260" s="419">
        <f t="shared" si="32"/>
        <v>1.2253768798665726E-3</v>
      </c>
      <c r="Z260" s="285">
        <f t="shared" si="35"/>
        <v>43948</v>
      </c>
      <c r="AA260" s="312">
        <f t="shared" si="36"/>
        <v>0.22256901083362668</v>
      </c>
      <c r="AB260" s="312">
        <f t="shared" si="37"/>
        <v>0.41266794264231932</v>
      </c>
    </row>
    <row r="261" spans="1:28" ht="17.45" customHeight="1">
      <c r="A261" s="285">
        <v>43955</v>
      </c>
      <c r="B261" s="325">
        <v>49.98</v>
      </c>
      <c r="C261" s="325">
        <v>53.75</v>
      </c>
      <c r="D261" s="325">
        <v>48.919998</v>
      </c>
      <c r="E261" s="325">
        <v>53.09</v>
      </c>
      <c r="F261" s="366">
        <f t="shared" si="33"/>
        <v>3.0273647007057036E-2</v>
      </c>
      <c r="G261" s="366">
        <f t="shared" si="38"/>
        <v>0.25284265784068372</v>
      </c>
      <c r="I261">
        <v>2815.01001</v>
      </c>
      <c r="J261">
        <v>2932.1599120000001</v>
      </c>
      <c r="K261">
        <v>2797.8500979999999</v>
      </c>
      <c r="L261">
        <v>2929.8000489999999</v>
      </c>
      <c r="M261" s="366">
        <f t="shared" si="34"/>
        <v>3.5005383584051364E-2</v>
      </c>
      <c r="N261" s="366">
        <f t="shared" si="39"/>
        <v>0.44767332622637068</v>
      </c>
      <c r="P261" s="285">
        <v>43955</v>
      </c>
      <c r="Q261" s="407">
        <f t="shared" si="30"/>
        <v>53.09</v>
      </c>
      <c r="R261"/>
      <c r="S261" s="409">
        <f>+F262</f>
        <v>-0.1132039555471841</v>
      </c>
      <c r="T261" s="409">
        <f>+M262</f>
        <v>-2.2561300052732713E-2</v>
      </c>
      <c r="U261" s="312">
        <f>+S261-$S$285</f>
        <v>-0.11502931440446701</v>
      </c>
      <c r="V261" s="312">
        <f>+T261-$T$285</f>
        <v>-2.4822126925761839E-2</v>
      </c>
      <c r="W261" s="419">
        <f t="shared" si="31"/>
        <v>2.8552722423310448E-3</v>
      </c>
      <c r="X261" s="419">
        <f t="shared" si="32"/>
        <v>5.0901226006943711E-4</v>
      </c>
      <c r="Z261" s="285">
        <f t="shared" si="35"/>
        <v>43955</v>
      </c>
      <c r="AA261" s="312">
        <f t="shared" si="36"/>
        <v>0.25284265784068372</v>
      </c>
      <c r="AB261" s="312">
        <f t="shared" si="37"/>
        <v>0.44767332622637068</v>
      </c>
    </row>
    <row r="262" spans="1:28" ht="17.45" customHeight="1">
      <c r="A262" s="285">
        <v>43962</v>
      </c>
      <c r="B262" s="325">
        <v>52.02</v>
      </c>
      <c r="C262" s="325">
        <v>52.099997999999999</v>
      </c>
      <c r="D262" s="325">
        <v>41.869999</v>
      </c>
      <c r="E262" s="325">
        <v>47.080002</v>
      </c>
      <c r="F262" s="366">
        <f t="shared" si="33"/>
        <v>-0.1132039555471841</v>
      </c>
      <c r="G262" s="366">
        <f t="shared" si="38"/>
        <v>0.13963870229349962</v>
      </c>
      <c r="I262">
        <v>2915.459961</v>
      </c>
      <c r="J262">
        <v>2945.820068</v>
      </c>
      <c r="K262">
        <v>2766.639893</v>
      </c>
      <c r="L262">
        <v>2863.6999510000001</v>
      </c>
      <c r="M262" s="366">
        <f t="shared" si="34"/>
        <v>-2.2561300052732713E-2</v>
      </c>
      <c r="N262" s="366">
        <f t="shared" si="39"/>
        <v>0.42511202617363797</v>
      </c>
      <c r="P262" s="285">
        <v>43962</v>
      </c>
      <c r="Q262" s="407">
        <f t="shared" si="30"/>
        <v>47.080002</v>
      </c>
      <c r="R262"/>
      <c r="S262" s="409">
        <f>+F263</f>
        <v>0.12022089548764248</v>
      </c>
      <c r="T262" s="409">
        <f>+M263</f>
        <v>3.2038971110769143E-2</v>
      </c>
      <c r="U262" s="312">
        <f>+S262-$S$285</f>
        <v>0.11839553663035957</v>
      </c>
      <c r="V262" s="312">
        <f>+T262-$T$285</f>
        <v>2.9778144237740018E-2</v>
      </c>
      <c r="W262" s="419">
        <f t="shared" si="31"/>
        <v>3.5255993668834788E-3</v>
      </c>
      <c r="X262" s="419">
        <f t="shared" si="32"/>
        <v>1.0264956698366997E-3</v>
      </c>
      <c r="Z262" s="285">
        <f t="shared" si="35"/>
        <v>43962</v>
      </c>
      <c r="AA262" s="312">
        <f t="shared" si="36"/>
        <v>0.13963870229349962</v>
      </c>
      <c r="AB262" s="312">
        <f t="shared" si="37"/>
        <v>0.42511202617363797</v>
      </c>
    </row>
    <row r="263" spans="1:28" ht="17.45" customHeight="1">
      <c r="A263" s="285">
        <v>43969</v>
      </c>
      <c r="B263" s="325">
        <v>50</v>
      </c>
      <c r="C263" s="325">
        <v>56.220001000000003</v>
      </c>
      <c r="D263" s="325">
        <v>49.959999000000003</v>
      </c>
      <c r="E263" s="325">
        <v>52.740001999999997</v>
      </c>
      <c r="F263" s="366">
        <f t="shared" si="33"/>
        <v>0.12022089548764248</v>
      </c>
      <c r="G263" s="366">
        <f t="shared" si="38"/>
        <v>0.25985959778114209</v>
      </c>
      <c r="I263">
        <v>2913.860107</v>
      </c>
      <c r="J263">
        <v>2980.290039</v>
      </c>
      <c r="K263">
        <v>2913.860107</v>
      </c>
      <c r="L263">
        <v>2955.4499510000001</v>
      </c>
      <c r="M263" s="366">
        <f t="shared" si="34"/>
        <v>3.2038971110769143E-2</v>
      </c>
      <c r="N263" s="366">
        <f t="shared" si="39"/>
        <v>0.45715099728440711</v>
      </c>
      <c r="P263" s="285">
        <v>43969</v>
      </c>
      <c r="Q263" s="407">
        <f t="shared" si="30"/>
        <v>52.740001999999997</v>
      </c>
      <c r="R263"/>
      <c r="S263" s="409">
        <f>+F264</f>
        <v>4.4558170475609948E-2</v>
      </c>
      <c r="T263" s="409">
        <f>+M264</f>
        <v>3.0066524378101311E-2</v>
      </c>
      <c r="U263" s="312">
        <f>+S263-$S$285</f>
        <v>4.2732811618327031E-2</v>
      </c>
      <c r="V263" s="312">
        <f>+T263-$T$285</f>
        <v>2.7805697505072186E-2</v>
      </c>
      <c r="W263" s="419">
        <f t="shared" si="31"/>
        <v>1.1882156334004357E-3</v>
      </c>
      <c r="X263" s="419">
        <f t="shared" si="32"/>
        <v>9.0399588817896049E-4</v>
      </c>
      <c r="Z263" s="285">
        <f t="shared" si="35"/>
        <v>43969</v>
      </c>
      <c r="AA263" s="312">
        <f t="shared" si="36"/>
        <v>0.25985959778114209</v>
      </c>
      <c r="AB263" s="312">
        <f t="shared" si="37"/>
        <v>0.45715099728440711</v>
      </c>
    </row>
    <row r="264" spans="1:28" ht="17.45" customHeight="1">
      <c r="A264" s="285">
        <v>43976</v>
      </c>
      <c r="B264" s="325">
        <v>57.82</v>
      </c>
      <c r="C264" s="325">
        <v>59.110000999999997</v>
      </c>
      <c r="D264" s="325">
        <v>53.959999000000003</v>
      </c>
      <c r="E264" s="325">
        <v>55.09</v>
      </c>
      <c r="F264" s="366">
        <f t="shared" si="33"/>
        <v>4.4558170475609948E-2</v>
      </c>
      <c r="G264" s="366">
        <f t="shared" si="38"/>
        <v>0.30441776825675204</v>
      </c>
      <c r="I264">
        <v>3004.080078</v>
      </c>
      <c r="J264">
        <v>3068.669922</v>
      </c>
      <c r="K264">
        <v>2969.75</v>
      </c>
      <c r="L264">
        <v>3044.3100589999999</v>
      </c>
      <c r="M264" s="366">
        <f t="shared" si="34"/>
        <v>3.0066524378101311E-2</v>
      </c>
      <c r="N264" s="366">
        <f t="shared" si="39"/>
        <v>0.48721752166250842</v>
      </c>
      <c r="P264" s="285">
        <v>43976</v>
      </c>
      <c r="Q264" s="407">
        <f t="shared" si="30"/>
        <v>55.09</v>
      </c>
      <c r="R264"/>
      <c r="S264" s="409">
        <f>+F265</f>
        <v>0.1524777999636957</v>
      </c>
      <c r="T264" s="409">
        <f>+M265</f>
        <v>4.9147383183810067E-2</v>
      </c>
      <c r="U264" s="312">
        <f>+S264-$S$285</f>
        <v>0.15065244110641279</v>
      </c>
      <c r="V264" s="312">
        <f>+T264-$T$285</f>
        <v>4.6886556310780939E-2</v>
      </c>
      <c r="W264" s="419">
        <f t="shared" si="31"/>
        <v>7.0635741632924321E-3</v>
      </c>
      <c r="X264" s="419">
        <f t="shared" si="32"/>
        <v>2.4154652738162564E-3</v>
      </c>
      <c r="Z264" s="285">
        <f t="shared" si="35"/>
        <v>43976</v>
      </c>
      <c r="AA264" s="312">
        <f t="shared" si="36"/>
        <v>0.30441776825675204</v>
      </c>
      <c r="AB264" s="312">
        <f t="shared" si="37"/>
        <v>0.48721752166250842</v>
      </c>
    </row>
    <row r="265" spans="1:28" ht="17.45" customHeight="1">
      <c r="A265" s="285">
        <v>43983</v>
      </c>
      <c r="B265" s="325">
        <v>55.09</v>
      </c>
      <c r="C265" s="325">
        <v>68.169998000000007</v>
      </c>
      <c r="D265" s="325">
        <v>54.610000999999997</v>
      </c>
      <c r="E265" s="325">
        <v>63.490001999999997</v>
      </c>
      <c r="F265" s="366">
        <f t="shared" si="33"/>
        <v>0.1524777999636957</v>
      </c>
      <c r="G265" s="366">
        <f t="shared" si="38"/>
        <v>0.45689556822044775</v>
      </c>
      <c r="I265">
        <v>3038.780029</v>
      </c>
      <c r="J265">
        <v>3211.719971</v>
      </c>
      <c r="K265">
        <v>3031.540039</v>
      </c>
      <c r="L265">
        <v>3193.929932</v>
      </c>
      <c r="M265" s="366">
        <f t="shared" si="34"/>
        <v>4.9147383183810067E-2</v>
      </c>
      <c r="N265" s="366">
        <f t="shared" si="39"/>
        <v>0.53636490484631849</v>
      </c>
      <c r="P265" s="285">
        <v>43983</v>
      </c>
      <c r="Q265" s="407">
        <f t="shared" si="30"/>
        <v>63.490001999999997</v>
      </c>
      <c r="R265"/>
      <c r="S265" s="409">
        <f>+F266</f>
        <v>-0.11923143426582339</v>
      </c>
      <c r="T265" s="409">
        <f>+M266</f>
        <v>-4.7784352271131869E-2</v>
      </c>
      <c r="U265" s="312">
        <f>+S265-$S$285</f>
        <v>-0.1210567931231063</v>
      </c>
      <c r="V265" s="312">
        <f>+T265-$T$285</f>
        <v>-5.0045179144160998E-2</v>
      </c>
      <c r="W265" s="419">
        <f t="shared" si="31"/>
        <v>6.0583088984634921E-3</v>
      </c>
      <c r="X265" s="419">
        <f t="shared" si="32"/>
        <v>2.2833443219716252E-3</v>
      </c>
      <c r="Z265" s="285">
        <f t="shared" si="35"/>
        <v>43983</v>
      </c>
      <c r="AA265" s="312">
        <f t="shared" si="36"/>
        <v>0.45689556822044775</v>
      </c>
      <c r="AB265" s="312">
        <f t="shared" si="37"/>
        <v>0.53636490484631849</v>
      </c>
    </row>
    <row r="266" spans="1:28" ht="17.45" customHeight="1">
      <c r="A266" s="285">
        <v>43990</v>
      </c>
      <c r="B266" s="325">
        <v>68.089995999999999</v>
      </c>
      <c r="C266" s="325">
        <v>68.139999000000003</v>
      </c>
      <c r="D266" s="325">
        <v>54</v>
      </c>
      <c r="E266" s="325">
        <v>55.919998</v>
      </c>
      <c r="F266" s="366">
        <f t="shared" si="33"/>
        <v>-0.11923143426582339</v>
      </c>
      <c r="G266" s="366">
        <f t="shared" si="38"/>
        <v>0.33766413395462436</v>
      </c>
      <c r="I266">
        <v>3199.919922</v>
      </c>
      <c r="J266">
        <v>3233.1298830000001</v>
      </c>
      <c r="K266">
        <v>2984.469971</v>
      </c>
      <c r="L266">
        <v>3041.3100589999999</v>
      </c>
      <c r="M266" s="366">
        <f t="shared" si="34"/>
        <v>-4.7784352271131869E-2</v>
      </c>
      <c r="N266" s="366">
        <f t="shared" si="39"/>
        <v>0.48858055257518662</v>
      </c>
      <c r="P266" s="285">
        <v>43990</v>
      </c>
      <c r="Q266" s="407">
        <f t="shared" si="30"/>
        <v>55.919998</v>
      </c>
      <c r="R266"/>
      <c r="S266" s="409">
        <f>+F267</f>
        <v>-5.1502094116670061E-2</v>
      </c>
      <c r="T266" s="409">
        <f>+M267</f>
        <v>1.8554481425861136E-2</v>
      </c>
      <c r="U266" s="312">
        <f>+S266-$S$285</f>
        <v>-5.3327452973952978E-2</v>
      </c>
      <c r="V266" s="312">
        <f>+T266-$T$285</f>
        <v>1.6293654552832011E-2</v>
      </c>
      <c r="W266" s="419">
        <f t="shared" si="31"/>
        <v>-8.6889909693998383E-4</v>
      </c>
      <c r="X266" s="419">
        <f t="shared" si="32"/>
        <v>3.4426878098262591E-4</v>
      </c>
      <c r="Z266" s="285">
        <f t="shared" si="35"/>
        <v>43990</v>
      </c>
      <c r="AA266" s="312">
        <f t="shared" si="36"/>
        <v>0.33766413395462436</v>
      </c>
      <c r="AB266" s="312">
        <f t="shared" si="37"/>
        <v>0.48858055257518662</v>
      </c>
    </row>
    <row r="267" spans="1:28" ht="17.45" customHeight="1">
      <c r="A267" s="285">
        <v>43997</v>
      </c>
      <c r="B267" s="325">
        <v>53.02</v>
      </c>
      <c r="C267" s="325">
        <v>58.860000999999997</v>
      </c>
      <c r="D267" s="325">
        <v>52.619999</v>
      </c>
      <c r="E267" s="325">
        <v>53.040000999999997</v>
      </c>
      <c r="F267" s="366">
        <f t="shared" si="33"/>
        <v>-5.1502094116670061E-2</v>
      </c>
      <c r="G267" s="366">
        <f t="shared" si="38"/>
        <v>0.2861620398379543</v>
      </c>
      <c r="I267">
        <v>2993.76001</v>
      </c>
      <c r="J267">
        <v>3155.530029</v>
      </c>
      <c r="K267">
        <v>2965.6599120000001</v>
      </c>
      <c r="L267">
        <v>3097.73999</v>
      </c>
      <c r="M267" s="366">
        <f t="shared" si="34"/>
        <v>1.8554481425861136E-2</v>
      </c>
      <c r="N267" s="366">
        <f t="shared" si="39"/>
        <v>0.50713503400104776</v>
      </c>
      <c r="P267" s="285">
        <v>43997</v>
      </c>
      <c r="Q267" s="407">
        <f t="shared" si="30"/>
        <v>53.040000999999997</v>
      </c>
      <c r="R267"/>
      <c r="S267" s="409">
        <f>+F268</f>
        <v>-0.10822024682842668</v>
      </c>
      <c r="T267" s="409">
        <f>+M268</f>
        <v>-2.8630531060161779E-2</v>
      </c>
      <c r="U267" s="312">
        <f>+S267-$S$285</f>
        <v>-0.11004560568570959</v>
      </c>
      <c r="V267" s="312">
        <f>+T267-$T$285</f>
        <v>-3.0891357933190904E-2</v>
      </c>
      <c r="W267" s="419">
        <f t="shared" si="31"/>
        <v>3.3994581942120429E-3</v>
      </c>
      <c r="X267" s="419">
        <f t="shared" si="32"/>
        <v>8.1970730878688834E-4</v>
      </c>
      <c r="Z267" s="285">
        <f t="shared" si="35"/>
        <v>43997</v>
      </c>
      <c r="AA267" s="312">
        <f t="shared" si="36"/>
        <v>0.2861620398379543</v>
      </c>
      <c r="AB267" s="312">
        <f t="shared" si="37"/>
        <v>0.50713503400104776</v>
      </c>
    </row>
    <row r="268" spans="1:28" ht="17.45" customHeight="1">
      <c r="A268" s="285">
        <v>44004</v>
      </c>
      <c r="B268" s="325">
        <v>52.540000999999997</v>
      </c>
      <c r="C268" s="325">
        <v>54</v>
      </c>
      <c r="D268" s="325">
        <v>46.900002000000001</v>
      </c>
      <c r="E268" s="325">
        <v>47.299999</v>
      </c>
      <c r="F268" s="366">
        <f t="shared" si="33"/>
        <v>-0.10822024682842668</v>
      </c>
      <c r="G268" s="366">
        <f t="shared" si="38"/>
        <v>0.17794179300952762</v>
      </c>
      <c r="I268">
        <v>3094.419922</v>
      </c>
      <c r="J268">
        <v>3154.8999020000001</v>
      </c>
      <c r="K268">
        <v>3004.6298830000001</v>
      </c>
      <c r="L268">
        <v>3009.0500489999999</v>
      </c>
      <c r="M268" s="366">
        <f t="shared" si="34"/>
        <v>-2.8630531060161779E-2</v>
      </c>
      <c r="N268" s="366">
        <f t="shared" si="39"/>
        <v>0.47850450294088598</v>
      </c>
      <c r="P268" s="285">
        <v>44004</v>
      </c>
      <c r="Q268" s="407">
        <f t="shared" si="30"/>
        <v>47.299999</v>
      </c>
      <c r="R268"/>
      <c r="S268" s="409">
        <f>+F269</f>
        <v>9.0697697477752692E-2</v>
      </c>
      <c r="T268" s="409">
        <f>+M269</f>
        <v>4.0198720204138505E-2</v>
      </c>
      <c r="U268" s="312">
        <f>+S268-$S$285</f>
        <v>8.8872338620469782E-2</v>
      </c>
      <c r="V268" s="312">
        <f>+T268-$T$285</f>
        <v>3.7937893331109376E-2</v>
      </c>
      <c r="W268" s="419">
        <f t="shared" si="31"/>
        <v>3.3716293026696148E-3</v>
      </c>
      <c r="X268" s="419">
        <f t="shared" si="32"/>
        <v>1.6159371060506132E-3</v>
      </c>
      <c r="Z268" s="285">
        <f t="shared" si="35"/>
        <v>44004</v>
      </c>
      <c r="AA268" s="312">
        <f t="shared" si="36"/>
        <v>0.17794179300952762</v>
      </c>
      <c r="AB268" s="312">
        <f t="shared" si="37"/>
        <v>0.47850450294088598</v>
      </c>
    </row>
    <row r="269" spans="1:28" ht="17.45" customHeight="1">
      <c r="A269" s="285">
        <v>44011</v>
      </c>
      <c r="B269" s="325">
        <v>47.779998999999997</v>
      </c>
      <c r="C269" s="325">
        <v>53.119999</v>
      </c>
      <c r="D269" s="325">
        <v>46.810001</v>
      </c>
      <c r="E269" s="325">
        <v>51.59</v>
      </c>
      <c r="F269" s="366">
        <f t="shared" si="33"/>
        <v>9.0697697477752692E-2</v>
      </c>
      <c r="G269" s="366">
        <f t="shared" si="38"/>
        <v>0.26863949048728031</v>
      </c>
      <c r="I269">
        <v>3018.5900879999999</v>
      </c>
      <c r="J269">
        <v>3165.8100589999999</v>
      </c>
      <c r="K269">
        <v>2999.73999</v>
      </c>
      <c r="L269">
        <v>3130.01001</v>
      </c>
      <c r="M269" s="366">
        <f t="shared" si="34"/>
        <v>4.0198720204138505E-2</v>
      </c>
      <c r="N269" s="366">
        <f t="shared" si="39"/>
        <v>0.51870322314502448</v>
      </c>
      <c r="P269" s="285">
        <v>44011</v>
      </c>
      <c r="Q269" s="407">
        <f t="shared" si="30"/>
        <v>51.59</v>
      </c>
      <c r="R269"/>
      <c r="S269" s="409">
        <f>+F270</f>
        <v>-3.3533611164954569E-2</v>
      </c>
      <c r="T269" s="409">
        <f>+M270</f>
        <v>1.7581422686887782E-2</v>
      </c>
      <c r="U269" s="312">
        <f>+S269-$S$285</f>
        <v>-3.5358970022237486E-2</v>
      </c>
      <c r="V269" s="312">
        <f>+T269-$T$285</f>
        <v>1.5320595813858657E-2</v>
      </c>
      <c r="W269" s="419">
        <f t="shared" si="31"/>
        <v>-5.4172048810504541E-4</v>
      </c>
      <c r="X269" s="419">
        <f t="shared" si="32"/>
        <v>3.0910642369501242E-4</v>
      </c>
      <c r="Z269" s="285">
        <f t="shared" si="35"/>
        <v>44011</v>
      </c>
      <c r="AA269" s="312">
        <f t="shared" si="36"/>
        <v>0.26863949048728031</v>
      </c>
      <c r="AB269" s="312">
        <f t="shared" si="37"/>
        <v>0.51870322314502448</v>
      </c>
    </row>
    <row r="270" spans="1:28" ht="17.45" customHeight="1">
      <c r="A270" s="285">
        <v>44018</v>
      </c>
      <c r="B270" s="325">
        <v>53.400002000000001</v>
      </c>
      <c r="C270" s="325">
        <v>54.139999000000003</v>
      </c>
      <c r="D270" s="325">
        <v>47.91</v>
      </c>
      <c r="E270" s="325">
        <v>49.860000999999997</v>
      </c>
      <c r="F270" s="366">
        <f t="shared" si="33"/>
        <v>-3.3533611164954569E-2</v>
      </c>
      <c r="G270" s="366">
        <f t="shared" si="38"/>
        <v>0.23510587932232574</v>
      </c>
      <c r="I270">
        <v>3155.290039</v>
      </c>
      <c r="J270">
        <v>3186.820068</v>
      </c>
      <c r="K270">
        <v>3115.6999510000001</v>
      </c>
      <c r="L270">
        <v>3185.040039</v>
      </c>
      <c r="M270" s="366">
        <f t="shared" si="34"/>
        <v>1.7581422686887782E-2</v>
      </c>
      <c r="N270" s="366">
        <f t="shared" si="39"/>
        <v>0.53628464583191227</v>
      </c>
      <c r="P270" s="285">
        <v>44018</v>
      </c>
      <c r="Q270" s="407">
        <f t="shared" si="30"/>
        <v>49.860000999999997</v>
      </c>
      <c r="R270"/>
      <c r="S270" s="409">
        <f>+F271</f>
        <v>5.5354952760630738E-2</v>
      </c>
      <c r="T270" s="409">
        <f>+M271</f>
        <v>1.2461363283979843E-2</v>
      </c>
      <c r="U270" s="312">
        <f>+S270-$S$285</f>
        <v>5.352959390334782E-2</v>
      </c>
      <c r="V270" s="312">
        <f>+T270-$T$285</f>
        <v>1.0200536410950718E-2</v>
      </c>
      <c r="W270" s="419">
        <f t="shared" si="31"/>
        <v>5.4603057167450502E-4</v>
      </c>
      <c r="X270" s="419">
        <f t="shared" si="32"/>
        <v>1.552855748953209E-4</v>
      </c>
      <c r="Z270" s="285">
        <f t="shared" si="35"/>
        <v>44018</v>
      </c>
      <c r="AA270" s="312">
        <f t="shared" si="36"/>
        <v>0.23510587932232574</v>
      </c>
      <c r="AB270" s="312">
        <f t="shared" si="37"/>
        <v>0.53628464583191227</v>
      </c>
    </row>
    <row r="271" spans="1:28" ht="17.45" customHeight="1">
      <c r="A271" s="285">
        <v>44025</v>
      </c>
      <c r="B271" s="325">
        <v>50.130001</v>
      </c>
      <c r="C271" s="325">
        <v>54.279998999999997</v>
      </c>
      <c r="D271" s="325">
        <v>48.139999000000003</v>
      </c>
      <c r="E271" s="325">
        <v>52.619999</v>
      </c>
      <c r="F271" s="366">
        <f t="shared" si="33"/>
        <v>5.5354952760630738E-2</v>
      </c>
      <c r="G271" s="366">
        <f t="shared" si="38"/>
        <v>0.29046083208295648</v>
      </c>
      <c r="I271">
        <v>3205.080078</v>
      </c>
      <c r="J271">
        <v>3238.280029</v>
      </c>
      <c r="K271">
        <v>3127.6599120000001</v>
      </c>
      <c r="L271">
        <v>3224.7299800000001</v>
      </c>
      <c r="M271" s="366">
        <f t="shared" si="34"/>
        <v>1.2461363283979843E-2</v>
      </c>
      <c r="N271" s="366">
        <f t="shared" si="39"/>
        <v>0.54874600911589211</v>
      </c>
      <c r="P271" s="285">
        <v>44025</v>
      </c>
      <c r="Q271" s="407">
        <f t="shared" si="30"/>
        <v>52.619999</v>
      </c>
      <c r="R271"/>
      <c r="S271" s="409">
        <f>+F272</f>
        <v>-4.33295143164103E-2</v>
      </c>
      <c r="T271" s="409">
        <f>+M272</f>
        <v>-2.8219717794790711E-3</v>
      </c>
      <c r="U271" s="312">
        <f>+S271-$S$285</f>
        <v>-4.5154873173693218E-2</v>
      </c>
      <c r="V271" s="312">
        <f>+T271-$T$285</f>
        <v>-5.0827986525081971E-3</v>
      </c>
      <c r="W271" s="419">
        <f t="shared" si="31"/>
        <v>2.2951312852142642E-4</v>
      </c>
      <c r="X271" s="419">
        <f t="shared" si="32"/>
        <v>7.9635247241762747E-6</v>
      </c>
      <c r="Z271" s="285">
        <f t="shared" si="35"/>
        <v>44025</v>
      </c>
      <c r="AA271" s="312">
        <f t="shared" si="36"/>
        <v>0.29046083208295648</v>
      </c>
      <c r="AB271" s="312">
        <f t="shared" si="37"/>
        <v>0.54874600911589211</v>
      </c>
    </row>
    <row r="272" spans="1:28" ht="17.45" customHeight="1">
      <c r="A272" s="285">
        <v>44032</v>
      </c>
      <c r="B272" s="325">
        <v>52.310001</v>
      </c>
      <c r="C272" s="325">
        <v>52.830002</v>
      </c>
      <c r="D272" s="325">
        <v>49.799999</v>
      </c>
      <c r="E272" s="325">
        <v>50.34</v>
      </c>
      <c r="F272" s="366">
        <f t="shared" si="33"/>
        <v>-4.33295143164103E-2</v>
      </c>
      <c r="G272" s="366">
        <f t="shared" si="38"/>
        <v>0.24713131776654618</v>
      </c>
      <c r="I272">
        <v>3224.290039</v>
      </c>
      <c r="J272">
        <v>3279.98999</v>
      </c>
      <c r="K272">
        <v>3200.0500489999999</v>
      </c>
      <c r="L272">
        <v>3215.6298830000001</v>
      </c>
      <c r="M272" s="366">
        <f t="shared" si="34"/>
        <v>-2.8219717794790711E-3</v>
      </c>
      <c r="N272" s="366">
        <f t="shared" si="39"/>
        <v>0.54592403733641304</v>
      </c>
      <c r="P272" s="285">
        <v>44032</v>
      </c>
      <c r="Q272" s="407">
        <f t="shared" si="30"/>
        <v>50.34</v>
      </c>
      <c r="R272"/>
      <c r="S272" s="409">
        <f>+F273</f>
        <v>-4.6483909415971469E-2</v>
      </c>
      <c r="T272" s="409">
        <f>+M273</f>
        <v>1.7256411968727736E-2</v>
      </c>
      <c r="U272" s="312">
        <f>+S272-$S$285</f>
        <v>-4.8309268273254387E-2</v>
      </c>
      <c r="V272" s="312">
        <f>+T272-$T$285</f>
        <v>1.4995585095698611E-2</v>
      </c>
      <c r="W272" s="419">
        <f t="shared" si="31"/>
        <v>-7.2442574330251926E-4</v>
      </c>
      <c r="X272" s="419">
        <f t="shared" si="32"/>
        <v>2.9778375403444987E-4</v>
      </c>
      <c r="Z272" s="285">
        <f t="shared" si="35"/>
        <v>44032</v>
      </c>
      <c r="AA272" s="312">
        <f t="shared" si="36"/>
        <v>0.24713131776654618</v>
      </c>
      <c r="AB272" s="312">
        <f t="shared" si="37"/>
        <v>0.54592403733641304</v>
      </c>
    </row>
    <row r="273" spans="1:28" ht="17.45" customHeight="1">
      <c r="A273" s="285">
        <v>44039</v>
      </c>
      <c r="B273" s="325">
        <v>49.689999</v>
      </c>
      <c r="C273" s="325">
        <v>50.25</v>
      </c>
      <c r="D273" s="325">
        <v>46.889999000000003</v>
      </c>
      <c r="E273" s="325">
        <v>48</v>
      </c>
      <c r="F273" s="366">
        <f t="shared" si="33"/>
        <v>-4.6483909415971469E-2</v>
      </c>
      <c r="G273" s="366">
        <f t="shared" si="38"/>
        <v>0.20064740835057471</v>
      </c>
      <c r="I273">
        <v>3219.8400879999999</v>
      </c>
      <c r="J273">
        <v>3272.169922</v>
      </c>
      <c r="K273">
        <v>3204.1298830000001</v>
      </c>
      <c r="L273">
        <v>3271.1201169999999</v>
      </c>
      <c r="M273" s="366">
        <f t="shared" si="34"/>
        <v>1.7256411968727736E-2</v>
      </c>
      <c r="N273" s="366">
        <f t="shared" si="39"/>
        <v>0.56318044930514077</v>
      </c>
      <c r="P273" s="285">
        <v>44039</v>
      </c>
      <c r="Q273" s="407">
        <f t="shared" si="30"/>
        <v>48</v>
      </c>
      <c r="R273"/>
      <c r="S273" s="409">
        <f>+F274</f>
        <v>6.5208354166666593E-2</v>
      </c>
      <c r="T273" s="409">
        <f>+M274</f>
        <v>2.4505340413337073E-2</v>
      </c>
      <c r="U273" s="312">
        <f>+S273-$S$285</f>
        <v>6.3382995309383683E-2</v>
      </c>
      <c r="V273" s="312">
        <f>+T273-$T$285</f>
        <v>2.2244513540307948E-2</v>
      </c>
      <c r="W273" s="419">
        <f t="shared" si="31"/>
        <v>1.4099238973848604E-3</v>
      </c>
      <c r="X273" s="419">
        <f t="shared" si="32"/>
        <v>6.0051170877353116E-4</v>
      </c>
      <c r="Z273" s="285">
        <f t="shared" si="35"/>
        <v>44039</v>
      </c>
      <c r="AA273" s="312">
        <f t="shared" si="36"/>
        <v>0.20064740835057471</v>
      </c>
      <c r="AB273" s="312">
        <f t="shared" si="37"/>
        <v>0.56318044930514077</v>
      </c>
    </row>
    <row r="274" spans="1:28" ht="17.45" customHeight="1">
      <c r="A274" s="285">
        <v>44046</v>
      </c>
      <c r="B274" s="325">
        <v>48</v>
      </c>
      <c r="C274" s="325">
        <v>51.25</v>
      </c>
      <c r="D274" s="325">
        <v>45.619999</v>
      </c>
      <c r="E274" s="325">
        <v>51.130001</v>
      </c>
      <c r="F274" s="366">
        <f t="shared" si="33"/>
        <v>6.5208354166666593E-2</v>
      </c>
      <c r="G274" s="366">
        <f t="shared" si="38"/>
        <v>0.2658557625172413</v>
      </c>
      <c r="I274">
        <v>3288.26001</v>
      </c>
      <c r="J274">
        <v>3352.540039</v>
      </c>
      <c r="K274">
        <v>3284.530029</v>
      </c>
      <c r="L274">
        <v>3351.280029</v>
      </c>
      <c r="M274" s="366">
        <f t="shared" si="34"/>
        <v>2.4505340413337073E-2</v>
      </c>
      <c r="N274" s="366">
        <f t="shared" si="39"/>
        <v>0.58768578971847785</v>
      </c>
      <c r="P274" s="285">
        <v>44046</v>
      </c>
      <c r="Q274" s="407">
        <f t="shared" si="30"/>
        <v>51.130001</v>
      </c>
      <c r="R274"/>
      <c r="S274" s="409">
        <f>+F275</f>
        <v>9.6420886046921783E-2</v>
      </c>
      <c r="T274" s="409">
        <f>+M275</f>
        <v>6.4363672427685259E-3</v>
      </c>
      <c r="U274" s="312">
        <f>+S274-$S$285</f>
        <v>9.4595527189638873E-2</v>
      </c>
      <c r="V274" s="312">
        <f>+T274-$T$285</f>
        <v>4.1755403697393998E-3</v>
      </c>
      <c r="W274" s="419">
        <f t="shared" si="31"/>
        <v>3.9498744257711815E-4</v>
      </c>
      <c r="X274" s="419">
        <f t="shared" si="32"/>
        <v>4.1426823283783716E-5</v>
      </c>
      <c r="Z274" s="285">
        <f t="shared" si="35"/>
        <v>44046</v>
      </c>
      <c r="AA274" s="312">
        <f t="shared" si="36"/>
        <v>0.2658557625172413</v>
      </c>
      <c r="AB274" s="312">
        <f t="shared" si="37"/>
        <v>0.58768578971847785</v>
      </c>
    </row>
    <row r="275" spans="1:28" ht="17.45" customHeight="1">
      <c r="A275" s="285">
        <v>44053</v>
      </c>
      <c r="B275" s="325">
        <v>51.709999000000003</v>
      </c>
      <c r="C275" s="325">
        <v>56.990001999999997</v>
      </c>
      <c r="D275" s="325">
        <v>51.619999</v>
      </c>
      <c r="E275" s="325">
        <v>56.060001</v>
      </c>
      <c r="F275" s="366">
        <f t="shared" si="33"/>
        <v>9.6420886046921783E-2</v>
      </c>
      <c r="G275" s="366">
        <f t="shared" si="38"/>
        <v>0.36227664856416308</v>
      </c>
      <c r="I275">
        <v>3356.040039</v>
      </c>
      <c r="J275">
        <v>3387.889893</v>
      </c>
      <c r="K275">
        <v>3326.4399410000001</v>
      </c>
      <c r="L275">
        <v>3372.8500979999999</v>
      </c>
      <c r="M275" s="366">
        <f t="shared" si="34"/>
        <v>6.4363672427685259E-3</v>
      </c>
      <c r="N275" s="366">
        <f t="shared" si="39"/>
        <v>0.59412215696124637</v>
      </c>
      <c r="P275" s="285">
        <v>44053</v>
      </c>
      <c r="Q275" s="407">
        <f t="shared" si="30"/>
        <v>56.060001</v>
      </c>
      <c r="R275"/>
      <c r="S275" s="409">
        <f>+F276</f>
        <v>-2.5330038791829379E-2</v>
      </c>
      <c r="T275" s="409">
        <f>+M276</f>
        <v>7.2074990864299249E-3</v>
      </c>
      <c r="U275" s="312">
        <f>+S275-$S$285</f>
        <v>-2.7155397649112296E-2</v>
      </c>
      <c r="V275" s="312">
        <f>+T275-$T$285</f>
        <v>4.9466722134007988E-3</v>
      </c>
      <c r="W275" s="419">
        <f t="shared" si="31"/>
        <v>-1.3432885099471317E-4</v>
      </c>
      <c r="X275" s="419">
        <f t="shared" si="32"/>
        <v>5.19480430808882E-5</v>
      </c>
      <c r="Z275" s="285">
        <f t="shared" si="35"/>
        <v>44053</v>
      </c>
      <c r="AA275" s="312">
        <f t="shared" si="36"/>
        <v>0.36227664856416308</v>
      </c>
      <c r="AB275" s="312">
        <f t="shared" si="37"/>
        <v>0.59412215696124637</v>
      </c>
    </row>
    <row r="276" spans="1:28" ht="17.45" customHeight="1">
      <c r="A276" s="285">
        <v>44060</v>
      </c>
      <c r="B276" s="325">
        <v>56.18</v>
      </c>
      <c r="C276" s="325">
        <v>56.209999000000003</v>
      </c>
      <c r="D276" s="325">
        <v>52.389999000000003</v>
      </c>
      <c r="E276" s="325">
        <v>54.639999000000003</v>
      </c>
      <c r="F276" s="366">
        <f t="shared" si="33"/>
        <v>-2.5330038791829379E-2</v>
      </c>
      <c r="G276" s="366">
        <f t="shared" si="38"/>
        <v>0.33694660977233371</v>
      </c>
      <c r="I276">
        <v>3380.860107</v>
      </c>
      <c r="J276">
        <v>3399.959961</v>
      </c>
      <c r="K276">
        <v>3354.6899410000001</v>
      </c>
      <c r="L276">
        <v>3397.1599120000001</v>
      </c>
      <c r="M276" s="366">
        <f t="shared" si="34"/>
        <v>7.2074990864299249E-3</v>
      </c>
      <c r="N276" s="366">
        <f t="shared" si="39"/>
        <v>0.6013296560476763</v>
      </c>
      <c r="P276" s="285">
        <v>44060</v>
      </c>
      <c r="Q276" s="407">
        <f t="shared" si="30"/>
        <v>54.639999000000003</v>
      </c>
      <c r="R276"/>
      <c r="S276" s="409">
        <f>+F277</f>
        <v>8.2723299464189104E-2</v>
      </c>
      <c r="T276" s="409">
        <f>+M277</f>
        <v>3.2630226680951058E-2</v>
      </c>
      <c r="U276" s="312">
        <f>+S276-$S$285</f>
        <v>8.0897940606906193E-2</v>
      </c>
      <c r="V276" s="312">
        <f>+T276-$T$285</f>
        <v>3.0369399807921933E-2</v>
      </c>
      <c r="W276" s="419">
        <f t="shared" si="31"/>
        <v>2.4568219019286569E-3</v>
      </c>
      <c r="X276" s="419">
        <f t="shared" si="32"/>
        <v>1.0647316932502504E-3</v>
      </c>
      <c r="Z276" s="285">
        <f t="shared" si="35"/>
        <v>44060</v>
      </c>
      <c r="AA276" s="312">
        <f t="shared" si="36"/>
        <v>0.33694660977233371</v>
      </c>
      <c r="AB276" s="312">
        <f t="shared" si="37"/>
        <v>0.6013296560476763</v>
      </c>
    </row>
    <row r="277" spans="1:28" ht="17.45" customHeight="1">
      <c r="A277" s="285">
        <v>44067</v>
      </c>
      <c r="B277" s="325">
        <v>55.75</v>
      </c>
      <c r="C277" s="325">
        <v>59.299999</v>
      </c>
      <c r="D277" s="325">
        <v>53.889999000000003</v>
      </c>
      <c r="E277" s="325">
        <v>59.16</v>
      </c>
      <c r="F277" s="366">
        <f t="shared" si="33"/>
        <v>8.2723299464189104E-2</v>
      </c>
      <c r="G277" s="366">
        <f t="shared" si="38"/>
        <v>0.41966990923652281</v>
      </c>
      <c r="I277">
        <v>3418.0900879999999</v>
      </c>
      <c r="J277">
        <v>3509.2299800000001</v>
      </c>
      <c r="K277">
        <v>3413.1298830000001</v>
      </c>
      <c r="L277">
        <v>3508.01001</v>
      </c>
      <c r="M277" s="366">
        <f t="shared" si="34"/>
        <v>3.2630226680951058E-2</v>
      </c>
      <c r="N277" s="366">
        <f t="shared" si="39"/>
        <v>0.63395988272862736</v>
      </c>
      <c r="P277" s="285">
        <v>44067</v>
      </c>
      <c r="Q277" s="407">
        <f t="shared" si="30"/>
        <v>59.16</v>
      </c>
      <c r="R277"/>
      <c r="S277" s="409">
        <f>+F278</f>
        <v>1.4029783637592885E-2</v>
      </c>
      <c r="T277" s="409">
        <f>+M278</f>
        <v>-2.3104280993770598E-2</v>
      </c>
      <c r="U277" s="312">
        <f>+S277-$S$285</f>
        <v>1.220442478030997E-2</v>
      </c>
      <c r="V277" s="312">
        <f>+T277-$T$285</f>
        <v>-2.5365107866799724E-2</v>
      </c>
      <c r="W277" s="419">
        <f t="shared" si="31"/>
        <v>-3.0956655100480591E-4</v>
      </c>
      <c r="X277" s="419">
        <f t="shared" si="32"/>
        <v>5.3380780023910932E-4</v>
      </c>
      <c r="Z277" s="285">
        <f t="shared" si="35"/>
        <v>44067</v>
      </c>
      <c r="AA277" s="312">
        <f t="shared" si="36"/>
        <v>0.41966990923652281</v>
      </c>
      <c r="AB277" s="312">
        <f t="shared" si="37"/>
        <v>0.63395988272862736</v>
      </c>
    </row>
    <row r="278" spans="1:28" ht="17.45" customHeight="1">
      <c r="A278" s="285">
        <v>44074</v>
      </c>
      <c r="B278" s="325">
        <v>59.529998999999997</v>
      </c>
      <c r="C278" s="325">
        <v>60.560001</v>
      </c>
      <c r="D278" s="325">
        <v>55.220001000000003</v>
      </c>
      <c r="E278" s="325">
        <v>59.990001999999997</v>
      </c>
      <c r="F278" s="366">
        <f t="shared" si="33"/>
        <v>1.4029783637592885E-2</v>
      </c>
      <c r="G278" s="366">
        <f t="shared" si="38"/>
        <v>0.43369969287411569</v>
      </c>
      <c r="I278">
        <v>3509.7299800000001</v>
      </c>
      <c r="J278">
        <v>3588.110107</v>
      </c>
      <c r="K278">
        <v>3349.6298830000001</v>
      </c>
      <c r="L278">
        <v>3426.959961</v>
      </c>
      <c r="M278" s="366">
        <f t="shared" si="34"/>
        <v>-2.3104280993770598E-2</v>
      </c>
      <c r="N278" s="366">
        <f t="shared" si="39"/>
        <v>0.61085560173485676</v>
      </c>
      <c r="P278" s="285">
        <v>44074</v>
      </c>
      <c r="Q278" s="407">
        <f t="shared" si="30"/>
        <v>59.990001999999997</v>
      </c>
      <c r="R278"/>
      <c r="S278" s="409">
        <f>+F279</f>
        <v>-8.1346905105954215E-2</v>
      </c>
      <c r="T278" s="409">
        <f>+M279</f>
        <v>-2.5092207372889086E-2</v>
      </c>
      <c r="U278" s="312">
        <f>+S278-$S$285</f>
        <v>-8.3172263963237125E-2</v>
      </c>
      <c r="V278" s="312">
        <f>+T278-$T$285</f>
        <v>-2.7353034245918211E-2</v>
      </c>
      <c r="W278" s="419">
        <f t="shared" si="31"/>
        <v>2.2750137844969741E-3</v>
      </c>
      <c r="X278" s="419">
        <f t="shared" si="32"/>
        <v>6.2961887084406936E-4</v>
      </c>
      <c r="Z278" s="285">
        <f t="shared" si="35"/>
        <v>44074</v>
      </c>
      <c r="AA278" s="312">
        <f t="shared" si="36"/>
        <v>0.43369969287411569</v>
      </c>
      <c r="AB278" s="312">
        <f t="shared" si="37"/>
        <v>0.61085560173485676</v>
      </c>
    </row>
    <row r="279" spans="1:28" ht="17.45" customHeight="1">
      <c r="A279" s="285">
        <v>44081</v>
      </c>
      <c r="B279" s="325">
        <v>59</v>
      </c>
      <c r="C279" s="325">
        <v>60.09</v>
      </c>
      <c r="D279" s="325">
        <v>53.669998</v>
      </c>
      <c r="E279" s="325">
        <v>55.110000999999997</v>
      </c>
      <c r="F279" s="366">
        <f t="shared" si="33"/>
        <v>-8.1346905105954215E-2</v>
      </c>
      <c r="G279" s="366">
        <f t="shared" si="38"/>
        <v>0.35235278776816148</v>
      </c>
      <c r="I279">
        <v>3371.8798830000001</v>
      </c>
      <c r="J279">
        <v>3425.5500489999999</v>
      </c>
      <c r="K279">
        <v>3310.469971</v>
      </c>
      <c r="L279">
        <v>3340.969971</v>
      </c>
      <c r="M279" s="366">
        <f t="shared" si="34"/>
        <v>-2.5092207372889086E-2</v>
      </c>
      <c r="N279" s="366">
        <f t="shared" si="39"/>
        <v>0.58576339436196767</v>
      </c>
      <c r="P279" s="285">
        <v>44081</v>
      </c>
      <c r="Q279" s="407">
        <f t="shared" ref="Q279:Q283" si="40">+E279</f>
        <v>55.110000999999997</v>
      </c>
      <c r="R279"/>
      <c r="S279" s="409">
        <f>+F280</f>
        <v>3.4657938039231784E-2</v>
      </c>
      <c r="T279" s="409">
        <f>+M280</f>
        <v>-6.4352568824690426E-3</v>
      </c>
      <c r="U279" s="312">
        <f>+S279-$S$285</f>
        <v>3.2832579181948866E-2</v>
      </c>
      <c r="V279" s="312">
        <f>+T279-$T$285</f>
        <v>-8.6960837554981678E-3</v>
      </c>
      <c r="W279" s="419">
        <f t="shared" ref="W279:W283" si="41">+V279*U279</f>
        <v>-2.8551485847525286E-4</v>
      </c>
      <c r="X279" s="419">
        <f t="shared" ref="X279:X283" si="42">+T279^2</f>
        <v>4.141253114336518E-5</v>
      </c>
      <c r="Z279" s="285">
        <f t="shared" si="35"/>
        <v>44081</v>
      </c>
      <c r="AA279" s="312">
        <f>+G279</f>
        <v>0.35235278776816148</v>
      </c>
      <c r="AB279" s="312">
        <f>+N279</f>
        <v>0.58576339436196767</v>
      </c>
    </row>
    <row r="280" spans="1:28" ht="17.45" customHeight="1">
      <c r="A280" s="285">
        <v>44088</v>
      </c>
      <c r="B280" s="325">
        <v>55.419998</v>
      </c>
      <c r="C280" s="325">
        <v>61.560001</v>
      </c>
      <c r="D280" s="325">
        <v>55.419998</v>
      </c>
      <c r="E280" s="325">
        <v>57.02</v>
      </c>
      <c r="F280" s="366">
        <f t="shared" ref="F280:F283" si="43">+E280/E279-1</f>
        <v>3.4657938039231784E-2</v>
      </c>
      <c r="G280" s="366">
        <f t="shared" si="38"/>
        <v>0.38701072580739326</v>
      </c>
      <c r="I280">
        <v>3363.5600589999999</v>
      </c>
      <c r="J280">
        <v>3428.919922</v>
      </c>
      <c r="K280">
        <v>3292.3999020000001</v>
      </c>
      <c r="L280">
        <v>3319.469971</v>
      </c>
      <c r="M280" s="366">
        <f t="shared" ref="M280:M283" si="44">+L280/L279-1</f>
        <v>-6.4352568824690426E-3</v>
      </c>
      <c r="N280" s="366">
        <f t="shared" si="39"/>
        <v>0.57932813747949863</v>
      </c>
      <c r="P280" s="285">
        <v>44088</v>
      </c>
      <c r="Q280" s="407">
        <f t="shared" si="40"/>
        <v>57.02</v>
      </c>
      <c r="R280"/>
      <c r="S280" s="409">
        <f>+F281</f>
        <v>-6.3661890564714163E-2</v>
      </c>
      <c r="T280" s="409">
        <f>+M281</f>
        <v>-6.3293267249140417E-3</v>
      </c>
      <c r="U280" s="312">
        <f>+S280-$S$285</f>
        <v>-6.5487249421997074E-2</v>
      </c>
      <c r="V280" s="312">
        <f>+T280-$T$285</f>
        <v>-8.5901535979431669E-3</v>
      </c>
      <c r="W280" s="419">
        <f t="shared" si="41"/>
        <v>5.6254553124176977E-4</v>
      </c>
      <c r="X280" s="419">
        <f t="shared" si="42"/>
        <v>4.0060376790711112E-5</v>
      </c>
      <c r="Z280" s="285">
        <f t="shared" ref="Z280:Z283" si="45">+A280</f>
        <v>44088</v>
      </c>
      <c r="AA280" s="312">
        <f>+G280</f>
        <v>0.38701072580739326</v>
      </c>
      <c r="AB280" s="312">
        <f>+N280</f>
        <v>0.57932813747949863</v>
      </c>
    </row>
    <row r="281" spans="1:28" ht="17.45" customHeight="1">
      <c r="A281" s="285">
        <v>44095</v>
      </c>
      <c r="B281" s="325">
        <v>55.32</v>
      </c>
      <c r="C281" s="325">
        <v>55.990001999999997</v>
      </c>
      <c r="D281" s="325">
        <v>51.209999000000003</v>
      </c>
      <c r="E281" s="325">
        <v>53.389999000000003</v>
      </c>
      <c r="F281" s="366">
        <f t="shared" si="43"/>
        <v>-6.3661890564714163E-2</v>
      </c>
      <c r="G281" s="366">
        <f t="shared" ref="G281:G283" si="46">+F281+G280</f>
        <v>0.3233488352426791</v>
      </c>
      <c r="I281">
        <v>3285.570068</v>
      </c>
      <c r="J281">
        <v>3323.3500979999999</v>
      </c>
      <c r="K281">
        <v>3209.4499510000001</v>
      </c>
      <c r="L281">
        <v>3298.459961</v>
      </c>
      <c r="M281" s="366">
        <f t="shared" si="44"/>
        <v>-6.3293267249140417E-3</v>
      </c>
      <c r="N281" s="366">
        <f t="shared" ref="N281:N283" si="47">+M281+N280</f>
        <v>0.57299881075458459</v>
      </c>
      <c r="P281" s="285">
        <v>44095</v>
      </c>
      <c r="Q281" s="407">
        <f t="shared" si="40"/>
        <v>53.389999000000003</v>
      </c>
      <c r="R281"/>
      <c r="S281" s="409">
        <f>+F282</f>
        <v>5.4317476199989834E-3</v>
      </c>
      <c r="T281" s="409">
        <f>+M282</f>
        <v>1.5146450643849452E-2</v>
      </c>
      <c r="U281" s="312">
        <f>+S281-$S$285</f>
        <v>3.6063887627160673E-3</v>
      </c>
      <c r="V281" s="312">
        <f>+T281-$T$285</f>
        <v>1.2885623770820327E-2</v>
      </c>
      <c r="W281" s="419">
        <f t="shared" si="41"/>
        <v>4.6470568767673462E-5</v>
      </c>
      <c r="X281" s="419">
        <f t="shared" si="42"/>
        <v>2.2941496710656746E-4</v>
      </c>
      <c r="Z281" s="285">
        <f t="shared" si="45"/>
        <v>44095</v>
      </c>
      <c r="AA281" s="312">
        <f>+G281</f>
        <v>0.3233488352426791</v>
      </c>
      <c r="AB281" s="312">
        <f>+N281</f>
        <v>0.57299881075458459</v>
      </c>
    </row>
    <row r="282" spans="1:28" ht="17.45" customHeight="1">
      <c r="A282" s="285">
        <v>44102</v>
      </c>
      <c r="B282" s="325">
        <v>54.779998999999997</v>
      </c>
      <c r="C282" s="325">
        <v>55.119999</v>
      </c>
      <c r="D282" s="325">
        <v>51.5</v>
      </c>
      <c r="E282" s="325">
        <v>53.68</v>
      </c>
      <c r="F282" s="366">
        <f t="shared" si="43"/>
        <v>5.4317476199989834E-3</v>
      </c>
      <c r="G282" s="366">
        <f t="shared" si="46"/>
        <v>0.32878058286267808</v>
      </c>
      <c r="I282">
        <v>3333.8999020000001</v>
      </c>
      <c r="J282">
        <v>3397.179932</v>
      </c>
      <c r="K282">
        <v>3323.6899410000001</v>
      </c>
      <c r="L282">
        <v>3348.419922</v>
      </c>
      <c r="M282" s="366">
        <f t="shared" si="44"/>
        <v>1.5146450643849452E-2</v>
      </c>
      <c r="N282" s="366">
        <f t="shared" si="47"/>
        <v>0.58814526139843404</v>
      </c>
      <c r="P282" s="285">
        <v>44102</v>
      </c>
      <c r="Q282" s="407">
        <f t="shared" si="40"/>
        <v>53.68</v>
      </c>
      <c r="R282"/>
      <c r="S282" s="409">
        <f>+F283</f>
        <v>9.9292064083457587E-2</v>
      </c>
      <c r="T282" s="409">
        <f>+M283</f>
        <v>2.9390028220002806E-2</v>
      </c>
      <c r="U282" s="312">
        <f>+S282-$S$285</f>
        <v>9.7466705226174677E-2</v>
      </c>
      <c r="V282" s="312">
        <f>+T282-$T$285</f>
        <v>2.7129201346973681E-2</v>
      </c>
      <c r="W282" s="419">
        <f t="shared" si="41"/>
        <v>2.6441938707070247E-3</v>
      </c>
      <c r="X282" s="419">
        <f t="shared" si="42"/>
        <v>8.6377375877256136E-4</v>
      </c>
      <c r="Z282" s="285">
        <f t="shared" si="45"/>
        <v>44102</v>
      </c>
      <c r="AA282" s="312">
        <f>+G282</f>
        <v>0.32878058286267808</v>
      </c>
      <c r="AB282" s="312">
        <f>+N282</f>
        <v>0.58814526139843404</v>
      </c>
    </row>
    <row r="283" spans="1:28" ht="17.45" customHeight="1">
      <c r="A283" s="285">
        <v>44109</v>
      </c>
      <c r="B283" s="325">
        <v>54.110000999999997</v>
      </c>
      <c r="C283" s="325">
        <v>59.18</v>
      </c>
      <c r="D283" s="325">
        <v>53.73</v>
      </c>
      <c r="E283" s="325">
        <v>59.009998000000003</v>
      </c>
      <c r="F283" s="366">
        <f t="shared" si="43"/>
        <v>9.9292064083457587E-2</v>
      </c>
      <c r="G283" s="366">
        <f t="shared" si="46"/>
        <v>0.42807264694613567</v>
      </c>
      <c r="I283">
        <v>3367.2700199999999</v>
      </c>
      <c r="J283">
        <v>3447.280029</v>
      </c>
      <c r="K283">
        <v>3354.540039</v>
      </c>
      <c r="L283">
        <v>3446.830078</v>
      </c>
      <c r="M283" s="366">
        <f t="shared" si="44"/>
        <v>2.9390028220002806E-2</v>
      </c>
      <c r="N283" s="366">
        <f t="shared" si="47"/>
        <v>0.61753528961843684</v>
      </c>
      <c r="P283" s="285">
        <v>44109</v>
      </c>
      <c r="Q283" s="407">
        <f t="shared" si="40"/>
        <v>59.009998000000003</v>
      </c>
      <c r="R283"/>
      <c r="S283" s="409">
        <f>+F284</f>
        <v>0</v>
      </c>
      <c r="T283" s="409">
        <f>+M284</f>
        <v>0</v>
      </c>
      <c r="U283" s="312">
        <f>+S283-$S$285</f>
        <v>-1.8253588572829161E-3</v>
      </c>
      <c r="V283" s="312">
        <f>+T283-$T$285</f>
        <v>-2.2608268730291261E-3</v>
      </c>
      <c r="W283" s="419">
        <f t="shared" si="41"/>
        <v>4.1268203574669541E-6</v>
      </c>
      <c r="X283" s="419">
        <f t="shared" si="42"/>
        <v>0</v>
      </c>
      <c r="Z283" s="285">
        <f t="shared" si="45"/>
        <v>44109</v>
      </c>
      <c r="AA283" s="312">
        <f>+G283</f>
        <v>0.42807264694613567</v>
      </c>
      <c r="AB283" s="312">
        <f>+N283</f>
        <v>0.61753528961843684</v>
      </c>
    </row>
    <row r="284" spans="1:28" ht="14.7" thickBot="1">
      <c r="F284" s="407"/>
      <c r="G284" s="407"/>
      <c r="H284" s="325"/>
      <c r="I284" s="325"/>
      <c r="J284" s="325"/>
      <c r="K284" s="325"/>
      <c r="L284" s="325"/>
      <c r="M284" s="407"/>
      <c r="N284" s="407"/>
      <c r="O284" s="325"/>
      <c r="P284" s="325"/>
      <c r="R284"/>
      <c r="S284" s="409"/>
      <c r="T284" s="409"/>
      <c r="U284" s="312"/>
      <c r="V284" s="312"/>
      <c r="W284" s="419"/>
      <c r="X284" s="419"/>
      <c r="AA284" s="312"/>
      <c r="AB284" s="312"/>
    </row>
    <row r="285" spans="1:28" ht="14.7" thickBot="1">
      <c r="E285" s="408" t="s">
        <v>206</v>
      </c>
      <c r="F285" s="409">
        <f>AVERAGE(F23:F283)</f>
        <v>1.640125084084811E-3</v>
      </c>
      <c r="G285" s="409"/>
      <c r="L285" s="408" t="s">
        <v>206</v>
      </c>
      <c r="M285" s="409">
        <f>AVERAGE(M23:M283)</f>
        <v>2.3660355924078041E-3</v>
      </c>
      <c r="N285" s="409"/>
      <c r="R285" s="408" t="s">
        <v>206</v>
      </c>
      <c r="S285" s="417">
        <f>AVERAGE(S24:S283)</f>
        <v>1.8253588572829161E-3</v>
      </c>
      <c r="T285" s="418">
        <f>AVERAGE(T24:T283)</f>
        <v>2.2608268730291261E-3</v>
      </c>
      <c r="V285" s="256" t="s">
        <v>344</v>
      </c>
      <c r="W285" s="421">
        <f>SUM(W22:W283)</f>
        <v>0.21570129508731925</v>
      </c>
      <c r="X285" s="421">
        <f>SUM(X22:X283)</f>
        <v>0.15861984339914587</v>
      </c>
      <c r="AA285" s="312"/>
      <c r="AB285" s="312"/>
    </row>
    <row r="286" spans="1:28" ht="14.7" thickBot="1">
      <c r="E286" s="408" t="s">
        <v>334</v>
      </c>
      <c r="F286" s="410">
        <f>STDEV(F23:F283)</f>
        <v>4.8473825273140564E-2</v>
      </c>
      <c r="G286" s="410"/>
      <c r="L286" s="408" t="s">
        <v>334</v>
      </c>
      <c r="M286" s="410">
        <f>STDEV(M23:M283)</f>
        <v>2.4585700419016303E-2</v>
      </c>
      <c r="N286" s="410"/>
      <c r="R286" s="408" t="s">
        <v>334</v>
      </c>
      <c r="S286" s="415">
        <f>STDEV(S24:S284)</f>
        <v>4.8481793415585513E-2</v>
      </c>
      <c r="T286" s="416">
        <f>STDEV(T24:T284)</f>
        <v>2.4603540641183471E-2</v>
      </c>
      <c r="W286" s="50" t="s">
        <v>197</v>
      </c>
      <c r="X286" s="422">
        <f>+W285/X285</f>
        <v>1.35986324576387</v>
      </c>
    </row>
    <row r="306" spans="18:19">
      <c r="R306" s="409"/>
      <c r="S306" s="409"/>
    </row>
  </sheetData>
  <phoneticPr fontId="38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Historical Analysis</vt:lpstr>
      <vt:lpstr>Projections</vt:lpstr>
      <vt:lpstr>Valuation Analysis</vt:lpstr>
      <vt:lpstr>Technical Analysis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Droussiotis</dc:creator>
  <cp:lastModifiedBy>Chris Droussiotis</cp:lastModifiedBy>
  <dcterms:created xsi:type="dcterms:W3CDTF">2020-10-05T00:37:32Z</dcterms:created>
  <dcterms:modified xsi:type="dcterms:W3CDTF">2020-10-10T12:03:14Z</dcterms:modified>
</cp:coreProperties>
</file>