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Valuation" sheetId="1" r:id="rId1"/>
    <sheet name="Sheet3" sheetId="2" r:id="rId2"/>
    <sheet name="Sheet4" sheetId="3" r:id="rId3"/>
    <sheet name="Sheet5" sheetId="4" r:id="rId4"/>
  </sheets>
  <definedNames>
    <definedName name="_xlnm.Print_Area" localSheetId="0">'Valuation'!$A$1:$L$125</definedName>
  </definedNames>
  <calcPr fullCalcOnLoad="1"/>
</workbook>
</file>

<file path=xl/sharedStrings.xml><?xml version="1.0" encoding="utf-8"?>
<sst xmlns="http://schemas.openxmlformats.org/spreadsheetml/2006/main" count="163" uniqueCount="138">
  <si>
    <t>Operating Expenses</t>
  </si>
  <si>
    <t>EBITDA</t>
  </si>
  <si>
    <t>CORPORATE VALUATIONS - Public Companies</t>
  </si>
  <si>
    <t xml:space="preserve">METHOD #1 - Stock Price 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</si>
  <si>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</si>
  <si>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</si>
  <si>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</si>
  <si>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</si>
  <si>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</si>
  <si>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</si>
  <si>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</si>
  <si>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</si>
  <si>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Stocks Outstanding ($mm)</t>
  </si>
  <si>
    <t>Equity Value
 ($mm)</t>
  </si>
  <si>
    <t>Debt (ST&amp;LT)
($mm)</t>
  </si>
  <si>
    <t>Enterprise Value 
($mm)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</si>
  <si>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</si>
  <si>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</si>
  <si>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</si>
  <si>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</si>
  <si>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</si>
  <si>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</si>
  <si>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</si>
  <si>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</si>
  <si>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</si>
  <si>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</si>
  <si>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</si>
  <si>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</si>
  <si>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</si>
  <si>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</si>
  <si>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</si>
  <si>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</si>
  <si>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 xml:space="preserve">METHOD #2 - EBITDA Multiples </t>
  </si>
  <si>
    <t>E</t>
  </si>
  <si>
    <t>EV / E</t>
  </si>
  <si>
    <t>EBITDA Multiple</t>
  </si>
  <si>
    <t>Average</t>
  </si>
  <si>
    <t>EBITDA * Average Multiple</t>
  </si>
  <si>
    <t>METHOD #3 - Transaction Comparative Analysis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</si>
  <si>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</si>
  <si>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</si>
  <si>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</si>
  <si>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</si>
  <si>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</si>
  <si>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</si>
  <si>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</si>
  <si>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</si>
  <si>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</si>
  <si>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Less Taxes / % of EBIT</t>
  </si>
  <si>
    <t>Plus Depreciation</t>
  </si>
  <si>
    <t>Cash Flow</t>
  </si>
  <si>
    <t>Terminal Value</t>
  </si>
  <si>
    <t xml:space="preserve">  EBITDA Multiple Method</t>
  </si>
  <si>
    <t xml:space="preserve">  Perpetuity Method 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</si>
  <si>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</si>
  <si>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</si>
  <si>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</si>
  <si>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</si>
  <si>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</si>
  <si>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</si>
  <si>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</si>
  <si>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</si>
  <si>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</si>
  <si>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PV (6) =</t>
  </si>
  <si>
    <t>NPV=</t>
  </si>
  <si>
    <t>Enteprise Value =</t>
  </si>
  <si>
    <t>PV of Equity + PV of Debt</t>
  </si>
  <si>
    <t xml:space="preserve">PV of Equity = </t>
  </si>
  <si>
    <t xml:space="preserve">+ PV of Debt = </t>
  </si>
  <si>
    <t>ENTEPRISE VALUATION ANALYSIS</t>
  </si>
  <si>
    <t>Method #2</t>
  </si>
  <si>
    <t>Method #3</t>
  </si>
  <si>
    <t>Method #4</t>
  </si>
  <si>
    <t xml:space="preserve">Less Capex </t>
  </si>
  <si>
    <t>Equity Value at Terminal</t>
  </si>
  <si>
    <t>EV</t>
  </si>
  <si>
    <t>Debt</t>
  </si>
  <si>
    <t>Eq Value</t>
  </si>
  <si>
    <t>Shares Outs</t>
  </si>
  <si>
    <t>Stock Price</t>
  </si>
  <si>
    <t>Method #1 - Current Market Price</t>
  </si>
  <si>
    <t>Cash
 ($mm)</t>
  </si>
  <si>
    <t>Acquirer</t>
  </si>
  <si>
    <t>Less Debt Outstanding (at Exit)</t>
  </si>
  <si>
    <t>Cash</t>
  </si>
  <si>
    <t xml:space="preserve">  Average of other methods</t>
  </si>
  <si>
    <t>Stocks Outstanding (000)</t>
  </si>
  <si>
    <t>Equity Value (000)</t>
  </si>
  <si>
    <t>Debt  (000)</t>
  </si>
  <si>
    <t>Cash
(000)</t>
  </si>
  <si>
    <t>Enterprise Value 
(000)</t>
  </si>
  <si>
    <t>EBITDA (000)</t>
  </si>
  <si>
    <t>Beta</t>
  </si>
  <si>
    <t>BJ's Restaurant Inc</t>
  </si>
  <si>
    <t>BJRI</t>
  </si>
  <si>
    <t>Brinker Intl (Chili's, Romano's</t>
  </si>
  <si>
    <t>EAT</t>
  </si>
  <si>
    <t>Darden Rest. (Red Lobster, Olive Garden)</t>
  </si>
  <si>
    <t>DRI</t>
  </si>
  <si>
    <t>Starbucks Corp.</t>
  </si>
  <si>
    <t>SBUX</t>
  </si>
  <si>
    <t>Texas Roadhouse</t>
  </si>
  <si>
    <t>TXRH</t>
  </si>
  <si>
    <t>Yum Brands (Pizza Hut, KFC)</t>
  </si>
  <si>
    <t>YUM</t>
  </si>
  <si>
    <t>Date</t>
  </si>
  <si>
    <t>Target</t>
  </si>
  <si>
    <t>Value
($mm)</t>
  </si>
  <si>
    <t>EBITDA
($mm)</t>
  </si>
  <si>
    <t>Applebees</t>
  </si>
  <si>
    <t>IHOP</t>
  </si>
  <si>
    <t>Garden Fresh Holdings</t>
  </si>
  <si>
    <t>Sun Capital Partners</t>
  </si>
  <si>
    <t>RTM Restaurants</t>
  </si>
  <si>
    <t>Triarc Cos</t>
  </si>
  <si>
    <t>EACC Corp</t>
  </si>
  <si>
    <t>Banner Buffets LLC</t>
  </si>
  <si>
    <t>Chevy's Fresh Mex</t>
  </si>
  <si>
    <t>Real Mex Restaurant</t>
  </si>
  <si>
    <t>Bear Creek Corp.</t>
  </si>
  <si>
    <t>Wasserstein &amp; Co.</t>
  </si>
  <si>
    <t>Caribbean Restaurants</t>
  </si>
  <si>
    <t>Castle Harlan</t>
  </si>
  <si>
    <t>House of Blues</t>
  </si>
  <si>
    <t>Ares Corporate - Venture</t>
  </si>
  <si>
    <t>(2012 EBITDA x EBITDA Multiple)</t>
  </si>
  <si>
    <t>(5% per year)</t>
  </si>
  <si>
    <t>Texas Roadhouse's Enteprise Value</t>
  </si>
  <si>
    <t>(2012 Cash Flow / Discount Rate)</t>
  </si>
  <si>
    <t>Burger King</t>
  </si>
  <si>
    <t>BKC</t>
  </si>
  <si>
    <t>Cheescake Factory</t>
  </si>
  <si>
    <t>CAKE</t>
  </si>
  <si>
    <t>McDonalds</t>
  </si>
  <si>
    <t>MCD</t>
  </si>
  <si>
    <t xml:space="preserve"> - PV of Cash =</t>
  </si>
  <si>
    <t>Stock Price (as of 11/18/13)</t>
  </si>
  <si>
    <t>LTM 09/31/2013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</si>
</sst>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0.000%"/>
    <numFmt numFmtId="176" formatCode="_(* #,##0.000_);_(* \(#,##0.000\);_(* &quot;-&quot;??_);_(@_)"/>
    <numFmt numFmtId="177" formatCode="0.0\x"/>
    <numFmt numFmtId="178" formatCode="_(* #,##0.0000000_);_(* \(#,##0.0000000\);_(* &quot;-&quot;??_);_(@_)"/>
    <numFmt numFmtId="179" formatCode="_(* #,##0.0_);_(* \(#,##0.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"/>
  </numFmts>
  <fonts count="5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4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44" fontId="2" fillId="0" borderId="13" xfId="44" applyFont="1" applyBorder="1" applyAlignment="1">
      <alignment/>
    </xf>
    <xf numFmtId="176" fontId="2" fillId="0" borderId="13" xfId="42" applyNumberFormat="1" applyFont="1" applyBorder="1" applyAlignment="1">
      <alignment/>
    </xf>
    <xf numFmtId="43" fontId="2" fillId="0" borderId="13" xfId="42" applyNumberFormat="1" applyFont="1" applyBorder="1" applyAlignment="1">
      <alignment/>
    </xf>
    <xf numFmtId="43" fontId="2" fillId="0" borderId="14" xfId="42" applyNumberFormat="1" applyFont="1" applyBorder="1" applyAlignment="1">
      <alignment/>
    </xf>
    <xf numFmtId="43" fontId="3" fillId="33" borderId="15" xfId="42" applyNumberFormat="1" applyFont="1" applyFill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176" fontId="2" fillId="0" borderId="10" xfId="42" applyNumberFormat="1" applyFont="1" applyBorder="1" applyAlignment="1">
      <alignment/>
    </xf>
    <xf numFmtId="43" fontId="2" fillId="0" borderId="17" xfId="42" applyNumberFormat="1" applyFont="1" applyBorder="1" applyAlignment="1">
      <alignment/>
    </xf>
    <xf numFmtId="43" fontId="3" fillId="33" borderId="18" xfId="42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0" fontId="4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" fillId="33" borderId="19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73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21" xfId="0" applyNumberFormat="1" applyBorder="1" applyAlignment="1">
      <alignment/>
    </xf>
    <xf numFmtId="0" fontId="4" fillId="0" borderId="22" xfId="0" applyFont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172" fontId="0" fillId="0" borderId="23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0" xfId="59" applyNumberFormat="1" applyFont="1" applyBorder="1" applyAlignment="1">
      <alignment/>
    </xf>
    <xf numFmtId="174" fontId="2" fillId="0" borderId="23" xfId="59" applyNumberFormat="1" applyFont="1" applyBorder="1" applyAlignment="1">
      <alignment/>
    </xf>
    <xf numFmtId="172" fontId="4" fillId="0" borderId="24" xfId="42" applyNumberFormat="1" applyFont="1" applyBorder="1" applyAlignment="1">
      <alignment/>
    </xf>
    <xf numFmtId="172" fontId="4" fillId="0" borderId="25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23" xfId="0" applyNumberFormat="1" applyBorder="1" applyAlignment="1">
      <alignment/>
    </xf>
    <xf numFmtId="175" fontId="0" fillId="0" borderId="0" xfId="0" applyNumberFormat="1" applyBorder="1" applyAlignment="1">
      <alignment/>
    </xf>
    <xf numFmtId="172" fontId="0" fillId="0" borderId="24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178" fontId="4" fillId="0" borderId="0" xfId="42" applyNumberFormat="1" applyFont="1" applyBorder="1" applyAlignment="1">
      <alignment horizontal="right"/>
    </xf>
    <xf numFmtId="178" fontId="4" fillId="0" borderId="23" xfId="42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0" xfId="42" applyNumberFormat="1" applyFont="1" applyBorder="1" applyAlignment="1">
      <alignment horizontal="center"/>
    </xf>
    <xf numFmtId="6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4" fillId="0" borderId="25" xfId="0" applyNumberFormat="1" applyFont="1" applyBorder="1" applyAlignment="1">
      <alignment/>
    </xf>
    <xf numFmtId="0" fontId="0" fillId="0" borderId="0" xfId="0" applyAlignment="1" quotePrefix="1">
      <alignment/>
    </xf>
    <xf numFmtId="6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2" fontId="4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172" fontId="0" fillId="0" borderId="32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3" fillId="33" borderId="18" xfId="42" applyNumberFormat="1" applyFon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33" xfId="0" applyNumberFormat="1" applyBorder="1" applyAlignment="1">
      <alignment/>
    </xf>
    <xf numFmtId="172" fontId="4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9" xfId="0" applyFont="1" applyBorder="1" applyAlignment="1">
      <alignment/>
    </xf>
    <xf numFmtId="44" fontId="0" fillId="0" borderId="15" xfId="44" applyNumberFormat="1" applyFont="1" applyBorder="1" applyAlignment="1">
      <alignment/>
    </xf>
    <xf numFmtId="44" fontId="4" fillId="0" borderId="36" xfId="44" applyNumberFormat="1" applyFont="1" applyBorder="1" applyAlignment="1">
      <alignment/>
    </xf>
    <xf numFmtId="43" fontId="2" fillId="0" borderId="32" xfId="42" applyNumberFormat="1" applyFont="1" applyBorder="1" applyAlignment="1">
      <alignment/>
    </xf>
    <xf numFmtId="43" fontId="2" fillId="0" borderId="33" xfId="42" applyNumberFormat="1" applyFont="1" applyBorder="1" applyAlignment="1">
      <alignment/>
    </xf>
    <xf numFmtId="14" fontId="0" fillId="0" borderId="12" xfId="0" applyNumberFormat="1" applyBorder="1" applyAlignment="1">
      <alignment horizontal="left"/>
    </xf>
    <xf numFmtId="0" fontId="0" fillId="0" borderId="37" xfId="0" applyBorder="1" applyAlignment="1">
      <alignment/>
    </xf>
    <xf numFmtId="173" fontId="0" fillId="0" borderId="38" xfId="0" applyNumberFormat="1" applyBorder="1" applyAlignment="1">
      <alignment/>
    </xf>
    <xf numFmtId="0" fontId="9" fillId="34" borderId="39" xfId="0" applyFont="1" applyFill="1" applyBorder="1" applyAlignment="1">
      <alignment horizontal="left" vertical="center" wrapText="1"/>
    </xf>
    <xf numFmtId="0" fontId="0" fillId="34" borderId="40" xfId="0" applyFill="1" applyBorder="1" applyAlignment="1">
      <alignment/>
    </xf>
    <xf numFmtId="172" fontId="4" fillId="34" borderId="41" xfId="0" applyNumberFormat="1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43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right"/>
    </xf>
    <xf numFmtId="0" fontId="4" fillId="34" borderId="45" xfId="0" applyFont="1" applyFill="1" applyBorder="1" applyAlignment="1">
      <alignment horizontal="center"/>
    </xf>
    <xf numFmtId="178" fontId="15" fillId="0" borderId="0" xfId="42" applyNumberFormat="1" applyFont="1" applyBorder="1" applyAlignment="1">
      <alignment/>
    </xf>
    <xf numFmtId="178" fontId="15" fillId="0" borderId="46" xfId="42" applyNumberFormat="1" applyFont="1" applyBorder="1" applyAlignment="1">
      <alignment/>
    </xf>
    <xf numFmtId="172" fontId="0" fillId="0" borderId="23" xfId="42" applyNumberFormat="1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4" fontId="2" fillId="35" borderId="10" xfId="44" applyFont="1" applyFill="1" applyBorder="1" applyAlignment="1">
      <alignment/>
    </xf>
    <xf numFmtId="172" fontId="2" fillId="35" borderId="10" xfId="42" applyNumberFormat="1" applyFont="1" applyFill="1" applyBorder="1" applyAlignment="1">
      <alignment/>
    </xf>
    <xf numFmtId="172" fontId="2" fillId="35" borderId="17" xfId="42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44" fontId="14" fillId="0" borderId="10" xfId="44" applyFont="1" applyBorder="1" applyAlignment="1">
      <alignment/>
    </xf>
    <xf numFmtId="172" fontId="14" fillId="0" borderId="1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172" fontId="14" fillId="0" borderId="33" xfId="42" applyNumberFormat="1" applyFont="1" applyBorder="1" applyAlignment="1">
      <alignment/>
    </xf>
    <xf numFmtId="172" fontId="3" fillId="0" borderId="18" xfId="42" applyNumberFormat="1" applyFont="1" applyFill="1" applyBorder="1" applyAlignment="1">
      <alignment/>
    </xf>
    <xf numFmtId="172" fontId="14" fillId="0" borderId="17" xfId="42" applyNumberFormat="1" applyFont="1" applyBorder="1" applyAlignment="1">
      <alignment/>
    </xf>
    <xf numFmtId="173" fontId="3" fillId="33" borderId="18" xfId="42" applyNumberFormat="1" applyFont="1" applyFill="1" applyBorder="1" applyAlignment="1">
      <alignment/>
    </xf>
    <xf numFmtId="173" fontId="14" fillId="0" borderId="47" xfId="42" applyNumberFormat="1" applyFont="1" applyBorder="1" applyAlignment="1">
      <alignment/>
    </xf>
    <xf numFmtId="0" fontId="0" fillId="36" borderId="0" xfId="0" applyFill="1" applyAlignment="1">
      <alignment/>
    </xf>
    <xf numFmtId="0" fontId="4" fillId="33" borderId="42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179" fontId="4" fillId="33" borderId="43" xfId="42" applyNumberFormat="1" applyFont="1" applyFill="1" applyBorder="1" applyAlignment="1">
      <alignment horizontal="center" wrapText="1"/>
    </xf>
    <xf numFmtId="179" fontId="0" fillId="0" borderId="13" xfId="42" applyNumberFormat="1" applyFont="1" applyBorder="1" applyAlignment="1">
      <alignment/>
    </xf>
    <xf numFmtId="184" fontId="0" fillId="0" borderId="13" xfId="0" applyNumberFormat="1" applyBorder="1" applyAlignment="1">
      <alignment/>
    </xf>
    <xf numFmtId="14" fontId="0" fillId="0" borderId="16" xfId="0" applyNumberFormat="1" applyBorder="1" applyAlignment="1">
      <alignment horizontal="left"/>
    </xf>
    <xf numFmtId="179" fontId="0" fillId="0" borderId="10" xfId="42" applyNumberFormat="1" applyFont="1" applyBorder="1" applyAlignment="1">
      <alignment/>
    </xf>
    <xf numFmtId="184" fontId="0" fillId="0" borderId="10" xfId="0" applyNumberFormat="1" applyBorder="1" applyAlignment="1">
      <alignment/>
    </xf>
    <xf numFmtId="14" fontId="0" fillId="0" borderId="48" xfId="0" applyNumberFormat="1" applyBorder="1" applyAlignment="1">
      <alignment horizontal="left"/>
    </xf>
    <xf numFmtId="179" fontId="0" fillId="0" borderId="37" xfId="42" applyNumberFormat="1" applyFont="1" applyBorder="1" applyAlignment="1">
      <alignment/>
    </xf>
    <xf numFmtId="184" fontId="0" fillId="0" borderId="37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17" fillId="0" borderId="23" xfId="42" applyNumberFormat="1" applyFont="1" applyBorder="1" applyAlignment="1">
      <alignment/>
    </xf>
    <xf numFmtId="174" fontId="0" fillId="0" borderId="0" xfId="59" applyNumberFormat="1" applyFont="1" applyAlignment="1">
      <alignment/>
    </xf>
    <xf numFmtId="172" fontId="17" fillId="0" borderId="15" xfId="42" applyNumberFormat="1" applyFont="1" applyBorder="1" applyAlignment="1">
      <alignment/>
    </xf>
    <xf numFmtId="174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5" fontId="18" fillId="34" borderId="22" xfId="0" applyNumberFormat="1" applyFont="1" applyFill="1" applyBorder="1" applyAlignment="1">
      <alignment horizontal="right"/>
    </xf>
    <xf numFmtId="15" fontId="18" fillId="34" borderId="46" xfId="0" applyNumberFormat="1" applyFont="1" applyFill="1" applyBorder="1" applyAlignment="1">
      <alignment horizontal="right"/>
    </xf>
    <xf numFmtId="172" fontId="0" fillId="0" borderId="0" xfId="0" applyNumberFormat="1" applyBorder="1" applyAlignment="1" quotePrefix="1">
      <alignment/>
    </xf>
    <xf numFmtId="172" fontId="17" fillId="0" borderId="49" xfId="0" applyNumberFormat="1" applyFont="1" applyBorder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10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34" borderId="4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176" fontId="4" fillId="34" borderId="41" xfId="42" applyNumberFormat="1" applyFont="1" applyFill="1" applyBorder="1" applyAlignment="1">
      <alignment horizontal="center"/>
    </xf>
    <xf numFmtId="0" fontId="8" fillId="37" borderId="16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/>
    </xf>
    <xf numFmtId="44" fontId="2" fillId="37" borderId="10" xfId="44" applyFont="1" applyFill="1" applyBorder="1" applyAlignment="1">
      <alignment/>
    </xf>
    <xf numFmtId="172" fontId="2" fillId="37" borderId="10" xfId="42" applyNumberFormat="1" applyFont="1" applyFill="1" applyBorder="1" applyAlignment="1">
      <alignment/>
    </xf>
    <xf numFmtId="172" fontId="2" fillId="37" borderId="33" xfId="42" applyNumberFormat="1" applyFont="1" applyFill="1" applyBorder="1" applyAlignment="1">
      <alignment/>
    </xf>
    <xf numFmtId="172" fontId="3" fillId="37" borderId="18" xfId="42" applyNumberFormat="1" applyFont="1" applyFill="1" applyBorder="1" applyAlignment="1">
      <alignment/>
    </xf>
    <xf numFmtId="172" fontId="2" fillId="37" borderId="17" xfId="42" applyNumberFormat="1" applyFont="1" applyFill="1" applyBorder="1" applyAlignment="1">
      <alignment/>
    </xf>
    <xf numFmtId="173" fontId="3" fillId="37" borderId="18" xfId="42" applyNumberFormat="1" applyFont="1" applyFill="1" applyBorder="1" applyAlignment="1">
      <alignment/>
    </xf>
    <xf numFmtId="173" fontId="2" fillId="37" borderId="47" xfId="42" applyNumberFormat="1" applyFont="1" applyFill="1" applyBorder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94</xdr:row>
      <xdr:rowOff>9525</xdr:rowOff>
    </xdr:from>
    <xdr:to>
      <xdr:col>5</xdr:col>
      <xdr:colOff>400050</xdr:colOff>
      <xdr:row>96</xdr:row>
      <xdr:rowOff>95250</xdr:rowOff>
    </xdr:to>
    <xdr:sp>
      <xdr:nvSpPr>
        <xdr:cNvPr id="1" name="Line 1"/>
        <xdr:cNvSpPr>
          <a:spLocks/>
        </xdr:cNvSpPr>
      </xdr:nvSpPr>
      <xdr:spPr>
        <a:xfrm>
          <a:off x="7239000" y="16535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94</xdr:row>
      <xdr:rowOff>19050</xdr:rowOff>
    </xdr:from>
    <xdr:to>
      <xdr:col>6</xdr:col>
      <xdr:colOff>352425</xdr:colOff>
      <xdr:row>97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105775" y="165449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94</xdr:row>
      <xdr:rowOff>19050</xdr:rowOff>
    </xdr:from>
    <xdr:to>
      <xdr:col>7</xdr:col>
      <xdr:colOff>400050</xdr:colOff>
      <xdr:row>98</xdr:row>
      <xdr:rowOff>76200</xdr:rowOff>
    </xdr:to>
    <xdr:sp>
      <xdr:nvSpPr>
        <xdr:cNvPr id="3" name="Line 3"/>
        <xdr:cNvSpPr>
          <a:spLocks/>
        </xdr:cNvSpPr>
      </xdr:nvSpPr>
      <xdr:spPr>
        <a:xfrm>
          <a:off x="8886825" y="165449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94</xdr:row>
      <xdr:rowOff>38100</xdr:rowOff>
    </xdr:from>
    <xdr:to>
      <xdr:col>8</xdr:col>
      <xdr:colOff>400050</xdr:colOff>
      <xdr:row>99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0" y="165639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94</xdr:row>
      <xdr:rowOff>66675</xdr:rowOff>
    </xdr:from>
    <xdr:to>
      <xdr:col>9</xdr:col>
      <xdr:colOff>457200</xdr:colOff>
      <xdr:row>100</xdr:row>
      <xdr:rowOff>95250</xdr:rowOff>
    </xdr:to>
    <xdr:sp>
      <xdr:nvSpPr>
        <xdr:cNvPr id="5" name="Line 5"/>
        <xdr:cNvSpPr>
          <a:spLocks/>
        </xdr:cNvSpPr>
      </xdr:nvSpPr>
      <xdr:spPr>
        <a:xfrm>
          <a:off x="10429875" y="16592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57150</xdr:rowOff>
    </xdr:from>
    <xdr:to>
      <xdr:col>4</xdr:col>
      <xdr:colOff>476250</xdr:colOff>
      <xdr:row>95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6000750" y="16744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95250</xdr:rowOff>
    </xdr:from>
    <xdr:to>
      <xdr:col>5</xdr:col>
      <xdr:colOff>400050</xdr:colOff>
      <xdr:row>96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6000750" y="16944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95250</xdr:rowOff>
    </xdr:from>
    <xdr:to>
      <xdr:col>6</xdr:col>
      <xdr:colOff>352425</xdr:colOff>
      <xdr:row>97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6000750" y="171069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98</xdr:row>
      <xdr:rowOff>66675</xdr:rowOff>
    </xdr:from>
    <xdr:to>
      <xdr:col>8</xdr:col>
      <xdr:colOff>400050</xdr:colOff>
      <xdr:row>98</xdr:row>
      <xdr:rowOff>66675</xdr:rowOff>
    </xdr:to>
    <xdr:sp>
      <xdr:nvSpPr>
        <xdr:cNvPr id="9" name="Line 9"/>
        <xdr:cNvSpPr>
          <a:spLocks/>
        </xdr:cNvSpPr>
      </xdr:nvSpPr>
      <xdr:spPr>
        <a:xfrm flipH="1">
          <a:off x="5886450" y="1724025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99</xdr:row>
      <xdr:rowOff>85725</xdr:rowOff>
    </xdr:from>
    <xdr:to>
      <xdr:col>9</xdr:col>
      <xdr:colOff>409575</xdr:colOff>
      <xdr:row>99</xdr:row>
      <xdr:rowOff>85725</xdr:rowOff>
    </xdr:to>
    <xdr:sp>
      <xdr:nvSpPr>
        <xdr:cNvPr id="10" name="Line 10"/>
        <xdr:cNvSpPr>
          <a:spLocks/>
        </xdr:cNvSpPr>
      </xdr:nvSpPr>
      <xdr:spPr>
        <a:xfrm flipH="1">
          <a:off x="5895975" y="17421225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92</xdr:row>
      <xdr:rowOff>104775</xdr:rowOff>
    </xdr:from>
    <xdr:to>
      <xdr:col>4</xdr:col>
      <xdr:colOff>0</xdr:colOff>
      <xdr:row>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5029200" y="162687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94</xdr:row>
      <xdr:rowOff>0</xdr:rowOff>
    </xdr:from>
    <xdr:to>
      <xdr:col>4</xdr:col>
      <xdr:colOff>466725</xdr:colOff>
      <xdr:row>95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6467475" y="16525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85725</xdr:rowOff>
    </xdr:from>
    <xdr:to>
      <xdr:col>10</xdr:col>
      <xdr:colOff>466725</xdr:colOff>
      <xdr:row>100</xdr:row>
      <xdr:rowOff>85725</xdr:rowOff>
    </xdr:to>
    <xdr:sp>
      <xdr:nvSpPr>
        <xdr:cNvPr id="13" name="Line 13"/>
        <xdr:cNvSpPr>
          <a:spLocks/>
        </xdr:cNvSpPr>
      </xdr:nvSpPr>
      <xdr:spPr>
        <a:xfrm flipH="1">
          <a:off x="6010275" y="17583150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1590675" y="13335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152400</xdr:rowOff>
    </xdr:from>
    <xdr:to>
      <xdr:col>8</xdr:col>
      <xdr:colOff>161925</xdr:colOff>
      <xdr:row>20</xdr:row>
      <xdr:rowOff>142875</xdr:rowOff>
    </xdr:to>
    <xdr:sp>
      <xdr:nvSpPr>
        <xdr:cNvPr id="15" name="Line 15"/>
        <xdr:cNvSpPr>
          <a:spLocks/>
        </xdr:cNvSpPr>
      </xdr:nvSpPr>
      <xdr:spPr>
        <a:xfrm flipV="1">
          <a:off x="5019675" y="2266950"/>
          <a:ext cx="43624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85</xdr:row>
      <xdr:rowOff>66675</xdr:rowOff>
    </xdr:from>
    <xdr:to>
      <xdr:col>8</xdr:col>
      <xdr:colOff>638175</xdr:colOff>
      <xdr:row>85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8143875" y="15078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84</xdr:row>
      <xdr:rowOff>95250</xdr:rowOff>
    </xdr:from>
    <xdr:to>
      <xdr:col>8</xdr:col>
      <xdr:colOff>676275</xdr:colOff>
      <xdr:row>84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8153400" y="149447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26</xdr:row>
      <xdr:rowOff>161925</xdr:rowOff>
    </xdr:from>
    <xdr:to>
      <xdr:col>2</xdr:col>
      <xdr:colOff>523875</xdr:colOff>
      <xdr:row>26</xdr:row>
      <xdr:rowOff>161925</xdr:rowOff>
    </xdr:to>
    <xdr:sp>
      <xdr:nvSpPr>
        <xdr:cNvPr id="18" name="Line 19"/>
        <xdr:cNvSpPr>
          <a:spLocks/>
        </xdr:cNvSpPr>
      </xdr:nvSpPr>
      <xdr:spPr>
        <a:xfrm>
          <a:off x="1590675" y="38957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tabSelected="1" zoomScalePageLayoutView="0" workbookViewId="0" topLeftCell="A69">
      <selection activeCell="A69" sqref="A69"/>
    </sheetView>
  </sheetViews>
  <sheetFormatPr defaultColWidth="9.140625" defaultRowHeight="12.75"/>
  <cols>
    <col min="1" max="1" width="12.421875" style="0" customWidth="1"/>
    <col min="2" max="2" width="37.421875" style="0" customWidth="1"/>
    <col min="3" max="3" width="25.00390625" style="0" customWidth="1"/>
    <col min="4" max="4" width="15.140625" style="0" customWidth="1"/>
    <col min="5" max="5" width="12.57421875" style="0" customWidth="1"/>
    <col min="6" max="6" width="13.7109375" style="0" customWidth="1"/>
    <col min="7" max="8" width="11.00390625" style="0" customWidth="1"/>
    <col min="9" max="9" width="11.28125" style="0" customWidth="1"/>
    <col min="10" max="10" width="11.140625" style="0" customWidth="1"/>
    <col min="11" max="11" width="8.28125" style="0" customWidth="1"/>
    <col min="12" max="12" width="7.8515625" style="0" customWidth="1"/>
  </cols>
  <sheetData>
    <row r="1" ht="12.75">
      <c r="B1" s="5" t="s">
        <v>2</v>
      </c>
    </row>
    <row r="2" ht="12.75">
      <c r="B2" s="5"/>
    </row>
    <row r="3" spans="2:10" ht="20.25">
      <c r="B3" s="6" t="s">
        <v>3</v>
      </c>
      <c r="C3" s="7"/>
      <c r="J3" s="8"/>
    </row>
    <row r="4" spans="2:10" ht="15.75">
      <c r="B4" s="9"/>
      <c r="C4" s="7"/>
      <c r="J4" s="8"/>
    </row>
    <row r="5" spans="2:10" ht="20.25">
      <c r="B5" s="157" t="s">
        <v>101</v>
      </c>
      <c r="C5" s="7"/>
      <c r="J5" s="8"/>
    </row>
    <row r="6" ht="8.25" customHeight="1">
      <c r="J6" s="8"/>
    </row>
    <row r="7" spans="2:10" ht="21" customHeight="1">
      <c r="B7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/>
      <c r="I7" s="11" t="s">
        <v>9</v>
      </c>
      <c r="J7" s="12"/>
    </row>
    <row r="8" spans="4:10" ht="9.75" customHeight="1" thickBot="1">
      <c r="D8" s="13"/>
      <c r="E8" s="13"/>
      <c r="F8" s="13"/>
      <c r="G8" s="13"/>
      <c r="H8" s="13"/>
      <c r="I8" s="14"/>
      <c r="J8" s="12"/>
    </row>
    <row r="9" spans="1:10" ht="45.75" customHeight="1" thickBot="1">
      <c r="A9" s="3">
        <f>+A6+1</f>
        <v>1</v>
      </c>
      <c r="B9" s="101" t="s">
        <v>10</v>
      </c>
      <c r="C9" s="102" t="s">
        <v>11</v>
      </c>
      <c r="D9" s="103" t="s">
        <v>136</v>
      </c>
      <c r="E9" s="103" t="s">
        <v>12</v>
      </c>
      <c r="F9" s="103" t="s">
        <v>13</v>
      </c>
      <c r="G9" s="104" t="s">
        <v>14</v>
      </c>
      <c r="H9" s="105" t="s">
        <v>81</v>
      </c>
      <c r="I9" s="15" t="s">
        <v>15</v>
      </c>
      <c r="J9" s="8"/>
    </row>
    <row r="10" spans="1:10" ht="15.75" customHeight="1" hidden="1">
      <c r="A10" s="3">
        <f>+A9+1</f>
        <v>2</v>
      </c>
      <c r="B10" s="16" t="s">
        <v>16</v>
      </c>
      <c r="C10" s="17" t="s">
        <v>17</v>
      </c>
      <c r="D10" s="18">
        <v>64.37</v>
      </c>
      <c r="E10" s="19">
        <v>32.696</v>
      </c>
      <c r="F10" s="20">
        <f>+E10*D10</f>
        <v>2104.64152</v>
      </c>
      <c r="G10" s="21">
        <f>10.15+318.56</f>
        <v>328.71</v>
      </c>
      <c r="H10" s="93"/>
      <c r="I10" s="22">
        <f>+F10+G10</f>
        <v>2433.35152</v>
      </c>
      <c r="J10" s="8"/>
    </row>
    <row r="11" spans="1:10" ht="15.75" customHeight="1" hidden="1">
      <c r="A11" s="3">
        <f aca="true" t="shared" si="0" ref="A11:A18">+A10+1</f>
        <v>3</v>
      </c>
      <c r="B11" s="23" t="s">
        <v>18</v>
      </c>
      <c r="C11" s="24" t="s">
        <v>19</v>
      </c>
      <c r="D11" s="25">
        <v>30.76</v>
      </c>
      <c r="E11" s="26">
        <v>74.518</v>
      </c>
      <c r="F11" s="20">
        <f aca="true" t="shared" si="1" ref="F11:F18">+E11*D11</f>
        <v>2292.1736800000003</v>
      </c>
      <c r="G11" s="27">
        <f>4.1+398</f>
        <v>402.1</v>
      </c>
      <c r="H11" s="94"/>
      <c r="I11" s="28">
        <f aca="true" t="shared" si="2" ref="I11:I17">+G11+F11</f>
        <v>2694.2736800000002</v>
      </c>
      <c r="J11" s="8"/>
    </row>
    <row r="12" spans="1:10" ht="15.75" customHeight="1" hidden="1">
      <c r="A12" s="3">
        <f t="shared" si="0"/>
        <v>4</v>
      </c>
      <c r="B12" s="23" t="s">
        <v>20</v>
      </c>
      <c r="C12" s="24" t="s">
        <v>21</v>
      </c>
      <c r="D12" s="25">
        <v>24.35</v>
      </c>
      <c r="E12" s="26">
        <v>380.965</v>
      </c>
      <c r="F12" s="20">
        <f t="shared" si="1"/>
        <v>9276.49775</v>
      </c>
      <c r="G12" s="27">
        <f>14+3633</f>
        <v>3647</v>
      </c>
      <c r="H12" s="94"/>
      <c r="I12" s="28">
        <f t="shared" si="2"/>
        <v>12923.49775</v>
      </c>
      <c r="J12" s="8"/>
    </row>
    <row r="13" spans="1:10" ht="15.75" customHeight="1" hidden="1">
      <c r="A13" s="3">
        <f t="shared" si="0"/>
        <v>5</v>
      </c>
      <c r="B13" s="23" t="s">
        <v>22</v>
      </c>
      <c r="C13" s="24" t="s">
        <v>23</v>
      </c>
      <c r="D13" s="25">
        <v>23.6</v>
      </c>
      <c r="E13" s="26">
        <v>5.253</v>
      </c>
      <c r="F13" s="20">
        <f t="shared" si="1"/>
        <v>123.97080000000001</v>
      </c>
      <c r="G13" s="27">
        <f>739.48+25.72</f>
        <v>765.2</v>
      </c>
      <c r="H13" s="94"/>
      <c r="I13" s="28">
        <f t="shared" si="2"/>
        <v>889.1708000000001</v>
      </c>
      <c r="J13" s="8"/>
    </row>
    <row r="14" spans="1:10" ht="15.75" customHeight="1" hidden="1">
      <c r="A14" s="3">
        <f t="shared" si="0"/>
        <v>6</v>
      </c>
      <c r="B14" s="23" t="s">
        <v>24</v>
      </c>
      <c r="C14" s="24" t="s">
        <v>25</v>
      </c>
      <c r="D14" s="25">
        <v>8.52</v>
      </c>
      <c r="E14" s="26">
        <v>201.8</v>
      </c>
      <c r="F14" s="20">
        <f t="shared" si="1"/>
        <v>1719.336</v>
      </c>
      <c r="G14" s="27">
        <f>115.99+809.62</f>
        <v>925.61</v>
      </c>
      <c r="H14" s="94"/>
      <c r="I14" s="28">
        <f t="shared" si="2"/>
        <v>2644.946</v>
      </c>
      <c r="J14" s="8"/>
    </row>
    <row r="15" spans="1:10" ht="15.75" customHeight="1" hidden="1">
      <c r="A15" s="3">
        <f t="shared" si="0"/>
        <v>7</v>
      </c>
      <c r="B15" s="23" t="s">
        <v>26</v>
      </c>
      <c r="C15" s="25" t="s">
        <v>27</v>
      </c>
      <c r="D15" s="25">
        <v>19.92</v>
      </c>
      <c r="E15" s="26">
        <v>21.282</v>
      </c>
      <c r="F15" s="20">
        <f t="shared" si="1"/>
        <v>423.93744000000004</v>
      </c>
      <c r="G15" s="27">
        <f>27.54+170.89</f>
        <v>198.42999999999998</v>
      </c>
      <c r="H15" s="94"/>
      <c r="I15" s="28">
        <f t="shared" si="2"/>
        <v>622.36744</v>
      </c>
      <c r="J15" s="8"/>
    </row>
    <row r="16" spans="1:10" ht="15.75" customHeight="1" hidden="1">
      <c r="A16" s="3">
        <f t="shared" si="0"/>
        <v>8</v>
      </c>
      <c r="B16" s="23" t="s">
        <v>28</v>
      </c>
      <c r="C16" s="25" t="s">
        <v>29</v>
      </c>
      <c r="D16" s="25">
        <v>67.51</v>
      </c>
      <c r="E16" s="26">
        <v>216.711</v>
      </c>
      <c r="F16" s="20">
        <f t="shared" si="1"/>
        <v>14630.159610000002</v>
      </c>
      <c r="G16" s="27">
        <f>489+836</f>
        <v>1325</v>
      </c>
      <c r="H16" s="94"/>
      <c r="I16" s="28">
        <f t="shared" si="2"/>
        <v>15955.159610000002</v>
      </c>
      <c r="J16" s="8"/>
    </row>
    <row r="17" spans="1:10" ht="15.75" customHeight="1" hidden="1">
      <c r="A17" s="3">
        <f t="shared" si="0"/>
        <v>9</v>
      </c>
      <c r="B17" s="23" t="s">
        <v>30</v>
      </c>
      <c r="C17" s="29" t="s">
        <v>31</v>
      </c>
      <c r="D17" s="25">
        <v>28.92</v>
      </c>
      <c r="E17" s="26">
        <v>31.791</v>
      </c>
      <c r="F17" s="20">
        <f t="shared" si="1"/>
        <v>919.3957200000001</v>
      </c>
      <c r="G17" s="27">
        <f>89.17+537.46</f>
        <v>626.63</v>
      </c>
      <c r="H17" s="94"/>
      <c r="I17" s="28">
        <f t="shared" si="2"/>
        <v>1546.02572</v>
      </c>
      <c r="J17" s="8"/>
    </row>
    <row r="18" spans="1:10" ht="15.75" customHeight="1">
      <c r="A18" s="3">
        <f t="shared" si="0"/>
        <v>10</v>
      </c>
      <c r="B18" s="23" t="str">
        <f>+B5</f>
        <v>Texas Roadhouse</v>
      </c>
      <c r="C18" s="29" t="str">
        <f>+C37</f>
        <v>TXRH</v>
      </c>
      <c r="D18" s="113">
        <v>27.34</v>
      </c>
      <c r="E18" s="114">
        <v>70540</v>
      </c>
      <c r="F18" s="82">
        <f t="shared" si="1"/>
        <v>1928563.6</v>
      </c>
      <c r="G18" s="115">
        <v>54280</v>
      </c>
      <c r="H18" s="115">
        <v>87340</v>
      </c>
      <c r="I18" s="83">
        <f>+G18+F18-H18</f>
        <v>1895503.6</v>
      </c>
      <c r="J18" s="8"/>
    </row>
    <row r="19" spans="4:10" ht="5.25" customHeight="1">
      <c r="D19" s="2"/>
      <c r="F19" s="2"/>
      <c r="G19" s="2"/>
      <c r="H19" s="2"/>
      <c r="I19" s="2"/>
      <c r="J19" s="8"/>
    </row>
    <row r="20" ht="13.5" thickBot="1">
      <c r="J20" s="8"/>
    </row>
    <row r="21" spans="2:10" ht="15" thickBot="1">
      <c r="B21" s="98" t="str">
        <f>+B43</f>
        <v>Texas Roadhouse's Enteprise Value</v>
      </c>
      <c r="C21" s="100">
        <f>+I18</f>
        <v>1895503.6</v>
      </c>
      <c r="J21" s="8"/>
    </row>
    <row r="22" spans="9:10" ht="12.75">
      <c r="I22" s="5"/>
      <c r="J22" s="30"/>
    </row>
    <row r="23" ht="12.75">
      <c r="J23" s="8"/>
    </row>
    <row r="24" ht="20.25">
      <c r="B24" s="6" t="s">
        <v>32</v>
      </c>
    </row>
    <row r="25" ht="14.25" customHeight="1">
      <c r="B25" s="6"/>
    </row>
    <row r="26" spans="2:10" ht="18">
      <c r="B26" s="116" t="str">
        <f>+B5</f>
        <v>Texas Roadhouse</v>
      </c>
      <c r="I26" s="117"/>
      <c r="J26" s="8"/>
    </row>
    <row r="27" spans="2:15" ht="12.75">
      <c r="B27" t="s">
        <v>4</v>
      </c>
      <c r="D27" s="118" t="s">
        <v>5</v>
      </c>
      <c r="E27" s="118" t="s">
        <v>6</v>
      </c>
      <c r="F27" s="118" t="s">
        <v>7</v>
      </c>
      <c r="G27" s="118" t="s">
        <v>8</v>
      </c>
      <c r="H27" s="118"/>
      <c r="I27" s="119" t="s">
        <v>9</v>
      </c>
      <c r="J27" s="118" t="s">
        <v>33</v>
      </c>
      <c r="K27" s="118" t="s">
        <v>34</v>
      </c>
      <c r="L27" s="13"/>
      <c r="O27" s="13"/>
    </row>
    <row r="28" spans="4:15" ht="13.5" thickBot="1">
      <c r="D28" s="13"/>
      <c r="E28" s="13"/>
      <c r="F28" s="13"/>
      <c r="G28" s="13"/>
      <c r="H28" s="13"/>
      <c r="I28" s="120"/>
      <c r="J28" s="12"/>
      <c r="K28" s="13"/>
      <c r="L28" s="13"/>
      <c r="M28" s="13"/>
      <c r="N28" s="13"/>
      <c r="O28" s="13"/>
    </row>
    <row r="29" spans="2:12" ht="39" thickBot="1">
      <c r="B29" s="101" t="s">
        <v>10</v>
      </c>
      <c r="C29" s="102" t="s">
        <v>11</v>
      </c>
      <c r="D29" s="103" t="s">
        <v>79</v>
      </c>
      <c r="E29" s="103" t="s">
        <v>86</v>
      </c>
      <c r="F29" s="103" t="s">
        <v>87</v>
      </c>
      <c r="G29" s="103" t="s">
        <v>88</v>
      </c>
      <c r="H29" s="158" t="s">
        <v>89</v>
      </c>
      <c r="I29" s="159" t="s">
        <v>90</v>
      </c>
      <c r="J29" s="104" t="s">
        <v>91</v>
      </c>
      <c r="K29" s="160" t="s">
        <v>35</v>
      </c>
      <c r="L29" s="161" t="s">
        <v>92</v>
      </c>
    </row>
    <row r="30" spans="1:12" ht="12.75">
      <c r="A30" s="3">
        <v>1</v>
      </c>
      <c r="B30" s="23" t="s">
        <v>93</v>
      </c>
      <c r="C30" s="24" t="s">
        <v>94</v>
      </c>
      <c r="D30" s="121">
        <v>27.81</v>
      </c>
      <c r="E30" s="122">
        <v>28230</v>
      </c>
      <c r="F30" s="123">
        <f aca="true" t="shared" si="3" ref="F30:F38">+E30*D30</f>
        <v>785076.2999999999</v>
      </c>
      <c r="G30" s="122">
        <v>0</v>
      </c>
      <c r="H30" s="124">
        <v>30450</v>
      </c>
      <c r="I30" s="125">
        <f aca="true" t="shared" si="4" ref="I30:I38">+G30+F30-H30</f>
        <v>754626.2999999999</v>
      </c>
      <c r="J30" s="126">
        <v>82510</v>
      </c>
      <c r="K30" s="127">
        <f aca="true" t="shared" si="5" ref="K30:K38">+I30/J30</f>
        <v>9.145876863410495</v>
      </c>
      <c r="L30" s="128">
        <v>0.85</v>
      </c>
    </row>
    <row r="31" spans="1:12" ht="12.75">
      <c r="A31" s="3">
        <f>+A30+1</f>
        <v>2</v>
      </c>
      <c r="B31" s="23" t="s">
        <v>95</v>
      </c>
      <c r="C31" s="24" t="s">
        <v>96</v>
      </c>
      <c r="D31" s="121">
        <v>45.74</v>
      </c>
      <c r="E31" s="122">
        <v>67020</v>
      </c>
      <c r="F31" s="123">
        <f t="shared" si="3"/>
        <v>3065494.8000000003</v>
      </c>
      <c r="G31" s="122">
        <v>840830</v>
      </c>
      <c r="H31" s="124">
        <v>55600</v>
      </c>
      <c r="I31" s="125">
        <f t="shared" si="4"/>
        <v>3850724.8000000003</v>
      </c>
      <c r="J31" s="126">
        <v>406410</v>
      </c>
      <c r="K31" s="127">
        <f t="shared" si="5"/>
        <v>9.474975517334713</v>
      </c>
      <c r="L31" s="128">
        <v>0.62</v>
      </c>
    </row>
    <row r="32" spans="1:12" ht="12.75">
      <c r="A32" s="3">
        <f aca="true" t="shared" si="6" ref="A32:A38">+A31+1</f>
        <v>3</v>
      </c>
      <c r="B32" s="23" t="s">
        <v>97</v>
      </c>
      <c r="C32" s="24" t="s">
        <v>98</v>
      </c>
      <c r="D32" s="121">
        <v>53.15</v>
      </c>
      <c r="E32" s="122">
        <v>130570</v>
      </c>
      <c r="F32" s="123">
        <f t="shared" si="3"/>
        <v>6939795.5</v>
      </c>
      <c r="G32" s="122">
        <v>2760000</v>
      </c>
      <c r="H32" s="124">
        <v>108900</v>
      </c>
      <c r="I32" s="125">
        <f t="shared" si="4"/>
        <v>9590895.5</v>
      </c>
      <c r="J32" s="126">
        <v>997300</v>
      </c>
      <c r="K32" s="127">
        <f t="shared" si="5"/>
        <v>9.616861024766871</v>
      </c>
      <c r="L32" s="128">
        <v>0.7</v>
      </c>
    </row>
    <row r="33" spans="1:12" ht="12.75">
      <c r="A33" s="3">
        <f t="shared" si="6"/>
        <v>4</v>
      </c>
      <c r="B33" s="23" t="s">
        <v>131</v>
      </c>
      <c r="C33" s="24" t="s">
        <v>132</v>
      </c>
      <c r="D33" s="121">
        <v>47.81</v>
      </c>
      <c r="E33" s="122">
        <v>50780</v>
      </c>
      <c r="F33" s="123">
        <f>+E33*D33</f>
        <v>2427791.8000000003</v>
      </c>
      <c r="G33" s="122">
        <v>64300</v>
      </c>
      <c r="H33" s="124">
        <v>82620</v>
      </c>
      <c r="I33" s="125">
        <f t="shared" si="4"/>
        <v>2409471.8000000003</v>
      </c>
      <c r="J33" s="126">
        <v>234550</v>
      </c>
      <c r="K33" s="127">
        <f t="shared" si="5"/>
        <v>10.272742698784908</v>
      </c>
      <c r="L33" s="128">
        <v>0.59</v>
      </c>
    </row>
    <row r="34" spans="1:12" ht="12.75">
      <c r="A34" s="3">
        <f t="shared" si="6"/>
        <v>5</v>
      </c>
      <c r="B34" s="23" t="s">
        <v>129</v>
      </c>
      <c r="C34" s="24" t="s">
        <v>130</v>
      </c>
      <c r="D34" s="121">
        <v>17.6</v>
      </c>
      <c r="E34" s="122">
        <v>135200</v>
      </c>
      <c r="F34" s="123">
        <f t="shared" si="3"/>
        <v>2379520</v>
      </c>
      <c r="G34" s="122">
        <v>923700</v>
      </c>
      <c r="H34" s="124">
        <v>132500</v>
      </c>
      <c r="I34" s="125">
        <f t="shared" si="4"/>
        <v>3170720</v>
      </c>
      <c r="J34" s="126">
        <v>429300</v>
      </c>
      <c r="K34" s="127">
        <f t="shared" si="5"/>
        <v>7.38579082226881</v>
      </c>
      <c r="L34" s="128">
        <v>0.38</v>
      </c>
    </row>
    <row r="35" spans="1:12" ht="12.75">
      <c r="A35" s="3">
        <f t="shared" si="6"/>
        <v>6</v>
      </c>
      <c r="B35" s="23" t="s">
        <v>133</v>
      </c>
      <c r="C35" s="24" t="s">
        <v>134</v>
      </c>
      <c r="D35" s="121">
        <v>97.65</v>
      </c>
      <c r="E35" s="122">
        <v>995030</v>
      </c>
      <c r="F35" s="123">
        <f t="shared" si="3"/>
        <v>97164679.5</v>
      </c>
      <c r="G35" s="122">
        <v>13490000</v>
      </c>
      <c r="H35" s="124">
        <v>2540000</v>
      </c>
      <c r="I35" s="125">
        <f t="shared" si="4"/>
        <v>108114679.5</v>
      </c>
      <c r="J35" s="126">
        <v>10070000</v>
      </c>
      <c r="K35" s="127">
        <f t="shared" si="5"/>
        <v>10.736313753723932</v>
      </c>
      <c r="L35" s="128">
        <v>0.28</v>
      </c>
    </row>
    <row r="36" spans="1:12" ht="12.75">
      <c r="A36" s="3">
        <f t="shared" si="6"/>
        <v>7</v>
      </c>
      <c r="B36" s="23" t="s">
        <v>99</v>
      </c>
      <c r="C36" s="24" t="s">
        <v>100</v>
      </c>
      <c r="D36" s="121">
        <v>80.54</v>
      </c>
      <c r="E36" s="122">
        <v>732920</v>
      </c>
      <c r="F36" s="123">
        <f t="shared" si="3"/>
        <v>59029376.800000004</v>
      </c>
      <c r="G36" s="122">
        <v>1300000</v>
      </c>
      <c r="H36" s="124">
        <v>3230000</v>
      </c>
      <c r="I36" s="125">
        <f t="shared" si="4"/>
        <v>57099376.800000004</v>
      </c>
      <c r="J36" s="126">
        <v>2860000</v>
      </c>
      <c r="K36" s="127">
        <f t="shared" si="5"/>
        <v>19.964817062937065</v>
      </c>
      <c r="L36" s="128">
        <v>0.75</v>
      </c>
    </row>
    <row r="37" spans="1:12" ht="12.75">
      <c r="A37" s="3">
        <f t="shared" si="6"/>
        <v>8</v>
      </c>
      <c r="B37" s="162" t="s">
        <v>101</v>
      </c>
      <c r="C37" s="163" t="s">
        <v>102</v>
      </c>
      <c r="D37" s="164">
        <f>+D18</f>
        <v>27.34</v>
      </c>
      <c r="E37" s="165">
        <f>+E18</f>
        <v>70540</v>
      </c>
      <c r="F37" s="165">
        <f>+E37*D37</f>
        <v>1928563.6</v>
      </c>
      <c r="G37" s="165">
        <f>+G18</f>
        <v>54280</v>
      </c>
      <c r="H37" s="166">
        <f>+H18</f>
        <v>87340</v>
      </c>
      <c r="I37" s="167">
        <f t="shared" si="4"/>
        <v>1895503.6</v>
      </c>
      <c r="J37" s="168">
        <f>+D82</f>
        <v>181730</v>
      </c>
      <c r="K37" s="169">
        <f t="shared" si="5"/>
        <v>10.430328509327024</v>
      </c>
      <c r="L37" s="170">
        <v>0.56</v>
      </c>
    </row>
    <row r="38" spans="1:12" ht="12.75">
      <c r="A38" s="3">
        <f t="shared" si="6"/>
        <v>9</v>
      </c>
      <c r="B38" s="23" t="s">
        <v>103</v>
      </c>
      <c r="C38" s="24" t="s">
        <v>104</v>
      </c>
      <c r="D38" s="121">
        <v>73.41</v>
      </c>
      <c r="E38" s="122">
        <v>445330</v>
      </c>
      <c r="F38" s="123">
        <f t="shared" si="3"/>
        <v>32691675.299999997</v>
      </c>
      <c r="G38" s="122">
        <v>2930000</v>
      </c>
      <c r="H38" s="124">
        <v>753000</v>
      </c>
      <c r="I38" s="125">
        <f t="shared" si="4"/>
        <v>34868675.3</v>
      </c>
      <c r="J38" s="126">
        <v>2690000</v>
      </c>
      <c r="K38" s="127">
        <f t="shared" si="5"/>
        <v>12.962332825278809</v>
      </c>
      <c r="L38" s="128">
        <v>0.45</v>
      </c>
    </row>
    <row r="39" ht="12.75">
      <c r="I39" s="117"/>
    </row>
    <row r="40" spans="9:12" ht="12.75">
      <c r="I40" s="117"/>
      <c r="J40" s="5" t="s">
        <v>36</v>
      </c>
      <c r="K40" s="31">
        <f>AVERAGE(K30:K38)</f>
        <v>11.110004341981401</v>
      </c>
      <c r="L40" s="31">
        <f>AVERAGE(L31:L38)</f>
        <v>0.5412499999999999</v>
      </c>
    </row>
    <row r="41" spans="2:8" s="117" customFormat="1" ht="12.75">
      <c r="B41" s="152" t="s">
        <v>37</v>
      </c>
      <c r="C41" s="153">
        <f>+J37</f>
        <v>181730</v>
      </c>
      <c r="D41" s="154">
        <f>+K40</f>
        <v>11.110004341981401</v>
      </c>
      <c r="F41" s="152"/>
      <c r="G41" s="155"/>
      <c r="H41" s="155"/>
    </row>
    <row r="42" spans="2:8" s="117" customFormat="1" ht="13.5" thickBot="1">
      <c r="B42" s="152"/>
      <c r="C42" s="153"/>
      <c r="D42" s="154"/>
      <c r="F42" s="152"/>
      <c r="G42" s="155"/>
      <c r="H42" s="155"/>
    </row>
    <row r="43" spans="2:3" s="117" customFormat="1" ht="15" thickBot="1">
      <c r="B43" s="98" t="s">
        <v>127</v>
      </c>
      <c r="C43" s="100">
        <f>+C41*D41</f>
        <v>2019021.08906828</v>
      </c>
    </row>
    <row r="44" s="117" customFormat="1" ht="12.75">
      <c r="B44" s="152"/>
    </row>
    <row r="45" spans="2:8" ht="12.75">
      <c r="B45" s="5"/>
      <c r="G45" s="5"/>
      <c r="H45" s="5"/>
    </row>
    <row r="46" ht="20.25">
      <c r="A46" s="1" t="s">
        <v>38</v>
      </c>
    </row>
    <row r="47" ht="15.75" customHeight="1" thickBot="1"/>
    <row r="48" spans="1:6" ht="30.75" customHeight="1" thickBot="1">
      <c r="A48" s="130" t="s">
        <v>105</v>
      </c>
      <c r="B48" s="131" t="s">
        <v>106</v>
      </c>
      <c r="C48" s="131" t="s">
        <v>82</v>
      </c>
      <c r="D48" s="132" t="s">
        <v>107</v>
      </c>
      <c r="E48" s="131" t="s">
        <v>108</v>
      </c>
      <c r="F48" s="33" t="s">
        <v>35</v>
      </c>
    </row>
    <row r="49" spans="1:6" ht="21" customHeight="1">
      <c r="A49" s="95">
        <v>39268</v>
      </c>
      <c r="B49" s="34" t="s">
        <v>109</v>
      </c>
      <c r="C49" s="34" t="s">
        <v>110</v>
      </c>
      <c r="D49" s="133">
        <v>2040</v>
      </c>
      <c r="E49" s="134">
        <v>205.8</v>
      </c>
      <c r="F49" s="35">
        <f aca="true" t="shared" si="7" ref="F49:F56">+D49/E49</f>
        <v>9.912536443148687</v>
      </c>
    </row>
    <row r="50" spans="1:6" ht="21" customHeight="1">
      <c r="A50" s="95">
        <v>38644</v>
      </c>
      <c r="B50" s="34" t="s">
        <v>111</v>
      </c>
      <c r="C50" s="34" t="s">
        <v>112</v>
      </c>
      <c r="D50" s="133">
        <v>250</v>
      </c>
      <c r="E50" s="134">
        <v>21</v>
      </c>
      <c r="F50" s="35">
        <f t="shared" si="7"/>
        <v>11.904761904761905</v>
      </c>
    </row>
    <row r="51" spans="1:6" ht="21" customHeight="1">
      <c r="A51" s="135">
        <v>38558</v>
      </c>
      <c r="B51" s="36" t="s">
        <v>113</v>
      </c>
      <c r="C51" s="36" t="s">
        <v>114</v>
      </c>
      <c r="D51" s="136">
        <v>780</v>
      </c>
      <c r="E51" s="137">
        <v>180.7</v>
      </c>
      <c r="F51" s="37">
        <f t="shared" si="7"/>
        <v>4.316546762589929</v>
      </c>
    </row>
    <row r="52" spans="1:6" ht="21" customHeight="1">
      <c r="A52" s="135">
        <v>38534</v>
      </c>
      <c r="B52" s="36" t="s">
        <v>115</v>
      </c>
      <c r="C52" s="36" t="s">
        <v>116</v>
      </c>
      <c r="D52" s="136">
        <v>30</v>
      </c>
      <c r="E52" s="137">
        <v>4.5</v>
      </c>
      <c r="F52" s="37">
        <f t="shared" si="7"/>
        <v>6.666666666666667</v>
      </c>
    </row>
    <row r="53" spans="1:6" ht="21" customHeight="1">
      <c r="A53" s="135">
        <v>38363</v>
      </c>
      <c r="B53" s="36" t="s">
        <v>117</v>
      </c>
      <c r="C53" s="36" t="s">
        <v>118</v>
      </c>
      <c r="D53" s="136">
        <v>77.9</v>
      </c>
      <c r="E53" s="137">
        <v>6.5</v>
      </c>
      <c r="F53" s="37">
        <f t="shared" si="7"/>
        <v>11.984615384615385</v>
      </c>
    </row>
    <row r="54" spans="1:6" ht="21" customHeight="1">
      <c r="A54" s="135">
        <v>38265</v>
      </c>
      <c r="B54" s="36" t="s">
        <v>119</v>
      </c>
      <c r="C54" s="36" t="s">
        <v>120</v>
      </c>
      <c r="D54" s="136">
        <v>260</v>
      </c>
      <c r="E54" s="137">
        <v>30</v>
      </c>
      <c r="F54" s="37">
        <f t="shared" si="7"/>
        <v>8.666666666666666</v>
      </c>
    </row>
    <row r="55" spans="1:6" ht="21" customHeight="1">
      <c r="A55" s="135">
        <v>38244</v>
      </c>
      <c r="B55" s="36" t="s">
        <v>121</v>
      </c>
      <c r="C55" s="36" t="s">
        <v>122</v>
      </c>
      <c r="D55" s="136">
        <v>340</v>
      </c>
      <c r="E55" s="137">
        <v>25</v>
      </c>
      <c r="F55" s="37">
        <f t="shared" si="7"/>
        <v>13.6</v>
      </c>
    </row>
    <row r="56" spans="1:6" ht="21" customHeight="1" thickBot="1">
      <c r="A56" s="138">
        <v>38163</v>
      </c>
      <c r="B56" s="96" t="s">
        <v>123</v>
      </c>
      <c r="C56" s="96" t="s">
        <v>124</v>
      </c>
      <c r="D56" s="139">
        <v>110</v>
      </c>
      <c r="E56" s="140">
        <v>8</v>
      </c>
      <c r="F56" s="97">
        <f t="shared" si="7"/>
        <v>13.75</v>
      </c>
    </row>
    <row r="57" spans="2:6" ht="19.5" customHeight="1">
      <c r="B57" t="s">
        <v>36</v>
      </c>
      <c r="F57" s="141">
        <f>AVERAGE(F49:F56)</f>
        <v>10.100224228556154</v>
      </c>
    </row>
    <row r="58" ht="19.5" customHeight="1">
      <c r="F58" s="141"/>
    </row>
    <row r="59" spans="1:256" s="129" customFormat="1" ht="12.75">
      <c r="A59" s="117"/>
      <c r="B59" s="152" t="s">
        <v>37</v>
      </c>
      <c r="C59" s="153">
        <f>+C41</f>
        <v>181730</v>
      </c>
      <c r="D59" s="154">
        <f>+F57</f>
        <v>10.100224228556154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</row>
    <row r="60" spans="1:256" s="129" customFormat="1" ht="13.5" thickBot="1">
      <c r="A60" s="117"/>
      <c r="B60" s="15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</row>
    <row r="61" spans="1:256" s="129" customFormat="1" ht="15" thickBot="1">
      <c r="A61" s="117"/>
      <c r="B61" s="98" t="str">
        <f>+B43</f>
        <v>Texas Roadhouse's Enteprise Value</v>
      </c>
      <c r="C61" s="100">
        <f>+C59*D59</f>
        <v>1835513.74905551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</row>
    <row r="62" spans="1:256" s="129" customFormat="1" ht="12.75">
      <c r="A62" s="117"/>
      <c r="B62" s="152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</row>
    <row r="63" ht="12.75">
      <c r="B63" s="5"/>
    </row>
    <row r="64" ht="12.75">
      <c r="B64" s="5"/>
    </row>
    <row r="65" ht="20.25">
      <c r="B65" s="1" t="s">
        <v>39</v>
      </c>
    </row>
    <row r="66" ht="10.5" customHeight="1">
      <c r="B66" s="1"/>
    </row>
    <row r="67" spans="1:10" ht="21" thickBot="1">
      <c r="A67">
        <v>6</v>
      </c>
      <c r="B67" s="1" t="str">
        <f>+B5</f>
        <v>Texas Roadhouse</v>
      </c>
      <c r="D67" s="8"/>
      <c r="E67">
        <v>1</v>
      </c>
      <c r="F67">
        <v>2</v>
      </c>
      <c r="G67">
        <v>3</v>
      </c>
      <c r="H67">
        <v>4</v>
      </c>
      <c r="I67">
        <v>5</v>
      </c>
      <c r="J67" s="8">
        <v>6</v>
      </c>
    </row>
    <row r="68" spans="1:10" ht="12.75">
      <c r="A68">
        <f aca="true" t="shared" si="8" ref="A68:A106">+A67+1</f>
        <v>7</v>
      </c>
      <c r="B68" t="s">
        <v>40</v>
      </c>
      <c r="D68" s="107" t="s">
        <v>41</v>
      </c>
      <c r="J68" s="107" t="s">
        <v>42</v>
      </c>
    </row>
    <row r="69" spans="1:10" ht="13.5" thickBot="1">
      <c r="A69">
        <f t="shared" si="8"/>
        <v>8</v>
      </c>
      <c r="C69" s="106" t="s">
        <v>43</v>
      </c>
      <c r="D69" s="149" t="s">
        <v>137</v>
      </c>
      <c r="E69" s="148">
        <v>41639</v>
      </c>
      <c r="F69" s="148">
        <f>+E69+365</f>
        <v>42004</v>
      </c>
      <c r="G69" s="148">
        <f>+F69+365</f>
        <v>42369</v>
      </c>
      <c r="H69" s="148">
        <f>+G69+366</f>
        <v>42735</v>
      </c>
      <c r="I69" s="148">
        <f>+H69+365</f>
        <v>43100</v>
      </c>
      <c r="J69" s="149">
        <f>+I69+365</f>
        <v>43465</v>
      </c>
    </row>
    <row r="70" spans="1:10" ht="12.75">
      <c r="A70">
        <f t="shared" si="8"/>
        <v>9</v>
      </c>
      <c r="B70" t="s">
        <v>44</v>
      </c>
      <c r="C70" s="39"/>
      <c r="D70" s="142">
        <f>334770+352119+359676+309531</f>
        <v>1356096</v>
      </c>
      <c r="E70" s="40">
        <f aca="true" t="shared" si="9" ref="E70:J70">+D70*(1+E71)</f>
        <v>1423900.8</v>
      </c>
      <c r="F70" s="40">
        <f t="shared" si="9"/>
        <v>1495095.84</v>
      </c>
      <c r="G70" s="40">
        <f t="shared" si="9"/>
        <v>1569850.6320000002</v>
      </c>
      <c r="H70" s="40">
        <f t="shared" si="9"/>
        <v>1648343.1636000003</v>
      </c>
      <c r="I70" s="40">
        <f t="shared" si="9"/>
        <v>1730760.3217800003</v>
      </c>
      <c r="J70" s="41">
        <f t="shared" si="9"/>
        <v>1817298.3378690004</v>
      </c>
    </row>
    <row r="71" spans="1:10" ht="12.75">
      <c r="A71">
        <f t="shared" si="8"/>
        <v>10</v>
      </c>
      <c r="B71" t="s">
        <v>45</v>
      </c>
      <c r="C71" s="42">
        <v>0.05</v>
      </c>
      <c r="D71" s="110"/>
      <c r="E71" s="43">
        <f>+C71</f>
        <v>0.05</v>
      </c>
      <c r="F71" s="43">
        <f>+E71</f>
        <v>0.05</v>
      </c>
      <c r="G71" s="43">
        <f>+F71</f>
        <v>0.05</v>
      </c>
      <c r="H71" s="43">
        <f>+G71</f>
        <v>0.05</v>
      </c>
      <c r="I71" s="43">
        <f>+H71</f>
        <v>0.05</v>
      </c>
      <c r="J71" s="44">
        <f>+I71</f>
        <v>0.05</v>
      </c>
    </row>
    <row r="72" spans="1:10" ht="6.75" customHeight="1">
      <c r="A72">
        <f t="shared" si="8"/>
        <v>11</v>
      </c>
      <c r="C72" s="42"/>
      <c r="D72" s="110"/>
      <c r="E72" s="43"/>
      <c r="F72" s="43"/>
      <c r="G72" s="43"/>
      <c r="H72" s="43"/>
      <c r="I72" s="43"/>
      <c r="J72" s="44"/>
    </row>
    <row r="73" spans="1:10" ht="12.75">
      <c r="A73">
        <f t="shared" si="8"/>
        <v>12</v>
      </c>
      <c r="B73" t="s">
        <v>46</v>
      </c>
      <c r="C73" s="143">
        <f>-D73/D70</f>
        <v>0.34326773325782245</v>
      </c>
      <c r="D73" s="142">
        <f>-116570-120212-124552-104170</f>
        <v>-465504</v>
      </c>
      <c r="E73" s="40">
        <f aca="true" t="shared" si="10" ref="E73:J73">-$C$73*E70</f>
        <v>-488779.2</v>
      </c>
      <c r="F73" s="40">
        <f t="shared" si="10"/>
        <v>-513218.16000000003</v>
      </c>
      <c r="G73" s="40">
        <f t="shared" si="10"/>
        <v>-538879.0680000001</v>
      </c>
      <c r="H73" s="40">
        <f t="shared" si="10"/>
        <v>-565823.0214000001</v>
      </c>
      <c r="I73" s="40">
        <f t="shared" si="10"/>
        <v>-594114.1724700001</v>
      </c>
      <c r="J73" s="41">
        <f t="shared" si="10"/>
        <v>-623819.8810935001</v>
      </c>
    </row>
    <row r="74" spans="1:10" ht="9" customHeight="1">
      <c r="A74">
        <f t="shared" si="8"/>
        <v>13</v>
      </c>
      <c r="C74" s="42"/>
      <c r="D74" s="44"/>
      <c r="E74" s="43"/>
      <c r="F74" s="43"/>
      <c r="G74" s="43"/>
      <c r="H74" s="43"/>
      <c r="I74" s="43"/>
      <c r="J74" s="44"/>
    </row>
    <row r="75" spans="1:10" ht="12.75">
      <c r="A75">
        <f t="shared" si="8"/>
        <v>14</v>
      </c>
      <c r="B75" t="s">
        <v>0</v>
      </c>
      <c r="C75" s="143">
        <f>-D75/$D$70</f>
        <v>0.5587524777006938</v>
      </c>
      <c r="D75" s="144">
        <f>-175193-185653-181863-166153-12462-12190-12212-11996</f>
        <v>-757722</v>
      </c>
      <c r="E75" s="80">
        <f aca="true" t="shared" si="11" ref="E75:J75">-$C$75*E70</f>
        <v>-795608.1000000001</v>
      </c>
      <c r="F75" s="80">
        <f t="shared" si="11"/>
        <v>-835388.5050000001</v>
      </c>
      <c r="G75" s="80">
        <f t="shared" si="11"/>
        <v>-877157.9302500002</v>
      </c>
      <c r="H75" s="80">
        <f t="shared" si="11"/>
        <v>-921015.8267625002</v>
      </c>
      <c r="I75" s="80">
        <f t="shared" si="11"/>
        <v>-967066.6181006252</v>
      </c>
      <c r="J75" s="81">
        <f t="shared" si="11"/>
        <v>-1015419.9490056565</v>
      </c>
    </row>
    <row r="76" spans="1:10" ht="12.75">
      <c r="A76">
        <f t="shared" si="8"/>
        <v>15</v>
      </c>
      <c r="B76" t="s">
        <v>47</v>
      </c>
      <c r="D76" s="110">
        <f>+D70+D73+D75</f>
        <v>132870</v>
      </c>
      <c r="E76" s="40">
        <f aca="true" t="shared" si="12" ref="E76:J76">+E70+E73+E75</f>
        <v>139513.5</v>
      </c>
      <c r="F76" s="40">
        <f t="shared" si="12"/>
        <v>146489.17499999993</v>
      </c>
      <c r="G76" s="40">
        <f t="shared" si="12"/>
        <v>153813.63374999992</v>
      </c>
      <c r="H76" s="40">
        <f t="shared" si="12"/>
        <v>161504.3154374999</v>
      </c>
      <c r="I76" s="40">
        <f t="shared" si="12"/>
        <v>169579.531209375</v>
      </c>
      <c r="J76" s="41">
        <f t="shared" si="12"/>
        <v>178058.5077698439</v>
      </c>
    </row>
    <row r="77" spans="1:10" ht="12.75">
      <c r="A77">
        <f t="shared" si="8"/>
        <v>16</v>
      </c>
      <c r="B77" t="s">
        <v>48</v>
      </c>
      <c r="C77" s="146">
        <v>0.4</v>
      </c>
      <c r="D77" s="110">
        <f aca="true" t="shared" si="13" ref="D77:J77">-$C$77*D76</f>
        <v>-53148</v>
      </c>
      <c r="E77" s="40">
        <f t="shared" si="13"/>
        <v>-55805.4</v>
      </c>
      <c r="F77" s="40">
        <f t="shared" si="13"/>
        <v>-58595.66999999998</v>
      </c>
      <c r="G77" s="40">
        <f t="shared" si="13"/>
        <v>-61525.453499999974</v>
      </c>
      <c r="H77" s="40">
        <f t="shared" si="13"/>
        <v>-64601.72617499996</v>
      </c>
      <c r="I77" s="40">
        <f t="shared" si="13"/>
        <v>-67831.81248375</v>
      </c>
      <c r="J77" s="41">
        <f t="shared" si="13"/>
        <v>-71223.40310793757</v>
      </c>
    </row>
    <row r="78" spans="1:10" ht="12.75">
      <c r="A78">
        <f t="shared" si="8"/>
        <v>17</v>
      </c>
      <c r="B78" t="s">
        <v>49</v>
      </c>
      <c r="C78" s="147">
        <f>+D78/D70</f>
        <v>0.03602989758837132</v>
      </c>
      <c r="D78" s="142">
        <f>12462+12190+12212+11996</f>
        <v>48860</v>
      </c>
      <c r="E78" s="40">
        <f aca="true" t="shared" si="14" ref="E78:J78">+$C$78*E70</f>
        <v>51303</v>
      </c>
      <c r="F78" s="40">
        <f t="shared" si="14"/>
        <v>53868.15</v>
      </c>
      <c r="G78" s="40">
        <f t="shared" si="14"/>
        <v>56561.5575</v>
      </c>
      <c r="H78" s="40">
        <f t="shared" si="14"/>
        <v>59389.635375000005</v>
      </c>
      <c r="I78" s="40">
        <f t="shared" si="14"/>
        <v>62359.11714375001</v>
      </c>
      <c r="J78" s="41">
        <f t="shared" si="14"/>
        <v>65477.07300093751</v>
      </c>
    </row>
    <row r="79" spans="1:10" ht="12.75">
      <c r="A79">
        <f t="shared" si="8"/>
        <v>18</v>
      </c>
      <c r="B79" t="s">
        <v>73</v>
      </c>
      <c r="C79" s="145">
        <f>-D79/D70</f>
        <v>0.06903714781254425</v>
      </c>
      <c r="D79" s="110">
        <f>-35973-20314-15601-21733</f>
        <v>-93621</v>
      </c>
      <c r="E79" s="40">
        <f aca="true" t="shared" si="15" ref="E79:J79">-$C$79*E70</f>
        <v>-98302.05</v>
      </c>
      <c r="F79" s="40">
        <f t="shared" si="15"/>
        <v>-103217.15250000001</v>
      </c>
      <c r="G79" s="40">
        <f t="shared" si="15"/>
        <v>-108378.01012500002</v>
      </c>
      <c r="H79" s="40">
        <f t="shared" si="15"/>
        <v>-113796.91063125002</v>
      </c>
      <c r="I79" s="40">
        <f t="shared" si="15"/>
        <v>-119486.75616281253</v>
      </c>
      <c r="J79" s="41">
        <f t="shared" si="15"/>
        <v>-125461.09397095315</v>
      </c>
    </row>
    <row r="80" spans="1:10" ht="13.5" thickBot="1">
      <c r="A80">
        <f t="shared" si="8"/>
        <v>19</v>
      </c>
      <c r="B80" t="s">
        <v>50</v>
      </c>
      <c r="D80" s="45">
        <f aca="true" t="shared" si="16" ref="D80:J80">SUM(D76:D79)</f>
        <v>34961</v>
      </c>
      <c r="E80" s="46">
        <f t="shared" si="16"/>
        <v>36709.05</v>
      </c>
      <c r="F80" s="46">
        <f t="shared" si="16"/>
        <v>38544.50249999993</v>
      </c>
      <c r="G80" s="46">
        <f t="shared" si="16"/>
        <v>40471.72762499993</v>
      </c>
      <c r="H80" s="46">
        <f t="shared" si="16"/>
        <v>42495.31400624993</v>
      </c>
      <c r="I80" s="46">
        <f t="shared" si="16"/>
        <v>44620.07970656248</v>
      </c>
      <c r="J80" s="45">
        <f t="shared" si="16"/>
        <v>46851.083691890686</v>
      </c>
    </row>
    <row r="81" spans="1:10" ht="7.5" customHeight="1" thickTop="1">
      <c r="A81">
        <f t="shared" si="8"/>
        <v>20</v>
      </c>
      <c r="D81" s="40"/>
      <c r="E81" s="40"/>
      <c r="F81" s="40"/>
      <c r="G81" s="40"/>
      <c r="H81" s="40"/>
      <c r="I81" s="40"/>
      <c r="J81" s="41"/>
    </row>
    <row r="82" spans="1:10" ht="12.75">
      <c r="A82">
        <f t="shared" si="8"/>
        <v>21</v>
      </c>
      <c r="B82" t="s">
        <v>1</v>
      </c>
      <c r="D82" s="47">
        <f aca="true" t="shared" si="17" ref="D82:J82">+D76+D78</f>
        <v>181730</v>
      </c>
      <c r="E82" s="47">
        <f t="shared" si="17"/>
        <v>190816.5</v>
      </c>
      <c r="F82" s="47">
        <f t="shared" si="17"/>
        <v>200357.32499999992</v>
      </c>
      <c r="G82" s="47">
        <f t="shared" si="17"/>
        <v>210375.19124999992</v>
      </c>
      <c r="H82" s="47">
        <f t="shared" si="17"/>
        <v>220893.9508124999</v>
      </c>
      <c r="I82" s="47">
        <f t="shared" si="17"/>
        <v>231938.64835312503</v>
      </c>
      <c r="J82" s="48">
        <f t="shared" si="17"/>
        <v>243535.58077078144</v>
      </c>
    </row>
    <row r="83" spans="1:10" ht="6.75" customHeight="1">
      <c r="A83">
        <f t="shared" si="8"/>
        <v>22</v>
      </c>
      <c r="D83" s="8"/>
      <c r="E83" s="8"/>
      <c r="F83" s="8"/>
      <c r="G83" s="8"/>
      <c r="H83" s="8"/>
      <c r="I83" s="8"/>
      <c r="J83" s="49"/>
    </row>
    <row r="84" spans="1:10" ht="13.5" thickBot="1">
      <c r="A84">
        <f t="shared" si="8"/>
        <v>23</v>
      </c>
      <c r="B84" s="50" t="s">
        <v>51</v>
      </c>
      <c r="C84" s="38" t="s">
        <v>43</v>
      </c>
      <c r="D84" s="8"/>
      <c r="E84" s="8"/>
      <c r="F84" s="8"/>
      <c r="G84" s="8"/>
      <c r="H84" s="8"/>
      <c r="I84" s="8"/>
      <c r="J84" s="49"/>
    </row>
    <row r="85" spans="1:10" ht="12.75">
      <c r="A85">
        <f t="shared" si="8"/>
        <v>24</v>
      </c>
      <c r="B85" t="s">
        <v>52</v>
      </c>
      <c r="C85" s="32">
        <f>+K36</f>
        <v>19.964817062937065</v>
      </c>
      <c r="D85" s="51"/>
      <c r="E85" s="52" t="s">
        <v>125</v>
      </c>
      <c r="F85" s="8"/>
      <c r="G85" s="8"/>
      <c r="H85" s="8"/>
      <c r="I85" s="8"/>
      <c r="J85" s="53">
        <f>+C85*J82</f>
        <v>4862143.318404785</v>
      </c>
    </row>
    <row r="86" spans="1:10" ht="12.75">
      <c r="A86">
        <f t="shared" si="8"/>
        <v>25</v>
      </c>
      <c r="B86" t="s">
        <v>53</v>
      </c>
      <c r="C86" s="156">
        <v>0.1</v>
      </c>
      <c r="D86" s="54"/>
      <c r="E86" s="52" t="s">
        <v>128</v>
      </c>
      <c r="F86" s="8"/>
      <c r="G86" s="8"/>
      <c r="H86" s="8"/>
      <c r="I86" s="8"/>
      <c r="J86" s="41">
        <f>+J80/C86</f>
        <v>468510.83691890683</v>
      </c>
    </row>
    <row r="87" spans="1:10" ht="13.5" thickBot="1">
      <c r="A87">
        <f t="shared" si="8"/>
        <v>26</v>
      </c>
      <c r="B87" t="s">
        <v>36</v>
      </c>
      <c r="D87" s="8"/>
      <c r="E87" s="8"/>
      <c r="F87" s="8"/>
      <c r="G87" s="8"/>
      <c r="H87" s="8"/>
      <c r="I87" s="8"/>
      <c r="J87" s="55">
        <f>+(J85+J86)/2</f>
        <v>2665327.0776618463</v>
      </c>
    </row>
    <row r="88" spans="1:10" ht="13.5" thickTop="1">
      <c r="A88">
        <f t="shared" si="8"/>
        <v>27</v>
      </c>
      <c r="B88" t="s">
        <v>83</v>
      </c>
      <c r="C88" s="146">
        <v>0.3</v>
      </c>
      <c r="D88" s="150" t="s">
        <v>126</v>
      </c>
      <c r="E88" s="8"/>
      <c r="F88" s="8"/>
      <c r="G88" s="8"/>
      <c r="H88" s="8"/>
      <c r="I88" s="8"/>
      <c r="J88" s="151">
        <f>-(1-C88)*G37</f>
        <v>-37996</v>
      </c>
    </row>
    <row r="89" spans="1:10" ht="12.75">
      <c r="A89">
        <f t="shared" si="8"/>
        <v>28</v>
      </c>
      <c r="B89" t="s">
        <v>74</v>
      </c>
      <c r="D89" s="8"/>
      <c r="E89" s="8"/>
      <c r="F89" s="8"/>
      <c r="G89" s="8"/>
      <c r="H89" s="8"/>
      <c r="I89" s="8"/>
      <c r="J89" s="53">
        <f>+J88+J87</f>
        <v>2627331.0776618463</v>
      </c>
    </row>
    <row r="90" spans="1:10" ht="12.75">
      <c r="A90">
        <f t="shared" si="8"/>
        <v>29</v>
      </c>
      <c r="D90" s="8"/>
      <c r="E90" s="8"/>
      <c r="F90" s="8"/>
      <c r="G90" s="8"/>
      <c r="H90" s="8"/>
      <c r="I90" s="8"/>
      <c r="J90" s="49"/>
    </row>
    <row r="91" spans="1:10" ht="12.75">
      <c r="A91">
        <f t="shared" si="8"/>
        <v>30</v>
      </c>
      <c r="B91" t="s">
        <v>54</v>
      </c>
      <c r="D91" s="47"/>
      <c r="E91" s="47">
        <f>+E80</f>
        <v>36709.05</v>
      </c>
      <c r="F91" s="47">
        <f>+F80</f>
        <v>38544.50249999993</v>
      </c>
      <c r="G91" s="47">
        <f>+G80</f>
        <v>40471.72762499993</v>
      </c>
      <c r="H91" s="47">
        <f>+H80</f>
        <v>42495.31400624993</v>
      </c>
      <c r="I91" s="47">
        <f>+I80</f>
        <v>44620.07970656248</v>
      </c>
      <c r="J91" s="48">
        <f>+J89+J80</f>
        <v>2674182.161353737</v>
      </c>
    </row>
    <row r="92" spans="1:10" ht="12.75">
      <c r="A92">
        <f t="shared" si="8"/>
        <v>31</v>
      </c>
      <c r="D92" s="56"/>
      <c r="E92" s="57" t="s">
        <v>55</v>
      </c>
      <c r="F92" s="57" t="s">
        <v>55</v>
      </c>
      <c r="G92" s="57" t="s">
        <v>55</v>
      </c>
      <c r="H92" s="57" t="s">
        <v>55</v>
      </c>
      <c r="I92" s="57" t="s">
        <v>55</v>
      </c>
      <c r="J92" s="58" t="s">
        <v>55</v>
      </c>
    </row>
    <row r="93" spans="1:10" ht="15.75" thickBot="1">
      <c r="A93">
        <f t="shared" si="8"/>
        <v>32</v>
      </c>
      <c r="C93" s="59" t="s">
        <v>56</v>
      </c>
      <c r="D93" s="56"/>
      <c r="E93" s="108">
        <f>1/((1+$I$108)^E67)</f>
        <v>0.9090909090909091</v>
      </c>
      <c r="F93" s="108">
        <f aca="true" t="shared" si="18" ref="E93:J93">1/((1+$I$108)^F67)</f>
        <v>0.8264462809917354</v>
      </c>
      <c r="G93" s="108">
        <f t="shared" si="18"/>
        <v>0.7513148009015775</v>
      </c>
      <c r="H93" s="108">
        <f t="shared" si="18"/>
        <v>0.6830134553650705</v>
      </c>
      <c r="I93" s="108">
        <f t="shared" si="18"/>
        <v>0.6209213230591549</v>
      </c>
      <c r="J93" s="109">
        <f t="shared" si="18"/>
        <v>0.5644739300537772</v>
      </c>
    </row>
    <row r="94" spans="1:10" ht="12.75">
      <c r="A94">
        <f t="shared" si="8"/>
        <v>33</v>
      </c>
      <c r="C94" s="59"/>
      <c r="D94" s="56"/>
      <c r="E94" s="60" t="s">
        <v>57</v>
      </c>
      <c r="F94" s="60" t="s">
        <v>57</v>
      </c>
      <c r="G94" s="60" t="s">
        <v>57</v>
      </c>
      <c r="H94" s="60" t="s">
        <v>57</v>
      </c>
      <c r="I94" s="60" t="s">
        <v>57</v>
      </c>
      <c r="J94" s="60" t="s">
        <v>57</v>
      </c>
    </row>
    <row r="95" spans="1:3" ht="12.75">
      <c r="A95">
        <f t="shared" si="8"/>
        <v>34</v>
      </c>
      <c r="C95" s="59"/>
    </row>
    <row r="96" spans="1:5" ht="12.75">
      <c r="A96">
        <f t="shared" si="8"/>
        <v>35</v>
      </c>
      <c r="C96" s="59" t="s">
        <v>58</v>
      </c>
      <c r="D96" s="61">
        <f>+E93*E91</f>
        <v>33371.86363636364</v>
      </c>
      <c r="E96" s="62"/>
    </row>
    <row r="97" spans="1:4" ht="12.75">
      <c r="A97">
        <f t="shared" si="8"/>
        <v>36</v>
      </c>
      <c r="C97" s="59" t="s">
        <v>59</v>
      </c>
      <c r="D97" s="61">
        <f>+F93*F91</f>
        <v>31854.960743801592</v>
      </c>
    </row>
    <row r="98" spans="1:4" ht="12.75">
      <c r="A98">
        <f t="shared" si="8"/>
        <v>37</v>
      </c>
      <c r="C98" s="59" t="s">
        <v>60</v>
      </c>
      <c r="D98" s="61">
        <f>+G93*G91</f>
        <v>30407.007982719697</v>
      </c>
    </row>
    <row r="99" spans="1:4" ht="12.75">
      <c r="A99">
        <f t="shared" si="8"/>
        <v>38</v>
      </c>
      <c r="C99" s="59" t="s">
        <v>61</v>
      </c>
      <c r="D99" s="61">
        <f>+H93*H91</f>
        <v>29024.871256232444</v>
      </c>
    </row>
    <row r="100" spans="1:4" ht="12.75">
      <c r="A100">
        <f t="shared" si="8"/>
        <v>39</v>
      </c>
      <c r="C100" s="59" t="s">
        <v>62</v>
      </c>
      <c r="D100" s="61">
        <f>+I93*I91</f>
        <v>27705.558926403723</v>
      </c>
    </row>
    <row r="101" spans="1:5" ht="12.75">
      <c r="A101">
        <f t="shared" si="8"/>
        <v>40</v>
      </c>
      <c r="C101" s="59" t="s">
        <v>63</v>
      </c>
      <c r="D101" s="61">
        <f>+J93*J91</f>
        <v>1509506.1142990482</v>
      </c>
      <c r="E101" s="7"/>
    </row>
    <row r="102" spans="1:5" ht="13.5" thickBot="1">
      <c r="A102">
        <f t="shared" si="8"/>
        <v>41</v>
      </c>
      <c r="C102" s="59" t="s">
        <v>64</v>
      </c>
      <c r="D102" s="63">
        <f>SUM(D96:D101)</f>
        <v>1661870.3768445693</v>
      </c>
      <c r="E102" s="64"/>
    </row>
    <row r="103" spans="1:5" ht="13.5" thickTop="1">
      <c r="A103">
        <f t="shared" si="8"/>
        <v>42</v>
      </c>
      <c r="C103" s="59"/>
      <c r="D103" s="65"/>
      <c r="E103" s="64"/>
    </row>
    <row r="104" spans="1:5" ht="12.75">
      <c r="A104">
        <f t="shared" si="8"/>
        <v>43</v>
      </c>
      <c r="C104" s="66" t="s">
        <v>65</v>
      </c>
      <c r="D104" s="67" t="s">
        <v>66</v>
      </c>
      <c r="E104" s="4"/>
    </row>
    <row r="105" spans="1:4" ht="12.75">
      <c r="A105">
        <f t="shared" si="8"/>
        <v>44</v>
      </c>
      <c r="C105" s="68" t="s">
        <v>67</v>
      </c>
      <c r="D105" s="61">
        <f>+D102</f>
        <v>1661870.3768445693</v>
      </c>
    </row>
    <row r="106" spans="1:4" ht="12.75">
      <c r="A106">
        <f t="shared" si="8"/>
        <v>45</v>
      </c>
      <c r="C106" s="69" t="s">
        <v>68</v>
      </c>
      <c r="D106" s="70">
        <f>+G37</f>
        <v>54280</v>
      </c>
    </row>
    <row r="107" spans="3:4" ht="13.5" thickBot="1">
      <c r="C107" s="69" t="s">
        <v>135</v>
      </c>
      <c r="D107" s="70">
        <f>-H18</f>
        <v>-87340</v>
      </c>
    </row>
    <row r="108" spans="1:9" ht="15" thickBot="1">
      <c r="A108">
        <f>+A106+1</f>
        <v>46</v>
      </c>
      <c r="B108" s="98" t="str">
        <f>+B61</f>
        <v>Texas Roadhouse's Enteprise Value</v>
      </c>
      <c r="C108" s="99"/>
      <c r="D108" s="100">
        <f>+D106+D105+D107</f>
        <v>1628810.3768445693</v>
      </c>
      <c r="I108" s="171">
        <f>+C86</f>
        <v>0.1</v>
      </c>
    </row>
    <row r="109" spans="2:3" ht="12.75">
      <c r="B109" s="68"/>
      <c r="C109" s="7"/>
    </row>
    <row r="111" ht="13.5" thickBot="1"/>
    <row r="112" spans="1:3" ht="20.25">
      <c r="A112" s="71"/>
      <c r="B112" s="72" t="s">
        <v>69</v>
      </c>
      <c r="C112" s="73"/>
    </row>
    <row r="113" spans="1:3" ht="12.75">
      <c r="A113" s="75"/>
      <c r="B113" s="8"/>
      <c r="C113" s="8"/>
    </row>
    <row r="114" spans="1:3" ht="21" thickBot="1">
      <c r="A114" s="75"/>
      <c r="B114" s="76" t="str">
        <f>+B5</f>
        <v>Texas Roadhouse</v>
      </c>
      <c r="C114" s="8"/>
    </row>
    <row r="115" spans="1:8" ht="21" thickBot="1">
      <c r="A115" s="75"/>
      <c r="B115" s="87"/>
      <c r="C115" s="73"/>
      <c r="D115" s="73"/>
      <c r="E115" s="73"/>
      <c r="F115" s="73"/>
      <c r="G115" s="73"/>
      <c r="H115" s="74"/>
    </row>
    <row r="116" spans="1:8" ht="13.5" thickBot="1">
      <c r="A116" s="75"/>
      <c r="B116" s="75"/>
      <c r="C116" s="111" t="s">
        <v>75</v>
      </c>
      <c r="D116" s="111" t="s">
        <v>76</v>
      </c>
      <c r="E116" s="111" t="s">
        <v>84</v>
      </c>
      <c r="F116" s="111" t="s">
        <v>77</v>
      </c>
      <c r="G116" s="111" t="s">
        <v>78</v>
      </c>
      <c r="H116" s="112" t="s">
        <v>79</v>
      </c>
    </row>
    <row r="117" spans="1:8" ht="12.75">
      <c r="A117" s="75"/>
      <c r="B117" s="88" t="s">
        <v>80</v>
      </c>
      <c r="C117" s="84">
        <f>+C21</f>
        <v>1895503.6</v>
      </c>
      <c r="D117" s="84">
        <f>+$D$106</f>
        <v>54280</v>
      </c>
      <c r="E117" s="84">
        <f>+H37</f>
        <v>87340</v>
      </c>
      <c r="F117" s="84">
        <f>+C117-D117+E117</f>
        <v>1928563.6</v>
      </c>
      <c r="G117" s="84">
        <f>+E37</f>
        <v>70540</v>
      </c>
      <c r="H117" s="91">
        <f>+F117/G117</f>
        <v>27.34</v>
      </c>
    </row>
    <row r="118" spans="1:8" ht="12.75">
      <c r="A118" s="75"/>
      <c r="B118" s="88"/>
      <c r="C118" s="84"/>
      <c r="D118" s="84"/>
      <c r="E118" s="84"/>
      <c r="F118" s="84"/>
      <c r="G118" s="84"/>
      <c r="H118" s="91"/>
    </row>
    <row r="119" spans="1:8" ht="12.75">
      <c r="A119" s="75"/>
      <c r="B119" s="89" t="s">
        <v>70</v>
      </c>
      <c r="C119" s="85">
        <f>+C43</f>
        <v>2019021.08906828</v>
      </c>
      <c r="D119" s="84">
        <f>+D117</f>
        <v>54280</v>
      </c>
      <c r="E119" s="84">
        <f>+E117</f>
        <v>87340</v>
      </c>
      <c r="F119" s="84">
        <f>+C119-D119+E119</f>
        <v>2052081.08906828</v>
      </c>
      <c r="G119" s="84">
        <f>+G117</f>
        <v>70540</v>
      </c>
      <c r="H119" s="91">
        <f>+F119/G119</f>
        <v>29.0910276306816</v>
      </c>
    </row>
    <row r="120" spans="1:8" ht="12.75">
      <c r="A120" s="75"/>
      <c r="B120" s="89" t="s">
        <v>71</v>
      </c>
      <c r="C120" s="85">
        <f>+C61</f>
        <v>1835513.74905551</v>
      </c>
      <c r="D120" s="84">
        <f>+D117</f>
        <v>54280</v>
      </c>
      <c r="E120" s="84">
        <f>+E117</f>
        <v>87340</v>
      </c>
      <c r="F120" s="84">
        <f>+C120-D120+E120</f>
        <v>1868573.74905551</v>
      </c>
      <c r="G120" s="84">
        <f>+G117</f>
        <v>70540</v>
      </c>
      <c r="H120" s="91">
        <f>+F120/G120</f>
        <v>26.489562646094555</v>
      </c>
    </row>
    <row r="121" spans="1:8" ht="12.75">
      <c r="A121" s="75"/>
      <c r="B121" s="88" t="s">
        <v>72</v>
      </c>
      <c r="C121" s="84">
        <f>+D108</f>
        <v>1628810.3768445693</v>
      </c>
      <c r="D121" s="84">
        <f>+D117</f>
        <v>54280</v>
      </c>
      <c r="E121" s="84">
        <f>+E117</f>
        <v>87340</v>
      </c>
      <c r="F121" s="84">
        <f>+C121-D121+E121</f>
        <v>1661870.3768445693</v>
      </c>
      <c r="G121" s="84">
        <f>+G117</f>
        <v>70540</v>
      </c>
      <c r="H121" s="91">
        <f>+F121/G121</f>
        <v>23.559262501340648</v>
      </c>
    </row>
    <row r="122" spans="1:8" ht="12.75">
      <c r="A122" s="75"/>
      <c r="B122" s="75"/>
      <c r="C122" s="56"/>
      <c r="D122" s="56"/>
      <c r="E122" s="56"/>
      <c r="F122" s="56"/>
      <c r="G122" s="56"/>
      <c r="H122" s="53"/>
    </row>
    <row r="123" spans="1:8" ht="13.5" thickBot="1">
      <c r="A123" s="75"/>
      <c r="B123" s="90" t="s">
        <v>85</v>
      </c>
      <c r="C123" s="86">
        <f>AVERAGE(C117:C121)</f>
        <v>1844712.20374209</v>
      </c>
      <c r="D123" s="86">
        <f>AVERAGE(D117:D121)</f>
        <v>54280</v>
      </c>
      <c r="E123" s="86">
        <f>AVERAGE(E117:E121)</f>
        <v>87340</v>
      </c>
      <c r="F123" s="86">
        <f>AVERAGE(F117:F121)</f>
        <v>1877772.20374209</v>
      </c>
      <c r="G123" s="86"/>
      <c r="H123" s="92">
        <f>AVERAGE(H116:H121)</f>
        <v>26.6199631945292</v>
      </c>
    </row>
    <row r="124" spans="1:8" ht="14.25" thickBot="1" thickTop="1">
      <c r="A124" s="77"/>
      <c r="B124" s="77"/>
      <c r="C124" s="78"/>
      <c r="D124" s="78"/>
      <c r="E124" s="78"/>
      <c r="F124" s="78"/>
      <c r="G124" s="78"/>
      <c r="H124" s="79"/>
    </row>
    <row r="129" spans="4:10" ht="12.75">
      <c r="D129" s="2"/>
      <c r="F129" s="2"/>
      <c r="G129" s="2"/>
      <c r="H129" s="2"/>
      <c r="I129" s="2"/>
      <c r="J129" s="2"/>
    </row>
    <row r="130" spans="4:10" ht="12.75">
      <c r="D130" s="2"/>
      <c r="F130" s="2"/>
      <c r="G130" s="2"/>
      <c r="H130" s="2"/>
      <c r="I130" s="2"/>
      <c r="J130" s="2"/>
    </row>
    <row r="131" spans="4:10" ht="12.75">
      <c r="D131" s="2"/>
      <c r="F131" s="2"/>
      <c r="G131" s="2"/>
      <c r="H131" s="2"/>
      <c r="I131" s="2"/>
      <c r="J131" s="2"/>
    </row>
    <row r="132" spans="4:10" ht="12.75">
      <c r="D132" s="2"/>
      <c r="F132" s="2"/>
      <c r="G132" s="2"/>
      <c r="H132" s="2"/>
      <c r="I132" s="2"/>
      <c r="J132" s="2"/>
    </row>
    <row r="133" spans="4:10" ht="12.75">
      <c r="D133" s="2"/>
      <c r="F133" s="2"/>
      <c r="G133" s="2"/>
      <c r="H133" s="2"/>
      <c r="I133" s="2"/>
      <c r="J133" s="2"/>
    </row>
    <row r="134" spans="4:6" ht="12.75">
      <c r="D134" s="2"/>
      <c r="F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</sheetData>
  <sheetProtection/>
  <printOptions/>
  <pageMargins left="0.2" right="0.23" top="1" bottom="1" header="0.5" footer="0.5"/>
  <pageSetup horizontalDpi="600" verticalDpi="600" orientation="landscape" scale="75" r:id="rId2"/>
  <rowBreaks count="4" manualBreakCount="4">
    <brk id="22" max="255" man="1"/>
    <brk id="44" max="255" man="1"/>
    <brk id="62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 Droussiotis</cp:lastModifiedBy>
  <cp:lastPrinted>2007-11-19T21:26:09Z</cp:lastPrinted>
  <dcterms:created xsi:type="dcterms:W3CDTF">2006-01-04T20:00:38Z</dcterms:created>
  <dcterms:modified xsi:type="dcterms:W3CDTF">2013-11-19T02:35:47Z</dcterms:modified>
  <cp:category/>
  <cp:version/>
  <cp:contentType/>
  <cp:contentStatus/>
</cp:coreProperties>
</file>