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droussch\Dropbox\File requests\INVESTMENTS FINANCE CREDIT\Chapters\ACTIVE LEARNING\PART V - FINANCIAL MODELS\Financial Models\"/>
    </mc:Choice>
  </mc:AlternateContent>
  <xr:revisionPtr revIDLastSave="0" documentId="13_ncr:1_{22BC6A60-44F2-43AE-AE80-EEB00F312AB7}" xr6:coauthVersionLast="47" xr6:coauthVersionMax="47" xr10:uidLastSave="{00000000-0000-0000-0000-000000000000}"/>
  <bookViews>
    <workbookView xWindow="-110" yWindow="-110" windowWidth="19420" windowHeight="11500" xr2:uid="{A2E56D1A-B040-4D37-8C7C-1EB5302980A7}"/>
  </bookViews>
  <sheets>
    <sheet name="Valuation" sheetId="1" r:id="rId1"/>
    <sheet name="Description" sheetId="7" r:id="rId2"/>
    <sheet name="Historical Stock Prices" sheetId="2" r:id="rId3"/>
    <sheet name="Historical Values" sheetId="3" r:id="rId4"/>
    <sheet name="Income Statement" sheetId="4" r:id="rId5"/>
    <sheet name="Balance Sheet" sheetId="5" r:id="rId6"/>
    <sheet name="Cash Flow Statement" sheetId="6"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5" i="1" l="1"/>
  <c r="C64" i="1"/>
  <c r="F18" i="1" l="1"/>
  <c r="E18" i="1"/>
  <c r="D18" i="1"/>
  <c r="H18" i="1"/>
  <c r="I18" i="1"/>
  <c r="G18" i="1"/>
  <c r="I13" i="1"/>
  <c r="J13" i="1" s="1"/>
  <c r="K13" i="1" s="1"/>
  <c r="F22" i="1"/>
  <c r="E22" i="1"/>
  <c r="E15" i="1" s="1"/>
  <c r="D22" i="1"/>
  <c r="F21" i="1"/>
  <c r="F14" i="1" s="1"/>
  <c r="G14" i="1" s="1"/>
  <c r="E21" i="1"/>
  <c r="E14" i="1" s="1"/>
  <c r="D21" i="1"/>
  <c r="D14" i="1" s="1"/>
  <c r="F20" i="1"/>
  <c r="F15" i="1" s="1"/>
  <c r="D20" i="1"/>
  <c r="D15" i="1" s="1"/>
  <c r="E20" i="1"/>
  <c r="J5" i="1"/>
  <c r="D36" i="1" s="1"/>
  <c r="H36" i="1" s="1"/>
  <c r="H2" i="2"/>
  <c r="H4" i="2"/>
  <c r="H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3" i="2"/>
  <c r="C5" i="1"/>
  <c r="E53" i="1" s="1"/>
  <c r="E54" i="1"/>
  <c r="C44" i="1"/>
  <c r="C43" i="1" s="1"/>
  <c r="F43" i="1"/>
  <c r="D37" i="1"/>
  <c r="H37" i="1" s="1"/>
  <c r="H12" i="1"/>
  <c r="I12" i="1" s="1"/>
  <c r="J12" i="1" s="1"/>
  <c r="K12" i="1" s="1"/>
  <c r="K18" i="1" s="1"/>
  <c r="M7" i="1"/>
  <c r="F13" i="1" l="1"/>
  <c r="E13" i="1"/>
  <c r="J18" i="1"/>
  <c r="D23" i="1"/>
  <c r="F23" i="1"/>
  <c r="G20" i="1"/>
  <c r="G22" i="1" s="1"/>
  <c r="E23" i="1"/>
  <c r="C46" i="1"/>
  <c r="E55" i="1" s="1"/>
  <c r="G21" i="1" l="1"/>
  <c r="H20" i="1"/>
  <c r="G23" i="1"/>
  <c r="G24" i="1" s="1"/>
  <c r="G25" i="1" s="1"/>
  <c r="G29" i="1" s="1"/>
  <c r="G33" i="1" s="1"/>
  <c r="H22" i="1" l="1"/>
  <c r="H21" i="1"/>
  <c r="H23" i="1" s="1"/>
  <c r="H24" i="1" s="1"/>
  <c r="H25" i="1" s="1"/>
  <c r="H29" i="1" s="1"/>
  <c r="H33" i="1" s="1"/>
  <c r="I20" i="1"/>
  <c r="I22" i="1" l="1"/>
  <c r="I21" i="1"/>
  <c r="J20" i="1"/>
  <c r="I23" i="1" l="1"/>
  <c r="I24" i="1" s="1"/>
  <c r="I25" i="1" s="1"/>
  <c r="I29" i="1" s="1"/>
  <c r="I33" i="1" s="1"/>
  <c r="J22" i="1"/>
  <c r="J21" i="1"/>
  <c r="J23" i="1"/>
  <c r="J24" i="1" s="1"/>
  <c r="J25" i="1" s="1"/>
  <c r="J29" i="1" s="1"/>
  <c r="J33" i="1" s="1"/>
  <c r="K20" i="1"/>
  <c r="K22" i="1" l="1"/>
  <c r="K21" i="1"/>
  <c r="K23" i="1" s="1"/>
  <c r="K31" i="1" l="1"/>
  <c r="K24" i="1"/>
  <c r="K25" i="1" s="1"/>
  <c r="K29" i="1" s="1"/>
  <c r="K33" i="1" l="1"/>
  <c r="C33" i="1" s="1"/>
  <c r="E52" i="1" s="1"/>
  <c r="C58" i="1" s="1"/>
  <c r="E58" i="1" s="1"/>
  <c r="C59" i="1"/>
  <c r="E59" i="1" s="1"/>
  <c r="C61" i="1" l="1"/>
  <c r="C62" i="1" s="1"/>
</calcChain>
</file>

<file path=xl/sharedStrings.xml><?xml version="1.0" encoding="utf-8"?>
<sst xmlns="http://schemas.openxmlformats.org/spreadsheetml/2006/main" count="291" uniqueCount="278">
  <si>
    <t>DEBT ASSUMPTIONS</t>
  </si>
  <si>
    <t>VALUE ASSUMPTIONS (Pre-bankrupcy)</t>
  </si>
  <si>
    <t>Debt Outstanding =</t>
  </si>
  <si>
    <t>Weighted Average Duration=</t>
  </si>
  <si>
    <t>years</t>
  </si>
  <si>
    <t>Weighted Average maturity=</t>
  </si>
  <si>
    <t>WACC=</t>
  </si>
  <si>
    <t>Tax Rate =</t>
  </si>
  <si>
    <t>Discount Cash Flow Analysis ($ millions)</t>
  </si>
  <si>
    <t>Revenue</t>
  </si>
  <si>
    <t>CoGS</t>
  </si>
  <si>
    <t>Oper. Exp.</t>
  </si>
  <si>
    <t xml:space="preserve">  EBIT</t>
  </si>
  <si>
    <t xml:space="preserve">  EBIT (t)</t>
  </si>
  <si>
    <t>EBIT (i-t)</t>
  </si>
  <si>
    <t>Less Maintenance Capex (offset by Depreciation)</t>
  </si>
  <si>
    <t>Less W/C (assumiung $0)</t>
  </si>
  <si>
    <t xml:space="preserve">  Cash Flow</t>
  </si>
  <si>
    <t>Terminal Value assumption</t>
  </si>
  <si>
    <t>EBIT</t>
  </si>
  <si>
    <t>EV (PV) of the firm</t>
  </si>
  <si>
    <t>Step 1 - Find the annualized in stock and bond prices:</t>
  </si>
  <si>
    <t>Annualized Variance in Stock Price σ^2 =</t>
  </si>
  <si>
    <t>(annual)</t>
  </si>
  <si>
    <t xml:space="preserve"> St. Dev.=</t>
  </si>
  <si>
    <t>Annualized Variance in Bond Price σ^2 =</t>
  </si>
  <si>
    <t>Step 2 - Find the annualized variance in firm value</t>
  </si>
  <si>
    <t>We=</t>
  </si>
  <si>
    <t>C=</t>
  </si>
  <si>
    <t>Wd=</t>
  </si>
  <si>
    <t>Annualized Variance in firm value</t>
  </si>
  <si>
    <t>The five-year bond rate (corresponding to the weighted average duration of 5.1 years) is 6.0%</t>
  </si>
  <si>
    <t>Stet 3 - Find the value of call based upon the following parameters of equity as a call option</t>
  </si>
  <si>
    <t xml:space="preserve">Value of the underlying asset = S = Value of the firm = </t>
  </si>
  <si>
    <t xml:space="preserve">Exercise Price  = X = Face Value of outstanding debt = </t>
  </si>
  <si>
    <t>Life of the option = t = Weighted average duration of debt=</t>
  </si>
  <si>
    <t xml:space="preserve">Variance in the value of the underlying asset = σ^2 = </t>
  </si>
  <si>
    <t>Riskless Rate = I = T-Bond for option life =</t>
  </si>
  <si>
    <t>d1=</t>
  </si>
  <si>
    <t>N (d1) =</t>
  </si>
  <si>
    <t>d2=</t>
  </si>
  <si>
    <t>N (d2) =</t>
  </si>
  <si>
    <t>Value of the call (Equity) =</t>
  </si>
  <si>
    <t>File for Bankruptcy</t>
  </si>
  <si>
    <t>million</t>
  </si>
  <si>
    <t>Stock Montly Var. (3 year before Bankruptcy) =</t>
  </si>
  <si>
    <t>Bonds Monthly Var. (3 years before Bankruptcy) =</t>
  </si>
  <si>
    <t>Correlation between Stock/Bond (3 years)</t>
  </si>
  <si>
    <t>Debt proportion (3 years) =</t>
  </si>
  <si>
    <t>Spirit Airline Corporation</t>
  </si>
  <si>
    <t>Date</t>
  </si>
  <si>
    <t>Open</t>
  </si>
  <si>
    <t>High</t>
  </si>
  <si>
    <t>Low</t>
  </si>
  <si>
    <t>Close</t>
  </si>
  <si>
    <t>Adj Close</t>
  </si>
  <si>
    <t>Volume</t>
  </si>
  <si>
    <t>name</t>
  </si>
  <si>
    <t>ttm</t>
  </si>
  <si>
    <t>MarketCap</t>
  </si>
  <si>
    <t>EnterpriseValue</t>
  </si>
  <si>
    <t>PeRatio</t>
  </si>
  <si>
    <t>ForwardPeRatio</t>
  </si>
  <si>
    <t>PegRatio</t>
  </si>
  <si>
    <t>PsRatio</t>
  </si>
  <si>
    <t>PbRatio</t>
  </si>
  <si>
    <t>EnterprisesValueRevenueRatio</t>
  </si>
  <si>
    <t>EnterprisesValueEBITDARatio</t>
  </si>
  <si>
    <t>TotalRevenue</t>
  </si>
  <si>
    <t xml:space="preserve">	OperatingRevenue</t>
  </si>
  <si>
    <t>CostOfRevenue</t>
  </si>
  <si>
    <t xml:space="preserve">	Fuel</t>
  </si>
  <si>
    <t xml:space="preserve">	MaintenanceAndRepairs</t>
  </si>
  <si>
    <t xml:space="preserve">	RentandLandingFeesCostofRevenue</t>
  </si>
  <si>
    <t xml:space="preserve">	DDACostofRevenue</t>
  </si>
  <si>
    <t xml:space="preserve">	OtherCostofRevenue</t>
  </si>
  <si>
    <t>GrossProfit</t>
  </si>
  <si>
    <t>OperatingExpense</t>
  </si>
  <si>
    <t xml:space="preserve">	SellingGeneralAndAdministration</t>
  </si>
  <si>
    <t xml:space="preserve">		GeneralAndAdministrativeExpense</t>
  </si>
  <si>
    <t xml:space="preserve">			SalariesAndWages</t>
  </si>
  <si>
    <t xml:space="preserve">			OtherGandA</t>
  </si>
  <si>
    <t xml:space="preserve">		SellingAndMarketingExpense</t>
  </si>
  <si>
    <t xml:space="preserve">	DepreciationAmortizationDepletionIncomeStatement</t>
  </si>
  <si>
    <t xml:space="preserve">		DepreciationAndAmortizationInIncomeStatement</t>
  </si>
  <si>
    <t xml:space="preserve">			DepreciationIncomeStatement</t>
  </si>
  <si>
    <t xml:space="preserve">			Amortization</t>
  </si>
  <si>
    <t xml:space="preserve">				AmortizationOfIntangiblesIncomeStatement</t>
  </si>
  <si>
    <t xml:space="preserve">	OtherOperatingExpenses</t>
  </si>
  <si>
    <t>OperatingIncome</t>
  </si>
  <si>
    <t>NetNonOperatingInterestIncomeExpense</t>
  </si>
  <si>
    <t xml:space="preserve">	InterestIncomeNonOperating</t>
  </si>
  <si>
    <t xml:space="preserve">	InterestExpenseNonOperating</t>
  </si>
  <si>
    <t xml:space="preserve">	TotalOtherFinanceCost</t>
  </si>
  <si>
    <t>OtherIncomeExpense</t>
  </si>
  <si>
    <t xml:space="preserve">	SpecialIncomeCharges</t>
  </si>
  <si>
    <t xml:space="preserve">		RestructuringAndMergernAcquisition</t>
  </si>
  <si>
    <t xml:space="preserve">		WriteOff</t>
  </si>
  <si>
    <t xml:space="preserve">		OtherSpecialCharges</t>
  </si>
  <si>
    <t xml:space="preserve">		GainOnSaleOfPPE</t>
  </si>
  <si>
    <t xml:space="preserve">	OtherNonOperatingIncomeExpenses</t>
  </si>
  <si>
    <t>PretaxIncome</t>
  </si>
  <si>
    <t>TaxProvision</t>
  </si>
  <si>
    <t>NetIncomeCommonStockholders</t>
  </si>
  <si>
    <t xml:space="preserve">	NetIncome</t>
  </si>
  <si>
    <t xml:space="preserve">		NetIncomeIncludingNoncontrollingInterests</t>
  </si>
  <si>
    <t xml:space="preserve">			NetIncomeContinuousOperations</t>
  </si>
  <si>
    <t>DilutedNIAvailtoComStockholders</t>
  </si>
  <si>
    <t>BasicEPS</t>
  </si>
  <si>
    <t>DilutedEPS</t>
  </si>
  <si>
    <t>BasicAverageShares</t>
  </si>
  <si>
    <t>DilutedAverageShares</t>
  </si>
  <si>
    <t>TotalOperatingIncomeAsReported</t>
  </si>
  <si>
    <t>RentExpenseSupplemental</t>
  </si>
  <si>
    <t>TotalExpenses</t>
  </si>
  <si>
    <t>InterestIncome</t>
  </si>
  <si>
    <t>InterestExpense</t>
  </si>
  <si>
    <t>NetInterestIncome</t>
  </si>
  <si>
    <t>NetIncomeFromContinuingAndDiscontinuedOperation</t>
  </si>
  <si>
    <t>NormalizedIncome</t>
  </si>
  <si>
    <t>EBITDA</t>
  </si>
  <si>
    <t>ReconciledCostOfRevenue</t>
  </si>
  <si>
    <t>ReconciledDepreciation</t>
  </si>
  <si>
    <t>NetIncomeFromContinuingOperationNetMinorityInterest</t>
  </si>
  <si>
    <t>TotalUnusualItemsExcludingGoodwill</t>
  </si>
  <si>
    <t>TotalUnusualItems</t>
  </si>
  <si>
    <t>NormalizedEBITDA</t>
  </si>
  <si>
    <t>TaxRateForCalcs</t>
  </si>
  <si>
    <t>TaxEffectOfUnusualItems</t>
  </si>
  <si>
    <t>TotalAssets</t>
  </si>
  <si>
    <t xml:space="preserve">	CurrentAssets</t>
  </si>
  <si>
    <t xml:space="preserve">		CashCashEquivalentsAndShortTermInvestments</t>
  </si>
  <si>
    <t xml:space="preserve">			CashAndCashEquivalents</t>
  </si>
  <si>
    <t xml:space="preserve">			OtherShortTermInvestments</t>
  </si>
  <si>
    <t xml:space="preserve">		Receivables</t>
  </si>
  <si>
    <t xml:space="preserve">			AccountsReceivable</t>
  </si>
  <si>
    <t xml:space="preserve">				GrossAccountsReceivable</t>
  </si>
  <si>
    <t xml:space="preserve">				AllowanceForDoubtfulAccountsReceivable</t>
  </si>
  <si>
    <t xml:space="preserve">			TaxesReceivable</t>
  </si>
  <si>
    <t xml:space="preserve">		PrepaidAssets</t>
  </si>
  <si>
    <t xml:space="preserve">		RestrictedCash</t>
  </si>
  <si>
    <t xml:space="preserve">		CurrentDeferredAssets</t>
  </si>
  <si>
    <t xml:space="preserve">			CurrentDeferredTaxesAssets</t>
  </si>
  <si>
    <t xml:space="preserve">		OtherCurrentAssets</t>
  </si>
  <si>
    <t xml:space="preserve">	TotalNonCurrentAssets</t>
  </si>
  <si>
    <t xml:space="preserve">		NetPPE</t>
  </si>
  <si>
    <t xml:space="preserve">			GrossPPE</t>
  </si>
  <si>
    <t xml:space="preserve">				Properties</t>
  </si>
  <si>
    <t xml:space="preserve">				FlightFleetVehicleAndRelatedEquipments</t>
  </si>
  <si>
    <t xml:space="preserve">				MachineryFurnitureEquipment</t>
  </si>
  <si>
    <t xml:space="preserve">				OtherProperties</t>
  </si>
  <si>
    <t xml:space="preserve">				ConstructionInProgress</t>
  </si>
  <si>
    <t xml:space="preserve">			AccumulatedDepreciation</t>
  </si>
  <si>
    <t xml:space="preserve">		NonCurrentDeferredAssets</t>
  </si>
  <si>
    <t xml:space="preserve">			NonCurrentDeferredTaxesAssets</t>
  </si>
  <si>
    <t xml:space="preserve">		NonCurrentPrepaidAssets</t>
  </si>
  <si>
    <t xml:space="preserve">		OtherNonCurrentAssets</t>
  </si>
  <si>
    <t>TotalLiabilitiesNetMinorityInterest</t>
  </si>
  <si>
    <t xml:space="preserve">	CurrentLiabilities</t>
  </si>
  <si>
    <t xml:space="preserve">		PayablesAndAccruedExpenses</t>
  </si>
  <si>
    <t xml:space="preserve">			Payables</t>
  </si>
  <si>
    <t xml:space="preserve">				AccountsPayable</t>
  </si>
  <si>
    <t xml:space="preserve">				TotalTaxPayable</t>
  </si>
  <si>
    <t xml:space="preserve">					IncomeTaxPayable</t>
  </si>
  <si>
    <t xml:space="preserve">			CurrentAccruedExpenses</t>
  </si>
  <si>
    <t xml:space="preserve">				InterestPayable</t>
  </si>
  <si>
    <t xml:space="preserve">		PensionandOtherPostRetirementBenefitPlansCurrent</t>
  </si>
  <si>
    <t xml:space="preserve">		CurrentDebtAndCapitalLeaseObligation</t>
  </si>
  <si>
    <t xml:space="preserve">			CurrentDebt</t>
  </si>
  <si>
    <t xml:space="preserve">				OtherCurrentBorrowings</t>
  </si>
  <si>
    <t xml:space="preserve">			CurrentCapitalLeaseObligation</t>
  </si>
  <si>
    <t xml:space="preserve">		CurrentDeferredLiabilities</t>
  </si>
  <si>
    <t xml:space="preserve">			CurrentDeferredRevenue</t>
  </si>
  <si>
    <t xml:space="preserve">		OtherCurrentLiabilities</t>
  </si>
  <si>
    <t xml:space="preserve">	TotalNonCurrentLiabilitiesNetMinorityInterest</t>
  </si>
  <si>
    <t xml:space="preserve">		LongTermDebtAndCapitalLeaseObligation</t>
  </si>
  <si>
    <t xml:space="preserve">			LongTermDebt</t>
  </si>
  <si>
    <t xml:space="preserve">			LongTermCapitalLeaseObligation</t>
  </si>
  <si>
    <t xml:space="preserve">		NonCurrentDeferredLiabilities</t>
  </si>
  <si>
    <t xml:space="preserve">			NonCurrentDeferredTaxesLiabilities</t>
  </si>
  <si>
    <t xml:space="preserve">			NonCurrentDeferredRevenue</t>
  </si>
  <si>
    <t xml:space="preserve">		TradeandOtherPayablesNonCurrent</t>
  </si>
  <si>
    <t xml:space="preserve">		DuetoRelatedPartiesNonCurrent</t>
  </si>
  <si>
    <t xml:space="preserve">		PreferredSecuritiesOutsideStockEquity</t>
  </si>
  <si>
    <t xml:space="preserve">		OtherNonCurrentLiabilities</t>
  </si>
  <si>
    <t>TotalEquityGrossMinorityInterest</t>
  </si>
  <si>
    <t xml:space="preserve">	StockholdersEquity</t>
  </si>
  <si>
    <t xml:space="preserve">		CapitalStock</t>
  </si>
  <si>
    <t xml:space="preserve">			CommonStock</t>
  </si>
  <si>
    <t xml:space="preserve">		RetainedEarnings</t>
  </si>
  <si>
    <t xml:space="preserve">		AdditionalPaidInCapital</t>
  </si>
  <si>
    <t xml:space="preserve">		TreasuryStock</t>
  </si>
  <si>
    <t xml:space="preserve">		GainsLossesNotAffectingRetainedEarnings</t>
  </si>
  <si>
    <t xml:space="preserve">			OtherEquityAdjustments</t>
  </si>
  <si>
    <t>TotalCapitalization</t>
  </si>
  <si>
    <t>CommonStockEquity</t>
  </si>
  <si>
    <t>CapitalLeaseObligations</t>
  </si>
  <si>
    <t>NetTangibleAssets</t>
  </si>
  <si>
    <t>WorkingCapital</t>
  </si>
  <si>
    <t>InvestedCapital</t>
  </si>
  <si>
    <t>TangibleBookValue</t>
  </si>
  <si>
    <t>TotalDebt</t>
  </si>
  <si>
    <t>NetDebt</t>
  </si>
  <si>
    <t>ShareIssued</t>
  </si>
  <si>
    <t>OrdinarySharesNumber</t>
  </si>
  <si>
    <t>TreasurySharesNumber</t>
  </si>
  <si>
    <t>OperatingCashFlow</t>
  </si>
  <si>
    <t xml:space="preserve">	CashFlowFromContinuingOperatingActivities</t>
  </si>
  <si>
    <t xml:space="preserve">		NetIncomeFromContinuingOperations</t>
  </si>
  <si>
    <t xml:space="preserve">		OperatingGainsLosses</t>
  </si>
  <si>
    <t xml:space="preserve">			GainLossOnSaleOfPPE</t>
  </si>
  <si>
    <t xml:space="preserve">			GainLossOnInvestmentSecurities</t>
  </si>
  <si>
    <t xml:space="preserve">		DepreciationAmortizationDepletion</t>
  </si>
  <si>
    <t xml:space="preserve">			DepreciationAndAmortization</t>
  </si>
  <si>
    <t xml:space="preserve">				Depreciation</t>
  </si>
  <si>
    <t xml:space="preserve">				AmortizationCashFlow</t>
  </si>
  <si>
    <t xml:space="preserve">					AmortizationOfIntangibles</t>
  </si>
  <si>
    <t xml:space="preserve">		DeferredTax</t>
  </si>
  <si>
    <t xml:space="preserve">			DeferredIncomeTax</t>
  </si>
  <si>
    <t xml:space="preserve">		AmortizationOfSecurities</t>
  </si>
  <si>
    <t xml:space="preserve">		AssetImpairmentCharge</t>
  </si>
  <si>
    <t xml:space="preserve">		ProvisionandWriteOffofAssets</t>
  </si>
  <si>
    <t xml:space="preserve">		StockBasedCompensation</t>
  </si>
  <si>
    <t xml:space="preserve">		OtherNonCashItems</t>
  </si>
  <si>
    <t xml:space="preserve">		ChangeInWorkingCapital</t>
  </si>
  <si>
    <t xml:space="preserve">			ChangeInReceivables</t>
  </si>
  <si>
    <t xml:space="preserve">				ChangesInAccountReceivables</t>
  </si>
  <si>
    <t xml:space="preserve">			ChangeInPrepaidAssets</t>
  </si>
  <si>
    <t xml:space="preserve">			ChangeInPayablesAndAccruedExpense</t>
  </si>
  <si>
    <t xml:space="preserve">				ChangeInPayable</t>
  </si>
  <si>
    <t xml:space="preserve">					ChangeInAccountPayable</t>
  </si>
  <si>
    <t xml:space="preserve">			ChangeInOtherCurrentAssets</t>
  </si>
  <si>
    <t xml:space="preserve">			ChangeInOtherCurrentLiabilities</t>
  </si>
  <si>
    <t xml:space="preserve">			ChangeInOtherWorkingCapital</t>
  </si>
  <si>
    <t>InvestingCashFlow</t>
  </si>
  <si>
    <t xml:space="preserve">	CashFlowFromContinuingInvestingActivities</t>
  </si>
  <si>
    <t xml:space="preserve">		CapitalExpenditureReported</t>
  </si>
  <si>
    <t xml:space="preserve">		NetPPEPurchaseAndSale</t>
  </si>
  <si>
    <t xml:space="preserve">			PurchaseOfPPE</t>
  </si>
  <si>
    <t xml:space="preserve">			SaleOfPPE</t>
  </si>
  <si>
    <t xml:space="preserve">		NetInvestmentPurchaseAndSale</t>
  </si>
  <si>
    <t xml:space="preserve">			PurchaseOfInvestment</t>
  </si>
  <si>
    <t xml:space="preserve">			SaleOfInvestment</t>
  </si>
  <si>
    <t xml:space="preserve">		InterestReceivedCFI</t>
  </si>
  <si>
    <t xml:space="preserve">		NetOtherInvestingChanges</t>
  </si>
  <si>
    <t>FinancingCashFlow</t>
  </si>
  <si>
    <t xml:space="preserve">	CashFlowFromContinuingFinancingActivities</t>
  </si>
  <si>
    <t xml:space="preserve">		NetIssuancePaymentsOfDebt</t>
  </si>
  <si>
    <t xml:space="preserve">			NetLongTermDebtIssuance</t>
  </si>
  <si>
    <t xml:space="preserve">				LongTermDebtIssuance</t>
  </si>
  <si>
    <t xml:space="preserve">				LongTermDebtPayments</t>
  </si>
  <si>
    <t xml:space="preserve">		NetCommonStockIssuance</t>
  </si>
  <si>
    <t xml:space="preserve">			CommonStockIssuance</t>
  </si>
  <si>
    <t xml:space="preserve">			CommonStockPayments</t>
  </si>
  <si>
    <t xml:space="preserve">		ProceedsFromStockOptionExercised</t>
  </si>
  <si>
    <t xml:space="preserve">		NetOtherFinancingCharges</t>
  </si>
  <si>
    <t>EndCashPosition</t>
  </si>
  <si>
    <t xml:space="preserve">	ChangesInCash</t>
  </si>
  <si>
    <t xml:space="preserve">	BeginningCashPosition</t>
  </si>
  <si>
    <t>IncomeTaxPaidSupplementalData</t>
  </si>
  <si>
    <t>InterestPaidSupplementalData</t>
  </si>
  <si>
    <t>CapitalExpenditure</t>
  </si>
  <si>
    <t>IssuanceOfCapitalStock</t>
  </si>
  <si>
    <t>IssuanceOfDebt</t>
  </si>
  <si>
    <t>RepaymentOfDebt</t>
  </si>
  <si>
    <t>RepurchaseOfCapitalStock</t>
  </si>
  <si>
    <t>FreeCashFlow</t>
  </si>
  <si>
    <t>Change</t>
  </si>
  <si>
    <t>Average</t>
  </si>
  <si>
    <t>LTM</t>
  </si>
  <si>
    <t>CoGS % Revenue</t>
  </si>
  <si>
    <t>Operating Assumptions</t>
  </si>
  <si>
    <t>Oper. Expense % of Revenue</t>
  </si>
  <si>
    <t>Per share</t>
  </si>
  <si>
    <t>Outstanding Shares</t>
  </si>
  <si>
    <t>Restructuring of Debt</t>
  </si>
  <si>
    <t>Debt Recovery</t>
  </si>
  <si>
    <t xml:space="preserve">    (we^2  x σe^2) + (wb^2  x σb^2) + 2. (we x wd x ped x σe x σd). Cor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</si>
</sst>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
    <numFmt numFmtId="165" formatCode="_(* #,##0.0_);_(* \(#,##0.0\);_(* &quot;-&quot;??_);_(@_)"/>
    <numFmt numFmtId="166" formatCode="0.0\x"/>
    <numFmt numFmtId="167" formatCode="&quot;$&quot;#,##0.0_);[Red]\(&quot;$&quot;#,##0.0\)"/>
    <numFmt numFmtId="171" formatCode="_(* #,##0_);_(* \(#,##0\);_(* &quot;-&quot;??_);_(@_)"/>
  </numFmts>
  <fonts count="12" x14ac:knownFonts="1">
    <font>
      <sz val="11"/>
      <color theme="1"/>
      <name val="Calibri"/>
      <family val="2"/>
      <scheme val="minor"/>
    </font>
    <font>
      <sz val="11"/>
      <color theme="1"/>
      <name val="Calibri"/>
      <family val="2"/>
      <scheme val="minor"/>
    </font>
    <font>
      <sz val="11"/>
      <color theme="0"/>
      <name val="Calibri"/>
      <family val="2"/>
      <scheme val="minor"/>
    </font>
    <font>
      <b/>
      <sz val="16"/>
      <name val="Arial"/>
      <family val="2"/>
    </font>
    <font>
      <b/>
      <sz val="10"/>
      <name val="Arial"/>
      <family val="2"/>
    </font>
    <font>
      <b/>
      <u/>
      <sz val="10"/>
      <name val="Arial"/>
      <family val="2"/>
    </font>
    <font>
      <b/>
      <u/>
      <sz val="12"/>
      <name val="Arial"/>
      <family val="2"/>
    </font>
    <font>
      <sz val="10"/>
      <name val="Arial"/>
      <family val="2"/>
    </font>
    <font>
      <sz val="11"/>
      <color theme="4"/>
      <name val="Calibri"/>
      <family val="2"/>
      <scheme val="minor"/>
    </font>
    <font>
      <b/>
      <sz val="11"/>
      <color theme="1"/>
      <name val="Calibri"/>
      <family val="2"/>
      <scheme val="minor"/>
    </font>
    <font>
      <sz val="11"/>
      <color rgb="FF0432FF"/>
      <name val="Calibri"/>
      <family val="2"/>
      <scheme val="minor"/>
    </font>
    <font>
      <b/>
      <sz val="1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8" tint="0.79998168889431442"/>
        <bgColor indexed="64"/>
      </patternFill>
    </fill>
  </fills>
  <borders count="11">
    <border>
      <left/>
      <right/>
      <top/>
      <bottom/>
      <diagonal/>
    </border>
    <border>
      <left/>
      <right/>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double">
        <color indexed="64"/>
      </bottom>
      <diagonal/>
    </border>
    <border>
      <left style="thin">
        <color indexed="64"/>
      </left>
      <right/>
      <top/>
      <bottom/>
      <diagonal/>
    </border>
    <border>
      <left style="thin">
        <color indexed="64"/>
      </left>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64">
    <xf numFmtId="0" fontId="0" fillId="0" borderId="0" xfId="0"/>
    <xf numFmtId="0" fontId="3" fillId="0" borderId="0" xfId="0" applyFont="1"/>
    <xf numFmtId="0" fontId="4" fillId="0" borderId="0" xfId="0" applyFont="1"/>
    <xf numFmtId="10" fontId="0" fillId="0" borderId="0" xfId="2" applyNumberFormat="1" applyFont="1"/>
    <xf numFmtId="0" fontId="5" fillId="0" borderId="0" xfId="0" applyFont="1"/>
    <xf numFmtId="10" fontId="0" fillId="0" borderId="0" xfId="0" applyNumberFormat="1"/>
    <xf numFmtId="0" fontId="2" fillId="0" borderId="0" xfId="0" applyFont="1"/>
    <xf numFmtId="0" fontId="4" fillId="0" borderId="0" xfId="0" applyFont="1" applyAlignment="1">
      <alignment horizontal="left"/>
    </xf>
    <xf numFmtId="165" fontId="0" fillId="0" borderId="0" xfId="1" applyNumberFormat="1" applyFont="1"/>
    <xf numFmtId="165" fontId="0" fillId="0" borderId="1" xfId="1" applyNumberFormat="1" applyFont="1" applyBorder="1"/>
    <xf numFmtId="10" fontId="4" fillId="0" borderId="0" xfId="0" applyNumberFormat="1" applyFont="1"/>
    <xf numFmtId="165" fontId="4" fillId="0" borderId="0" xfId="1" applyNumberFormat="1" applyFont="1"/>
    <xf numFmtId="165" fontId="4" fillId="0" borderId="1" xfId="1" applyNumberFormat="1" applyFont="1" applyBorder="1"/>
    <xf numFmtId="165" fontId="0" fillId="0" borderId="2" xfId="0" applyNumberFormat="1" applyBorder="1"/>
    <xf numFmtId="165" fontId="0" fillId="0" borderId="0" xfId="0" applyNumberFormat="1"/>
    <xf numFmtId="166" fontId="0" fillId="0" borderId="0" xfId="0" applyNumberFormat="1"/>
    <xf numFmtId="167" fontId="4" fillId="0" borderId="0" xfId="0" applyNumberFormat="1" applyFont="1"/>
    <xf numFmtId="165" fontId="4" fillId="0" borderId="2" xfId="0" applyNumberFormat="1" applyFont="1" applyBorder="1"/>
    <xf numFmtId="0" fontId="6" fillId="0" borderId="0" xfId="0" applyFont="1"/>
    <xf numFmtId="0" fontId="0" fillId="0" borderId="0" xfId="0" quotePrefix="1"/>
    <xf numFmtId="0" fontId="0" fillId="0" borderId="0" xfId="0" applyAlignment="1">
      <alignment horizontal="right"/>
    </xf>
    <xf numFmtId="0" fontId="7" fillId="0" borderId="0" xfId="0" applyFont="1"/>
    <xf numFmtId="167" fontId="0" fillId="0" borderId="0" xfId="0" applyNumberFormat="1"/>
    <xf numFmtId="10" fontId="8" fillId="0" borderId="0" xfId="0" applyNumberFormat="1" applyFont="1"/>
    <xf numFmtId="0" fontId="0" fillId="0" borderId="0" xfId="0" applyAlignment="1">
      <alignment horizontal="left"/>
    </xf>
    <xf numFmtId="0" fontId="10" fillId="0" borderId="0" xfId="0" applyFont="1"/>
    <xf numFmtId="164" fontId="10" fillId="0" borderId="0" xfId="2" applyNumberFormat="1" applyFont="1"/>
    <xf numFmtId="10" fontId="10" fillId="0" borderId="0" xfId="0" applyNumberFormat="1" applyFont="1"/>
    <xf numFmtId="14" fontId="0" fillId="0" borderId="0" xfId="0" applyNumberFormat="1"/>
    <xf numFmtId="3" fontId="0" fillId="0" borderId="0" xfId="0" applyNumberFormat="1"/>
    <xf numFmtId="4" fontId="0" fillId="0" borderId="0" xfId="0" applyNumberFormat="1"/>
    <xf numFmtId="43" fontId="10" fillId="0" borderId="0" xfId="1" applyFont="1"/>
    <xf numFmtId="165" fontId="10" fillId="0" borderId="0" xfId="1" applyNumberFormat="1" applyFont="1"/>
    <xf numFmtId="44" fontId="0" fillId="0" borderId="0" xfId="3" applyFont="1"/>
    <xf numFmtId="171" fontId="0" fillId="0" borderId="0" xfId="1" applyNumberFormat="1" applyFont="1"/>
    <xf numFmtId="164" fontId="0" fillId="0" borderId="0" xfId="2" applyNumberFormat="1" applyFont="1"/>
    <xf numFmtId="0" fontId="9" fillId="0" borderId="0" xfId="0" applyFont="1"/>
    <xf numFmtId="0" fontId="9" fillId="3" borderId="2" xfId="0" applyFont="1" applyFill="1" applyBorder="1" applyAlignment="1">
      <alignment horizontal="center"/>
    </xf>
    <xf numFmtId="44" fontId="9" fillId="3" borderId="2" xfId="3" applyFont="1" applyFill="1" applyBorder="1" applyAlignment="1">
      <alignment horizontal="center"/>
    </xf>
    <xf numFmtId="171" fontId="9" fillId="3" borderId="2" xfId="1" applyNumberFormat="1" applyFont="1" applyFill="1" applyBorder="1" applyAlignment="1">
      <alignment horizontal="center"/>
    </xf>
    <xf numFmtId="10" fontId="11" fillId="2" borderId="7" xfId="0" applyNumberFormat="1" applyFont="1" applyFill="1" applyBorder="1"/>
    <xf numFmtId="10" fontId="10" fillId="0" borderId="9" xfId="0" applyNumberFormat="1" applyFont="1" applyBorder="1"/>
    <xf numFmtId="0" fontId="0" fillId="0" borderId="9" xfId="0" applyBorder="1"/>
    <xf numFmtId="165" fontId="0" fillId="0" borderId="9" xfId="1" applyNumberFormat="1" applyFont="1" applyBorder="1"/>
    <xf numFmtId="165" fontId="0" fillId="0" borderId="10" xfId="1" applyNumberFormat="1" applyFont="1" applyBorder="1"/>
    <xf numFmtId="165" fontId="4" fillId="0" borderId="9" xfId="1" applyNumberFormat="1" applyFont="1" applyBorder="1"/>
    <xf numFmtId="165" fontId="4" fillId="0" borderId="10" xfId="1" applyNumberFormat="1" applyFont="1" applyBorder="1"/>
    <xf numFmtId="165" fontId="0" fillId="0" borderId="8" xfId="0" applyNumberFormat="1" applyBorder="1"/>
    <xf numFmtId="165" fontId="4" fillId="0" borderId="8" xfId="0" applyNumberFormat="1" applyFont="1" applyBorder="1"/>
    <xf numFmtId="3" fontId="9" fillId="0" borderId="0" xfId="0" applyNumberFormat="1" applyFont="1"/>
    <xf numFmtId="0" fontId="4" fillId="0" borderId="0" xfId="0" applyFont="1" applyFill="1" applyBorder="1" applyAlignment="1">
      <alignment horizontal="right"/>
    </xf>
    <xf numFmtId="0" fontId="4" fillId="0" borderId="0" xfId="0" applyFont="1" applyFill="1" applyBorder="1"/>
    <xf numFmtId="165" fontId="9" fillId="0" borderId="0" xfId="0" applyNumberFormat="1" applyFont="1"/>
    <xf numFmtId="164" fontId="9" fillId="0" borderId="0" xfId="2" applyNumberFormat="1" applyFont="1"/>
    <xf numFmtId="0" fontId="4" fillId="4" borderId="2" xfId="0" applyFont="1" applyFill="1" applyBorder="1" applyAlignment="1">
      <alignment horizontal="left"/>
    </xf>
    <xf numFmtId="0" fontId="4" fillId="4" borderId="2" xfId="0" applyFont="1" applyFill="1" applyBorder="1" applyAlignment="1">
      <alignment horizontal="center"/>
    </xf>
    <xf numFmtId="0" fontId="4" fillId="4" borderId="8" xfId="0" applyFont="1" applyFill="1" applyBorder="1" applyAlignment="1">
      <alignment horizontal="center"/>
    </xf>
    <xf numFmtId="0" fontId="4" fillId="4" borderId="0" xfId="0" applyFont="1" applyFill="1" applyBorder="1" applyAlignment="1">
      <alignment horizontal="center"/>
    </xf>
    <xf numFmtId="0" fontId="4" fillId="4" borderId="1" xfId="0" applyFont="1" applyFill="1" applyBorder="1" applyAlignment="1">
      <alignment horizontal="center"/>
    </xf>
    <xf numFmtId="0" fontId="4" fillId="4" borderId="10" xfId="0" applyFont="1" applyFill="1" applyBorder="1" applyAlignment="1">
      <alignment horizontal="center"/>
    </xf>
    <xf numFmtId="0" fontId="4" fillId="4" borderId="3" xfId="0" applyFont="1" applyFill="1" applyBorder="1"/>
    <xf numFmtId="0" fontId="7" fillId="4" borderId="4" xfId="0" applyFont="1" applyFill="1" applyBorder="1"/>
    <xf numFmtId="0" fontId="7" fillId="4" borderId="5" xfId="0" applyFont="1" applyFill="1" applyBorder="1"/>
    <xf numFmtId="44" fontId="9" fillId="3" borderId="6" xfId="3" applyFont="1" applyFill="1" applyBorder="1"/>
  </cellXfs>
  <cellStyles count="4">
    <cellStyle name="Comma" xfId="1" builtinId="3"/>
    <cellStyle name="Currency" xfId="3"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304800</xdr:colOff>
      <xdr:row>0</xdr:row>
      <xdr:rowOff>158750</xdr:rowOff>
    </xdr:from>
    <xdr:to>
      <xdr:col>12</xdr:col>
      <xdr:colOff>146050</xdr:colOff>
      <xdr:row>27</xdr:row>
      <xdr:rowOff>0</xdr:rowOff>
    </xdr:to>
    <xdr:sp macro="" textlink="">
      <xdr:nvSpPr>
        <xdr:cNvPr id="2" name="TextBox 1">
          <a:extLst>
            <a:ext uri="{FF2B5EF4-FFF2-40B4-BE49-F238E27FC236}">
              <a16:creationId xmlns:a16="http://schemas.microsoft.com/office/drawing/2014/main" id="{DCBD02AB-EE62-F64A-8EF6-2BB089FCDA97}"/>
            </a:ext>
          </a:extLst>
        </xdr:cNvPr>
        <xdr:cNvSpPr txBox="1"/>
      </xdr:nvSpPr>
      <xdr:spPr>
        <a:xfrm>
          <a:off x="304800" y="158750"/>
          <a:ext cx="7156450" cy="48133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i="0">
              <a:solidFill>
                <a:schemeClr val="dk1"/>
              </a:solidFill>
              <a:effectLst/>
              <a:latin typeface="+mn-lt"/>
              <a:ea typeface="+mn-ea"/>
              <a:cs typeface="+mn-cs"/>
            </a:rPr>
            <a:t>Spirit Airlines Files for Chapter 11 Bankruptcy Restructuring</a:t>
          </a:r>
        </a:p>
        <a:p>
          <a:r>
            <a:rPr lang="en-US" sz="1100" b="0" i="0">
              <a:solidFill>
                <a:schemeClr val="dk1"/>
              </a:solidFill>
              <a:effectLst/>
              <a:latin typeface="+mn-lt"/>
              <a:ea typeface="+mn-ea"/>
              <a:cs typeface="+mn-cs"/>
            </a:rPr>
            <a:t>MT Newswires</a:t>
          </a:r>
        </a:p>
        <a:p>
          <a:r>
            <a:rPr lang="en-US" sz="1100" b="0" i="0">
              <a:solidFill>
                <a:schemeClr val="dk1"/>
              </a:solidFill>
              <a:effectLst/>
              <a:latin typeface="+mn-lt"/>
              <a:ea typeface="+mn-ea"/>
              <a:cs typeface="+mn-cs"/>
            </a:rPr>
            <a:t>Mon, November 18, 2024 at 12:02 PM EST 1 min read</a:t>
          </a:r>
        </a:p>
        <a:p>
          <a:r>
            <a:rPr lang="en-US" sz="1100" b="1" i="0">
              <a:solidFill>
                <a:schemeClr val="dk1"/>
              </a:solidFill>
              <a:effectLst/>
              <a:latin typeface="+mn-lt"/>
              <a:ea typeface="+mn-ea"/>
              <a:cs typeface="+mn-cs"/>
            </a:rPr>
            <a:t>In This Article:</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Spirit Airlines (SAVE) said Monday it has entered into Chapter 11 bankruptcy restructuring with the support of a supermajority of its debtors.</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The bankruptcy, filed with the US Bankruptcy Court for the Southern District of New York, will result in the likely delisting of the company from the New York Stock Exchange and the cancellation of its shares, the company said.</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The discount airline said it has received commitments for $350 million in equity investments and $300 million in financing from existing debtors. The company will also equitize $795 million in debt.</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The company said flights, ticket sales, and reservations as well as payments to employees, vendors, and secured debtors are to continue as normal during the bankruptcy proceedings. The airline's Free Spirit loyalty program and Saver$ Club perks and credit card terms for its customers will also continue, it added.</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The restructuring of finances is meant to reduce debt, provide financial flexibility, and provide for investments in passenger services, the company said.</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The company said it expects to complete the financial restructuring process in Q1 of 2025.</a:t>
          </a:r>
        </a:p>
        <a:p>
          <a:endParaRPr lang="en-US" sz="1100" kern="1200"/>
        </a:p>
      </xdr:txBody>
    </xdr:sp>
    <xdr:clientData/>
  </xdr:twoCellAnchor>
  <xdr:twoCellAnchor>
    <xdr:from>
      <xdr:col>12</xdr:col>
      <xdr:colOff>323850</xdr:colOff>
      <xdr:row>0</xdr:row>
      <xdr:rowOff>177800</xdr:rowOff>
    </xdr:from>
    <xdr:to>
      <xdr:col>18</xdr:col>
      <xdr:colOff>95250</xdr:colOff>
      <xdr:row>14</xdr:row>
      <xdr:rowOff>6350</xdr:rowOff>
    </xdr:to>
    <xdr:sp macro="" textlink="">
      <xdr:nvSpPr>
        <xdr:cNvPr id="3" name="TextBox 2">
          <a:extLst>
            <a:ext uri="{FF2B5EF4-FFF2-40B4-BE49-F238E27FC236}">
              <a16:creationId xmlns:a16="http://schemas.microsoft.com/office/drawing/2014/main" id="{7C61421F-0FB3-1171-F556-8DF2CA3B1189}"/>
            </a:ext>
          </a:extLst>
        </xdr:cNvPr>
        <xdr:cNvSpPr txBox="1"/>
      </xdr:nvSpPr>
      <xdr:spPr>
        <a:xfrm>
          <a:off x="7639050" y="177800"/>
          <a:ext cx="3429000" cy="24066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a:effectLst/>
            </a:rPr>
            <a:t>Company</a:t>
          </a:r>
          <a:r>
            <a:rPr lang="en-US" b="1" baseline="0">
              <a:effectLst/>
            </a:rPr>
            <a:t> </a:t>
          </a:r>
          <a:r>
            <a:rPr lang="en-US" b="1">
              <a:effectLst/>
            </a:rPr>
            <a:t>Description</a:t>
          </a:r>
        </a:p>
        <a:p>
          <a:r>
            <a:rPr lang="en-US" sz="1100" b="0" i="0">
              <a:solidFill>
                <a:schemeClr val="dk1"/>
              </a:solidFill>
              <a:effectLst/>
              <a:latin typeface="+mn-lt"/>
              <a:ea typeface="+mn-ea"/>
              <a:cs typeface="+mn-cs"/>
            </a:rPr>
            <a:t>Spirit Airlines, Inc. provides airline services. The company also offers hotels and rental cars services. It serves 93 destinations in 15 countries in the United States, Latin America, and the Caribbean. As of December 31, 2023, the company operated a fleet of 205 Airbus single-aisle aircraft. The company was formerly known as Clippert Trucking Company and changed its name to Spirit Airlines, Inc. in 1992. Spirit Airlines, Inc. was incorporated in 1964 and is headquartered in Miramar, Florida.</a:t>
          </a:r>
        </a:p>
        <a:p>
          <a:endParaRPr lang="en-US" sz="1100" kern="12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A0584-7A77-4375-9441-BBA4EED9C40A}">
  <dimension ref="B1:M65"/>
  <sheetViews>
    <sheetView tabSelected="1" workbookViewId="0">
      <selection activeCell="I62" sqref="I62"/>
    </sheetView>
  </sheetViews>
  <sheetFormatPr defaultRowHeight="14.5" x14ac:dyDescent="0.35"/>
  <cols>
    <col min="1" max="1" width="3.26953125" customWidth="1"/>
    <col min="2" max="2" width="30.36328125" customWidth="1"/>
    <col min="3" max="3" width="9.08984375" bestFit="1" customWidth="1"/>
    <col min="4" max="6" width="10.36328125" customWidth="1"/>
    <col min="7" max="11" width="9.453125" customWidth="1"/>
    <col min="257" max="257" width="3.26953125" customWidth="1"/>
    <col min="258" max="258" width="27.26953125" customWidth="1"/>
    <col min="260" max="260" width="10.7265625" customWidth="1"/>
    <col min="261" max="261" width="13" customWidth="1"/>
    <col min="262" max="262" width="10.1796875" customWidth="1"/>
    <col min="263" max="263" width="10.81640625" customWidth="1"/>
    <col min="264" max="264" width="16.90625" customWidth="1"/>
    <col min="266" max="266" width="3.08984375" customWidth="1"/>
    <col min="513" max="513" width="3.26953125" customWidth="1"/>
    <col min="514" max="514" width="27.26953125" customWidth="1"/>
    <col min="516" max="516" width="10.7265625" customWidth="1"/>
    <col min="517" max="517" width="13" customWidth="1"/>
    <col min="518" max="518" width="10.1796875" customWidth="1"/>
    <col min="519" max="519" width="10.81640625" customWidth="1"/>
    <col min="520" max="520" width="16.90625" customWidth="1"/>
    <col min="522" max="522" width="3.08984375" customWidth="1"/>
    <col min="769" max="769" width="3.26953125" customWidth="1"/>
    <col min="770" max="770" width="27.26953125" customWidth="1"/>
    <col min="772" max="772" width="10.7265625" customWidth="1"/>
    <col min="773" max="773" width="13" customWidth="1"/>
    <col min="774" max="774" width="10.1796875" customWidth="1"/>
    <col min="775" max="775" width="10.81640625" customWidth="1"/>
    <col min="776" max="776" width="16.90625" customWidth="1"/>
    <col min="778" max="778" width="3.08984375" customWidth="1"/>
    <col min="1025" max="1025" width="3.26953125" customWidth="1"/>
    <col min="1026" max="1026" width="27.26953125" customWidth="1"/>
    <col min="1028" max="1028" width="10.7265625" customWidth="1"/>
    <col min="1029" max="1029" width="13" customWidth="1"/>
    <col min="1030" max="1030" width="10.1796875" customWidth="1"/>
    <col min="1031" max="1031" width="10.81640625" customWidth="1"/>
    <col min="1032" max="1032" width="16.90625" customWidth="1"/>
    <col min="1034" max="1034" width="3.08984375" customWidth="1"/>
    <col min="1281" max="1281" width="3.26953125" customWidth="1"/>
    <col min="1282" max="1282" width="27.26953125" customWidth="1"/>
    <col min="1284" max="1284" width="10.7265625" customWidth="1"/>
    <col min="1285" max="1285" width="13" customWidth="1"/>
    <col min="1286" max="1286" width="10.1796875" customWidth="1"/>
    <col min="1287" max="1287" width="10.81640625" customWidth="1"/>
    <col min="1288" max="1288" width="16.90625" customWidth="1"/>
    <col min="1290" max="1290" width="3.08984375" customWidth="1"/>
    <col min="1537" max="1537" width="3.26953125" customWidth="1"/>
    <col min="1538" max="1538" width="27.26953125" customWidth="1"/>
    <col min="1540" max="1540" width="10.7265625" customWidth="1"/>
    <col min="1541" max="1541" width="13" customWidth="1"/>
    <col min="1542" max="1542" width="10.1796875" customWidth="1"/>
    <col min="1543" max="1543" width="10.81640625" customWidth="1"/>
    <col min="1544" max="1544" width="16.90625" customWidth="1"/>
    <col min="1546" max="1546" width="3.08984375" customWidth="1"/>
    <col min="1793" max="1793" width="3.26953125" customWidth="1"/>
    <col min="1794" max="1794" width="27.26953125" customWidth="1"/>
    <col min="1796" max="1796" width="10.7265625" customWidth="1"/>
    <col min="1797" max="1797" width="13" customWidth="1"/>
    <col min="1798" max="1798" width="10.1796875" customWidth="1"/>
    <col min="1799" max="1799" width="10.81640625" customWidth="1"/>
    <col min="1800" max="1800" width="16.90625" customWidth="1"/>
    <col min="1802" max="1802" width="3.08984375" customWidth="1"/>
    <col min="2049" max="2049" width="3.26953125" customWidth="1"/>
    <col min="2050" max="2050" width="27.26953125" customWidth="1"/>
    <col min="2052" max="2052" width="10.7265625" customWidth="1"/>
    <col min="2053" max="2053" width="13" customWidth="1"/>
    <col min="2054" max="2054" width="10.1796875" customWidth="1"/>
    <col min="2055" max="2055" width="10.81640625" customWidth="1"/>
    <col min="2056" max="2056" width="16.90625" customWidth="1"/>
    <col min="2058" max="2058" width="3.08984375" customWidth="1"/>
    <col min="2305" max="2305" width="3.26953125" customWidth="1"/>
    <col min="2306" max="2306" width="27.26953125" customWidth="1"/>
    <col min="2308" max="2308" width="10.7265625" customWidth="1"/>
    <col min="2309" max="2309" width="13" customWidth="1"/>
    <col min="2310" max="2310" width="10.1796875" customWidth="1"/>
    <col min="2311" max="2311" width="10.81640625" customWidth="1"/>
    <col min="2312" max="2312" width="16.90625" customWidth="1"/>
    <col min="2314" max="2314" width="3.08984375" customWidth="1"/>
    <col min="2561" max="2561" width="3.26953125" customWidth="1"/>
    <col min="2562" max="2562" width="27.26953125" customWidth="1"/>
    <col min="2564" max="2564" width="10.7265625" customWidth="1"/>
    <col min="2565" max="2565" width="13" customWidth="1"/>
    <col min="2566" max="2566" width="10.1796875" customWidth="1"/>
    <col min="2567" max="2567" width="10.81640625" customWidth="1"/>
    <col min="2568" max="2568" width="16.90625" customWidth="1"/>
    <col min="2570" max="2570" width="3.08984375" customWidth="1"/>
    <col min="2817" max="2817" width="3.26953125" customWidth="1"/>
    <col min="2818" max="2818" width="27.26953125" customWidth="1"/>
    <col min="2820" max="2820" width="10.7265625" customWidth="1"/>
    <col min="2821" max="2821" width="13" customWidth="1"/>
    <col min="2822" max="2822" width="10.1796875" customWidth="1"/>
    <col min="2823" max="2823" width="10.81640625" customWidth="1"/>
    <col min="2824" max="2824" width="16.90625" customWidth="1"/>
    <col min="2826" max="2826" width="3.08984375" customWidth="1"/>
    <col min="3073" max="3073" width="3.26953125" customWidth="1"/>
    <col min="3074" max="3074" width="27.26953125" customWidth="1"/>
    <col min="3076" max="3076" width="10.7265625" customWidth="1"/>
    <col min="3077" max="3077" width="13" customWidth="1"/>
    <col min="3078" max="3078" width="10.1796875" customWidth="1"/>
    <col min="3079" max="3079" width="10.81640625" customWidth="1"/>
    <col min="3080" max="3080" width="16.90625" customWidth="1"/>
    <col min="3082" max="3082" width="3.08984375" customWidth="1"/>
    <col min="3329" max="3329" width="3.26953125" customWidth="1"/>
    <col min="3330" max="3330" width="27.26953125" customWidth="1"/>
    <col min="3332" max="3332" width="10.7265625" customWidth="1"/>
    <col min="3333" max="3333" width="13" customWidth="1"/>
    <col min="3334" max="3334" width="10.1796875" customWidth="1"/>
    <col min="3335" max="3335" width="10.81640625" customWidth="1"/>
    <col min="3336" max="3336" width="16.90625" customWidth="1"/>
    <col min="3338" max="3338" width="3.08984375" customWidth="1"/>
    <col min="3585" max="3585" width="3.26953125" customWidth="1"/>
    <col min="3586" max="3586" width="27.26953125" customWidth="1"/>
    <col min="3588" max="3588" width="10.7265625" customWidth="1"/>
    <col min="3589" max="3589" width="13" customWidth="1"/>
    <col min="3590" max="3590" width="10.1796875" customWidth="1"/>
    <col min="3591" max="3591" width="10.81640625" customWidth="1"/>
    <col min="3592" max="3592" width="16.90625" customWidth="1"/>
    <col min="3594" max="3594" width="3.08984375" customWidth="1"/>
    <col min="3841" max="3841" width="3.26953125" customWidth="1"/>
    <col min="3842" max="3842" width="27.26953125" customWidth="1"/>
    <col min="3844" max="3844" width="10.7265625" customWidth="1"/>
    <col min="3845" max="3845" width="13" customWidth="1"/>
    <col min="3846" max="3846" width="10.1796875" customWidth="1"/>
    <col min="3847" max="3847" width="10.81640625" customWidth="1"/>
    <col min="3848" max="3848" width="16.90625" customWidth="1"/>
    <col min="3850" max="3850" width="3.08984375" customWidth="1"/>
    <col min="4097" max="4097" width="3.26953125" customWidth="1"/>
    <col min="4098" max="4098" width="27.26953125" customWidth="1"/>
    <col min="4100" max="4100" width="10.7265625" customWidth="1"/>
    <col min="4101" max="4101" width="13" customWidth="1"/>
    <col min="4102" max="4102" width="10.1796875" customWidth="1"/>
    <col min="4103" max="4103" width="10.81640625" customWidth="1"/>
    <col min="4104" max="4104" width="16.90625" customWidth="1"/>
    <col min="4106" max="4106" width="3.08984375" customWidth="1"/>
    <col min="4353" max="4353" width="3.26953125" customWidth="1"/>
    <col min="4354" max="4354" width="27.26953125" customWidth="1"/>
    <col min="4356" max="4356" width="10.7265625" customWidth="1"/>
    <col min="4357" max="4357" width="13" customWidth="1"/>
    <col min="4358" max="4358" width="10.1796875" customWidth="1"/>
    <col min="4359" max="4359" width="10.81640625" customWidth="1"/>
    <col min="4360" max="4360" width="16.90625" customWidth="1"/>
    <col min="4362" max="4362" width="3.08984375" customWidth="1"/>
    <col min="4609" max="4609" width="3.26953125" customWidth="1"/>
    <col min="4610" max="4610" width="27.26953125" customWidth="1"/>
    <col min="4612" max="4612" width="10.7265625" customWidth="1"/>
    <col min="4613" max="4613" width="13" customWidth="1"/>
    <col min="4614" max="4614" width="10.1796875" customWidth="1"/>
    <col min="4615" max="4615" width="10.81640625" customWidth="1"/>
    <col min="4616" max="4616" width="16.90625" customWidth="1"/>
    <col min="4618" max="4618" width="3.08984375" customWidth="1"/>
    <col min="4865" max="4865" width="3.26953125" customWidth="1"/>
    <col min="4866" max="4866" width="27.26953125" customWidth="1"/>
    <col min="4868" max="4868" width="10.7265625" customWidth="1"/>
    <col min="4869" max="4869" width="13" customWidth="1"/>
    <col min="4870" max="4870" width="10.1796875" customWidth="1"/>
    <col min="4871" max="4871" width="10.81640625" customWidth="1"/>
    <col min="4872" max="4872" width="16.90625" customWidth="1"/>
    <col min="4874" max="4874" width="3.08984375" customWidth="1"/>
    <col min="5121" max="5121" width="3.26953125" customWidth="1"/>
    <col min="5122" max="5122" width="27.26953125" customWidth="1"/>
    <col min="5124" max="5124" width="10.7265625" customWidth="1"/>
    <col min="5125" max="5125" width="13" customWidth="1"/>
    <col min="5126" max="5126" width="10.1796875" customWidth="1"/>
    <col min="5127" max="5127" width="10.81640625" customWidth="1"/>
    <col min="5128" max="5128" width="16.90625" customWidth="1"/>
    <col min="5130" max="5130" width="3.08984375" customWidth="1"/>
    <col min="5377" max="5377" width="3.26953125" customWidth="1"/>
    <col min="5378" max="5378" width="27.26953125" customWidth="1"/>
    <col min="5380" max="5380" width="10.7265625" customWidth="1"/>
    <col min="5381" max="5381" width="13" customWidth="1"/>
    <col min="5382" max="5382" width="10.1796875" customWidth="1"/>
    <col min="5383" max="5383" width="10.81640625" customWidth="1"/>
    <col min="5384" max="5384" width="16.90625" customWidth="1"/>
    <col min="5386" max="5386" width="3.08984375" customWidth="1"/>
    <col min="5633" max="5633" width="3.26953125" customWidth="1"/>
    <col min="5634" max="5634" width="27.26953125" customWidth="1"/>
    <col min="5636" max="5636" width="10.7265625" customWidth="1"/>
    <col min="5637" max="5637" width="13" customWidth="1"/>
    <col min="5638" max="5638" width="10.1796875" customWidth="1"/>
    <col min="5639" max="5639" width="10.81640625" customWidth="1"/>
    <col min="5640" max="5640" width="16.90625" customWidth="1"/>
    <col min="5642" max="5642" width="3.08984375" customWidth="1"/>
    <col min="5889" max="5889" width="3.26953125" customWidth="1"/>
    <col min="5890" max="5890" width="27.26953125" customWidth="1"/>
    <col min="5892" max="5892" width="10.7265625" customWidth="1"/>
    <col min="5893" max="5893" width="13" customWidth="1"/>
    <col min="5894" max="5894" width="10.1796875" customWidth="1"/>
    <col min="5895" max="5895" width="10.81640625" customWidth="1"/>
    <col min="5896" max="5896" width="16.90625" customWidth="1"/>
    <col min="5898" max="5898" width="3.08984375" customWidth="1"/>
    <col min="6145" max="6145" width="3.26953125" customWidth="1"/>
    <col min="6146" max="6146" width="27.26953125" customWidth="1"/>
    <col min="6148" max="6148" width="10.7265625" customWidth="1"/>
    <col min="6149" max="6149" width="13" customWidth="1"/>
    <col min="6150" max="6150" width="10.1796875" customWidth="1"/>
    <col min="6151" max="6151" width="10.81640625" customWidth="1"/>
    <col min="6152" max="6152" width="16.90625" customWidth="1"/>
    <col min="6154" max="6154" width="3.08984375" customWidth="1"/>
    <col min="6401" max="6401" width="3.26953125" customWidth="1"/>
    <col min="6402" max="6402" width="27.26953125" customWidth="1"/>
    <col min="6404" max="6404" width="10.7265625" customWidth="1"/>
    <col min="6405" max="6405" width="13" customWidth="1"/>
    <col min="6406" max="6406" width="10.1796875" customWidth="1"/>
    <col min="6407" max="6407" width="10.81640625" customWidth="1"/>
    <col min="6408" max="6408" width="16.90625" customWidth="1"/>
    <col min="6410" max="6410" width="3.08984375" customWidth="1"/>
    <col min="6657" max="6657" width="3.26953125" customWidth="1"/>
    <col min="6658" max="6658" width="27.26953125" customWidth="1"/>
    <col min="6660" max="6660" width="10.7265625" customWidth="1"/>
    <col min="6661" max="6661" width="13" customWidth="1"/>
    <col min="6662" max="6662" width="10.1796875" customWidth="1"/>
    <col min="6663" max="6663" width="10.81640625" customWidth="1"/>
    <col min="6664" max="6664" width="16.90625" customWidth="1"/>
    <col min="6666" max="6666" width="3.08984375" customWidth="1"/>
    <col min="6913" max="6913" width="3.26953125" customWidth="1"/>
    <col min="6914" max="6914" width="27.26953125" customWidth="1"/>
    <col min="6916" max="6916" width="10.7265625" customWidth="1"/>
    <col min="6917" max="6917" width="13" customWidth="1"/>
    <col min="6918" max="6918" width="10.1796875" customWidth="1"/>
    <col min="6919" max="6919" width="10.81640625" customWidth="1"/>
    <col min="6920" max="6920" width="16.90625" customWidth="1"/>
    <col min="6922" max="6922" width="3.08984375" customWidth="1"/>
    <col min="7169" max="7169" width="3.26953125" customWidth="1"/>
    <col min="7170" max="7170" width="27.26953125" customWidth="1"/>
    <col min="7172" max="7172" width="10.7265625" customWidth="1"/>
    <col min="7173" max="7173" width="13" customWidth="1"/>
    <col min="7174" max="7174" width="10.1796875" customWidth="1"/>
    <col min="7175" max="7175" width="10.81640625" customWidth="1"/>
    <col min="7176" max="7176" width="16.90625" customWidth="1"/>
    <col min="7178" max="7178" width="3.08984375" customWidth="1"/>
    <col min="7425" max="7425" width="3.26953125" customWidth="1"/>
    <col min="7426" max="7426" width="27.26953125" customWidth="1"/>
    <col min="7428" max="7428" width="10.7265625" customWidth="1"/>
    <col min="7429" max="7429" width="13" customWidth="1"/>
    <col min="7430" max="7430" width="10.1796875" customWidth="1"/>
    <col min="7431" max="7431" width="10.81640625" customWidth="1"/>
    <col min="7432" max="7432" width="16.90625" customWidth="1"/>
    <col min="7434" max="7434" width="3.08984375" customWidth="1"/>
    <col min="7681" max="7681" width="3.26953125" customWidth="1"/>
    <col min="7682" max="7682" width="27.26953125" customWidth="1"/>
    <col min="7684" max="7684" width="10.7265625" customWidth="1"/>
    <col min="7685" max="7685" width="13" customWidth="1"/>
    <col min="7686" max="7686" width="10.1796875" customWidth="1"/>
    <col min="7687" max="7687" width="10.81640625" customWidth="1"/>
    <col min="7688" max="7688" width="16.90625" customWidth="1"/>
    <col min="7690" max="7690" width="3.08984375" customWidth="1"/>
    <col min="7937" max="7937" width="3.26953125" customWidth="1"/>
    <col min="7938" max="7938" width="27.26953125" customWidth="1"/>
    <col min="7940" max="7940" width="10.7265625" customWidth="1"/>
    <col min="7941" max="7941" width="13" customWidth="1"/>
    <col min="7942" max="7942" width="10.1796875" customWidth="1"/>
    <col min="7943" max="7943" width="10.81640625" customWidth="1"/>
    <col min="7944" max="7944" width="16.90625" customWidth="1"/>
    <col min="7946" max="7946" width="3.08984375" customWidth="1"/>
    <col min="8193" max="8193" width="3.26953125" customWidth="1"/>
    <col min="8194" max="8194" width="27.26953125" customWidth="1"/>
    <col min="8196" max="8196" width="10.7265625" customWidth="1"/>
    <col min="8197" max="8197" width="13" customWidth="1"/>
    <col min="8198" max="8198" width="10.1796875" customWidth="1"/>
    <col min="8199" max="8199" width="10.81640625" customWidth="1"/>
    <col min="8200" max="8200" width="16.90625" customWidth="1"/>
    <col min="8202" max="8202" width="3.08984375" customWidth="1"/>
    <col min="8449" max="8449" width="3.26953125" customWidth="1"/>
    <col min="8450" max="8450" width="27.26953125" customWidth="1"/>
    <col min="8452" max="8452" width="10.7265625" customWidth="1"/>
    <col min="8453" max="8453" width="13" customWidth="1"/>
    <col min="8454" max="8454" width="10.1796875" customWidth="1"/>
    <col min="8455" max="8455" width="10.81640625" customWidth="1"/>
    <col min="8456" max="8456" width="16.90625" customWidth="1"/>
    <col min="8458" max="8458" width="3.08984375" customWidth="1"/>
    <col min="8705" max="8705" width="3.26953125" customWidth="1"/>
    <col min="8706" max="8706" width="27.26953125" customWidth="1"/>
    <col min="8708" max="8708" width="10.7265625" customWidth="1"/>
    <col min="8709" max="8709" width="13" customWidth="1"/>
    <col min="8710" max="8710" width="10.1796875" customWidth="1"/>
    <col min="8711" max="8711" width="10.81640625" customWidth="1"/>
    <col min="8712" max="8712" width="16.90625" customWidth="1"/>
    <col min="8714" max="8714" width="3.08984375" customWidth="1"/>
    <col min="8961" max="8961" width="3.26953125" customWidth="1"/>
    <col min="8962" max="8962" width="27.26953125" customWidth="1"/>
    <col min="8964" max="8964" width="10.7265625" customWidth="1"/>
    <col min="8965" max="8965" width="13" customWidth="1"/>
    <col min="8966" max="8966" width="10.1796875" customWidth="1"/>
    <col min="8967" max="8967" width="10.81640625" customWidth="1"/>
    <col min="8968" max="8968" width="16.90625" customWidth="1"/>
    <col min="8970" max="8970" width="3.08984375" customWidth="1"/>
    <col min="9217" max="9217" width="3.26953125" customWidth="1"/>
    <col min="9218" max="9218" width="27.26953125" customWidth="1"/>
    <col min="9220" max="9220" width="10.7265625" customWidth="1"/>
    <col min="9221" max="9221" width="13" customWidth="1"/>
    <col min="9222" max="9222" width="10.1796875" customWidth="1"/>
    <col min="9223" max="9223" width="10.81640625" customWidth="1"/>
    <col min="9224" max="9224" width="16.90625" customWidth="1"/>
    <col min="9226" max="9226" width="3.08984375" customWidth="1"/>
    <col min="9473" max="9473" width="3.26953125" customWidth="1"/>
    <col min="9474" max="9474" width="27.26953125" customWidth="1"/>
    <col min="9476" max="9476" width="10.7265625" customWidth="1"/>
    <col min="9477" max="9477" width="13" customWidth="1"/>
    <col min="9478" max="9478" width="10.1796875" customWidth="1"/>
    <col min="9479" max="9479" width="10.81640625" customWidth="1"/>
    <col min="9480" max="9480" width="16.90625" customWidth="1"/>
    <col min="9482" max="9482" width="3.08984375" customWidth="1"/>
    <col min="9729" max="9729" width="3.26953125" customWidth="1"/>
    <col min="9730" max="9730" width="27.26953125" customWidth="1"/>
    <col min="9732" max="9732" width="10.7265625" customWidth="1"/>
    <col min="9733" max="9733" width="13" customWidth="1"/>
    <col min="9734" max="9734" width="10.1796875" customWidth="1"/>
    <col min="9735" max="9735" width="10.81640625" customWidth="1"/>
    <col min="9736" max="9736" width="16.90625" customWidth="1"/>
    <col min="9738" max="9738" width="3.08984375" customWidth="1"/>
    <col min="9985" max="9985" width="3.26953125" customWidth="1"/>
    <col min="9986" max="9986" width="27.26953125" customWidth="1"/>
    <col min="9988" max="9988" width="10.7265625" customWidth="1"/>
    <col min="9989" max="9989" width="13" customWidth="1"/>
    <col min="9990" max="9990" width="10.1796875" customWidth="1"/>
    <col min="9991" max="9991" width="10.81640625" customWidth="1"/>
    <col min="9992" max="9992" width="16.90625" customWidth="1"/>
    <col min="9994" max="9994" width="3.08984375" customWidth="1"/>
    <col min="10241" max="10241" width="3.26953125" customWidth="1"/>
    <col min="10242" max="10242" width="27.26953125" customWidth="1"/>
    <col min="10244" max="10244" width="10.7265625" customWidth="1"/>
    <col min="10245" max="10245" width="13" customWidth="1"/>
    <col min="10246" max="10246" width="10.1796875" customWidth="1"/>
    <col min="10247" max="10247" width="10.81640625" customWidth="1"/>
    <col min="10248" max="10248" width="16.90625" customWidth="1"/>
    <col min="10250" max="10250" width="3.08984375" customWidth="1"/>
    <col min="10497" max="10497" width="3.26953125" customWidth="1"/>
    <col min="10498" max="10498" width="27.26953125" customWidth="1"/>
    <col min="10500" max="10500" width="10.7265625" customWidth="1"/>
    <col min="10501" max="10501" width="13" customWidth="1"/>
    <col min="10502" max="10502" width="10.1796875" customWidth="1"/>
    <col min="10503" max="10503" width="10.81640625" customWidth="1"/>
    <col min="10504" max="10504" width="16.90625" customWidth="1"/>
    <col min="10506" max="10506" width="3.08984375" customWidth="1"/>
    <col min="10753" max="10753" width="3.26953125" customWidth="1"/>
    <col min="10754" max="10754" width="27.26953125" customWidth="1"/>
    <col min="10756" max="10756" width="10.7265625" customWidth="1"/>
    <col min="10757" max="10757" width="13" customWidth="1"/>
    <col min="10758" max="10758" width="10.1796875" customWidth="1"/>
    <col min="10759" max="10759" width="10.81640625" customWidth="1"/>
    <col min="10760" max="10760" width="16.90625" customWidth="1"/>
    <col min="10762" max="10762" width="3.08984375" customWidth="1"/>
    <col min="11009" max="11009" width="3.26953125" customWidth="1"/>
    <col min="11010" max="11010" width="27.26953125" customWidth="1"/>
    <col min="11012" max="11012" width="10.7265625" customWidth="1"/>
    <col min="11013" max="11013" width="13" customWidth="1"/>
    <col min="11014" max="11014" width="10.1796875" customWidth="1"/>
    <col min="11015" max="11015" width="10.81640625" customWidth="1"/>
    <col min="11016" max="11016" width="16.90625" customWidth="1"/>
    <col min="11018" max="11018" width="3.08984375" customWidth="1"/>
    <col min="11265" max="11265" width="3.26953125" customWidth="1"/>
    <col min="11266" max="11266" width="27.26953125" customWidth="1"/>
    <col min="11268" max="11268" width="10.7265625" customWidth="1"/>
    <col min="11269" max="11269" width="13" customWidth="1"/>
    <col min="11270" max="11270" width="10.1796875" customWidth="1"/>
    <col min="11271" max="11271" width="10.81640625" customWidth="1"/>
    <col min="11272" max="11272" width="16.90625" customWidth="1"/>
    <col min="11274" max="11274" width="3.08984375" customWidth="1"/>
    <col min="11521" max="11521" width="3.26953125" customWidth="1"/>
    <col min="11522" max="11522" width="27.26953125" customWidth="1"/>
    <col min="11524" max="11524" width="10.7265625" customWidth="1"/>
    <col min="11525" max="11525" width="13" customWidth="1"/>
    <col min="11526" max="11526" width="10.1796875" customWidth="1"/>
    <col min="11527" max="11527" width="10.81640625" customWidth="1"/>
    <col min="11528" max="11528" width="16.90625" customWidth="1"/>
    <col min="11530" max="11530" width="3.08984375" customWidth="1"/>
    <col min="11777" max="11777" width="3.26953125" customWidth="1"/>
    <col min="11778" max="11778" width="27.26953125" customWidth="1"/>
    <col min="11780" max="11780" width="10.7265625" customWidth="1"/>
    <col min="11781" max="11781" width="13" customWidth="1"/>
    <col min="11782" max="11782" width="10.1796875" customWidth="1"/>
    <col min="11783" max="11783" width="10.81640625" customWidth="1"/>
    <col min="11784" max="11784" width="16.90625" customWidth="1"/>
    <col min="11786" max="11786" width="3.08984375" customWidth="1"/>
    <col min="12033" max="12033" width="3.26953125" customWidth="1"/>
    <col min="12034" max="12034" width="27.26953125" customWidth="1"/>
    <col min="12036" max="12036" width="10.7265625" customWidth="1"/>
    <col min="12037" max="12037" width="13" customWidth="1"/>
    <col min="12038" max="12038" width="10.1796875" customWidth="1"/>
    <col min="12039" max="12039" width="10.81640625" customWidth="1"/>
    <col min="12040" max="12040" width="16.90625" customWidth="1"/>
    <col min="12042" max="12042" width="3.08984375" customWidth="1"/>
    <col min="12289" max="12289" width="3.26953125" customWidth="1"/>
    <col min="12290" max="12290" width="27.26953125" customWidth="1"/>
    <col min="12292" max="12292" width="10.7265625" customWidth="1"/>
    <col min="12293" max="12293" width="13" customWidth="1"/>
    <col min="12294" max="12294" width="10.1796875" customWidth="1"/>
    <col min="12295" max="12295" width="10.81640625" customWidth="1"/>
    <col min="12296" max="12296" width="16.90625" customWidth="1"/>
    <col min="12298" max="12298" width="3.08984375" customWidth="1"/>
    <col min="12545" max="12545" width="3.26953125" customWidth="1"/>
    <col min="12546" max="12546" width="27.26953125" customWidth="1"/>
    <col min="12548" max="12548" width="10.7265625" customWidth="1"/>
    <col min="12549" max="12549" width="13" customWidth="1"/>
    <col min="12550" max="12550" width="10.1796875" customWidth="1"/>
    <col min="12551" max="12551" width="10.81640625" customWidth="1"/>
    <col min="12552" max="12552" width="16.90625" customWidth="1"/>
    <col min="12554" max="12554" width="3.08984375" customWidth="1"/>
    <col min="12801" max="12801" width="3.26953125" customWidth="1"/>
    <col min="12802" max="12802" width="27.26953125" customWidth="1"/>
    <col min="12804" max="12804" width="10.7265625" customWidth="1"/>
    <col min="12805" max="12805" width="13" customWidth="1"/>
    <col min="12806" max="12806" width="10.1796875" customWidth="1"/>
    <col min="12807" max="12807" width="10.81640625" customWidth="1"/>
    <col min="12808" max="12808" width="16.90625" customWidth="1"/>
    <col min="12810" max="12810" width="3.08984375" customWidth="1"/>
    <col min="13057" max="13057" width="3.26953125" customWidth="1"/>
    <col min="13058" max="13058" width="27.26953125" customWidth="1"/>
    <col min="13060" max="13060" width="10.7265625" customWidth="1"/>
    <col min="13061" max="13061" width="13" customWidth="1"/>
    <col min="13062" max="13062" width="10.1796875" customWidth="1"/>
    <col min="13063" max="13063" width="10.81640625" customWidth="1"/>
    <col min="13064" max="13064" width="16.90625" customWidth="1"/>
    <col min="13066" max="13066" width="3.08984375" customWidth="1"/>
    <col min="13313" max="13313" width="3.26953125" customWidth="1"/>
    <col min="13314" max="13314" width="27.26953125" customWidth="1"/>
    <col min="13316" max="13316" width="10.7265625" customWidth="1"/>
    <col min="13317" max="13317" width="13" customWidth="1"/>
    <col min="13318" max="13318" width="10.1796875" customWidth="1"/>
    <col min="13319" max="13319" width="10.81640625" customWidth="1"/>
    <col min="13320" max="13320" width="16.90625" customWidth="1"/>
    <col min="13322" max="13322" width="3.08984375" customWidth="1"/>
    <col min="13569" max="13569" width="3.26953125" customWidth="1"/>
    <col min="13570" max="13570" width="27.26953125" customWidth="1"/>
    <col min="13572" max="13572" width="10.7265625" customWidth="1"/>
    <col min="13573" max="13573" width="13" customWidth="1"/>
    <col min="13574" max="13574" width="10.1796875" customWidth="1"/>
    <col min="13575" max="13575" width="10.81640625" customWidth="1"/>
    <col min="13576" max="13576" width="16.90625" customWidth="1"/>
    <col min="13578" max="13578" width="3.08984375" customWidth="1"/>
    <col min="13825" max="13825" width="3.26953125" customWidth="1"/>
    <col min="13826" max="13826" width="27.26953125" customWidth="1"/>
    <col min="13828" max="13828" width="10.7265625" customWidth="1"/>
    <col min="13829" max="13829" width="13" customWidth="1"/>
    <col min="13830" max="13830" width="10.1796875" customWidth="1"/>
    <col min="13831" max="13831" width="10.81640625" customWidth="1"/>
    <col min="13832" max="13832" width="16.90625" customWidth="1"/>
    <col min="13834" max="13834" width="3.08984375" customWidth="1"/>
    <col min="14081" max="14081" width="3.26953125" customWidth="1"/>
    <col min="14082" max="14082" width="27.26953125" customWidth="1"/>
    <col min="14084" max="14084" width="10.7265625" customWidth="1"/>
    <col min="14085" max="14085" width="13" customWidth="1"/>
    <col min="14086" max="14086" width="10.1796875" customWidth="1"/>
    <col min="14087" max="14087" width="10.81640625" customWidth="1"/>
    <col min="14088" max="14088" width="16.90625" customWidth="1"/>
    <col min="14090" max="14090" width="3.08984375" customWidth="1"/>
    <col min="14337" max="14337" width="3.26953125" customWidth="1"/>
    <col min="14338" max="14338" width="27.26953125" customWidth="1"/>
    <col min="14340" max="14340" width="10.7265625" customWidth="1"/>
    <col min="14341" max="14341" width="13" customWidth="1"/>
    <col min="14342" max="14342" width="10.1796875" customWidth="1"/>
    <col min="14343" max="14343" width="10.81640625" customWidth="1"/>
    <col min="14344" max="14344" width="16.90625" customWidth="1"/>
    <col min="14346" max="14346" width="3.08984375" customWidth="1"/>
    <col min="14593" max="14593" width="3.26953125" customWidth="1"/>
    <col min="14594" max="14594" width="27.26953125" customWidth="1"/>
    <col min="14596" max="14596" width="10.7265625" customWidth="1"/>
    <col min="14597" max="14597" width="13" customWidth="1"/>
    <col min="14598" max="14598" width="10.1796875" customWidth="1"/>
    <col min="14599" max="14599" width="10.81640625" customWidth="1"/>
    <col min="14600" max="14600" width="16.90625" customWidth="1"/>
    <col min="14602" max="14602" width="3.08984375" customWidth="1"/>
    <col min="14849" max="14849" width="3.26953125" customWidth="1"/>
    <col min="14850" max="14850" width="27.26953125" customWidth="1"/>
    <col min="14852" max="14852" width="10.7265625" customWidth="1"/>
    <col min="14853" max="14853" width="13" customWidth="1"/>
    <col min="14854" max="14854" width="10.1796875" customWidth="1"/>
    <col min="14855" max="14855" width="10.81640625" customWidth="1"/>
    <col min="14856" max="14856" width="16.90625" customWidth="1"/>
    <col min="14858" max="14858" width="3.08984375" customWidth="1"/>
    <col min="15105" max="15105" width="3.26953125" customWidth="1"/>
    <col min="15106" max="15106" width="27.26953125" customWidth="1"/>
    <col min="15108" max="15108" width="10.7265625" customWidth="1"/>
    <col min="15109" max="15109" width="13" customWidth="1"/>
    <col min="15110" max="15110" width="10.1796875" customWidth="1"/>
    <col min="15111" max="15111" width="10.81640625" customWidth="1"/>
    <col min="15112" max="15112" width="16.90625" customWidth="1"/>
    <col min="15114" max="15114" width="3.08984375" customWidth="1"/>
    <col min="15361" max="15361" width="3.26953125" customWidth="1"/>
    <col min="15362" max="15362" width="27.26953125" customWidth="1"/>
    <col min="15364" max="15364" width="10.7265625" customWidth="1"/>
    <col min="15365" max="15365" width="13" customWidth="1"/>
    <col min="15366" max="15366" width="10.1796875" customWidth="1"/>
    <col min="15367" max="15367" width="10.81640625" customWidth="1"/>
    <col min="15368" max="15368" width="16.90625" customWidth="1"/>
    <col min="15370" max="15370" width="3.08984375" customWidth="1"/>
    <col min="15617" max="15617" width="3.26953125" customWidth="1"/>
    <col min="15618" max="15618" width="27.26953125" customWidth="1"/>
    <col min="15620" max="15620" width="10.7265625" customWidth="1"/>
    <col min="15621" max="15621" width="13" customWidth="1"/>
    <col min="15622" max="15622" width="10.1796875" customWidth="1"/>
    <col min="15623" max="15623" width="10.81640625" customWidth="1"/>
    <col min="15624" max="15624" width="16.90625" customWidth="1"/>
    <col min="15626" max="15626" width="3.08984375" customWidth="1"/>
    <col min="15873" max="15873" width="3.26953125" customWidth="1"/>
    <col min="15874" max="15874" width="27.26953125" customWidth="1"/>
    <col min="15876" max="15876" width="10.7265625" customWidth="1"/>
    <col min="15877" max="15877" width="13" customWidth="1"/>
    <col min="15878" max="15878" width="10.1796875" customWidth="1"/>
    <col min="15879" max="15879" width="10.81640625" customWidth="1"/>
    <col min="15880" max="15880" width="16.90625" customWidth="1"/>
    <col min="15882" max="15882" width="3.08984375" customWidth="1"/>
    <col min="16129" max="16129" width="3.26953125" customWidth="1"/>
    <col min="16130" max="16130" width="27.26953125" customWidth="1"/>
    <col min="16132" max="16132" width="10.7265625" customWidth="1"/>
    <col min="16133" max="16133" width="13" customWidth="1"/>
    <col min="16134" max="16134" width="10.1796875" customWidth="1"/>
    <col min="16135" max="16135" width="10.81640625" customWidth="1"/>
    <col min="16136" max="16136" width="16.90625" customWidth="1"/>
    <col min="16138" max="16138" width="3.08984375" customWidth="1"/>
  </cols>
  <sheetData>
    <row r="1" spans="2:13" ht="20" x14ac:dyDescent="0.4">
      <c r="B1" s="1" t="s">
        <v>49</v>
      </c>
    </row>
    <row r="2" spans="2:13" x14ac:dyDescent="0.35">
      <c r="B2" s="2" t="s">
        <v>43</v>
      </c>
      <c r="F2" s="3"/>
      <c r="G2" s="3"/>
      <c r="H2" s="3"/>
    </row>
    <row r="4" spans="2:13" x14ac:dyDescent="0.35">
      <c r="B4" s="4" t="s">
        <v>0</v>
      </c>
      <c r="E4" s="4" t="s">
        <v>1</v>
      </c>
    </row>
    <row r="5" spans="2:13" x14ac:dyDescent="0.35">
      <c r="B5" t="s">
        <v>2</v>
      </c>
      <c r="C5" s="32">
        <f>('Balance Sheet'!B49+'Balance Sheet'!B41)/1000000</f>
        <v>3266.8939999999998</v>
      </c>
      <c r="D5" t="s">
        <v>44</v>
      </c>
      <c r="E5" t="s">
        <v>45</v>
      </c>
      <c r="J5" s="27">
        <f>'Historical Stock Prices'!H2</f>
        <v>3.3491833580608948E-2</v>
      </c>
    </row>
    <row r="6" spans="2:13" x14ac:dyDescent="0.35">
      <c r="B6" t="s">
        <v>3</v>
      </c>
      <c r="C6" s="25">
        <v>5</v>
      </c>
      <c r="D6" t="s">
        <v>4</v>
      </c>
      <c r="E6" t="s">
        <v>46</v>
      </c>
      <c r="J6" s="27">
        <v>2.1600000000000001E-2</v>
      </c>
    </row>
    <row r="7" spans="2:13" x14ac:dyDescent="0.35">
      <c r="B7" t="s">
        <v>5</v>
      </c>
      <c r="C7" s="25">
        <v>8.6999999999999993</v>
      </c>
      <c r="D7" t="s">
        <v>4</v>
      </c>
      <c r="E7" t="s">
        <v>47</v>
      </c>
      <c r="J7" s="25">
        <v>0.25</v>
      </c>
      <c r="M7" s="6">
        <f>80/((1.1)^10)</f>
        <v>30.843463154362517</v>
      </c>
    </row>
    <row r="8" spans="2:13" x14ac:dyDescent="0.35">
      <c r="B8" t="s">
        <v>6</v>
      </c>
      <c r="C8" s="26">
        <v>0.1</v>
      </c>
      <c r="E8" t="s">
        <v>48</v>
      </c>
      <c r="J8" s="27">
        <v>0.88300000000000001</v>
      </c>
    </row>
    <row r="9" spans="2:13" x14ac:dyDescent="0.35">
      <c r="B9" t="s">
        <v>7</v>
      </c>
      <c r="C9" s="26">
        <v>0.26</v>
      </c>
      <c r="E9" t="s">
        <v>274</v>
      </c>
      <c r="H9" s="25"/>
      <c r="J9" s="31">
        <v>109.52</v>
      </c>
    </row>
    <row r="10" spans="2:13" x14ac:dyDescent="0.35">
      <c r="C10" s="26"/>
      <c r="H10" s="25"/>
    </row>
    <row r="11" spans="2:13" x14ac:dyDescent="0.35">
      <c r="C11" s="26"/>
      <c r="F11" s="57" t="s">
        <v>269</v>
      </c>
      <c r="H11" s="25"/>
    </row>
    <row r="12" spans="2:13" ht="15" thickBot="1" x14ac:dyDescent="0.4">
      <c r="B12" s="54" t="s">
        <v>271</v>
      </c>
      <c r="C12" s="55"/>
      <c r="D12" s="55">
        <v>2022</v>
      </c>
      <c r="E12" s="55">
        <v>2023</v>
      </c>
      <c r="F12" s="55">
        <v>2024</v>
      </c>
      <c r="G12" s="56">
        <v>2025</v>
      </c>
      <c r="H12" s="55">
        <f>+G12+1</f>
        <v>2026</v>
      </c>
      <c r="I12" s="55">
        <f>+H12+1</f>
        <v>2027</v>
      </c>
      <c r="J12" s="55">
        <f>+I12+1</f>
        <v>2028</v>
      </c>
      <c r="K12" s="55">
        <f>+J12+1</f>
        <v>2029</v>
      </c>
    </row>
    <row r="13" spans="2:13" ht="15" thickTop="1" x14ac:dyDescent="0.35">
      <c r="B13" t="s">
        <v>9</v>
      </c>
      <c r="C13" s="26"/>
      <c r="E13" s="3">
        <f>E20/D20-1</f>
        <v>5.8026058080512533E-2</v>
      </c>
      <c r="F13" s="3">
        <f>F20/E20-1</f>
        <v>-4.3975355749663048E-2</v>
      </c>
      <c r="G13" s="41">
        <v>0</v>
      </c>
      <c r="H13" s="5">
        <v>0.1</v>
      </c>
      <c r="I13" s="5">
        <f t="shared" ref="I13:K13" si="0">+H13</f>
        <v>0.1</v>
      </c>
      <c r="J13" s="5">
        <f t="shared" si="0"/>
        <v>0.1</v>
      </c>
      <c r="K13" s="5">
        <f t="shared" si="0"/>
        <v>0.1</v>
      </c>
    </row>
    <row r="14" spans="2:13" x14ac:dyDescent="0.35">
      <c r="B14" t="s">
        <v>270</v>
      </c>
      <c r="C14" s="26"/>
      <c r="D14" s="35">
        <f t="shared" ref="D14:E14" si="1">-D21/D20</f>
        <v>0.98439719306525242</v>
      </c>
      <c r="E14" s="35">
        <f t="shared" si="1"/>
        <v>0.88981564550738845</v>
      </c>
      <c r="F14" s="35">
        <f>-F21/F20</f>
        <v>0.94506848323755743</v>
      </c>
      <c r="G14" s="41">
        <f>F14</f>
        <v>0.94506848323755743</v>
      </c>
      <c r="H14" s="27">
        <v>0.85</v>
      </c>
      <c r="I14" s="27">
        <v>0.85</v>
      </c>
      <c r="J14" s="27">
        <v>0.8</v>
      </c>
      <c r="K14" s="27">
        <v>0.8</v>
      </c>
    </row>
    <row r="15" spans="2:13" x14ac:dyDescent="0.35">
      <c r="B15" t="s">
        <v>272</v>
      </c>
      <c r="C15" s="26"/>
      <c r="D15" s="35">
        <f>-D22/D20</f>
        <v>0.17535312098558001</v>
      </c>
      <c r="E15" s="35">
        <f t="shared" ref="E15:F15" si="2">-E22/E20</f>
        <v>0.18333128517800024</v>
      </c>
      <c r="F15" s="35">
        <f t="shared" si="2"/>
        <v>0.18814998803330546</v>
      </c>
      <c r="G15" s="41">
        <v>0.19</v>
      </c>
      <c r="H15" s="27">
        <v>0.18</v>
      </c>
      <c r="I15" s="27">
        <v>0.17</v>
      </c>
      <c r="J15" s="27">
        <v>0.15</v>
      </c>
      <c r="K15" s="27">
        <v>0.15</v>
      </c>
    </row>
    <row r="16" spans="2:13" x14ac:dyDescent="0.35">
      <c r="C16" s="26"/>
      <c r="G16" s="42"/>
      <c r="H16" s="25"/>
    </row>
    <row r="17" spans="2:11" x14ac:dyDescent="0.35">
      <c r="F17" s="58" t="s">
        <v>269</v>
      </c>
      <c r="G17" s="42"/>
    </row>
    <row r="18" spans="2:11" x14ac:dyDescent="0.35">
      <c r="B18" s="7" t="s">
        <v>8</v>
      </c>
      <c r="D18" s="58">
        <f t="shared" ref="D18:F18" si="3">D12</f>
        <v>2022</v>
      </c>
      <c r="E18" s="58">
        <f t="shared" si="3"/>
        <v>2023</v>
      </c>
      <c r="F18" s="58">
        <f t="shared" si="3"/>
        <v>2024</v>
      </c>
      <c r="G18" s="59">
        <f>G12</f>
        <v>2025</v>
      </c>
      <c r="H18" s="58">
        <f t="shared" ref="H18:K18" si="4">H12</f>
        <v>2026</v>
      </c>
      <c r="I18" s="58">
        <f t="shared" si="4"/>
        <v>2027</v>
      </c>
      <c r="J18" s="58">
        <f t="shared" si="4"/>
        <v>2028</v>
      </c>
      <c r="K18" s="58">
        <f t="shared" si="4"/>
        <v>2029</v>
      </c>
    </row>
    <row r="19" spans="2:11" x14ac:dyDescent="0.35">
      <c r="G19" s="42"/>
    </row>
    <row r="20" spans="2:11" x14ac:dyDescent="0.35">
      <c r="B20" t="s">
        <v>9</v>
      </c>
      <c r="C20" s="5"/>
      <c r="D20" s="8">
        <f>'Income Statement'!D2/1000000</f>
        <v>5068.4470000000001</v>
      </c>
      <c r="E20" s="8">
        <f>'Income Statement'!C2/1000000</f>
        <v>5362.549</v>
      </c>
      <c r="F20" s="8">
        <f>'Income Statement'!B2/1000000</f>
        <v>5126.7290000000003</v>
      </c>
      <c r="G20" s="43">
        <f>F20*(1+$G$13)</f>
        <v>5126.7290000000003</v>
      </c>
      <c r="H20" s="8">
        <f>G20*(1+$G$13)</f>
        <v>5126.7290000000003</v>
      </c>
      <c r="I20" s="8">
        <f>H20*(1+$G$13)</f>
        <v>5126.7290000000003</v>
      </c>
      <c r="J20" s="8">
        <f>I20*(1+$G$13)</f>
        <v>5126.7290000000003</v>
      </c>
      <c r="K20" s="8">
        <f>J20*(1+$G$13)</f>
        <v>5126.7290000000003</v>
      </c>
    </row>
    <row r="21" spans="2:11" x14ac:dyDescent="0.35">
      <c r="B21" t="s">
        <v>10</v>
      </c>
      <c r="C21" s="5"/>
      <c r="D21" s="8">
        <f>-'Income Statement'!D3/1000000</f>
        <v>-4989.3649999999998</v>
      </c>
      <c r="E21" s="8">
        <f>-'Income Statement'!C4/1000000</f>
        <v>-4771.68</v>
      </c>
      <c r="F21" s="8">
        <f>-'Income Statement'!B4/1000000</f>
        <v>-4845.1099999999997</v>
      </c>
      <c r="G21" s="43">
        <f>-G14*G20</f>
        <v>-4845.1099999999997</v>
      </c>
      <c r="H21" s="8">
        <f t="shared" ref="H21:K21" si="5">-H14*H20</f>
        <v>-4357.71965</v>
      </c>
      <c r="I21" s="8">
        <f t="shared" si="5"/>
        <v>-4357.71965</v>
      </c>
      <c r="J21" s="8">
        <f t="shared" si="5"/>
        <v>-4101.3832000000002</v>
      </c>
      <c r="K21" s="8">
        <f t="shared" si="5"/>
        <v>-4101.3832000000002</v>
      </c>
    </row>
    <row r="22" spans="2:11" x14ac:dyDescent="0.35">
      <c r="B22" t="s">
        <v>11</v>
      </c>
      <c r="C22" s="5"/>
      <c r="D22" s="9">
        <f>-'Income Statement'!D11/1000000</f>
        <v>-888.76800000000003</v>
      </c>
      <c r="E22" s="9">
        <f>-'Income Statement'!C11/1000000</f>
        <v>-983.12300000000005</v>
      </c>
      <c r="F22" s="9">
        <f>-'Income Statement'!B11/1000000</f>
        <v>-964.59400000000005</v>
      </c>
      <c r="G22" s="44">
        <f>-G15*G20</f>
        <v>-974.07851000000005</v>
      </c>
      <c r="H22" s="9">
        <f t="shared" ref="H22:K22" si="6">-H15*H20</f>
        <v>-922.81122000000005</v>
      </c>
      <c r="I22" s="9">
        <f t="shared" si="6"/>
        <v>-871.54393000000016</v>
      </c>
      <c r="J22" s="9">
        <f t="shared" si="6"/>
        <v>-769.00935000000004</v>
      </c>
      <c r="K22" s="9">
        <f t="shared" si="6"/>
        <v>-769.00935000000004</v>
      </c>
    </row>
    <row r="23" spans="2:11" x14ac:dyDescent="0.35">
      <c r="B23" s="2" t="s">
        <v>12</v>
      </c>
      <c r="C23" s="10"/>
      <c r="D23" s="11">
        <f t="shared" ref="D23:F23" si="7">SUM(D20:D22)</f>
        <v>-809.68599999999969</v>
      </c>
      <c r="E23" s="11">
        <f t="shared" si="7"/>
        <v>-392.25400000000036</v>
      </c>
      <c r="F23" s="11">
        <f t="shared" si="7"/>
        <v>-682.97499999999945</v>
      </c>
      <c r="G23" s="45">
        <f>SUM(G20:G22)</f>
        <v>-692.45950999999945</v>
      </c>
      <c r="H23" s="11">
        <f>SUM(H20:H22)</f>
        <v>-153.80186999999978</v>
      </c>
      <c r="I23" s="11">
        <f>SUM(I20:I22)</f>
        <v>-102.53457999999989</v>
      </c>
      <c r="J23" s="11">
        <f>SUM(J20:J22)</f>
        <v>256.33645000000001</v>
      </c>
      <c r="K23" s="11">
        <f>SUM(K20:K22)</f>
        <v>256.33645000000001</v>
      </c>
    </row>
    <row r="24" spans="2:11" x14ac:dyDescent="0.35">
      <c r="B24" s="2" t="s">
        <v>13</v>
      </c>
      <c r="C24" s="10"/>
      <c r="D24" s="12"/>
      <c r="E24" s="12"/>
      <c r="F24" s="12"/>
      <c r="G24" s="46">
        <f>+$C$9*G23</f>
        <v>-180.03947259999987</v>
      </c>
      <c r="H24" s="12">
        <f>+$C$9*H23</f>
        <v>-39.988486199999947</v>
      </c>
      <c r="I24" s="12">
        <f>+$C$9*I23</f>
        <v>-26.658990799999973</v>
      </c>
      <c r="J24" s="12">
        <f>+$C$9*J23</f>
        <v>66.647477000000009</v>
      </c>
      <c r="K24" s="12">
        <f>+$C$9*K23</f>
        <v>66.647477000000009</v>
      </c>
    </row>
    <row r="25" spans="2:11" x14ac:dyDescent="0.35">
      <c r="B25" s="2" t="s">
        <v>14</v>
      </c>
      <c r="C25" s="10"/>
      <c r="D25" s="11"/>
      <c r="E25" s="11"/>
      <c r="F25" s="11"/>
      <c r="G25" s="45">
        <f>+G23-G24</f>
        <v>-512.42003739999961</v>
      </c>
      <c r="H25" s="11">
        <f>+H23-H24</f>
        <v>-113.81338379999983</v>
      </c>
      <c r="I25" s="11">
        <f>+I23-I24</f>
        <v>-75.875589199999922</v>
      </c>
      <c r="J25" s="11">
        <f>+J23-J24</f>
        <v>189.688973</v>
      </c>
      <c r="K25" s="11">
        <f>+K23-K24</f>
        <v>189.688973</v>
      </c>
    </row>
    <row r="26" spans="2:11" x14ac:dyDescent="0.35">
      <c r="B26" s="2"/>
      <c r="C26" s="10"/>
      <c r="D26" s="11"/>
      <c r="E26" s="11"/>
      <c r="F26" s="11"/>
      <c r="G26" s="45"/>
      <c r="H26" s="11"/>
      <c r="I26" s="11"/>
      <c r="J26" s="11"/>
      <c r="K26" s="11"/>
    </row>
    <row r="27" spans="2:11" x14ac:dyDescent="0.35">
      <c r="B27" t="s">
        <v>15</v>
      </c>
      <c r="C27" s="5"/>
      <c r="G27" s="43">
        <v>0</v>
      </c>
      <c r="H27" s="8">
        <v>0</v>
      </c>
      <c r="I27" s="8">
        <v>0</v>
      </c>
      <c r="J27" s="8">
        <v>0</v>
      </c>
      <c r="K27" s="8">
        <v>0</v>
      </c>
    </row>
    <row r="28" spans="2:11" x14ac:dyDescent="0.35">
      <c r="B28" t="s">
        <v>16</v>
      </c>
      <c r="C28" s="5"/>
      <c r="G28" s="43">
        <v>0</v>
      </c>
      <c r="H28" s="8">
        <v>0</v>
      </c>
      <c r="I28" s="8">
        <v>0</v>
      </c>
      <c r="J28" s="8">
        <v>0</v>
      </c>
      <c r="K28" s="8">
        <v>0</v>
      </c>
    </row>
    <row r="29" spans="2:11" ht="15" thickBot="1" x14ac:dyDescent="0.4">
      <c r="B29" t="s">
        <v>17</v>
      </c>
      <c r="G29" s="47">
        <f>SUM(G25:G28)</f>
        <v>-512.42003739999961</v>
      </c>
      <c r="H29" s="13">
        <f>SUM(H25:H28)</f>
        <v>-113.81338379999983</v>
      </c>
      <c r="I29" s="13">
        <f>SUM(I25:I28)</f>
        <v>-75.875589199999922</v>
      </c>
      <c r="J29" s="13">
        <f>SUM(J25:J28)</f>
        <v>189.688973</v>
      </c>
      <c r="K29" s="13">
        <f>SUM(K25:K28)</f>
        <v>189.688973</v>
      </c>
    </row>
    <row r="30" spans="2:11" ht="15" thickTop="1" x14ac:dyDescent="0.35">
      <c r="G30" s="42"/>
      <c r="H30" s="14"/>
      <c r="I30" s="14"/>
      <c r="J30" s="14"/>
      <c r="K30" s="14"/>
    </row>
    <row r="31" spans="2:11" x14ac:dyDescent="0.35">
      <c r="B31" t="s">
        <v>18</v>
      </c>
      <c r="C31" s="15">
        <v>10</v>
      </c>
      <c r="G31" s="42" t="s">
        <v>19</v>
      </c>
      <c r="H31" s="14"/>
      <c r="I31" s="14"/>
      <c r="J31" s="14"/>
      <c r="K31" s="14">
        <f>+C31*K23</f>
        <v>2563.3645000000001</v>
      </c>
    </row>
    <row r="32" spans="2:11" x14ac:dyDescent="0.35">
      <c r="G32" s="42"/>
    </row>
    <row r="33" spans="2:11" ht="15" thickBot="1" x14ac:dyDescent="0.4">
      <c r="B33" s="2" t="s">
        <v>20</v>
      </c>
      <c r="C33" s="16">
        <f>NPV(C8,G33:K33)</f>
        <v>1222.0862272030968</v>
      </c>
      <c r="G33" s="48">
        <f>SUM(G29:G32)</f>
        <v>-512.42003739999961</v>
      </c>
      <c r="H33" s="17">
        <f>SUM(H29:H32)</f>
        <v>-113.81338379999983</v>
      </c>
      <c r="I33" s="17">
        <f>SUM(I29:I32)</f>
        <v>-75.875589199999922</v>
      </c>
      <c r="J33" s="17">
        <f>SUM(J29:J32)</f>
        <v>189.688973</v>
      </c>
      <c r="K33" s="17">
        <f>SUM(K29:K32)</f>
        <v>2753.0534729999999</v>
      </c>
    </row>
    <row r="34" spans="2:11" ht="15" thickTop="1" x14ac:dyDescent="0.35"/>
    <row r="35" spans="2:11" ht="15.5" x14ac:dyDescent="0.35">
      <c r="B35" s="18" t="s">
        <v>21</v>
      </c>
    </row>
    <row r="36" spans="2:11" x14ac:dyDescent="0.35">
      <c r="B36" t="s">
        <v>22</v>
      </c>
      <c r="D36" s="19">
        <f>+J5*12</f>
        <v>0.40190200296730738</v>
      </c>
      <c r="E36" s="19" t="s">
        <v>23</v>
      </c>
      <c r="G36" t="s">
        <v>24</v>
      </c>
      <c r="H36">
        <f>SQRT(D36)</f>
        <v>0.63395741415911167</v>
      </c>
    </row>
    <row r="37" spans="2:11" x14ac:dyDescent="0.35">
      <c r="B37" t="s">
        <v>25</v>
      </c>
      <c r="D37">
        <f>+J6*12</f>
        <v>0.25919999999999999</v>
      </c>
      <c r="E37" s="19" t="s">
        <v>23</v>
      </c>
      <c r="G37" t="s">
        <v>24</v>
      </c>
      <c r="H37">
        <f>SQRT(D37)</f>
        <v>0.50911688245431419</v>
      </c>
    </row>
    <row r="39" spans="2:11" ht="15.5" x14ac:dyDescent="0.35">
      <c r="B39" s="18" t="s">
        <v>26</v>
      </c>
    </row>
    <row r="40" spans="2:11" ht="15" thickBot="1" x14ac:dyDescent="0.4">
      <c r="B40" s="4"/>
    </row>
    <row r="41" spans="2:11" ht="19.5" customHeight="1" thickBot="1" x14ac:dyDescent="0.4">
      <c r="B41" s="60" t="s">
        <v>277</v>
      </c>
      <c r="C41" s="61"/>
      <c r="D41" s="61"/>
      <c r="E41" s="61"/>
      <c r="F41" s="62"/>
    </row>
    <row r="42" spans="2:11" x14ac:dyDescent="0.35">
      <c r="B42" s="4"/>
    </row>
    <row r="43" spans="2:11" x14ac:dyDescent="0.35">
      <c r="B43" s="2" t="s">
        <v>27</v>
      </c>
      <c r="C43" s="5">
        <f>1-C44</f>
        <v>0.11699999999999999</v>
      </c>
      <c r="E43" s="20" t="s">
        <v>28</v>
      </c>
      <c r="F43">
        <f>+J7</f>
        <v>0.25</v>
      </c>
    </row>
    <row r="44" spans="2:11" x14ac:dyDescent="0.35">
      <c r="B44" s="2" t="s">
        <v>29</v>
      </c>
      <c r="C44" s="5">
        <f>+J8</f>
        <v>0.88300000000000001</v>
      </c>
    </row>
    <row r="45" spans="2:11" x14ac:dyDescent="0.35">
      <c r="B45" s="21"/>
    </row>
    <row r="46" spans="2:11" x14ac:dyDescent="0.35">
      <c r="B46" t="s">
        <v>30</v>
      </c>
      <c r="C46">
        <f>+((C43^2)*(D36))+((C44^2)*(D37))+(2*C43*C44*J7*H36*H37)*J7</f>
        <v>0.21176508723946968</v>
      </c>
    </row>
    <row r="48" spans="2:11" x14ac:dyDescent="0.35">
      <c r="B48" t="s">
        <v>31</v>
      </c>
    </row>
    <row r="50" spans="2:6" ht="15.5" x14ac:dyDescent="0.35">
      <c r="B50" s="18" t="s">
        <v>32</v>
      </c>
    </row>
    <row r="52" spans="2:6" x14ac:dyDescent="0.35">
      <c r="B52" t="s">
        <v>33</v>
      </c>
      <c r="E52" s="22">
        <f>+C33</f>
        <v>1222.0862272030968</v>
      </c>
    </row>
    <row r="53" spans="2:6" x14ac:dyDescent="0.35">
      <c r="B53" t="s">
        <v>34</v>
      </c>
      <c r="E53" s="22">
        <f>+C5</f>
        <v>3266.8939999999998</v>
      </c>
    </row>
    <row r="54" spans="2:6" x14ac:dyDescent="0.35">
      <c r="B54" t="s">
        <v>35</v>
      </c>
      <c r="E54">
        <f>+C6</f>
        <v>5</v>
      </c>
      <c r="F54" t="s">
        <v>4</v>
      </c>
    </row>
    <row r="55" spans="2:6" x14ac:dyDescent="0.35">
      <c r="B55" t="s">
        <v>36</v>
      </c>
      <c r="E55">
        <f>+C46</f>
        <v>0.21176508723946968</v>
      </c>
    </row>
    <row r="56" spans="2:6" x14ac:dyDescent="0.35">
      <c r="B56" t="s">
        <v>37</v>
      </c>
      <c r="E56" s="23">
        <v>0.06</v>
      </c>
    </row>
    <row r="58" spans="2:6" x14ac:dyDescent="0.35">
      <c r="B58" s="20" t="s">
        <v>38</v>
      </c>
      <c r="C58" s="19">
        <f>+(LN(E52/E53)+(E56+E55/2)*E54)/((SQRT(E55)*(SQRT(E54))))</f>
        <v>-0.14953224349893951</v>
      </c>
      <c r="D58" s="20" t="s">
        <v>39</v>
      </c>
      <c r="E58">
        <f>NORMSDIST(C58)</f>
        <v>0.44056683436803767</v>
      </c>
    </row>
    <row r="59" spans="2:6" x14ac:dyDescent="0.35">
      <c r="B59" s="20" t="s">
        <v>40</v>
      </c>
      <c r="C59" s="19">
        <f>+C58-((SQRT(E55)*(SQRT(E54))))</f>
        <v>-1.1785246808848264</v>
      </c>
      <c r="D59" s="20" t="s">
        <v>41</v>
      </c>
      <c r="E59">
        <f>NORMSDIST(C59)</f>
        <v>0.1192937494331173</v>
      </c>
    </row>
    <row r="61" spans="2:6" ht="15" thickBot="1" x14ac:dyDescent="0.4">
      <c r="B61" s="50" t="s">
        <v>42</v>
      </c>
      <c r="C61" s="51">
        <f>+(E52*E58)-(E53*(2.71^(-E56*E54))*E59)</f>
        <v>249.43454765079088</v>
      </c>
      <c r="D61" t="s">
        <v>44</v>
      </c>
    </row>
    <row r="62" spans="2:6" ht="15" thickBot="1" x14ac:dyDescent="0.4">
      <c r="B62" s="20" t="s">
        <v>273</v>
      </c>
      <c r="C62" s="63">
        <f>C61/J9</f>
        <v>2.2775250881189817</v>
      </c>
    </row>
    <row r="63" spans="2:6" x14ac:dyDescent="0.35">
      <c r="B63" s="24"/>
    </row>
    <row r="64" spans="2:6" x14ac:dyDescent="0.35">
      <c r="B64" s="36" t="s">
        <v>275</v>
      </c>
      <c r="C64" s="52">
        <f>+C5-C61</f>
        <v>3017.4594523492087</v>
      </c>
    </row>
    <row r="65" spans="2:3" x14ac:dyDescent="0.35">
      <c r="B65" s="36" t="s">
        <v>276</v>
      </c>
      <c r="C65" s="53">
        <f>+C64/C5</f>
        <v>0.92364779890293625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427C9-6AF8-43A9-94AC-FB585431D7A3}">
  <dimension ref="A1"/>
  <sheetViews>
    <sheetView zoomScaleNormal="100" workbookViewId="0">
      <selection activeCell="Q17" sqref="Q17"/>
    </sheetView>
  </sheetViews>
  <sheetFormatPr defaultRowHeight="14.5" x14ac:dyDescent="0.3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99ECB-AED8-4628-A8B9-FF684DA91613}">
  <dimension ref="A1:I62"/>
  <sheetViews>
    <sheetView workbookViewId="0">
      <selection activeCell="H2" sqref="H2"/>
    </sheetView>
  </sheetViews>
  <sheetFormatPr defaultRowHeight="14.5" x14ac:dyDescent="0.35"/>
  <cols>
    <col min="1" max="1" width="12.54296875" customWidth="1"/>
    <col min="2" max="6" width="9.81640625" style="33" bestFit="1" customWidth="1"/>
    <col min="7" max="7" width="12" style="34" bestFit="1" customWidth="1"/>
  </cols>
  <sheetData>
    <row r="1" spans="1:9" ht="15" thickBot="1" x14ac:dyDescent="0.4">
      <c r="A1" s="37" t="s">
        <v>50</v>
      </c>
      <c r="B1" s="38" t="s">
        <v>51</v>
      </c>
      <c r="C1" s="38" t="s">
        <v>52</v>
      </c>
      <c r="D1" s="38" t="s">
        <v>53</v>
      </c>
      <c r="E1" s="38" t="s">
        <v>54</v>
      </c>
      <c r="F1" s="38" t="s">
        <v>55</v>
      </c>
      <c r="G1" s="39" t="s">
        <v>56</v>
      </c>
      <c r="H1" s="38" t="s">
        <v>267</v>
      </c>
    </row>
    <row r="2" spans="1:9" ht="15.5" thickTop="1" thickBot="1" x14ac:dyDescent="0.4">
      <c r="A2" s="28">
        <v>43800</v>
      </c>
      <c r="B2" s="33">
        <v>39.93</v>
      </c>
      <c r="C2" s="33">
        <v>41.790000999999997</v>
      </c>
      <c r="D2" s="33">
        <v>37.560001</v>
      </c>
      <c r="E2" s="33">
        <v>40.310001</v>
      </c>
      <c r="F2" s="33">
        <v>36.477600000000002</v>
      </c>
      <c r="G2" s="34">
        <v>23005300</v>
      </c>
      <c r="H2" s="40">
        <f>AVERAGE(H6:H33)</f>
        <v>3.3491833580608948E-2</v>
      </c>
      <c r="I2" t="s">
        <v>268</v>
      </c>
    </row>
    <row r="3" spans="1:9" x14ac:dyDescent="0.35">
      <c r="A3" s="28">
        <v>43831</v>
      </c>
      <c r="B3" s="33">
        <v>40.700001</v>
      </c>
      <c r="C3" s="33">
        <v>43.650002000000001</v>
      </c>
      <c r="D3" s="33">
        <v>38.330002</v>
      </c>
      <c r="E3" s="33">
        <v>41.07</v>
      </c>
      <c r="F3" s="33">
        <v>37.165343999999997</v>
      </c>
      <c r="G3" s="34">
        <v>26884800</v>
      </c>
      <c r="H3" s="3">
        <f>F3/F2-1</f>
        <v>1.8853871965260671E-2</v>
      </c>
    </row>
    <row r="4" spans="1:9" x14ac:dyDescent="0.35">
      <c r="A4" s="28">
        <v>43862</v>
      </c>
      <c r="B4" s="33">
        <v>41.25</v>
      </c>
      <c r="C4" s="33">
        <v>47.5</v>
      </c>
      <c r="D4" s="33">
        <v>27.98</v>
      </c>
      <c r="E4" s="33">
        <v>28.450001</v>
      </c>
      <c r="F4" s="33">
        <v>25.745169000000001</v>
      </c>
      <c r="G4" s="34">
        <v>36098900</v>
      </c>
      <c r="H4" s="3">
        <f t="shared" ref="H4:H62" si="0">F4/F3-1</f>
        <v>-0.30728021782873849</v>
      </c>
    </row>
    <row r="5" spans="1:9" x14ac:dyDescent="0.35">
      <c r="A5" s="28">
        <v>43891</v>
      </c>
      <c r="B5" s="33">
        <v>28.360001</v>
      </c>
      <c r="C5" s="33">
        <v>28.68</v>
      </c>
      <c r="D5" s="33">
        <v>7.01</v>
      </c>
      <c r="E5" s="33">
        <v>12.89</v>
      </c>
      <c r="F5" s="33">
        <v>11.664507</v>
      </c>
      <c r="G5" s="34">
        <v>139436300</v>
      </c>
      <c r="H5" s="3">
        <f t="shared" si="0"/>
        <v>-0.54692443463859175</v>
      </c>
    </row>
    <row r="6" spans="1:9" x14ac:dyDescent="0.35">
      <c r="A6" s="28">
        <v>43922</v>
      </c>
      <c r="B6" s="33">
        <v>11.66</v>
      </c>
      <c r="C6" s="33">
        <v>16.489999999999998</v>
      </c>
      <c r="D6" s="33">
        <v>10.08</v>
      </c>
      <c r="E6" s="33">
        <v>15.02</v>
      </c>
      <c r="F6" s="33">
        <v>13.591998999999999</v>
      </c>
      <c r="G6" s="34">
        <v>135482200</v>
      </c>
      <c r="H6" s="3">
        <f t="shared" si="0"/>
        <v>0.16524418906002625</v>
      </c>
    </row>
    <row r="7" spans="1:9" x14ac:dyDescent="0.35">
      <c r="A7" s="28">
        <v>43952</v>
      </c>
      <c r="B7" s="33">
        <v>14.08</v>
      </c>
      <c r="C7" s="33">
        <v>14.56</v>
      </c>
      <c r="D7" s="33">
        <v>7.25</v>
      </c>
      <c r="E7" s="33">
        <v>12.95</v>
      </c>
      <c r="F7" s="33">
        <v>11.718802</v>
      </c>
      <c r="G7" s="34">
        <v>471919600</v>
      </c>
      <c r="H7" s="3">
        <f t="shared" si="0"/>
        <v>-0.13781615198765096</v>
      </c>
    </row>
    <row r="8" spans="1:9" x14ac:dyDescent="0.35">
      <c r="A8" s="28">
        <v>43983</v>
      </c>
      <c r="B8" s="33">
        <v>13</v>
      </c>
      <c r="C8" s="33">
        <v>25.940000999999999</v>
      </c>
      <c r="D8" s="33">
        <v>13</v>
      </c>
      <c r="E8" s="33">
        <v>17.799999</v>
      </c>
      <c r="F8" s="33">
        <v>16.107697999999999</v>
      </c>
      <c r="G8" s="34">
        <v>855504500</v>
      </c>
      <c r="H8" s="3">
        <f t="shared" si="0"/>
        <v>0.37451746347450876</v>
      </c>
    </row>
    <row r="9" spans="1:9" x14ac:dyDescent="0.35">
      <c r="A9" s="28">
        <v>44013</v>
      </c>
      <c r="B9" s="33">
        <v>18.23</v>
      </c>
      <c r="C9" s="33">
        <v>19.5</v>
      </c>
      <c r="D9" s="33">
        <v>15.42</v>
      </c>
      <c r="E9" s="33">
        <v>15.81</v>
      </c>
      <c r="F9" s="33">
        <v>14.306891</v>
      </c>
      <c r="G9" s="34">
        <v>316333500</v>
      </c>
      <c r="H9" s="3">
        <f t="shared" si="0"/>
        <v>-0.11179791178106269</v>
      </c>
    </row>
    <row r="10" spans="1:9" x14ac:dyDescent="0.35">
      <c r="A10" s="28">
        <v>44044</v>
      </c>
      <c r="B10" s="33">
        <v>15.74</v>
      </c>
      <c r="C10" s="33">
        <v>19.549999</v>
      </c>
      <c r="D10" s="33">
        <v>14.65</v>
      </c>
      <c r="E10" s="33">
        <v>17.879999000000002</v>
      </c>
      <c r="F10" s="33">
        <v>16.18009</v>
      </c>
      <c r="G10" s="34">
        <v>209834700</v>
      </c>
      <c r="H10" s="3">
        <f t="shared" si="0"/>
        <v>0.13092984352784964</v>
      </c>
    </row>
    <row r="11" spans="1:9" x14ac:dyDescent="0.35">
      <c r="A11" s="28">
        <v>44075</v>
      </c>
      <c r="B11" s="33">
        <v>17.600000000000001</v>
      </c>
      <c r="C11" s="33">
        <v>18.940000999999999</v>
      </c>
      <c r="D11" s="33">
        <v>15.06</v>
      </c>
      <c r="E11" s="33">
        <v>16.100000000000001</v>
      </c>
      <c r="F11" s="33">
        <v>14.569321</v>
      </c>
      <c r="G11" s="34">
        <v>181131300</v>
      </c>
      <c r="H11" s="3">
        <f t="shared" si="0"/>
        <v>-9.9552536481564702E-2</v>
      </c>
    </row>
    <row r="12" spans="1:9" x14ac:dyDescent="0.35">
      <c r="A12" s="28">
        <v>44105</v>
      </c>
      <c r="B12" s="33">
        <v>16.299999</v>
      </c>
      <c r="C12" s="33">
        <v>18.700001</v>
      </c>
      <c r="D12" s="33">
        <v>15.45</v>
      </c>
      <c r="E12" s="33">
        <v>17.57</v>
      </c>
      <c r="F12" s="33">
        <v>15.899562</v>
      </c>
      <c r="G12" s="34">
        <v>202211400</v>
      </c>
      <c r="H12" s="3">
        <f t="shared" si="0"/>
        <v>9.130425501641426E-2</v>
      </c>
    </row>
    <row r="13" spans="1:9" x14ac:dyDescent="0.35">
      <c r="A13" s="28">
        <v>44136</v>
      </c>
      <c r="B13" s="33">
        <v>17.52</v>
      </c>
      <c r="C13" s="33">
        <v>23.540001</v>
      </c>
      <c r="D13" s="33">
        <v>16.799999</v>
      </c>
      <c r="E13" s="33">
        <v>22.629999000000002</v>
      </c>
      <c r="F13" s="33">
        <v>20.478493</v>
      </c>
      <c r="G13" s="34">
        <v>185425400</v>
      </c>
      <c r="H13" s="3">
        <f t="shared" si="0"/>
        <v>0.2879910150984033</v>
      </c>
    </row>
    <row r="14" spans="1:9" x14ac:dyDescent="0.35">
      <c r="A14" s="28">
        <v>44166</v>
      </c>
      <c r="B14" s="33">
        <v>22.719999000000001</v>
      </c>
      <c r="C14" s="33">
        <v>27.48</v>
      </c>
      <c r="D14" s="33">
        <v>22.18</v>
      </c>
      <c r="E14" s="33">
        <v>24.450001</v>
      </c>
      <c r="F14" s="33">
        <v>22.125456</v>
      </c>
      <c r="G14" s="34">
        <v>158654500</v>
      </c>
      <c r="H14" s="3">
        <f t="shared" si="0"/>
        <v>8.0424033155173991E-2</v>
      </c>
    </row>
    <row r="15" spans="1:9" x14ac:dyDescent="0.35">
      <c r="A15" s="28">
        <v>44197</v>
      </c>
      <c r="B15" s="33">
        <v>24.75</v>
      </c>
      <c r="C15" s="33">
        <v>27.959999</v>
      </c>
      <c r="D15" s="33">
        <v>22.870000999999998</v>
      </c>
      <c r="E15" s="33">
        <v>25.940000999999999</v>
      </c>
      <c r="F15" s="33">
        <v>23.473803</v>
      </c>
      <c r="G15" s="34">
        <v>91630900</v>
      </c>
      <c r="H15" s="3">
        <f t="shared" si="0"/>
        <v>6.0940981284182349E-2</v>
      </c>
    </row>
    <row r="16" spans="1:9" x14ac:dyDescent="0.35">
      <c r="A16" s="28">
        <v>44228</v>
      </c>
      <c r="B16" s="33">
        <v>26.26</v>
      </c>
      <c r="C16" s="33">
        <v>39.139999000000003</v>
      </c>
      <c r="D16" s="33">
        <v>25.68</v>
      </c>
      <c r="E16" s="33">
        <v>35.880001</v>
      </c>
      <c r="F16" s="33">
        <v>32.468769000000002</v>
      </c>
      <c r="G16" s="34">
        <v>121829500</v>
      </c>
      <c r="H16" s="3">
        <f t="shared" si="0"/>
        <v>0.38319167967797974</v>
      </c>
    </row>
    <row r="17" spans="1:8" x14ac:dyDescent="0.35">
      <c r="A17" s="28">
        <v>44256</v>
      </c>
      <c r="B17" s="33">
        <v>37.25</v>
      </c>
      <c r="C17" s="33">
        <v>40.770000000000003</v>
      </c>
      <c r="D17" s="33">
        <v>31.35</v>
      </c>
      <c r="E17" s="33">
        <v>36.900002000000001</v>
      </c>
      <c r="F17" s="33">
        <v>33.391804</v>
      </c>
      <c r="G17" s="34">
        <v>102880200</v>
      </c>
      <c r="H17" s="3">
        <f t="shared" si="0"/>
        <v>2.8428395298879305E-2</v>
      </c>
    </row>
    <row r="18" spans="1:8" x14ac:dyDescent="0.35">
      <c r="A18" s="28">
        <v>44287</v>
      </c>
      <c r="B18" s="33">
        <v>36.509998000000003</v>
      </c>
      <c r="C18" s="33">
        <v>39.189999</v>
      </c>
      <c r="D18" s="33">
        <v>33.709999000000003</v>
      </c>
      <c r="E18" s="33">
        <v>35.82</v>
      </c>
      <c r="F18" s="33">
        <v>32.414482</v>
      </c>
      <c r="G18" s="34">
        <v>87471100</v>
      </c>
      <c r="H18" s="3">
        <f t="shared" si="0"/>
        <v>-2.9268319854776403E-2</v>
      </c>
    </row>
    <row r="19" spans="1:8" x14ac:dyDescent="0.35">
      <c r="A19" s="28">
        <v>44317</v>
      </c>
      <c r="B19" s="33">
        <v>36.150002000000001</v>
      </c>
      <c r="C19" s="33">
        <v>36.779998999999997</v>
      </c>
      <c r="D19" s="33">
        <v>32.029998999999997</v>
      </c>
      <c r="E19" s="33">
        <v>35.709999000000003</v>
      </c>
      <c r="F19" s="33">
        <v>32.314929999999997</v>
      </c>
      <c r="G19" s="34">
        <v>58860800</v>
      </c>
      <c r="H19" s="3">
        <f t="shared" si="0"/>
        <v>-3.0712198331598328E-3</v>
      </c>
    </row>
    <row r="20" spans="1:8" x14ac:dyDescent="0.35">
      <c r="A20" s="28">
        <v>44348</v>
      </c>
      <c r="B20" s="33">
        <v>35.950001</v>
      </c>
      <c r="C20" s="33">
        <v>37.189999</v>
      </c>
      <c r="D20" s="33">
        <v>30.370000999999998</v>
      </c>
      <c r="E20" s="33">
        <v>30.440000999999999</v>
      </c>
      <c r="F20" s="33">
        <v>27.545977000000001</v>
      </c>
      <c r="G20" s="34">
        <v>73433600</v>
      </c>
      <c r="H20" s="3">
        <f t="shared" si="0"/>
        <v>-0.14757738915108265</v>
      </c>
    </row>
    <row r="21" spans="1:8" x14ac:dyDescent="0.35">
      <c r="A21" s="28">
        <v>44378</v>
      </c>
      <c r="B21" s="33">
        <v>30.780000999999999</v>
      </c>
      <c r="C21" s="33">
        <v>31.469999000000001</v>
      </c>
      <c r="D21" s="33">
        <v>24.620000999999998</v>
      </c>
      <c r="E21" s="33">
        <v>26.98</v>
      </c>
      <c r="F21" s="33">
        <v>24.414923000000002</v>
      </c>
      <c r="G21" s="34">
        <v>82662800</v>
      </c>
      <c r="H21" s="3">
        <f t="shared" si="0"/>
        <v>-0.11366647115112305</v>
      </c>
    </row>
    <row r="22" spans="1:8" x14ac:dyDescent="0.35">
      <c r="A22" s="28">
        <v>44409</v>
      </c>
      <c r="B22" s="33">
        <v>27.17</v>
      </c>
      <c r="C22" s="33">
        <v>28.17</v>
      </c>
      <c r="D22" s="33">
        <v>22.700001</v>
      </c>
      <c r="E22" s="33">
        <v>24.530000999999999</v>
      </c>
      <c r="F22" s="33">
        <v>22.197855000000001</v>
      </c>
      <c r="G22" s="34">
        <v>102099900</v>
      </c>
      <c r="H22" s="3">
        <f t="shared" si="0"/>
        <v>-9.0807904657327909E-2</v>
      </c>
    </row>
    <row r="23" spans="1:8" x14ac:dyDescent="0.35">
      <c r="A23" s="28">
        <v>44440</v>
      </c>
      <c r="B23" s="33">
        <v>24.719999000000001</v>
      </c>
      <c r="C23" s="33">
        <v>27.82</v>
      </c>
      <c r="D23" s="33">
        <v>23.790001</v>
      </c>
      <c r="E23" s="33">
        <v>25.940000999999999</v>
      </c>
      <c r="F23" s="33">
        <v>23.473803</v>
      </c>
      <c r="G23" s="34">
        <v>77820300</v>
      </c>
      <c r="H23" s="3">
        <f t="shared" si="0"/>
        <v>5.7480689012519459E-2</v>
      </c>
    </row>
    <row r="24" spans="1:8" x14ac:dyDescent="0.35">
      <c r="A24" s="28">
        <v>44470</v>
      </c>
      <c r="B24" s="33">
        <v>26.4</v>
      </c>
      <c r="C24" s="33">
        <v>27.59</v>
      </c>
      <c r="D24" s="33">
        <v>21.790001</v>
      </c>
      <c r="E24" s="33">
        <v>21.85</v>
      </c>
      <c r="F24" s="33">
        <v>19.772649999999999</v>
      </c>
      <c r="G24" s="34">
        <v>96639800</v>
      </c>
      <c r="H24" s="3">
        <f t="shared" si="0"/>
        <v>-0.15767163931639039</v>
      </c>
    </row>
    <row r="25" spans="1:8" x14ac:dyDescent="0.35">
      <c r="A25" s="28">
        <v>44501</v>
      </c>
      <c r="B25" s="33">
        <v>21.889999</v>
      </c>
      <c r="C25" s="33">
        <v>25.379999000000002</v>
      </c>
      <c r="D25" s="33">
        <v>19.52</v>
      </c>
      <c r="E25" s="33">
        <v>20.91</v>
      </c>
      <c r="F25" s="33">
        <v>18.922018000000001</v>
      </c>
      <c r="G25" s="34">
        <v>100929500</v>
      </c>
      <c r="H25" s="3">
        <f t="shared" si="0"/>
        <v>-4.3020637092144876E-2</v>
      </c>
    </row>
    <row r="26" spans="1:8" x14ac:dyDescent="0.35">
      <c r="A26" s="28">
        <v>44531</v>
      </c>
      <c r="B26" s="33">
        <v>21.66</v>
      </c>
      <c r="C26" s="33">
        <v>24.27</v>
      </c>
      <c r="D26" s="33">
        <v>20.02</v>
      </c>
      <c r="E26" s="33">
        <v>21.85</v>
      </c>
      <c r="F26" s="33">
        <v>19.772649999999999</v>
      </c>
      <c r="G26" s="34">
        <v>109867700</v>
      </c>
      <c r="H26" s="3">
        <f t="shared" si="0"/>
        <v>4.495461319189098E-2</v>
      </c>
    </row>
    <row r="27" spans="1:8" x14ac:dyDescent="0.35">
      <c r="A27" s="28">
        <v>44562</v>
      </c>
      <c r="B27" s="33">
        <v>22</v>
      </c>
      <c r="C27" s="33">
        <v>24.120000999999998</v>
      </c>
      <c r="D27" s="33">
        <v>19.399999999999999</v>
      </c>
      <c r="E27" s="33">
        <v>21.469999000000001</v>
      </c>
      <c r="F27" s="33">
        <v>19.428778000000001</v>
      </c>
      <c r="G27" s="34">
        <v>114798600</v>
      </c>
      <c r="H27" s="3">
        <f t="shared" si="0"/>
        <v>-1.7391295552189434E-2</v>
      </c>
    </row>
    <row r="28" spans="1:8" x14ac:dyDescent="0.35">
      <c r="A28" s="28">
        <v>44593</v>
      </c>
      <c r="B28" s="33">
        <v>21.5</v>
      </c>
      <c r="C28" s="33">
        <v>28.299999</v>
      </c>
      <c r="D28" s="33">
        <v>21.02</v>
      </c>
      <c r="E28" s="33">
        <v>25.08</v>
      </c>
      <c r="F28" s="33">
        <v>22.695561999999999</v>
      </c>
      <c r="G28" s="34">
        <v>141558600</v>
      </c>
      <c r="H28" s="3">
        <f t="shared" si="0"/>
        <v>0.16814150637780712</v>
      </c>
    </row>
    <row r="29" spans="1:8" x14ac:dyDescent="0.35">
      <c r="A29" s="28">
        <v>44621</v>
      </c>
      <c r="B29" s="33">
        <v>24.719999000000001</v>
      </c>
      <c r="C29" s="33">
        <v>25.129999000000002</v>
      </c>
      <c r="D29" s="33">
        <v>18.260000000000002</v>
      </c>
      <c r="E29" s="33">
        <v>21.870000999999998</v>
      </c>
      <c r="F29" s="33">
        <v>19.790749000000002</v>
      </c>
      <c r="G29" s="34">
        <v>109662200</v>
      </c>
      <c r="H29" s="3">
        <f t="shared" si="0"/>
        <v>-0.12799035335630804</v>
      </c>
    </row>
    <row r="30" spans="1:8" x14ac:dyDescent="0.35">
      <c r="A30" s="28">
        <v>44652</v>
      </c>
      <c r="B30" s="33">
        <v>22.01</v>
      </c>
      <c r="C30" s="33">
        <v>27.879999000000002</v>
      </c>
      <c r="D30" s="33">
        <v>20.959999</v>
      </c>
      <c r="E30" s="33">
        <v>23.610001</v>
      </c>
      <c r="F30" s="33">
        <v>21.365324000000001</v>
      </c>
      <c r="G30" s="34">
        <v>96203500</v>
      </c>
      <c r="H30" s="3">
        <f t="shared" si="0"/>
        <v>7.9561162642202143E-2</v>
      </c>
    </row>
    <row r="31" spans="1:8" x14ac:dyDescent="0.35">
      <c r="A31" s="28">
        <v>44682</v>
      </c>
      <c r="B31" s="33">
        <v>21.93</v>
      </c>
      <c r="C31" s="33">
        <v>22.790001</v>
      </c>
      <c r="D31" s="33">
        <v>15.92</v>
      </c>
      <c r="E31" s="33">
        <v>20.950001</v>
      </c>
      <c r="F31" s="33">
        <v>18.958217999999999</v>
      </c>
      <c r="G31" s="34">
        <v>112079100</v>
      </c>
      <c r="H31" s="3">
        <f t="shared" si="0"/>
        <v>-0.11266414682033388</v>
      </c>
    </row>
    <row r="32" spans="1:8" x14ac:dyDescent="0.35">
      <c r="A32" s="28">
        <v>44713</v>
      </c>
      <c r="B32" s="33">
        <v>20.950001</v>
      </c>
      <c r="C32" s="33">
        <v>24.690000999999999</v>
      </c>
      <c r="D32" s="33">
        <v>20.059999000000001</v>
      </c>
      <c r="E32" s="33">
        <v>23.84</v>
      </c>
      <c r="F32" s="33">
        <v>21.573457999999999</v>
      </c>
      <c r="G32" s="34">
        <v>85943300</v>
      </c>
      <c r="H32" s="3">
        <f t="shared" si="0"/>
        <v>0.13794756448100776</v>
      </c>
    </row>
    <row r="33" spans="1:8" x14ac:dyDescent="0.35">
      <c r="A33" s="28">
        <v>44743</v>
      </c>
      <c r="B33" s="33">
        <v>23.74</v>
      </c>
      <c r="C33" s="33">
        <v>25.68</v>
      </c>
      <c r="D33" s="33">
        <v>23.35</v>
      </c>
      <c r="E33" s="33">
        <v>24.77</v>
      </c>
      <c r="F33" s="33">
        <v>22.415037000000002</v>
      </c>
      <c r="G33" s="34">
        <v>50801200</v>
      </c>
      <c r="H33" s="3">
        <f t="shared" si="0"/>
        <v>3.9009925993320316E-2</v>
      </c>
    </row>
    <row r="34" spans="1:8" x14ac:dyDescent="0.35">
      <c r="A34" s="28">
        <v>44774</v>
      </c>
      <c r="B34" s="33">
        <v>24.65</v>
      </c>
      <c r="C34" s="33">
        <v>25</v>
      </c>
      <c r="D34" s="33">
        <v>22.57</v>
      </c>
      <c r="E34" s="33">
        <v>22.68</v>
      </c>
      <c r="F34" s="33">
        <v>20.523741000000001</v>
      </c>
      <c r="G34" s="34">
        <v>30450200</v>
      </c>
      <c r="H34" s="3">
        <f t="shared" si="0"/>
        <v>-8.4376215841178381E-2</v>
      </c>
    </row>
    <row r="35" spans="1:8" x14ac:dyDescent="0.35">
      <c r="A35" s="28">
        <v>44805</v>
      </c>
      <c r="B35" s="33">
        <v>22.5</v>
      </c>
      <c r="C35" s="33">
        <v>23.459999</v>
      </c>
      <c r="D35" s="33">
        <v>18.600000000000001</v>
      </c>
      <c r="E35" s="33">
        <v>18.82</v>
      </c>
      <c r="F35" s="33">
        <v>17.030722000000001</v>
      </c>
      <c r="G35" s="34">
        <v>37519400</v>
      </c>
      <c r="H35" s="3">
        <f t="shared" si="0"/>
        <v>-0.17019406939504844</v>
      </c>
    </row>
    <row r="36" spans="1:8" x14ac:dyDescent="0.35">
      <c r="A36" s="28">
        <v>44835</v>
      </c>
      <c r="B36" s="33">
        <v>18.850000000000001</v>
      </c>
      <c r="C36" s="33">
        <v>22.700001</v>
      </c>
      <c r="D36" s="33">
        <v>18.010000000000002</v>
      </c>
      <c r="E36" s="33">
        <v>22</v>
      </c>
      <c r="F36" s="33">
        <v>19.908386</v>
      </c>
      <c r="G36" s="34">
        <v>31101500</v>
      </c>
      <c r="H36" s="3">
        <f t="shared" si="0"/>
        <v>0.16896899614708061</v>
      </c>
    </row>
    <row r="37" spans="1:8" x14ac:dyDescent="0.35">
      <c r="A37" s="28">
        <v>44866</v>
      </c>
      <c r="B37" s="33">
        <v>22.26</v>
      </c>
      <c r="C37" s="33">
        <v>22.58</v>
      </c>
      <c r="D37" s="33">
        <v>20.860001</v>
      </c>
      <c r="E37" s="33">
        <v>21.709999</v>
      </c>
      <c r="F37" s="33">
        <v>19.645958</v>
      </c>
      <c r="G37" s="34">
        <v>13931800</v>
      </c>
      <c r="H37" s="3">
        <f t="shared" si="0"/>
        <v>-1.3181781787835578E-2</v>
      </c>
    </row>
    <row r="38" spans="1:8" x14ac:dyDescent="0.35">
      <c r="A38" s="28">
        <v>44896</v>
      </c>
      <c r="B38" s="33">
        <v>21.639999</v>
      </c>
      <c r="C38" s="33">
        <v>21.76</v>
      </c>
      <c r="D38" s="33">
        <v>19.100000000000001</v>
      </c>
      <c r="E38" s="33">
        <v>19.48</v>
      </c>
      <c r="F38" s="33">
        <v>17.627972</v>
      </c>
      <c r="G38" s="34">
        <v>13740400</v>
      </c>
      <c r="H38" s="3">
        <f t="shared" si="0"/>
        <v>-0.10271761753740904</v>
      </c>
    </row>
    <row r="39" spans="1:8" x14ac:dyDescent="0.35">
      <c r="A39" s="28">
        <v>44927</v>
      </c>
      <c r="B39" s="33">
        <v>19.629999000000002</v>
      </c>
      <c r="C39" s="33">
        <v>20.99</v>
      </c>
      <c r="D39" s="33">
        <v>19.16</v>
      </c>
      <c r="E39" s="33">
        <v>19.84</v>
      </c>
      <c r="F39" s="33">
        <v>17.953747</v>
      </c>
      <c r="G39" s="34">
        <v>18599900</v>
      </c>
      <c r="H39" s="3">
        <f t="shared" si="0"/>
        <v>1.8480571673247459E-2</v>
      </c>
    </row>
    <row r="40" spans="1:8" x14ac:dyDescent="0.35">
      <c r="A40" s="28">
        <v>44958</v>
      </c>
      <c r="B40" s="33">
        <v>19.850000000000001</v>
      </c>
      <c r="C40" s="33">
        <v>20.239999999999998</v>
      </c>
      <c r="D40" s="33">
        <v>18.27</v>
      </c>
      <c r="E40" s="33">
        <v>18.32</v>
      </c>
      <c r="F40" s="33">
        <v>16.661863</v>
      </c>
      <c r="G40" s="34">
        <v>26451600</v>
      </c>
      <c r="H40" s="3">
        <f t="shared" si="0"/>
        <v>-7.1956232868826797E-2</v>
      </c>
    </row>
    <row r="41" spans="1:8" x14ac:dyDescent="0.35">
      <c r="A41" s="28">
        <v>44986</v>
      </c>
      <c r="B41" s="33">
        <v>18.299999</v>
      </c>
      <c r="C41" s="33">
        <v>18.450001</v>
      </c>
      <c r="D41" s="33">
        <v>16.170000000000002</v>
      </c>
      <c r="E41" s="33">
        <v>17.170000000000002</v>
      </c>
      <c r="F41" s="33">
        <v>15.697748000000001</v>
      </c>
      <c r="G41" s="34">
        <v>62045800</v>
      </c>
      <c r="H41" s="3">
        <f t="shared" si="0"/>
        <v>-5.7863577440289804E-2</v>
      </c>
    </row>
    <row r="42" spans="1:8" x14ac:dyDescent="0.35">
      <c r="A42" s="28">
        <v>45017</v>
      </c>
      <c r="B42" s="33">
        <v>17</v>
      </c>
      <c r="C42" s="33">
        <v>17.75</v>
      </c>
      <c r="D42" s="33">
        <v>16.75</v>
      </c>
      <c r="E42" s="33">
        <v>17.100000000000001</v>
      </c>
      <c r="F42" s="33">
        <v>15.726642999999999</v>
      </c>
      <c r="G42" s="34">
        <v>17796000</v>
      </c>
      <c r="H42" s="3">
        <f t="shared" si="0"/>
        <v>1.8407098903612251E-3</v>
      </c>
    </row>
    <row r="43" spans="1:8" x14ac:dyDescent="0.35">
      <c r="A43" s="28">
        <v>45047</v>
      </c>
      <c r="B43" s="33">
        <v>17.049999</v>
      </c>
      <c r="C43" s="33">
        <v>17.07</v>
      </c>
      <c r="D43" s="33">
        <v>14.41</v>
      </c>
      <c r="E43" s="33">
        <v>15.21</v>
      </c>
      <c r="F43" s="33">
        <v>14.069106</v>
      </c>
      <c r="G43" s="34">
        <v>43335100</v>
      </c>
      <c r="H43" s="3">
        <f t="shared" si="0"/>
        <v>-0.10539674614601469</v>
      </c>
    </row>
    <row r="44" spans="1:8" x14ac:dyDescent="0.35">
      <c r="A44" s="28">
        <v>45078</v>
      </c>
      <c r="B44" s="33">
        <v>15.25</v>
      </c>
      <c r="C44" s="33">
        <v>17.280000999999999</v>
      </c>
      <c r="D44" s="33">
        <v>15.11</v>
      </c>
      <c r="E44" s="33">
        <v>17.16</v>
      </c>
      <c r="F44" s="33">
        <v>15.977129</v>
      </c>
      <c r="G44" s="34">
        <v>26589200</v>
      </c>
      <c r="H44" s="3">
        <f t="shared" si="0"/>
        <v>0.13561792767784953</v>
      </c>
    </row>
    <row r="45" spans="1:8" x14ac:dyDescent="0.35">
      <c r="A45" s="28">
        <v>45108</v>
      </c>
      <c r="B45" s="33">
        <v>17.100000000000001</v>
      </c>
      <c r="C45" s="33">
        <v>19.690000999999999</v>
      </c>
      <c r="D45" s="33">
        <v>17.049999</v>
      </c>
      <c r="E45" s="33">
        <v>18.299999</v>
      </c>
      <c r="F45" s="33">
        <v>17.142250000000001</v>
      </c>
      <c r="G45" s="34">
        <v>32123500</v>
      </c>
      <c r="H45" s="3">
        <f t="shared" si="0"/>
        <v>7.2924303233703691E-2</v>
      </c>
    </row>
    <row r="46" spans="1:8" x14ac:dyDescent="0.35">
      <c r="A46" s="28">
        <v>45139</v>
      </c>
      <c r="B46" s="33">
        <v>18.219999000000001</v>
      </c>
      <c r="C46" s="33">
        <v>18.260000000000002</v>
      </c>
      <c r="D46" s="33">
        <v>15.22</v>
      </c>
      <c r="E46" s="33">
        <v>16.5</v>
      </c>
      <c r="F46" s="33">
        <v>15.538299</v>
      </c>
      <c r="G46" s="34">
        <v>33034000</v>
      </c>
      <c r="H46" s="3">
        <f t="shared" si="0"/>
        <v>-9.3567122168910166E-2</v>
      </c>
    </row>
    <row r="47" spans="1:8" x14ac:dyDescent="0.35">
      <c r="A47" s="28">
        <v>45170</v>
      </c>
      <c r="B47" s="33">
        <v>16.610001</v>
      </c>
      <c r="C47" s="33">
        <v>17.940000999999999</v>
      </c>
      <c r="D47" s="33">
        <v>14.95</v>
      </c>
      <c r="E47" s="33">
        <v>16.5</v>
      </c>
      <c r="F47" s="33">
        <v>15.631677</v>
      </c>
      <c r="G47" s="34">
        <v>37772100</v>
      </c>
      <c r="H47" s="3">
        <f t="shared" si="0"/>
        <v>6.0095381096734179E-3</v>
      </c>
    </row>
    <row r="48" spans="1:8" x14ac:dyDescent="0.35">
      <c r="A48" s="28">
        <v>45200</v>
      </c>
      <c r="B48" s="33">
        <v>16.420000000000002</v>
      </c>
      <c r="C48" s="33">
        <v>17.489999999999998</v>
      </c>
      <c r="D48" s="33">
        <v>10.73</v>
      </c>
      <c r="E48" s="33">
        <v>11.48</v>
      </c>
      <c r="F48" s="33">
        <v>10.942867</v>
      </c>
      <c r="G48" s="34">
        <v>64202900</v>
      </c>
      <c r="H48" s="3">
        <f t="shared" si="0"/>
        <v>-0.29995566054748957</v>
      </c>
    </row>
    <row r="49" spans="1:8" x14ac:dyDescent="0.35">
      <c r="A49" s="28">
        <v>45231</v>
      </c>
      <c r="B49" s="33">
        <v>11.44</v>
      </c>
      <c r="C49" s="33">
        <v>15.38</v>
      </c>
      <c r="D49" s="33">
        <v>8.68</v>
      </c>
      <c r="E49" s="33">
        <v>14.82</v>
      </c>
      <c r="F49" s="33">
        <v>14.212996</v>
      </c>
      <c r="G49" s="34">
        <v>135039600</v>
      </c>
      <c r="H49" s="3">
        <f t="shared" si="0"/>
        <v>0.29883658459889917</v>
      </c>
    </row>
    <row r="50" spans="1:8" x14ac:dyDescent="0.35">
      <c r="A50" s="28">
        <v>45261</v>
      </c>
      <c r="B50" s="33">
        <v>14.82</v>
      </c>
      <c r="C50" s="33">
        <v>17.02</v>
      </c>
      <c r="D50" s="33">
        <v>12.8</v>
      </c>
      <c r="E50" s="33">
        <v>16.389999</v>
      </c>
      <c r="F50" s="33">
        <v>15.842753</v>
      </c>
      <c r="G50" s="34">
        <v>97854200</v>
      </c>
      <c r="H50" s="3">
        <f t="shared" si="0"/>
        <v>0.11466667548488729</v>
      </c>
    </row>
    <row r="51" spans="1:8" x14ac:dyDescent="0.35">
      <c r="A51" s="28">
        <v>45292</v>
      </c>
      <c r="B51" s="33">
        <v>16.360001</v>
      </c>
      <c r="C51" s="33">
        <v>16.850000000000001</v>
      </c>
      <c r="D51" s="33">
        <v>4.04</v>
      </c>
      <c r="E51" s="33">
        <v>6.29</v>
      </c>
      <c r="F51" s="33">
        <v>6.1181260000000002</v>
      </c>
      <c r="G51" s="34">
        <v>734271500</v>
      </c>
      <c r="H51" s="3">
        <f t="shared" si="0"/>
        <v>-0.61382178968516388</v>
      </c>
    </row>
    <row r="52" spans="1:8" x14ac:dyDescent="0.35">
      <c r="A52" s="28">
        <v>45323</v>
      </c>
      <c r="B52" s="33">
        <v>6.35</v>
      </c>
      <c r="C52" s="33">
        <v>7.61</v>
      </c>
      <c r="D52" s="33">
        <v>6.06</v>
      </c>
      <c r="E52" s="33">
        <v>6.45</v>
      </c>
      <c r="F52" s="33">
        <v>6.3509209999999996</v>
      </c>
      <c r="G52" s="34">
        <v>149750800</v>
      </c>
      <c r="H52" s="3">
        <f t="shared" si="0"/>
        <v>3.8050049966280364E-2</v>
      </c>
    </row>
    <row r="53" spans="1:8" x14ac:dyDescent="0.35">
      <c r="A53" s="28">
        <v>45352</v>
      </c>
      <c r="B53" s="33">
        <v>6.48</v>
      </c>
      <c r="C53" s="33">
        <v>6.59</v>
      </c>
      <c r="D53" s="33">
        <v>3.96</v>
      </c>
      <c r="E53" s="33">
        <v>4.84</v>
      </c>
      <c r="F53" s="33">
        <v>4.84</v>
      </c>
      <c r="G53" s="34">
        <v>164166500</v>
      </c>
      <c r="H53" s="3">
        <f t="shared" si="0"/>
        <v>-0.23790580925191795</v>
      </c>
    </row>
    <row r="54" spans="1:8" x14ac:dyDescent="0.35">
      <c r="A54" s="28">
        <v>45383</v>
      </c>
      <c r="B54" s="33">
        <v>5</v>
      </c>
      <c r="C54" s="33">
        <v>5.18</v>
      </c>
      <c r="D54" s="33">
        <v>3.47</v>
      </c>
      <c r="E54" s="33">
        <v>3.53</v>
      </c>
      <c r="F54" s="33">
        <v>3.53</v>
      </c>
      <c r="G54" s="34">
        <v>118796200</v>
      </c>
      <c r="H54" s="3">
        <f t="shared" si="0"/>
        <v>-0.27066115702479343</v>
      </c>
    </row>
    <row r="55" spans="1:8" x14ac:dyDescent="0.35">
      <c r="A55" s="28">
        <v>45413</v>
      </c>
      <c r="B55" s="33">
        <v>3.51</v>
      </c>
      <c r="C55" s="33">
        <v>5.04</v>
      </c>
      <c r="D55" s="33">
        <v>3.18</v>
      </c>
      <c r="E55" s="33">
        <v>3.65</v>
      </c>
      <c r="F55" s="33">
        <v>3.65</v>
      </c>
      <c r="G55" s="34">
        <v>158760200</v>
      </c>
      <c r="H55" s="3">
        <f t="shared" si="0"/>
        <v>3.3994334277620331E-2</v>
      </c>
    </row>
    <row r="56" spans="1:8" x14ac:dyDescent="0.35">
      <c r="A56" s="28">
        <v>45444</v>
      </c>
      <c r="B56" s="33">
        <v>3.72</v>
      </c>
      <c r="C56" s="33">
        <v>4.05</v>
      </c>
      <c r="D56" s="33">
        <v>3.37</v>
      </c>
      <c r="E56" s="33">
        <v>3.66</v>
      </c>
      <c r="F56" s="33">
        <v>3.66</v>
      </c>
      <c r="G56" s="34">
        <v>106334800</v>
      </c>
      <c r="H56" s="3">
        <f t="shared" si="0"/>
        <v>2.73972602739736E-3</v>
      </c>
    </row>
    <row r="57" spans="1:8" x14ac:dyDescent="0.35">
      <c r="A57" s="28">
        <v>45474</v>
      </c>
      <c r="B57" s="33">
        <v>3.66</v>
      </c>
      <c r="C57" s="33">
        <v>3.74</v>
      </c>
      <c r="D57" s="33">
        <v>2.7</v>
      </c>
      <c r="E57" s="33">
        <v>3.01</v>
      </c>
      <c r="F57" s="33">
        <v>3.01</v>
      </c>
      <c r="G57" s="34">
        <v>124704400</v>
      </c>
      <c r="H57" s="3">
        <f t="shared" si="0"/>
        <v>-0.17759562841530063</v>
      </c>
    </row>
    <row r="58" spans="1:8" x14ac:dyDescent="0.35">
      <c r="A58" s="28">
        <v>45505</v>
      </c>
      <c r="B58" s="33">
        <v>2.9</v>
      </c>
      <c r="C58" s="33">
        <v>3.04</v>
      </c>
      <c r="D58" s="33">
        <v>2.4900000000000002</v>
      </c>
      <c r="E58" s="33">
        <v>2.58</v>
      </c>
      <c r="F58" s="33">
        <v>2.58</v>
      </c>
      <c r="G58" s="34">
        <v>82735200</v>
      </c>
      <c r="H58" s="3">
        <f t="shared" si="0"/>
        <v>-0.14285714285714279</v>
      </c>
    </row>
    <row r="59" spans="1:8" x14ac:dyDescent="0.35">
      <c r="A59" s="28">
        <v>45536</v>
      </c>
      <c r="B59" s="33">
        <v>2.57</v>
      </c>
      <c r="C59" s="33">
        <v>2.68</v>
      </c>
      <c r="D59" s="33">
        <v>2.2799999999999998</v>
      </c>
      <c r="E59" s="33">
        <v>2.4</v>
      </c>
      <c r="F59" s="33">
        <v>2.4</v>
      </c>
      <c r="G59" s="34">
        <v>84423300</v>
      </c>
      <c r="H59" s="3">
        <f t="shared" si="0"/>
        <v>-6.9767441860465129E-2</v>
      </c>
    </row>
    <row r="60" spans="1:8" x14ac:dyDescent="0.35">
      <c r="A60" s="28">
        <v>45566</v>
      </c>
      <c r="B60" s="33">
        <v>2.4</v>
      </c>
      <c r="C60" s="33">
        <v>3.3</v>
      </c>
      <c r="D60" s="33">
        <v>1.4</v>
      </c>
      <c r="E60" s="33">
        <v>2.4</v>
      </c>
      <c r="F60" s="33">
        <v>2.4</v>
      </c>
      <c r="G60" s="34">
        <v>449313700</v>
      </c>
      <c r="H60" s="3">
        <f t="shared" si="0"/>
        <v>0</v>
      </c>
    </row>
    <row r="61" spans="1:8" x14ac:dyDescent="0.35">
      <c r="A61" s="28">
        <v>45597</v>
      </c>
      <c r="B61" s="33">
        <v>2.4</v>
      </c>
      <c r="C61" s="33">
        <v>3.64</v>
      </c>
      <c r="D61" s="33">
        <v>1.03</v>
      </c>
      <c r="E61" s="33">
        <v>1.08</v>
      </c>
      <c r="F61" s="33">
        <v>1.08</v>
      </c>
      <c r="G61" s="34">
        <v>227554100</v>
      </c>
      <c r="H61" s="3">
        <f t="shared" si="0"/>
        <v>-0.54999999999999993</v>
      </c>
    </row>
    <row r="62" spans="1:8" x14ac:dyDescent="0.35">
      <c r="A62" s="28">
        <v>45611</v>
      </c>
      <c r="B62" s="33">
        <v>1.32</v>
      </c>
      <c r="C62" s="33">
        <v>1.34</v>
      </c>
      <c r="D62" s="33">
        <v>1.03</v>
      </c>
      <c r="E62" s="33">
        <v>1.08</v>
      </c>
      <c r="F62" s="33">
        <v>1.08</v>
      </c>
      <c r="G62" s="34">
        <v>24584886</v>
      </c>
      <c r="H62" s="3">
        <f t="shared" si="0"/>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0647C-8ACA-4EA8-B939-D41765875221}">
  <dimension ref="A1:O10"/>
  <sheetViews>
    <sheetView workbookViewId="0">
      <selection activeCell="C14" sqref="C14"/>
    </sheetView>
  </sheetViews>
  <sheetFormatPr defaultColWidth="8.81640625" defaultRowHeight="14.5" x14ac:dyDescent="0.35"/>
  <cols>
    <col min="1" max="1" width="26" bestFit="1" customWidth="1"/>
    <col min="2" max="15" width="12.453125" bestFit="1" customWidth="1"/>
  </cols>
  <sheetData>
    <row r="1" spans="1:15" x14ac:dyDescent="0.35">
      <c r="A1" t="s">
        <v>57</v>
      </c>
      <c r="B1" t="s">
        <v>58</v>
      </c>
      <c r="C1" s="28">
        <v>45291</v>
      </c>
      <c r="D1" s="28">
        <v>44926</v>
      </c>
      <c r="E1" s="28">
        <v>44561</v>
      </c>
      <c r="F1" s="28">
        <v>44196</v>
      </c>
      <c r="G1" s="28">
        <v>43830</v>
      </c>
      <c r="H1" s="28">
        <v>43465</v>
      </c>
      <c r="I1" s="28">
        <v>43100</v>
      </c>
      <c r="J1" s="28">
        <v>42735</v>
      </c>
      <c r="K1" s="28">
        <v>42369</v>
      </c>
      <c r="L1" s="28">
        <v>42004</v>
      </c>
      <c r="M1" s="28">
        <v>41639</v>
      </c>
      <c r="N1" s="28">
        <v>41274</v>
      </c>
      <c r="O1" s="28">
        <v>40908</v>
      </c>
    </row>
    <row r="2" spans="1:15" x14ac:dyDescent="0.35">
      <c r="A2" t="s">
        <v>59</v>
      </c>
      <c r="B2" s="49">
        <v>118279759</v>
      </c>
      <c r="C2" s="29">
        <v>1789256308</v>
      </c>
      <c r="D2" s="29">
        <v>2120537515</v>
      </c>
      <c r="E2" s="29">
        <v>2369191719</v>
      </c>
      <c r="F2" s="29">
        <v>2388510304</v>
      </c>
      <c r="G2" s="29">
        <v>2759421493</v>
      </c>
      <c r="H2" s="29">
        <v>3954173320</v>
      </c>
      <c r="I2" s="29">
        <v>3111385956</v>
      </c>
      <c r="J2" s="29">
        <v>4010999618</v>
      </c>
      <c r="K2" s="29">
        <v>2850940251</v>
      </c>
      <c r="L2" s="29">
        <v>5500386272</v>
      </c>
      <c r="M2" s="29">
        <v>3295241404</v>
      </c>
      <c r="N2" s="29">
        <v>1284946835</v>
      </c>
      <c r="O2" s="29">
        <v>1131471993</v>
      </c>
    </row>
    <row r="3" spans="1:15" x14ac:dyDescent="0.35">
      <c r="A3" t="s">
        <v>60</v>
      </c>
      <c r="B3" s="29">
        <v>6702815759</v>
      </c>
      <c r="C3" s="29">
        <v>7483999308</v>
      </c>
      <c r="D3" s="29">
        <v>6375448515</v>
      </c>
      <c r="E3" s="29">
        <v>5708435719</v>
      </c>
      <c r="F3" s="29">
        <v>5206932304</v>
      </c>
      <c r="G3" s="29">
        <v>4937594493</v>
      </c>
      <c r="H3" s="29">
        <v>5012264320</v>
      </c>
      <c r="I3" s="29">
        <v>3478747956</v>
      </c>
      <c r="J3" s="29">
        <v>4075381618</v>
      </c>
      <c r="K3" s="29">
        <v>2662145251</v>
      </c>
      <c r="L3" s="29">
        <v>4921065272</v>
      </c>
      <c r="M3" s="29">
        <v>2761179404</v>
      </c>
      <c r="N3" s="29">
        <v>876150835</v>
      </c>
      <c r="O3" s="29">
        <v>1349697993</v>
      </c>
    </row>
    <row r="4" spans="1:15" x14ac:dyDescent="0.35">
      <c r="A4" t="s">
        <v>61</v>
      </c>
      <c r="B4">
        <v>230</v>
      </c>
      <c r="G4">
        <v>7.9820000000000002</v>
      </c>
      <c r="H4">
        <v>12.673999999999999</v>
      </c>
      <c r="I4">
        <v>14.193</v>
      </c>
      <c r="J4">
        <v>14.147</v>
      </c>
      <c r="K4">
        <v>9.6959999999999997</v>
      </c>
      <c r="L4">
        <v>26.062000000000001</v>
      </c>
      <c r="M4">
        <v>21.623999999999999</v>
      </c>
      <c r="N4">
        <v>11.9</v>
      </c>
      <c r="O4">
        <v>10.612</v>
      </c>
    </row>
    <row r="5" spans="1:15" x14ac:dyDescent="0.35">
      <c r="A5" t="s">
        <v>62</v>
      </c>
      <c r="B5">
        <v>33.003</v>
      </c>
      <c r="D5">
        <v>11.455</v>
      </c>
      <c r="E5">
        <v>36.363999999999997</v>
      </c>
      <c r="F5">
        <v>33.003</v>
      </c>
      <c r="G5">
        <v>8.9770000000000003</v>
      </c>
      <c r="H5">
        <v>11.765000000000001</v>
      </c>
      <c r="I5">
        <v>10.428000000000001</v>
      </c>
      <c r="J5">
        <v>14.103999999999999</v>
      </c>
      <c r="K5">
        <v>10.215</v>
      </c>
      <c r="L5">
        <v>16.556000000000001</v>
      </c>
      <c r="M5">
        <v>16.050999999999998</v>
      </c>
      <c r="N5">
        <v>8.0579999999999998</v>
      </c>
      <c r="O5">
        <v>8.0259999999999998</v>
      </c>
    </row>
    <row r="6" spans="1:15" x14ac:dyDescent="0.35">
      <c r="A6" t="s">
        <v>63</v>
      </c>
      <c r="H6">
        <v>1.1759999999999999</v>
      </c>
      <c r="J6">
        <v>1.411</v>
      </c>
      <c r="K6">
        <v>1.022</v>
      </c>
      <c r="L6">
        <v>1.657</v>
      </c>
      <c r="M6">
        <v>1.605</v>
      </c>
      <c r="N6">
        <v>0.80600000000000005</v>
      </c>
    </row>
    <row r="7" spans="1:15" x14ac:dyDescent="0.35">
      <c r="A7" t="s">
        <v>64</v>
      </c>
      <c r="B7">
        <v>2.3E-2</v>
      </c>
      <c r="C7">
        <v>0.32900000000000001</v>
      </c>
      <c r="D7">
        <v>0.45400000000000001</v>
      </c>
      <c r="E7">
        <v>0.81599999999999995</v>
      </c>
      <c r="F7">
        <v>0.82899999999999996</v>
      </c>
      <c r="G7">
        <v>0.74299999999999999</v>
      </c>
      <c r="H7">
        <v>1.2669999999999999</v>
      </c>
      <c r="I7">
        <v>1.2190000000000001</v>
      </c>
      <c r="J7">
        <v>1.8160000000000001</v>
      </c>
      <c r="K7">
        <v>1.385</v>
      </c>
      <c r="L7">
        <v>2.95</v>
      </c>
      <c r="M7">
        <v>2.117</v>
      </c>
      <c r="N7">
        <v>0.97599999999999998</v>
      </c>
      <c r="O7">
        <v>0.64700000000000002</v>
      </c>
    </row>
    <row r="8" spans="1:15" x14ac:dyDescent="0.35">
      <c r="A8" t="s">
        <v>65</v>
      </c>
      <c r="B8">
        <v>0.14599999999999999</v>
      </c>
      <c r="C8">
        <v>1.361</v>
      </c>
      <c r="D8">
        <v>1.1539999999999999</v>
      </c>
      <c r="E8">
        <v>1.077</v>
      </c>
      <c r="F8">
        <v>0.99399999999999999</v>
      </c>
      <c r="G8">
        <v>1.266</v>
      </c>
      <c r="H8">
        <v>2.1560000000000001</v>
      </c>
      <c r="I8">
        <v>1.948</v>
      </c>
      <c r="J8">
        <v>2.9830000000000001</v>
      </c>
      <c r="K8">
        <v>2.4820000000000002</v>
      </c>
      <c r="L8">
        <v>5.819</v>
      </c>
      <c r="M8">
        <v>4.5529999999999999</v>
      </c>
      <c r="N8">
        <v>2.206</v>
      </c>
      <c r="O8">
        <v>2.5550000000000002</v>
      </c>
    </row>
    <row r="9" spans="1:15" x14ac:dyDescent="0.35">
      <c r="A9" t="s">
        <v>66</v>
      </c>
      <c r="B9">
        <v>1.3069999999999999</v>
      </c>
      <c r="C9">
        <v>1.3779999999999999</v>
      </c>
      <c r="D9">
        <v>1.367</v>
      </c>
      <c r="E9">
        <v>2.0819999999999999</v>
      </c>
      <c r="F9">
        <v>2.282</v>
      </c>
      <c r="G9">
        <v>1.3260000000000001</v>
      </c>
      <c r="H9">
        <v>1.601</v>
      </c>
      <c r="I9">
        <v>1.359</v>
      </c>
      <c r="J9">
        <v>1.8009999999999999</v>
      </c>
      <c r="K9">
        <v>1.27</v>
      </c>
      <c r="L9">
        <v>2.6219999999999999</v>
      </c>
      <c r="M9">
        <v>1.7669999999999999</v>
      </c>
      <c r="N9">
        <v>0.66500000000000004</v>
      </c>
      <c r="O9">
        <v>1.3320000000000001</v>
      </c>
    </row>
    <row r="10" spans="1:15" x14ac:dyDescent="0.35">
      <c r="A10" t="s">
        <v>67</v>
      </c>
      <c r="B10">
        <v>-57.774000000000001</v>
      </c>
      <c r="C10">
        <v>-64.953000000000003</v>
      </c>
      <c r="D10">
        <v>-22.225000000000001</v>
      </c>
      <c r="E10">
        <v>-55.954000000000001</v>
      </c>
      <c r="F10">
        <v>119.114</v>
      </c>
      <c r="G10">
        <v>6.5910000000000002</v>
      </c>
      <c r="H10">
        <v>12.516</v>
      </c>
      <c r="I10">
        <v>6.6970000000000001</v>
      </c>
      <c r="J10">
        <v>7.0259999999999998</v>
      </c>
      <c r="K10">
        <v>4.9039999999999999</v>
      </c>
      <c r="L10">
        <v>13.108000000000001</v>
      </c>
      <c r="M10">
        <v>11.211</v>
      </c>
      <c r="N10">
        <v>4.6150000000000002</v>
      </c>
      <c r="O10">
        <v>9.9960000000000004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D6F0B-B962-4B10-B155-ED1464B3FBB8}">
  <dimension ref="A1:R63"/>
  <sheetViews>
    <sheetView workbookViewId="0">
      <selection activeCell="D18" sqref="D18"/>
    </sheetView>
  </sheetViews>
  <sheetFormatPr defaultRowHeight="14.5" x14ac:dyDescent="0.35"/>
  <cols>
    <col min="1" max="1" width="47.1796875" bestFit="1" customWidth="1"/>
    <col min="2" max="2" width="14.1796875" bestFit="1" customWidth="1"/>
    <col min="3" max="15" width="12.453125" bestFit="1" customWidth="1"/>
    <col min="16" max="16" width="10.90625" bestFit="1" customWidth="1"/>
    <col min="17" max="17" width="13.54296875" bestFit="1" customWidth="1"/>
    <col min="18" max="18" width="12.453125" bestFit="1" customWidth="1"/>
  </cols>
  <sheetData>
    <row r="1" spans="1:18" x14ac:dyDescent="0.35">
      <c r="A1" t="s">
        <v>57</v>
      </c>
      <c r="B1" t="s">
        <v>58</v>
      </c>
      <c r="C1" s="28">
        <v>45291</v>
      </c>
      <c r="D1" s="28">
        <v>44926</v>
      </c>
      <c r="E1" s="28">
        <v>44561</v>
      </c>
      <c r="F1" s="28">
        <v>44196</v>
      </c>
      <c r="G1" s="28">
        <v>43830</v>
      </c>
      <c r="H1" s="28">
        <v>43465</v>
      </c>
      <c r="I1" s="28">
        <v>43100</v>
      </c>
      <c r="J1" s="28">
        <v>42735</v>
      </c>
      <c r="K1" s="28">
        <v>42369</v>
      </c>
      <c r="L1" s="28">
        <v>42004</v>
      </c>
      <c r="M1" s="28">
        <v>41639</v>
      </c>
      <c r="N1" s="28">
        <v>41274</v>
      </c>
      <c r="O1" s="28">
        <v>40908</v>
      </c>
      <c r="P1" s="28">
        <v>40543</v>
      </c>
      <c r="Q1" s="28">
        <v>40178</v>
      </c>
      <c r="R1" s="28">
        <v>39813</v>
      </c>
    </row>
    <row r="2" spans="1:18" x14ac:dyDescent="0.35">
      <c r="A2" t="s">
        <v>68</v>
      </c>
      <c r="B2" s="29">
        <v>5126729000</v>
      </c>
      <c r="C2" s="29">
        <v>5362549000</v>
      </c>
      <c r="D2" s="29">
        <v>5068447000</v>
      </c>
      <c r="E2" s="29">
        <v>3230775000</v>
      </c>
      <c r="F2" s="29">
        <v>1810022000</v>
      </c>
      <c r="G2" s="29">
        <v>3830536000</v>
      </c>
      <c r="H2" s="29">
        <v>3323034000</v>
      </c>
      <c r="I2" s="29">
        <v>2643552000</v>
      </c>
      <c r="J2" s="29">
        <v>2320021000</v>
      </c>
      <c r="K2" s="29">
        <v>2141463000</v>
      </c>
      <c r="L2" s="29">
        <v>1931580000</v>
      </c>
      <c r="M2" s="29">
        <v>1654385000</v>
      </c>
      <c r="N2" s="29">
        <v>1318388000</v>
      </c>
      <c r="O2" s="29">
        <v>1071186000</v>
      </c>
      <c r="P2" s="29">
        <v>781265000</v>
      </c>
      <c r="Q2" s="29">
        <v>700037000</v>
      </c>
      <c r="R2" s="29">
        <v>787257000</v>
      </c>
    </row>
    <row r="3" spans="1:18" x14ac:dyDescent="0.35">
      <c r="A3" t="s">
        <v>69</v>
      </c>
      <c r="B3" s="29">
        <v>5023740000</v>
      </c>
      <c r="C3" s="29">
        <v>5268161000</v>
      </c>
      <c r="D3" s="29">
        <v>4989365000</v>
      </c>
      <c r="E3" s="29">
        <v>3175802000</v>
      </c>
      <c r="F3" s="29">
        <v>1765533000</v>
      </c>
      <c r="G3" s="29">
        <v>3757605000</v>
      </c>
      <c r="H3" s="29">
        <v>3260015000</v>
      </c>
      <c r="I3" s="29">
        <v>2643552000</v>
      </c>
      <c r="J3" s="29">
        <v>2257801000</v>
      </c>
      <c r="K3" s="29">
        <v>2141463000</v>
      </c>
      <c r="L3" s="29">
        <v>1931580000</v>
      </c>
      <c r="M3" s="29">
        <v>1654385000</v>
      </c>
      <c r="N3" s="29">
        <v>1318388000</v>
      </c>
      <c r="O3" s="29">
        <v>1071186000</v>
      </c>
      <c r="P3" s="29">
        <v>781265000</v>
      </c>
      <c r="Q3" s="29">
        <v>700037000</v>
      </c>
      <c r="R3" s="29">
        <v>787257000</v>
      </c>
    </row>
    <row r="4" spans="1:18" x14ac:dyDescent="0.35">
      <c r="A4" t="s">
        <v>70</v>
      </c>
      <c r="B4" s="29">
        <v>4845110000</v>
      </c>
      <c r="C4" s="29">
        <v>4771680000</v>
      </c>
      <c r="D4" s="29">
        <v>4311800000</v>
      </c>
      <c r="E4" s="29">
        <v>2998719000</v>
      </c>
      <c r="F4" s="29">
        <v>2178036000</v>
      </c>
      <c r="G4" s="29">
        <v>2666220000</v>
      </c>
      <c r="H4" s="29">
        <v>2357082000</v>
      </c>
      <c r="I4" s="29">
        <v>1780638000</v>
      </c>
      <c r="J4" s="29">
        <v>1473101000</v>
      </c>
      <c r="K4" s="29">
        <v>1335919000</v>
      </c>
      <c r="L4" s="29">
        <v>1348187000</v>
      </c>
      <c r="M4" s="29">
        <v>1159327000</v>
      </c>
      <c r="N4" s="29">
        <v>967338000</v>
      </c>
      <c r="O4" s="29">
        <v>780844000</v>
      </c>
      <c r="P4" s="29">
        <v>586767000</v>
      </c>
      <c r="Q4" s="29">
        <v>340678000</v>
      </c>
      <c r="R4" s="29">
        <v>472267000</v>
      </c>
    </row>
    <row r="5" spans="1:18" x14ac:dyDescent="0.35">
      <c r="A5" t="s">
        <v>71</v>
      </c>
      <c r="B5" s="29">
        <v>1756069000</v>
      </c>
      <c r="C5" s="29">
        <v>1821165000</v>
      </c>
      <c r="D5" s="29">
        <v>1929969000</v>
      </c>
      <c r="E5" s="29">
        <v>913945000</v>
      </c>
      <c r="F5" s="29">
        <v>431000000</v>
      </c>
      <c r="G5" s="29">
        <v>993478000</v>
      </c>
      <c r="H5" s="29">
        <v>939324000</v>
      </c>
      <c r="I5" s="29">
        <v>615581000</v>
      </c>
      <c r="J5" s="29">
        <v>447553000</v>
      </c>
      <c r="K5" s="29">
        <v>461447000</v>
      </c>
      <c r="L5" s="29">
        <v>612909000</v>
      </c>
      <c r="M5" s="29">
        <v>551746000</v>
      </c>
      <c r="N5" s="29">
        <v>471763000</v>
      </c>
      <c r="O5" s="29">
        <v>388046000</v>
      </c>
      <c r="P5" s="29">
        <v>248206000</v>
      </c>
      <c r="Q5" s="29">
        <v>181107000</v>
      </c>
      <c r="R5" s="29">
        <v>299094000</v>
      </c>
    </row>
    <row r="6" spans="1:18" x14ac:dyDescent="0.35">
      <c r="A6" t="s">
        <v>72</v>
      </c>
      <c r="B6" s="29">
        <v>219468000</v>
      </c>
      <c r="C6" s="29">
        <v>223339000</v>
      </c>
      <c r="D6" s="29">
        <v>187820000</v>
      </c>
      <c r="E6" s="29">
        <v>159502000</v>
      </c>
      <c r="F6" s="29">
        <v>111227000</v>
      </c>
      <c r="G6" s="29">
        <v>143575000</v>
      </c>
      <c r="H6" s="29">
        <v>129078000</v>
      </c>
      <c r="I6" s="29">
        <v>110439000</v>
      </c>
      <c r="J6" s="29">
        <v>98587000</v>
      </c>
      <c r="K6" s="29">
        <v>80448000</v>
      </c>
      <c r="L6" s="29">
        <v>73956000</v>
      </c>
      <c r="M6" s="29">
        <v>60143000</v>
      </c>
      <c r="N6" s="29">
        <v>49460000</v>
      </c>
      <c r="O6" s="29">
        <v>34017000</v>
      </c>
      <c r="P6" s="29">
        <v>27035000</v>
      </c>
      <c r="Q6" s="29">
        <v>27536000</v>
      </c>
      <c r="R6" s="29">
        <v>24237000</v>
      </c>
    </row>
    <row r="7" spans="1:18" x14ac:dyDescent="0.35">
      <c r="A7" t="s">
        <v>73</v>
      </c>
      <c r="B7" s="29">
        <v>871628000</v>
      </c>
      <c r="C7" s="29">
        <v>789501000</v>
      </c>
      <c r="D7" s="29">
        <v>629696000</v>
      </c>
      <c r="E7" s="29">
        <v>562600000</v>
      </c>
      <c r="F7" s="29">
        <v>447387000</v>
      </c>
      <c r="G7" s="29">
        <v>438884000</v>
      </c>
      <c r="H7" s="29">
        <v>392318000</v>
      </c>
      <c r="I7" s="29">
        <v>386507000</v>
      </c>
      <c r="J7" s="29">
        <v>353354000</v>
      </c>
      <c r="K7" s="29">
        <v>342608000</v>
      </c>
      <c r="L7" s="29">
        <v>300942000</v>
      </c>
      <c r="M7" s="29">
        <v>253341000</v>
      </c>
      <c r="N7" s="29">
        <v>211940000</v>
      </c>
      <c r="O7" s="29">
        <v>169279000</v>
      </c>
      <c r="P7" s="29">
        <v>149463000</v>
      </c>
      <c r="Q7" s="29">
        <v>132035000</v>
      </c>
      <c r="R7" s="29">
        <v>148936000</v>
      </c>
    </row>
    <row r="8" spans="1:18" x14ac:dyDescent="0.35">
      <c r="A8" t="s">
        <v>74</v>
      </c>
      <c r="B8" s="29">
        <v>328171000</v>
      </c>
      <c r="C8" s="29">
        <v>320872000</v>
      </c>
      <c r="D8" s="29">
        <v>313090000</v>
      </c>
      <c r="E8" s="29">
        <v>297211000</v>
      </c>
      <c r="F8" s="29">
        <v>278588000</v>
      </c>
      <c r="G8" s="29">
        <v>225264000</v>
      </c>
      <c r="H8" s="29">
        <v>176727000</v>
      </c>
      <c r="I8" s="29">
        <v>140152000</v>
      </c>
      <c r="J8" s="29">
        <v>101136000</v>
      </c>
      <c r="K8" s="29">
        <v>73908000</v>
      </c>
      <c r="L8" s="29">
        <v>46971000</v>
      </c>
      <c r="M8" s="29">
        <v>31947000</v>
      </c>
      <c r="N8" s="29">
        <v>15256000</v>
      </c>
      <c r="O8" s="29">
        <v>7760000</v>
      </c>
      <c r="P8" s="29">
        <v>5620000</v>
      </c>
    </row>
    <row r="9" spans="1:18" x14ac:dyDescent="0.35">
      <c r="A9" t="s">
        <v>75</v>
      </c>
      <c r="B9" s="29">
        <v>1669774000</v>
      </c>
      <c r="C9" s="29">
        <v>1616803000</v>
      </c>
      <c r="D9" s="29">
        <v>1251225000</v>
      </c>
      <c r="E9" s="29">
        <v>1065461000</v>
      </c>
      <c r="F9" s="29">
        <v>909834000</v>
      </c>
      <c r="G9" s="29">
        <v>865019000</v>
      </c>
      <c r="H9" s="29">
        <v>719635000</v>
      </c>
      <c r="I9" s="29">
        <v>527959000</v>
      </c>
      <c r="J9" s="29">
        <v>472471000</v>
      </c>
      <c r="K9" s="29">
        <v>377508000</v>
      </c>
      <c r="L9" s="29">
        <v>313409000</v>
      </c>
      <c r="M9" s="29">
        <v>262150000</v>
      </c>
      <c r="N9" s="29">
        <v>218919000</v>
      </c>
      <c r="O9" s="29">
        <v>181742000</v>
      </c>
      <c r="P9" s="29">
        <v>156443000</v>
      </c>
      <c r="Q9" s="29">
        <v>117510000</v>
      </c>
    </row>
    <row r="10" spans="1:18" x14ac:dyDescent="0.35">
      <c r="A10" t="s">
        <v>76</v>
      </c>
      <c r="B10" s="29">
        <v>281619000</v>
      </c>
      <c r="C10" s="29">
        <v>590869000</v>
      </c>
      <c r="D10" s="29">
        <v>756647000</v>
      </c>
      <c r="E10" s="29">
        <v>232056000</v>
      </c>
      <c r="F10" s="29">
        <v>-368014000</v>
      </c>
      <c r="G10" s="29">
        <v>1164316000</v>
      </c>
      <c r="H10" s="29">
        <v>965952000</v>
      </c>
      <c r="I10" s="29">
        <v>862914000</v>
      </c>
      <c r="J10" s="29">
        <v>846920000</v>
      </c>
      <c r="K10" s="29">
        <v>805544000</v>
      </c>
      <c r="L10" s="29">
        <v>583393000</v>
      </c>
      <c r="M10" s="29">
        <v>495058000</v>
      </c>
      <c r="N10" s="29">
        <v>351050000</v>
      </c>
      <c r="O10" s="29">
        <v>290342000</v>
      </c>
      <c r="P10" s="29">
        <v>194498000</v>
      </c>
      <c r="Q10" s="29">
        <v>359359000</v>
      </c>
      <c r="R10" s="29">
        <v>314990000</v>
      </c>
    </row>
    <row r="11" spans="1:18" x14ac:dyDescent="0.35">
      <c r="A11" t="s">
        <v>77</v>
      </c>
      <c r="B11" s="29">
        <v>964594000</v>
      </c>
      <c r="C11" s="29">
        <v>983123000</v>
      </c>
      <c r="D11" s="29">
        <v>888768000</v>
      </c>
      <c r="E11" s="29">
        <v>663325000</v>
      </c>
      <c r="F11" s="29">
        <v>440245000</v>
      </c>
      <c r="G11" s="29">
        <v>645202000</v>
      </c>
      <c r="H11" s="29">
        <v>516537000</v>
      </c>
      <c r="I11" s="29">
        <v>461292000</v>
      </c>
      <c r="J11" s="29">
        <v>364086000</v>
      </c>
      <c r="K11" s="29">
        <v>294145000</v>
      </c>
      <c r="L11" s="29">
        <v>225077000</v>
      </c>
      <c r="M11" s="29">
        <v>212067000</v>
      </c>
      <c r="N11" s="29">
        <v>184554000</v>
      </c>
      <c r="O11" s="29">
        <v>142521000</v>
      </c>
      <c r="P11" s="29">
        <v>124927000</v>
      </c>
      <c r="Q11" s="29">
        <v>174411000</v>
      </c>
      <c r="R11" s="29">
        <v>189067000</v>
      </c>
    </row>
    <row r="12" spans="1:18" x14ac:dyDescent="0.35">
      <c r="A12" t="s">
        <v>78</v>
      </c>
      <c r="B12" s="29">
        <v>183272000</v>
      </c>
      <c r="C12" s="29">
        <v>190891000</v>
      </c>
      <c r="D12" s="29">
        <v>177557000</v>
      </c>
      <c r="E12" s="29">
        <v>132499000</v>
      </c>
      <c r="F12" s="29">
        <v>85059000</v>
      </c>
      <c r="G12" s="29">
        <v>153770000</v>
      </c>
      <c r="H12" s="29">
        <v>137001000</v>
      </c>
      <c r="I12" s="29">
        <v>113472000</v>
      </c>
      <c r="J12" s="29">
        <v>96895000</v>
      </c>
      <c r="K12" s="29">
        <v>86576000</v>
      </c>
      <c r="L12" s="29">
        <v>74823000</v>
      </c>
      <c r="M12" s="29">
        <v>67481000</v>
      </c>
      <c r="N12" s="29">
        <v>56668000</v>
      </c>
      <c r="O12" s="29">
        <v>51349000</v>
      </c>
      <c r="P12" s="29">
        <v>41179000</v>
      </c>
      <c r="Q12" s="29">
        <v>169487000</v>
      </c>
      <c r="R12" s="29">
        <v>184831000</v>
      </c>
    </row>
    <row r="13" spans="1:18" x14ac:dyDescent="0.35">
      <c r="A13" t="s">
        <v>79</v>
      </c>
      <c r="O13" s="29">
        <v>181742000</v>
      </c>
      <c r="P13" s="29">
        <v>156443000</v>
      </c>
      <c r="Q13" s="29">
        <v>135420000</v>
      </c>
      <c r="R13" s="29">
        <v>147015000</v>
      </c>
    </row>
    <row r="14" spans="1:18" x14ac:dyDescent="0.35">
      <c r="A14" t="s">
        <v>80</v>
      </c>
      <c r="O14" s="29">
        <v>181742000</v>
      </c>
      <c r="P14" s="29">
        <v>156443000</v>
      </c>
      <c r="Q14" s="29">
        <v>135420000</v>
      </c>
      <c r="R14" s="29">
        <v>147015000</v>
      </c>
    </row>
    <row r="15" spans="1:18" x14ac:dyDescent="0.35">
      <c r="A15" t="s">
        <v>81</v>
      </c>
      <c r="Q15" s="29">
        <v>72921000</v>
      </c>
    </row>
    <row r="16" spans="1:18" x14ac:dyDescent="0.35">
      <c r="A16" t="s">
        <v>82</v>
      </c>
      <c r="B16" s="29">
        <v>183272000</v>
      </c>
      <c r="C16" s="29">
        <v>190891000</v>
      </c>
      <c r="D16" s="29">
        <v>177557000</v>
      </c>
      <c r="E16" s="29">
        <v>132499000</v>
      </c>
      <c r="F16" s="29">
        <v>85059000</v>
      </c>
      <c r="G16" s="29">
        <v>153770000</v>
      </c>
      <c r="H16" s="29">
        <v>137001000</v>
      </c>
      <c r="I16" s="29">
        <v>113472000</v>
      </c>
      <c r="J16" s="29">
        <v>96895000</v>
      </c>
      <c r="K16" s="29">
        <v>86576000</v>
      </c>
      <c r="L16" s="29">
        <v>74823000</v>
      </c>
      <c r="M16" s="29">
        <v>67481000</v>
      </c>
      <c r="N16" s="29">
        <v>56668000</v>
      </c>
      <c r="O16" s="29">
        <v>51349000</v>
      </c>
      <c r="P16" s="29">
        <v>41179000</v>
      </c>
      <c r="Q16" s="29">
        <v>34067000</v>
      </c>
      <c r="R16" s="29">
        <v>37816000</v>
      </c>
    </row>
    <row r="17" spans="1:18" x14ac:dyDescent="0.35">
      <c r="A17" t="s">
        <v>83</v>
      </c>
      <c r="O17" s="29">
        <v>7760000</v>
      </c>
      <c r="P17" s="29">
        <v>5620000</v>
      </c>
      <c r="Q17" s="29">
        <v>4924000</v>
      </c>
      <c r="R17" s="29">
        <v>4236000</v>
      </c>
    </row>
    <row r="18" spans="1:18" x14ac:dyDescent="0.35">
      <c r="A18" t="s">
        <v>84</v>
      </c>
      <c r="O18" s="29">
        <v>7760000</v>
      </c>
      <c r="P18" s="29">
        <v>5620000</v>
      </c>
      <c r="Q18" s="29">
        <v>4924000</v>
      </c>
      <c r="R18" s="29">
        <v>4236000</v>
      </c>
    </row>
    <row r="19" spans="1:18" x14ac:dyDescent="0.35">
      <c r="A19" t="s">
        <v>85</v>
      </c>
      <c r="O19" s="29">
        <v>5186000</v>
      </c>
      <c r="P19" s="29">
        <v>4313000</v>
      </c>
      <c r="Q19" s="29">
        <v>3901000</v>
      </c>
      <c r="R19" s="29">
        <v>4236000</v>
      </c>
    </row>
    <row r="20" spans="1:18" x14ac:dyDescent="0.35">
      <c r="A20" t="s">
        <v>86</v>
      </c>
      <c r="O20" s="29">
        <v>2574000</v>
      </c>
      <c r="P20" s="29">
        <v>1307000</v>
      </c>
      <c r="Q20" s="29">
        <v>1023000</v>
      </c>
      <c r="R20">
        <v>0</v>
      </c>
    </row>
    <row r="21" spans="1:18" x14ac:dyDescent="0.35">
      <c r="A21" t="s">
        <v>87</v>
      </c>
      <c r="O21" s="29">
        <v>2574000</v>
      </c>
      <c r="P21" s="29">
        <v>1307000</v>
      </c>
      <c r="Q21" s="29">
        <v>1023000</v>
      </c>
      <c r="R21">
        <v>0</v>
      </c>
    </row>
    <row r="22" spans="1:18" x14ac:dyDescent="0.35">
      <c r="A22" t="s">
        <v>88</v>
      </c>
      <c r="B22" s="29">
        <v>781322000</v>
      </c>
      <c r="C22" s="29">
        <v>792232000</v>
      </c>
      <c r="D22" s="29">
        <v>711211000</v>
      </c>
      <c r="E22" s="29">
        <v>530826000</v>
      </c>
      <c r="F22" s="29">
        <v>355186000</v>
      </c>
      <c r="G22" s="29">
        <v>491432000</v>
      </c>
      <c r="H22" s="29">
        <v>379536000</v>
      </c>
      <c r="I22" s="29">
        <v>347820000</v>
      </c>
      <c r="J22" s="29">
        <v>267191000</v>
      </c>
      <c r="K22" s="29">
        <v>207569000</v>
      </c>
      <c r="L22" s="29">
        <v>150254000</v>
      </c>
      <c r="M22" s="29">
        <v>144586000</v>
      </c>
      <c r="N22" s="29">
        <v>127886000</v>
      </c>
      <c r="O22" s="29">
        <v>91172000</v>
      </c>
      <c r="P22" s="29">
        <v>83748000</v>
      </c>
    </row>
    <row r="23" spans="1:18" x14ac:dyDescent="0.35">
      <c r="A23" t="s">
        <v>89</v>
      </c>
      <c r="B23" s="29">
        <v>-682975000</v>
      </c>
      <c r="C23" s="29">
        <v>-392254000</v>
      </c>
      <c r="D23" s="29">
        <v>-132121000</v>
      </c>
      <c r="E23" s="29">
        <v>-431269000</v>
      </c>
      <c r="F23" s="29">
        <v>-808259000</v>
      </c>
      <c r="G23" s="29">
        <v>519114000</v>
      </c>
      <c r="H23" s="29">
        <v>449415000</v>
      </c>
      <c r="I23" s="29">
        <v>401622000</v>
      </c>
      <c r="J23" s="29">
        <v>482834000</v>
      </c>
      <c r="K23" s="29">
        <v>511399000</v>
      </c>
      <c r="L23" s="29">
        <v>358316000</v>
      </c>
      <c r="M23" s="29">
        <v>282991000</v>
      </c>
      <c r="N23" s="29">
        <v>166496000</v>
      </c>
      <c r="O23" s="29">
        <v>147821000</v>
      </c>
      <c r="P23" s="29">
        <v>69571000</v>
      </c>
      <c r="Q23" s="29">
        <v>184948000</v>
      </c>
      <c r="R23" s="29">
        <v>125923000</v>
      </c>
    </row>
    <row r="24" spans="1:18" x14ac:dyDescent="0.35">
      <c r="A24" t="s">
        <v>90</v>
      </c>
      <c r="B24" s="29">
        <v>-108664000</v>
      </c>
      <c r="C24" s="29">
        <v>-74184000</v>
      </c>
      <c r="D24" s="29">
        <v>-97004000</v>
      </c>
      <c r="E24" s="29">
        <v>-131239000</v>
      </c>
      <c r="F24" s="29">
        <v>-112211000</v>
      </c>
      <c r="G24" s="29">
        <v>-63746000</v>
      </c>
      <c r="H24" s="29">
        <v>-54829000</v>
      </c>
      <c r="I24" s="29">
        <v>-34773000</v>
      </c>
      <c r="J24" s="29">
        <v>-23673000</v>
      </c>
      <c r="K24" s="29">
        <v>-6704000</v>
      </c>
      <c r="L24" s="29">
        <v>336000</v>
      </c>
      <c r="M24" s="29">
        <v>401000</v>
      </c>
      <c r="N24" s="29">
        <v>925000</v>
      </c>
      <c r="O24" s="29">
        <v>-21316000</v>
      </c>
      <c r="P24" s="29">
        <v>-48494000</v>
      </c>
      <c r="Q24" s="29">
        <v>-45596000</v>
      </c>
      <c r="R24" s="29">
        <v>-38103000</v>
      </c>
    </row>
    <row r="25" spans="1:18" x14ac:dyDescent="0.35">
      <c r="A25" t="s">
        <v>91</v>
      </c>
      <c r="B25" s="29">
        <v>52747000</v>
      </c>
      <c r="C25" s="29">
        <v>65425000</v>
      </c>
      <c r="D25" s="29">
        <v>20151000</v>
      </c>
      <c r="E25" s="29">
        <v>5374000</v>
      </c>
      <c r="F25" s="29">
        <v>6314000</v>
      </c>
      <c r="G25" s="29">
        <v>25133000</v>
      </c>
      <c r="H25" s="29">
        <v>19107000</v>
      </c>
      <c r="I25" s="29">
        <v>8736000</v>
      </c>
      <c r="J25" s="29">
        <v>5276000</v>
      </c>
      <c r="K25" s="29">
        <v>2125000</v>
      </c>
      <c r="L25" s="29">
        <v>336000</v>
      </c>
      <c r="M25" s="29">
        <v>401000</v>
      </c>
      <c r="N25" s="29">
        <v>925000</v>
      </c>
      <c r="O25" s="29">
        <v>575000</v>
      </c>
      <c r="P25" s="29">
        <v>328000</v>
      </c>
      <c r="Q25" s="29">
        <v>345000</v>
      </c>
      <c r="R25" s="29">
        <v>1976000</v>
      </c>
    </row>
    <row r="26" spans="1:18" x14ac:dyDescent="0.35">
      <c r="A26" t="s">
        <v>92</v>
      </c>
      <c r="B26" s="29">
        <v>145055000</v>
      </c>
      <c r="C26" s="29">
        <v>122501000</v>
      </c>
      <c r="D26" s="29">
        <v>100789000</v>
      </c>
      <c r="E26" s="29">
        <v>121088000</v>
      </c>
      <c r="F26" s="29">
        <v>118525000</v>
      </c>
      <c r="G26" s="29">
        <v>88879000</v>
      </c>
      <c r="H26" s="29">
        <v>73936000</v>
      </c>
      <c r="I26" s="29">
        <v>43509000</v>
      </c>
      <c r="J26" s="29">
        <v>28949000</v>
      </c>
      <c r="K26" s="29">
        <v>8829000</v>
      </c>
      <c r="L26">
        <v>0</v>
      </c>
      <c r="M26">
        <v>0</v>
      </c>
      <c r="N26">
        <v>0</v>
      </c>
      <c r="O26" s="29">
        <v>21891000</v>
      </c>
      <c r="P26" s="29">
        <v>48822000</v>
      </c>
      <c r="Q26" s="29">
        <v>45941000</v>
      </c>
      <c r="R26" s="29">
        <v>40079000</v>
      </c>
    </row>
    <row r="27" spans="1:18" x14ac:dyDescent="0.35">
      <c r="A27" t="s">
        <v>93</v>
      </c>
      <c r="B27" s="29">
        <v>16356000</v>
      </c>
      <c r="C27" s="29">
        <v>17108000</v>
      </c>
      <c r="D27" s="29">
        <v>16366000</v>
      </c>
      <c r="E27" s="29">
        <v>15525000</v>
      </c>
      <c r="F27" s="29">
        <v>11857000</v>
      </c>
      <c r="G27" s="29">
        <v>10931000</v>
      </c>
      <c r="H27" s="29">
        <v>7331000</v>
      </c>
    </row>
    <row r="28" spans="1:18" x14ac:dyDescent="0.35">
      <c r="A28" t="s">
        <v>94</v>
      </c>
      <c r="B28" s="29">
        <v>13028000</v>
      </c>
      <c r="C28" s="29">
        <v>-92157000</v>
      </c>
      <c r="D28" s="29">
        <v>-471614000</v>
      </c>
      <c r="E28" s="29">
        <v>42188000</v>
      </c>
      <c r="F28" s="29">
        <v>300286000</v>
      </c>
      <c r="G28" s="29">
        <v>-18942000</v>
      </c>
      <c r="H28" s="29">
        <v>-189610000</v>
      </c>
      <c r="I28" s="29">
        <v>-17163000</v>
      </c>
      <c r="J28" s="29">
        <v>-41904000</v>
      </c>
      <c r="K28" s="29">
        <v>-2292000</v>
      </c>
      <c r="L28" s="29">
        <v>-5658000</v>
      </c>
      <c r="M28" s="29">
        <v>-982000</v>
      </c>
      <c r="N28" s="29">
        <v>7163000</v>
      </c>
      <c r="O28" s="29">
        <v>-3674000</v>
      </c>
      <c r="P28" s="29">
        <v>-892000</v>
      </c>
      <c r="Q28" s="29">
        <v>-54126000</v>
      </c>
      <c r="R28" s="29">
        <v>-54173000</v>
      </c>
    </row>
    <row r="29" spans="1:18" x14ac:dyDescent="0.35">
      <c r="A29" t="s">
        <v>95</v>
      </c>
      <c r="B29" s="29">
        <v>-50040000</v>
      </c>
      <c r="C29" s="29">
        <v>-88092000</v>
      </c>
      <c r="D29" s="29">
        <v>-466796000</v>
      </c>
      <c r="E29" s="29">
        <v>42765000</v>
      </c>
      <c r="F29" s="29">
        <v>300497000</v>
      </c>
      <c r="G29" s="29">
        <v>-18067000</v>
      </c>
      <c r="H29" s="29">
        <v>-188858000</v>
      </c>
      <c r="I29" s="29">
        <v>-16797000</v>
      </c>
      <c r="J29" s="29">
        <v>-41376000</v>
      </c>
      <c r="K29" s="29">
        <v>-2277000</v>
      </c>
      <c r="L29" s="29">
        <v>-3053000</v>
      </c>
      <c r="M29" s="29">
        <v>-699000</v>
      </c>
      <c r="N29" s="29">
        <v>7494000</v>
      </c>
      <c r="O29" s="29">
        <v>-3439000</v>
      </c>
      <c r="P29" s="29">
        <v>-698000</v>
      </c>
      <c r="Q29" s="29">
        <v>-54126000</v>
      </c>
      <c r="R29" s="29">
        <v>-54173000</v>
      </c>
    </row>
    <row r="30" spans="1:18" x14ac:dyDescent="0.35">
      <c r="A30" t="s">
        <v>96</v>
      </c>
      <c r="P30" s="29">
        <v>621000</v>
      </c>
      <c r="Q30" s="29">
        <v>-392000</v>
      </c>
      <c r="R30" s="29">
        <v>17902000</v>
      </c>
    </row>
    <row r="31" spans="1:18" x14ac:dyDescent="0.35">
      <c r="A31" t="s">
        <v>97</v>
      </c>
      <c r="Q31" s="29">
        <v>19711000</v>
      </c>
    </row>
    <row r="32" spans="1:18" x14ac:dyDescent="0.35">
      <c r="A32" t="s">
        <v>98</v>
      </c>
      <c r="B32" s="29">
        <v>41052000</v>
      </c>
      <c r="C32" s="29">
        <v>54126000</v>
      </c>
      <c r="D32" s="29">
        <v>420172000</v>
      </c>
      <c r="E32" s="29">
        <v>-46085000</v>
      </c>
      <c r="F32" s="29">
        <v>-302761000</v>
      </c>
      <c r="G32" s="29">
        <v>717000</v>
      </c>
      <c r="H32" s="29">
        <v>179278000</v>
      </c>
      <c r="I32" s="29">
        <v>12629000</v>
      </c>
      <c r="J32" s="29">
        <v>37189000</v>
      </c>
      <c r="K32" s="29">
        <v>673000</v>
      </c>
      <c r="L32" s="29">
        <v>45000</v>
      </c>
      <c r="M32" s="29">
        <v>174000</v>
      </c>
      <c r="N32" s="29">
        <v>-8450000</v>
      </c>
      <c r="O32" s="29">
        <v>3184000</v>
      </c>
      <c r="P32" s="29">
        <v>621000</v>
      </c>
      <c r="Q32" s="29">
        <v>54126000</v>
      </c>
      <c r="R32" s="29">
        <v>36271000</v>
      </c>
    </row>
    <row r="33" spans="1:18" x14ac:dyDescent="0.35">
      <c r="A33" t="s">
        <v>99</v>
      </c>
      <c r="B33" s="29">
        <v>-8988000</v>
      </c>
      <c r="C33" s="29">
        <v>-33966000</v>
      </c>
      <c r="D33" s="29">
        <v>-46624000</v>
      </c>
      <c r="E33" s="29">
        <v>-3320000</v>
      </c>
      <c r="F33" s="29">
        <v>-2264000</v>
      </c>
      <c r="G33" s="29">
        <v>-17350000</v>
      </c>
      <c r="H33" s="29">
        <v>-9580000</v>
      </c>
      <c r="I33" s="29">
        <v>-4168000</v>
      </c>
      <c r="J33" s="29">
        <v>-4187000</v>
      </c>
      <c r="K33" s="29">
        <v>-1604000</v>
      </c>
      <c r="L33" s="29">
        <v>-3008000</v>
      </c>
      <c r="M33" s="29">
        <v>-525000</v>
      </c>
      <c r="N33" s="29">
        <v>-956000</v>
      </c>
      <c r="O33" s="29">
        <v>-255000</v>
      </c>
      <c r="P33" s="29">
        <v>-77000</v>
      </c>
    </row>
    <row r="34" spans="1:18" x14ac:dyDescent="0.35">
      <c r="A34" t="s">
        <v>100</v>
      </c>
      <c r="B34" s="29">
        <v>63068000</v>
      </c>
      <c r="C34" s="29">
        <v>-4065000</v>
      </c>
      <c r="D34" s="29">
        <v>-4818000</v>
      </c>
      <c r="E34" s="29">
        <v>-577000</v>
      </c>
      <c r="F34" s="29">
        <v>-211000</v>
      </c>
      <c r="G34" s="29">
        <v>-875000</v>
      </c>
      <c r="H34" s="29">
        <v>-752000</v>
      </c>
      <c r="I34" s="29">
        <v>-366000</v>
      </c>
      <c r="J34" s="29">
        <v>-528000</v>
      </c>
      <c r="K34" s="29">
        <v>-15000</v>
      </c>
      <c r="L34" s="29">
        <v>-2605000</v>
      </c>
      <c r="M34" s="29">
        <v>-283000</v>
      </c>
      <c r="N34" s="29">
        <v>-331000</v>
      </c>
      <c r="O34" s="29">
        <v>-235000</v>
      </c>
      <c r="P34" s="29">
        <v>-194000</v>
      </c>
    </row>
    <row r="35" spans="1:18" x14ac:dyDescent="0.35">
      <c r="A35" t="s">
        <v>101</v>
      </c>
      <c r="B35" s="29">
        <v>-778612000</v>
      </c>
      <c r="C35" s="29">
        <v>-558595000</v>
      </c>
      <c r="D35" s="29">
        <v>-700739000</v>
      </c>
      <c r="E35" s="29">
        <v>-520320000</v>
      </c>
      <c r="F35" s="29">
        <v>-620184000</v>
      </c>
      <c r="G35" s="29">
        <v>436426000</v>
      </c>
      <c r="H35" s="29">
        <v>204976000</v>
      </c>
      <c r="I35" s="29">
        <v>349686000</v>
      </c>
      <c r="J35" s="29">
        <v>417257000</v>
      </c>
      <c r="K35" s="29">
        <v>502403000</v>
      </c>
      <c r="L35" s="29">
        <v>352994000</v>
      </c>
      <c r="M35" s="29">
        <v>282410000</v>
      </c>
      <c r="N35" s="29">
        <v>174584000</v>
      </c>
      <c r="O35" s="29">
        <v>122831000</v>
      </c>
      <c r="P35" s="29">
        <v>20185000</v>
      </c>
      <c r="Q35" s="29">
        <v>85226000</v>
      </c>
      <c r="R35" s="29">
        <v>33647000</v>
      </c>
    </row>
    <row r="36" spans="1:18" x14ac:dyDescent="0.35">
      <c r="A36" t="s">
        <v>102</v>
      </c>
      <c r="B36" s="29">
        <v>-101846000</v>
      </c>
      <c r="C36" s="29">
        <v>-111131000</v>
      </c>
      <c r="D36" s="29">
        <v>-146589000</v>
      </c>
      <c r="E36" s="29">
        <v>-47751000</v>
      </c>
      <c r="F36" s="29">
        <v>-191484000</v>
      </c>
      <c r="G36" s="29">
        <v>101171000</v>
      </c>
      <c r="H36" s="29">
        <v>49227000</v>
      </c>
      <c r="I36" s="29">
        <v>-65836000</v>
      </c>
      <c r="J36" s="29">
        <v>153774000</v>
      </c>
      <c r="K36" s="29">
        <v>185183000</v>
      </c>
      <c r="L36" s="29">
        <v>127530000</v>
      </c>
      <c r="M36" s="29">
        <v>105492000</v>
      </c>
      <c r="N36" s="29">
        <v>66124000</v>
      </c>
      <c r="O36" s="29">
        <v>46383000</v>
      </c>
      <c r="P36" s="29">
        <v>-52296000</v>
      </c>
      <c r="Q36" s="29">
        <v>1533000</v>
      </c>
      <c r="R36" s="29">
        <v>388000</v>
      </c>
    </row>
    <row r="37" spans="1:18" x14ac:dyDescent="0.35">
      <c r="A37" t="s">
        <v>103</v>
      </c>
      <c r="B37" s="29">
        <v>-676766000</v>
      </c>
      <c r="C37" s="29">
        <v>-447464000</v>
      </c>
      <c r="D37" s="29">
        <v>-554150000</v>
      </c>
      <c r="E37" s="29">
        <v>-472569000</v>
      </c>
      <c r="F37" s="29">
        <v>-428700000</v>
      </c>
      <c r="G37" s="29">
        <v>335255000</v>
      </c>
      <c r="H37" s="29">
        <v>155749000</v>
      </c>
      <c r="I37" s="29">
        <v>415522000</v>
      </c>
      <c r="J37" s="29">
        <v>263483000</v>
      </c>
      <c r="K37" s="29">
        <v>317220000</v>
      </c>
      <c r="L37" s="29">
        <v>225464000</v>
      </c>
      <c r="M37" s="29">
        <v>176918000</v>
      </c>
      <c r="N37" s="29">
        <v>108460000</v>
      </c>
      <c r="O37" s="29">
        <v>76448000</v>
      </c>
      <c r="P37" s="29">
        <v>72481000</v>
      </c>
      <c r="Q37" s="29">
        <v>83693000</v>
      </c>
      <c r="R37" s="29">
        <v>33259000</v>
      </c>
    </row>
    <row r="38" spans="1:18" x14ac:dyDescent="0.35">
      <c r="A38" t="s">
        <v>104</v>
      </c>
      <c r="B38" s="29">
        <v>-676766000</v>
      </c>
      <c r="C38" s="29">
        <v>-447464000</v>
      </c>
      <c r="D38" s="29">
        <v>-554150000</v>
      </c>
      <c r="E38" s="29">
        <v>-472569000</v>
      </c>
      <c r="F38" s="29">
        <v>-428700000</v>
      </c>
      <c r="G38" s="29">
        <v>335255000</v>
      </c>
      <c r="H38" s="29">
        <v>155749000</v>
      </c>
      <c r="I38" s="29">
        <v>415522000</v>
      </c>
      <c r="J38" s="29">
        <v>263483000</v>
      </c>
      <c r="K38" s="29">
        <v>317220000</v>
      </c>
      <c r="L38" s="29">
        <v>225464000</v>
      </c>
      <c r="M38" s="29">
        <v>176918000</v>
      </c>
      <c r="N38" s="29">
        <v>108460000</v>
      </c>
      <c r="O38" s="29">
        <v>76448000</v>
      </c>
      <c r="P38" s="29">
        <v>72481000</v>
      </c>
      <c r="Q38" s="29">
        <v>83693000</v>
      </c>
      <c r="R38" s="29">
        <v>33259000</v>
      </c>
    </row>
    <row r="39" spans="1:18" x14ac:dyDescent="0.35">
      <c r="A39" t="s">
        <v>105</v>
      </c>
      <c r="B39" s="29">
        <v>-676766000</v>
      </c>
      <c r="C39" s="29">
        <v>-447464000</v>
      </c>
      <c r="D39" s="29">
        <v>-554150000</v>
      </c>
      <c r="E39" s="29">
        <v>-472569000</v>
      </c>
      <c r="F39" s="29">
        <v>-428700000</v>
      </c>
      <c r="G39" s="29">
        <v>335255000</v>
      </c>
      <c r="H39" s="29">
        <v>155749000</v>
      </c>
      <c r="I39" s="29">
        <v>415522000</v>
      </c>
      <c r="J39" s="29">
        <v>263483000</v>
      </c>
      <c r="K39" s="29">
        <v>317220000</v>
      </c>
      <c r="L39" s="29">
        <v>225464000</v>
      </c>
      <c r="M39" s="29">
        <v>176918000</v>
      </c>
      <c r="N39" s="29">
        <v>108460000</v>
      </c>
      <c r="O39" s="29">
        <v>76448000</v>
      </c>
      <c r="P39" s="29">
        <v>72481000</v>
      </c>
      <c r="Q39" s="29">
        <v>83693000</v>
      </c>
      <c r="R39" s="29">
        <v>33259000</v>
      </c>
    </row>
    <row r="40" spans="1:18" x14ac:dyDescent="0.35">
      <c r="A40" t="s">
        <v>106</v>
      </c>
      <c r="B40" s="29">
        <v>-676766000</v>
      </c>
      <c r="C40" s="29">
        <v>-447464000</v>
      </c>
      <c r="D40" s="29">
        <v>-554150000</v>
      </c>
      <c r="E40" s="29">
        <v>-472569000</v>
      </c>
      <c r="F40" s="29">
        <v>-428700000</v>
      </c>
      <c r="G40" s="29">
        <v>335255000</v>
      </c>
      <c r="H40" s="29">
        <v>155749000</v>
      </c>
      <c r="I40" s="29">
        <v>415522000</v>
      </c>
      <c r="J40" s="29">
        <v>263483000</v>
      </c>
      <c r="K40" s="29">
        <v>317220000</v>
      </c>
      <c r="L40" s="29">
        <v>225464000</v>
      </c>
      <c r="M40" s="29">
        <v>176918000</v>
      </c>
      <c r="N40" s="29">
        <v>108460000</v>
      </c>
      <c r="O40" s="29">
        <v>76448000</v>
      </c>
      <c r="P40" s="29">
        <v>72481000</v>
      </c>
      <c r="Q40" s="29">
        <v>83693000</v>
      </c>
      <c r="R40" s="29">
        <v>33259000</v>
      </c>
    </row>
    <row r="41" spans="1:18" x14ac:dyDescent="0.35">
      <c r="A41" t="s">
        <v>107</v>
      </c>
      <c r="B41" s="29">
        <v>-676766000</v>
      </c>
      <c r="C41" s="29">
        <v>-447464000</v>
      </c>
      <c r="D41" s="29">
        <v>-554150000</v>
      </c>
      <c r="E41" s="29">
        <v>-472569000</v>
      </c>
      <c r="F41" s="29">
        <v>-428700000</v>
      </c>
      <c r="G41" s="29">
        <v>335255000</v>
      </c>
      <c r="H41" s="29">
        <v>155749000</v>
      </c>
      <c r="I41" s="29">
        <v>415522000</v>
      </c>
      <c r="J41" s="29">
        <v>263483000</v>
      </c>
      <c r="K41" s="29">
        <v>317220000</v>
      </c>
      <c r="L41" s="29">
        <v>225464000</v>
      </c>
      <c r="M41" s="29">
        <v>176918000</v>
      </c>
      <c r="N41" s="29">
        <v>108460000</v>
      </c>
      <c r="O41" s="29">
        <v>76448000</v>
      </c>
      <c r="P41" s="29">
        <v>72481000</v>
      </c>
      <c r="Q41" s="29">
        <v>83693000</v>
      </c>
      <c r="R41" s="29">
        <v>33259000</v>
      </c>
    </row>
    <row r="42" spans="1:18" x14ac:dyDescent="0.35">
      <c r="A42" t="s">
        <v>108</v>
      </c>
      <c r="B42">
        <v>-6.2</v>
      </c>
      <c r="C42">
        <v>-4.0999999999999996</v>
      </c>
      <c r="D42">
        <v>-5.0999999999999996</v>
      </c>
      <c r="E42">
        <v>-4.5</v>
      </c>
      <c r="F42">
        <v>-5.0599999999999996</v>
      </c>
      <c r="G42">
        <v>4.9000000000000004</v>
      </c>
      <c r="H42">
        <v>2.2799999999999998</v>
      </c>
      <c r="I42">
        <v>6.08</v>
      </c>
      <c r="J42">
        <v>3.77</v>
      </c>
      <c r="K42">
        <v>4.3899999999999997</v>
      </c>
      <c r="L42">
        <v>3.1</v>
      </c>
      <c r="M42">
        <v>2.44</v>
      </c>
      <c r="N42">
        <v>1.5</v>
      </c>
      <c r="O42">
        <v>1.44</v>
      </c>
      <c r="P42">
        <v>2.7509999999999999</v>
      </c>
      <c r="Q42">
        <v>3.23</v>
      </c>
      <c r="R42">
        <v>1.29</v>
      </c>
    </row>
    <row r="43" spans="1:18" x14ac:dyDescent="0.35">
      <c r="A43" t="s">
        <v>109</v>
      </c>
      <c r="B43">
        <v>-6.2</v>
      </c>
      <c r="C43">
        <v>-4.0999999999999996</v>
      </c>
      <c r="D43">
        <v>-5.0999999999999996</v>
      </c>
      <c r="E43">
        <v>-4.5</v>
      </c>
      <c r="F43">
        <v>-5.0599999999999996</v>
      </c>
      <c r="G43">
        <v>4.8899999999999997</v>
      </c>
      <c r="H43">
        <v>2.2799999999999998</v>
      </c>
      <c r="I43">
        <v>6.06</v>
      </c>
      <c r="J43">
        <v>3.76</v>
      </c>
      <c r="K43">
        <v>4.38</v>
      </c>
      <c r="L43">
        <v>3.08</v>
      </c>
      <c r="M43">
        <v>2.42</v>
      </c>
      <c r="N43">
        <v>1.49</v>
      </c>
      <c r="O43">
        <v>1.43</v>
      </c>
      <c r="P43">
        <v>2.7160000000000002</v>
      </c>
      <c r="Q43">
        <v>3.18</v>
      </c>
      <c r="R43">
        <v>1.29</v>
      </c>
    </row>
    <row r="44" spans="1:18" x14ac:dyDescent="0.35">
      <c r="A44" t="s">
        <v>110</v>
      </c>
      <c r="B44" s="29">
        <v>109318000</v>
      </c>
      <c r="C44" s="29">
        <v>109152000</v>
      </c>
      <c r="D44" s="29">
        <v>108751000</v>
      </c>
      <c r="E44" s="29">
        <v>105000000</v>
      </c>
      <c r="F44" s="29">
        <v>84692000</v>
      </c>
      <c r="G44" s="29">
        <v>68455011</v>
      </c>
      <c r="H44" s="29">
        <v>68249000</v>
      </c>
      <c r="I44" s="29">
        <v>69221000</v>
      </c>
      <c r="J44" s="29">
        <v>70344000</v>
      </c>
      <c r="K44" s="29">
        <v>72208000</v>
      </c>
      <c r="L44" s="29">
        <v>72739000</v>
      </c>
      <c r="M44" s="29">
        <v>72593000</v>
      </c>
      <c r="N44" s="29">
        <v>72386000</v>
      </c>
      <c r="O44" s="29">
        <v>53241000</v>
      </c>
      <c r="P44" s="29">
        <v>26348000</v>
      </c>
      <c r="Q44" s="29">
        <v>25910766</v>
      </c>
      <c r="R44" s="29">
        <v>25780070</v>
      </c>
    </row>
    <row r="45" spans="1:18" x14ac:dyDescent="0.35">
      <c r="A45" t="s">
        <v>111</v>
      </c>
      <c r="B45" s="29">
        <v>109318000</v>
      </c>
      <c r="C45" s="29">
        <v>109152000</v>
      </c>
      <c r="D45" s="29">
        <v>108751000</v>
      </c>
      <c r="E45" s="29">
        <v>105000000</v>
      </c>
      <c r="F45" s="29">
        <v>84692000</v>
      </c>
      <c r="G45" s="29">
        <v>68455011</v>
      </c>
      <c r="H45" s="29">
        <v>68431000</v>
      </c>
      <c r="I45" s="29">
        <v>69377000</v>
      </c>
      <c r="J45" s="29">
        <v>70508000</v>
      </c>
      <c r="K45" s="29">
        <v>72426000</v>
      </c>
      <c r="L45" s="29">
        <v>73294000</v>
      </c>
      <c r="M45" s="29">
        <v>72999000</v>
      </c>
      <c r="N45" s="29">
        <v>72591000</v>
      </c>
      <c r="O45" s="29">
        <v>53515000</v>
      </c>
      <c r="P45" s="29">
        <v>26689000</v>
      </c>
      <c r="Q45" s="29">
        <v>26315121</v>
      </c>
      <c r="R45" s="29">
        <v>25879860</v>
      </c>
    </row>
    <row r="46" spans="1:18" x14ac:dyDescent="0.35">
      <c r="A46" t="s">
        <v>112</v>
      </c>
      <c r="B46" s="29">
        <v>-763422000</v>
      </c>
      <c r="C46" s="29">
        <v>-495757000</v>
      </c>
      <c r="D46" s="29">
        <v>-598917000</v>
      </c>
      <c r="E46" s="29">
        <v>-56874000</v>
      </c>
      <c r="F46" s="29">
        <v>-507762000</v>
      </c>
      <c r="G46" s="29">
        <v>501047000</v>
      </c>
      <c r="H46" s="29">
        <v>350914000</v>
      </c>
      <c r="I46" s="29">
        <v>384825000</v>
      </c>
      <c r="J46" s="29">
        <v>441458000</v>
      </c>
      <c r="K46" s="29">
        <v>509122000</v>
      </c>
      <c r="L46" s="29">
        <v>355263000</v>
      </c>
      <c r="M46" s="29">
        <v>282292000</v>
      </c>
      <c r="N46" s="29">
        <v>173990000</v>
      </c>
      <c r="O46" s="29">
        <v>144382000</v>
      </c>
      <c r="P46" s="29">
        <v>68873000</v>
      </c>
      <c r="Q46" s="29">
        <v>111409000</v>
      </c>
      <c r="R46" s="29">
        <v>18291000</v>
      </c>
    </row>
    <row r="47" spans="1:18" x14ac:dyDescent="0.35">
      <c r="A47" t="s">
        <v>113</v>
      </c>
      <c r="B47" s="29">
        <v>871628000</v>
      </c>
      <c r="C47" s="29">
        <v>789501000</v>
      </c>
      <c r="D47" s="29">
        <v>629696000</v>
      </c>
      <c r="E47" s="29">
        <v>562600000</v>
      </c>
      <c r="F47" s="29">
        <v>447387000</v>
      </c>
      <c r="G47" s="29">
        <v>438884000</v>
      </c>
      <c r="H47" s="29">
        <v>392318000</v>
      </c>
      <c r="I47" s="29">
        <v>386507000</v>
      </c>
      <c r="J47" s="29">
        <v>353354000</v>
      </c>
      <c r="K47" s="29">
        <v>342608000</v>
      </c>
      <c r="L47" s="29">
        <v>300942000</v>
      </c>
      <c r="M47" s="29">
        <v>253341000</v>
      </c>
      <c r="N47" s="29">
        <v>211940000</v>
      </c>
      <c r="O47" s="29">
        <v>169279000</v>
      </c>
      <c r="P47" s="29">
        <v>149463000</v>
      </c>
      <c r="Q47" s="29">
        <v>132035000</v>
      </c>
      <c r="R47" s="29">
        <v>148936000</v>
      </c>
    </row>
    <row r="48" spans="1:18" x14ac:dyDescent="0.35">
      <c r="A48" t="s">
        <v>114</v>
      </c>
      <c r="B48" s="29">
        <v>5809704000</v>
      </c>
      <c r="C48" s="29">
        <v>5754803000</v>
      </c>
      <c r="D48" s="29">
        <v>5200568000</v>
      </c>
      <c r="E48" s="29">
        <v>3662044000</v>
      </c>
      <c r="F48" s="29">
        <v>2618281000</v>
      </c>
      <c r="G48" s="29">
        <v>3311422000</v>
      </c>
      <c r="H48" s="29">
        <v>2873619000</v>
      </c>
      <c r="I48" s="29">
        <v>2241930000</v>
      </c>
      <c r="J48" s="29">
        <v>1837187000</v>
      </c>
      <c r="K48" s="29">
        <v>1630064000</v>
      </c>
      <c r="L48" s="29">
        <v>1573264000</v>
      </c>
      <c r="M48" s="29">
        <v>1371394000</v>
      </c>
      <c r="N48" s="29">
        <v>1151892000</v>
      </c>
      <c r="O48" s="29">
        <v>923365000</v>
      </c>
      <c r="P48" s="29">
        <v>711694000</v>
      </c>
      <c r="Q48" s="29">
        <v>515089000</v>
      </c>
      <c r="R48" s="29">
        <v>661334000</v>
      </c>
    </row>
    <row r="49" spans="1:18" x14ac:dyDescent="0.35">
      <c r="A49" t="s">
        <v>115</v>
      </c>
      <c r="B49" s="29">
        <v>52747000</v>
      </c>
      <c r="C49" s="29">
        <v>65425000</v>
      </c>
      <c r="D49" s="29">
        <v>20151000</v>
      </c>
      <c r="E49" s="29">
        <v>5374000</v>
      </c>
      <c r="F49" s="29">
        <v>6314000</v>
      </c>
      <c r="G49" s="29">
        <v>25133000</v>
      </c>
      <c r="H49" s="29">
        <v>19107000</v>
      </c>
      <c r="I49" s="29">
        <v>8736000</v>
      </c>
      <c r="J49" s="29">
        <v>5276000</v>
      </c>
      <c r="K49" s="29">
        <v>2125000</v>
      </c>
      <c r="L49" s="29">
        <v>336000</v>
      </c>
      <c r="M49" s="29">
        <v>401000</v>
      </c>
      <c r="N49" s="29">
        <v>925000</v>
      </c>
      <c r="O49" s="29">
        <v>575000</v>
      </c>
      <c r="P49" s="29">
        <v>328000</v>
      </c>
      <c r="Q49" s="29">
        <v>345000</v>
      </c>
      <c r="R49" s="29">
        <v>1976000</v>
      </c>
    </row>
    <row r="50" spans="1:18" x14ac:dyDescent="0.35">
      <c r="A50" t="s">
        <v>116</v>
      </c>
      <c r="B50" s="29">
        <v>145055000</v>
      </c>
      <c r="C50" s="29">
        <v>122501000</v>
      </c>
      <c r="D50" s="29">
        <v>100789000</v>
      </c>
      <c r="E50" s="29">
        <v>121088000</v>
      </c>
      <c r="F50" s="29">
        <v>118525000</v>
      </c>
      <c r="G50" s="29">
        <v>88879000</v>
      </c>
      <c r="H50" s="29">
        <v>73936000</v>
      </c>
      <c r="I50" s="29">
        <v>43509000</v>
      </c>
      <c r="J50" s="29">
        <v>28949000</v>
      </c>
      <c r="K50" s="29">
        <v>8829000</v>
      </c>
      <c r="L50">
        <v>0</v>
      </c>
      <c r="M50">
        <v>0</v>
      </c>
      <c r="N50">
        <v>0</v>
      </c>
      <c r="O50" s="29">
        <v>21891000</v>
      </c>
      <c r="P50" s="29">
        <v>48822000</v>
      </c>
      <c r="Q50" s="29">
        <v>45941000</v>
      </c>
      <c r="R50" s="29">
        <v>40079000</v>
      </c>
    </row>
    <row r="51" spans="1:18" x14ac:dyDescent="0.35">
      <c r="A51" t="s">
        <v>117</v>
      </c>
      <c r="B51" s="29">
        <v>-108664000</v>
      </c>
      <c r="C51" s="29">
        <v>-74184000</v>
      </c>
      <c r="D51" s="29">
        <v>-97004000</v>
      </c>
      <c r="E51" s="29">
        <v>-131239000</v>
      </c>
      <c r="F51" s="29">
        <v>-112211000</v>
      </c>
      <c r="G51" s="29">
        <v>-63746000</v>
      </c>
      <c r="H51" s="29">
        <v>-54829000</v>
      </c>
      <c r="I51" s="29">
        <v>-34773000</v>
      </c>
      <c r="J51" s="29">
        <v>-23673000</v>
      </c>
      <c r="K51" s="29">
        <v>-6704000</v>
      </c>
      <c r="L51" s="29">
        <v>336000</v>
      </c>
      <c r="M51" s="29">
        <v>401000</v>
      </c>
      <c r="N51" s="29">
        <v>925000</v>
      </c>
      <c r="O51" s="29">
        <v>-21316000</v>
      </c>
      <c r="P51" s="29">
        <v>-48494000</v>
      </c>
      <c r="Q51" s="29">
        <v>-45596000</v>
      </c>
      <c r="R51" s="29">
        <v>-38103000</v>
      </c>
    </row>
    <row r="52" spans="1:18" x14ac:dyDescent="0.35">
      <c r="A52" t="s">
        <v>118</v>
      </c>
      <c r="B52" s="29">
        <v>-676766000</v>
      </c>
      <c r="C52" s="29">
        <v>-447464000</v>
      </c>
      <c r="D52" s="29">
        <v>-554150000</v>
      </c>
      <c r="E52" s="29">
        <v>-472569000</v>
      </c>
      <c r="F52" s="29">
        <v>-428700000</v>
      </c>
      <c r="G52" s="29">
        <v>335255000</v>
      </c>
      <c r="H52" s="29">
        <v>155749000</v>
      </c>
      <c r="I52" s="29">
        <v>415522000</v>
      </c>
      <c r="J52" s="29">
        <v>263483000</v>
      </c>
      <c r="K52" s="29">
        <v>317220000</v>
      </c>
      <c r="L52" s="29">
        <v>225464000</v>
      </c>
      <c r="M52" s="29">
        <v>176918000</v>
      </c>
      <c r="N52" s="29">
        <v>108460000</v>
      </c>
      <c r="O52" s="29">
        <v>76448000</v>
      </c>
      <c r="P52" s="29">
        <v>72481000</v>
      </c>
      <c r="Q52" s="29">
        <v>83693000</v>
      </c>
      <c r="R52" s="29">
        <v>33259000</v>
      </c>
    </row>
    <row r="53" spans="1:18" x14ac:dyDescent="0.35">
      <c r="A53" t="s">
        <v>119</v>
      </c>
      <c r="B53" s="30">
        <v>-633271460.17799997</v>
      </c>
      <c r="C53" s="29">
        <v>-376902308</v>
      </c>
      <c r="D53" s="29">
        <v>-184914364</v>
      </c>
      <c r="E53" s="29">
        <v>-511399620</v>
      </c>
      <c r="F53" s="29">
        <v>-636343427</v>
      </c>
      <c r="G53" s="29">
        <v>349130456</v>
      </c>
      <c r="H53" s="29">
        <v>299281080</v>
      </c>
      <c r="I53" s="29">
        <v>425600200</v>
      </c>
      <c r="J53" s="29">
        <v>289591256</v>
      </c>
      <c r="K53" s="29">
        <v>318656787</v>
      </c>
      <c r="L53" s="29">
        <v>227414867</v>
      </c>
      <c r="M53" s="29">
        <v>177355574</v>
      </c>
      <c r="N53" s="29">
        <v>103806226</v>
      </c>
      <c r="O53" s="29">
        <v>78587058</v>
      </c>
      <c r="P53" s="29">
        <v>72934700</v>
      </c>
      <c r="Q53" s="30">
        <v>136845410.27399999</v>
      </c>
      <c r="R53" s="30">
        <v>86807304.663000003</v>
      </c>
    </row>
    <row r="54" spans="1:18" x14ac:dyDescent="0.35">
      <c r="A54" t="s">
        <v>19</v>
      </c>
      <c r="B54" s="29">
        <v>-633557000</v>
      </c>
      <c r="C54" s="29">
        <v>-436094000</v>
      </c>
      <c r="D54" s="29">
        <v>-599950000</v>
      </c>
      <c r="E54" s="29">
        <v>-399232000</v>
      </c>
      <c r="F54" s="29">
        <v>-501659000</v>
      </c>
      <c r="G54" s="29">
        <v>525305000</v>
      </c>
      <c r="H54" s="29">
        <v>278912000</v>
      </c>
      <c r="I54" s="29">
        <v>393195000</v>
      </c>
      <c r="J54" s="29">
        <v>446206000</v>
      </c>
      <c r="K54" s="29">
        <v>511232000</v>
      </c>
      <c r="L54" s="29">
        <v>352994000</v>
      </c>
      <c r="M54" s="29">
        <v>282410000</v>
      </c>
      <c r="N54" s="29">
        <v>174584000</v>
      </c>
      <c r="O54" s="29">
        <v>144722000</v>
      </c>
      <c r="P54" s="29">
        <v>69007000</v>
      </c>
      <c r="Q54" s="29">
        <v>131167000</v>
      </c>
      <c r="R54" s="29">
        <v>73726000</v>
      </c>
    </row>
    <row r="55" spans="1:18" x14ac:dyDescent="0.35">
      <c r="A55" t="s">
        <v>120</v>
      </c>
      <c r="B55" s="29">
        <v>-305386000</v>
      </c>
      <c r="C55" s="29">
        <v>-115222000</v>
      </c>
      <c r="D55" s="29">
        <v>-286860000</v>
      </c>
      <c r="E55" s="29">
        <v>-102021000</v>
      </c>
      <c r="F55" s="29">
        <v>-223071000</v>
      </c>
      <c r="G55" s="29">
        <v>750569000</v>
      </c>
      <c r="H55" s="29">
        <v>455639000</v>
      </c>
      <c r="I55" s="29">
        <v>533347000</v>
      </c>
      <c r="J55" s="29">
        <v>547342000</v>
      </c>
      <c r="K55" s="29">
        <v>585140000</v>
      </c>
      <c r="L55" s="29">
        <v>399965000</v>
      </c>
      <c r="M55" s="29">
        <v>314357000</v>
      </c>
      <c r="N55" s="29">
        <v>189840000</v>
      </c>
      <c r="O55" s="29">
        <v>152482000</v>
      </c>
      <c r="P55" s="29">
        <v>74627000</v>
      </c>
      <c r="Q55" s="29">
        <v>136091000</v>
      </c>
      <c r="R55" s="29">
        <v>77962000</v>
      </c>
    </row>
    <row r="56" spans="1:18" x14ac:dyDescent="0.35">
      <c r="A56" t="s">
        <v>121</v>
      </c>
      <c r="B56" s="29">
        <v>4845110000</v>
      </c>
      <c r="C56" s="29">
        <v>4771680000</v>
      </c>
      <c r="D56" s="29">
        <v>4311800000</v>
      </c>
      <c r="E56" s="29">
        <v>2998719000</v>
      </c>
      <c r="F56" s="29">
        <v>2178036000</v>
      </c>
      <c r="G56" s="29">
        <v>2666220000</v>
      </c>
      <c r="H56" s="29">
        <v>2357082000</v>
      </c>
      <c r="I56" s="29">
        <v>1780638000</v>
      </c>
      <c r="J56" s="29">
        <v>1473101000</v>
      </c>
      <c r="K56" s="29">
        <v>1335919000</v>
      </c>
      <c r="L56" s="29">
        <v>1348187000</v>
      </c>
      <c r="M56" s="29">
        <v>1159327000</v>
      </c>
      <c r="N56" s="29">
        <v>967338000</v>
      </c>
      <c r="O56" s="29">
        <v>780844000</v>
      </c>
      <c r="P56" s="29">
        <v>586767000</v>
      </c>
      <c r="Q56" s="29">
        <v>340678000</v>
      </c>
      <c r="R56" s="29">
        <v>472267000</v>
      </c>
    </row>
    <row r="57" spans="1:18" x14ac:dyDescent="0.35">
      <c r="A57" t="s">
        <v>122</v>
      </c>
      <c r="B57" s="29">
        <v>328171000</v>
      </c>
      <c r="C57" s="29">
        <v>320872000</v>
      </c>
      <c r="D57" s="29">
        <v>313090000</v>
      </c>
      <c r="E57" s="29">
        <v>297211000</v>
      </c>
      <c r="F57" s="29">
        <v>278588000</v>
      </c>
      <c r="G57" s="29">
        <v>225264000</v>
      </c>
      <c r="H57" s="29">
        <v>176727000</v>
      </c>
      <c r="I57" s="29">
        <v>140152000</v>
      </c>
      <c r="J57" s="29">
        <v>101136000</v>
      </c>
      <c r="K57" s="29">
        <v>73908000</v>
      </c>
      <c r="L57" s="29">
        <v>46971000</v>
      </c>
      <c r="M57" s="29">
        <v>31947000</v>
      </c>
      <c r="N57" s="29">
        <v>15256000</v>
      </c>
      <c r="O57" s="29">
        <v>7760000</v>
      </c>
      <c r="P57" s="29">
        <v>5620000</v>
      </c>
      <c r="Q57" s="29">
        <v>4924000</v>
      </c>
      <c r="R57" s="29">
        <v>4236000</v>
      </c>
    </row>
    <row r="58" spans="1:18" x14ac:dyDescent="0.35">
      <c r="A58" t="s">
        <v>123</v>
      </c>
      <c r="B58" s="29">
        <v>-676766000</v>
      </c>
      <c r="C58" s="29">
        <v>-447464000</v>
      </c>
      <c r="D58" s="29">
        <v>-554150000</v>
      </c>
      <c r="E58" s="29">
        <v>-472569000</v>
      </c>
      <c r="F58" s="29">
        <v>-428700000</v>
      </c>
      <c r="G58" s="29">
        <v>335255000</v>
      </c>
      <c r="H58" s="29">
        <v>155749000</v>
      </c>
      <c r="I58" s="29">
        <v>415522000</v>
      </c>
      <c r="J58" s="29">
        <v>263483000</v>
      </c>
      <c r="K58" s="29">
        <v>317220000</v>
      </c>
      <c r="L58" s="29">
        <v>225464000</v>
      </c>
      <c r="M58" s="29">
        <v>176918000</v>
      </c>
      <c r="N58" s="29">
        <v>108460000</v>
      </c>
      <c r="O58" s="29">
        <v>76448000</v>
      </c>
      <c r="P58" s="29">
        <v>72481000</v>
      </c>
      <c r="Q58" s="29">
        <v>83693000</v>
      </c>
      <c r="R58" s="29">
        <v>33259000</v>
      </c>
    </row>
    <row r="59" spans="1:18" x14ac:dyDescent="0.35">
      <c r="A59" t="s">
        <v>124</v>
      </c>
      <c r="B59" s="29">
        <v>-50040000</v>
      </c>
      <c r="C59" s="29">
        <v>-88092000</v>
      </c>
      <c r="D59" s="29">
        <v>-466796000</v>
      </c>
      <c r="E59" s="29">
        <v>42765000</v>
      </c>
      <c r="F59" s="29">
        <v>300497000</v>
      </c>
      <c r="G59" s="29">
        <v>-18067000</v>
      </c>
      <c r="H59" s="29">
        <v>-188858000</v>
      </c>
      <c r="I59" s="29">
        <v>-16797000</v>
      </c>
      <c r="J59" s="29">
        <v>-41376000</v>
      </c>
      <c r="K59" s="29">
        <v>-2277000</v>
      </c>
      <c r="L59" s="29">
        <v>-3053000</v>
      </c>
      <c r="M59" s="29">
        <v>-699000</v>
      </c>
      <c r="N59" s="29">
        <v>7494000</v>
      </c>
      <c r="O59" s="29">
        <v>-3439000</v>
      </c>
      <c r="P59" s="29">
        <v>-698000</v>
      </c>
      <c r="Q59" s="29">
        <v>-54126000</v>
      </c>
      <c r="R59" s="29">
        <v>-54173000</v>
      </c>
    </row>
    <row r="60" spans="1:18" x14ac:dyDescent="0.35">
      <c r="A60" t="s">
        <v>125</v>
      </c>
      <c r="B60" s="29">
        <v>-50040000</v>
      </c>
      <c r="C60" s="29">
        <v>-88092000</v>
      </c>
      <c r="D60" s="29">
        <v>-466796000</v>
      </c>
      <c r="E60" s="29">
        <v>42765000</v>
      </c>
      <c r="F60" s="29">
        <v>300497000</v>
      </c>
      <c r="G60" s="29">
        <v>-18067000</v>
      </c>
      <c r="H60" s="29">
        <v>-188858000</v>
      </c>
      <c r="I60" s="29">
        <v>-16797000</v>
      </c>
      <c r="J60" s="29">
        <v>-41376000</v>
      </c>
      <c r="K60" s="29">
        <v>-2277000</v>
      </c>
      <c r="L60" s="29">
        <v>-3053000</v>
      </c>
      <c r="M60" s="29">
        <v>-699000</v>
      </c>
      <c r="N60" s="29">
        <v>7494000</v>
      </c>
      <c r="O60" s="29">
        <v>-3439000</v>
      </c>
      <c r="P60" s="29">
        <v>-698000</v>
      </c>
      <c r="Q60" s="29">
        <v>-54126000</v>
      </c>
      <c r="R60" s="29">
        <v>-54173000</v>
      </c>
    </row>
    <row r="61" spans="1:18" x14ac:dyDescent="0.35">
      <c r="A61" t="s">
        <v>126</v>
      </c>
      <c r="B61" s="29">
        <v>-255346000</v>
      </c>
      <c r="C61" s="29">
        <v>-27130000</v>
      </c>
      <c r="D61" s="29">
        <v>179936000</v>
      </c>
      <c r="E61" s="29">
        <v>-144786000</v>
      </c>
      <c r="F61" s="29">
        <v>-523568000</v>
      </c>
      <c r="G61" s="29">
        <v>768636000</v>
      </c>
      <c r="H61" s="29">
        <v>644497000</v>
      </c>
      <c r="I61" s="29">
        <v>550144000</v>
      </c>
      <c r="J61" s="29">
        <v>588718000</v>
      </c>
      <c r="K61" s="29">
        <v>587417000</v>
      </c>
      <c r="L61" s="29">
        <v>403018000</v>
      </c>
      <c r="M61" s="29">
        <v>315056000</v>
      </c>
      <c r="N61" s="29">
        <v>182346000</v>
      </c>
      <c r="O61" s="29">
        <v>155921000</v>
      </c>
      <c r="P61" s="29">
        <v>75325000</v>
      </c>
      <c r="Q61" s="29">
        <v>190217000</v>
      </c>
      <c r="R61" s="29">
        <v>132135000</v>
      </c>
    </row>
    <row r="62" spans="1:18" x14ac:dyDescent="0.35">
      <c r="A62" t="s">
        <v>127</v>
      </c>
      <c r="B62">
        <v>0.13100000000000001</v>
      </c>
      <c r="C62">
        <v>0.19900000000000001</v>
      </c>
      <c r="D62">
        <v>0.20899999999999999</v>
      </c>
      <c r="E62">
        <v>9.1999999999999998E-2</v>
      </c>
      <c r="F62">
        <v>0.309</v>
      </c>
      <c r="G62">
        <v>0.23200000000000001</v>
      </c>
      <c r="H62">
        <v>0.24</v>
      </c>
      <c r="I62">
        <v>0.4</v>
      </c>
      <c r="J62">
        <v>0.36899999999999999</v>
      </c>
      <c r="K62">
        <v>0.36899999999999999</v>
      </c>
      <c r="L62">
        <v>0.36099999999999999</v>
      </c>
      <c r="M62">
        <v>0.374</v>
      </c>
      <c r="N62">
        <v>0.379</v>
      </c>
      <c r="O62">
        <v>0.378</v>
      </c>
      <c r="P62">
        <v>0.35</v>
      </c>
      <c r="Q62">
        <v>1.7999999999999999E-2</v>
      </c>
      <c r="R62">
        <v>1.2E-2</v>
      </c>
    </row>
    <row r="63" spans="1:18" x14ac:dyDescent="0.35">
      <c r="A63" t="s">
        <v>128</v>
      </c>
      <c r="B63" s="30">
        <v>-6545460.1780000003</v>
      </c>
      <c r="C63" s="29">
        <v>-17530308</v>
      </c>
      <c r="D63" s="29">
        <v>-97560364</v>
      </c>
      <c r="E63" s="29">
        <v>3934380</v>
      </c>
      <c r="F63" s="29">
        <v>92853573</v>
      </c>
      <c r="G63" s="29">
        <v>-4191544</v>
      </c>
      <c r="H63" s="29">
        <v>-45325920</v>
      </c>
      <c r="I63" s="29">
        <v>-6718800</v>
      </c>
      <c r="J63" s="29">
        <v>-15267744</v>
      </c>
      <c r="K63" s="29">
        <v>-840213</v>
      </c>
      <c r="L63" s="29">
        <v>-1102133</v>
      </c>
      <c r="M63" s="29">
        <v>-261426</v>
      </c>
      <c r="N63" s="29">
        <v>2840226</v>
      </c>
      <c r="O63" s="29">
        <v>-1299942</v>
      </c>
      <c r="P63" s="29">
        <v>-244300</v>
      </c>
      <c r="Q63" s="30">
        <v>-973589.72600000002</v>
      </c>
      <c r="R63" s="30">
        <v>-624695.33700000006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1C179-0BE2-4167-B708-44CF48A3AE4F}">
  <dimension ref="A1:R78"/>
  <sheetViews>
    <sheetView topLeftCell="A28" workbookViewId="0">
      <selection activeCell="E36" sqref="E36"/>
    </sheetView>
  </sheetViews>
  <sheetFormatPr defaultRowHeight="14.5" x14ac:dyDescent="0.35"/>
  <cols>
    <col min="1" max="1" width="46.36328125" bestFit="1" customWidth="1"/>
    <col min="2" max="4" width="13.1796875" bestFit="1" customWidth="1"/>
    <col min="5" max="13" width="12.453125" bestFit="1" customWidth="1"/>
    <col min="14" max="15" width="10.90625" bestFit="1" customWidth="1"/>
    <col min="16" max="18" width="11.54296875" bestFit="1" customWidth="1"/>
  </cols>
  <sheetData>
    <row r="1" spans="1:18" x14ac:dyDescent="0.35">
      <c r="A1" t="s">
        <v>57</v>
      </c>
      <c r="B1" s="28">
        <v>45473</v>
      </c>
      <c r="C1" s="28">
        <v>45291</v>
      </c>
      <c r="D1" s="28">
        <v>44926</v>
      </c>
      <c r="E1" s="28">
        <v>44561</v>
      </c>
      <c r="F1" s="28">
        <v>44196</v>
      </c>
      <c r="G1" s="28">
        <v>43830</v>
      </c>
      <c r="H1" s="28">
        <v>43465</v>
      </c>
      <c r="I1" s="28">
        <v>43100</v>
      </c>
      <c r="J1" s="28">
        <v>42735</v>
      </c>
      <c r="K1" s="28">
        <v>42369</v>
      </c>
      <c r="L1" s="28">
        <v>42004</v>
      </c>
      <c r="M1" s="28">
        <v>41639</v>
      </c>
      <c r="N1" s="28">
        <v>41274</v>
      </c>
      <c r="O1" s="28">
        <v>40908</v>
      </c>
      <c r="P1" s="28">
        <v>40543</v>
      </c>
      <c r="Q1" s="28">
        <v>40178</v>
      </c>
      <c r="R1" s="28">
        <v>39813</v>
      </c>
    </row>
    <row r="2" spans="1:18" x14ac:dyDescent="0.35">
      <c r="A2" t="s">
        <v>129</v>
      </c>
      <c r="B2" s="29">
        <v>9559456000</v>
      </c>
      <c r="C2" s="29">
        <v>9417237000</v>
      </c>
      <c r="D2" s="29">
        <v>9184774000</v>
      </c>
      <c r="E2" s="29">
        <v>8540025000</v>
      </c>
      <c r="F2" s="29">
        <v>8398825000</v>
      </c>
      <c r="G2" s="29">
        <v>7043412000</v>
      </c>
      <c r="H2" s="29">
        <v>5165457000</v>
      </c>
      <c r="I2" s="29">
        <v>4145800000</v>
      </c>
      <c r="J2" s="29">
        <v>3151927000</v>
      </c>
      <c r="K2" s="29">
        <v>2530545000</v>
      </c>
      <c r="L2" s="29">
        <v>1592753000</v>
      </c>
      <c r="M2" s="29">
        <v>1180765000</v>
      </c>
      <c r="N2" s="29">
        <v>919884000</v>
      </c>
      <c r="O2" s="29">
        <v>745813000</v>
      </c>
      <c r="P2" s="29">
        <v>475757000</v>
      </c>
      <c r="Q2" s="29">
        <v>327866000</v>
      </c>
      <c r="R2" s="29">
        <v>240009000</v>
      </c>
    </row>
    <row r="3" spans="1:18" x14ac:dyDescent="0.35">
      <c r="A3" t="s">
        <v>130</v>
      </c>
      <c r="B3" s="29">
        <v>1425265000</v>
      </c>
      <c r="C3" s="29">
        <v>1512127000</v>
      </c>
      <c r="D3" s="29">
        <v>1993983000</v>
      </c>
      <c r="E3" s="29">
        <v>1842491000</v>
      </c>
      <c r="F3" s="29">
        <v>2355980000</v>
      </c>
      <c r="G3" s="29">
        <v>1385443000</v>
      </c>
      <c r="H3" s="29">
        <v>1345466000</v>
      </c>
      <c r="I3" s="29">
        <v>1282110000</v>
      </c>
      <c r="J3" s="29">
        <v>975845000</v>
      </c>
      <c r="K3" s="29">
        <v>1026340000</v>
      </c>
      <c r="L3" s="29">
        <v>721498000</v>
      </c>
      <c r="M3" s="29">
        <v>649075000</v>
      </c>
      <c r="N3" s="29">
        <v>547357000</v>
      </c>
      <c r="O3" s="29">
        <v>442708000</v>
      </c>
      <c r="P3" s="29">
        <v>251219000</v>
      </c>
      <c r="Q3" s="29">
        <v>163791000</v>
      </c>
      <c r="R3" s="29">
        <v>105978000</v>
      </c>
    </row>
    <row r="4" spans="1:18" x14ac:dyDescent="0.35">
      <c r="A4" t="s">
        <v>131</v>
      </c>
      <c r="B4" s="29">
        <v>840084000</v>
      </c>
      <c r="C4" s="29">
        <v>977712000</v>
      </c>
      <c r="D4" s="29">
        <v>1453465000</v>
      </c>
      <c r="E4" s="29">
        <v>1439820000</v>
      </c>
      <c r="F4" s="29">
        <v>1896062000</v>
      </c>
      <c r="G4" s="29">
        <v>1084278000</v>
      </c>
      <c r="H4" s="29">
        <v>1107522000</v>
      </c>
      <c r="I4" s="29">
        <v>901786000</v>
      </c>
      <c r="J4" s="29">
        <v>801055000</v>
      </c>
      <c r="K4" s="29">
        <v>803632000</v>
      </c>
      <c r="L4" s="29">
        <v>632784000</v>
      </c>
      <c r="M4" s="29">
        <v>530631000</v>
      </c>
      <c r="N4" s="29">
        <v>416816000</v>
      </c>
      <c r="O4" s="29">
        <v>343328000</v>
      </c>
      <c r="P4" s="29">
        <v>82714000</v>
      </c>
      <c r="Q4" s="29">
        <v>86147000</v>
      </c>
      <c r="R4" s="29">
        <v>16229000</v>
      </c>
    </row>
    <row r="5" spans="1:18" x14ac:dyDescent="0.35">
      <c r="A5" t="s">
        <v>132</v>
      </c>
      <c r="B5" s="29">
        <v>724794000</v>
      </c>
      <c r="C5" s="29">
        <v>865211000</v>
      </c>
      <c r="D5" s="29">
        <v>1346350000</v>
      </c>
      <c r="E5" s="29">
        <v>1333507000</v>
      </c>
      <c r="F5" s="29">
        <v>1789723000</v>
      </c>
      <c r="G5" s="29">
        <v>978957000</v>
      </c>
      <c r="H5" s="29">
        <v>1004733000</v>
      </c>
      <c r="I5" s="29">
        <v>800849000</v>
      </c>
      <c r="J5" s="29">
        <v>700900000</v>
      </c>
      <c r="K5" s="29">
        <v>803632000</v>
      </c>
      <c r="L5" s="29">
        <v>632784000</v>
      </c>
      <c r="M5" s="29">
        <v>530631000</v>
      </c>
      <c r="N5" s="29">
        <v>416816000</v>
      </c>
      <c r="O5" s="29">
        <v>343328000</v>
      </c>
      <c r="P5" s="29">
        <v>82714000</v>
      </c>
      <c r="Q5" s="29">
        <v>86147000</v>
      </c>
      <c r="R5" s="29">
        <v>16229000</v>
      </c>
    </row>
    <row r="6" spans="1:18" x14ac:dyDescent="0.35">
      <c r="A6" t="s">
        <v>133</v>
      </c>
      <c r="B6" s="29">
        <v>115290000</v>
      </c>
      <c r="C6" s="29">
        <v>112501000</v>
      </c>
      <c r="D6" s="29">
        <v>107115000</v>
      </c>
      <c r="E6" s="29">
        <v>106313000</v>
      </c>
      <c r="F6" s="29">
        <v>106339000</v>
      </c>
      <c r="G6" s="29">
        <v>105321000</v>
      </c>
      <c r="H6" s="29">
        <v>102789000</v>
      </c>
      <c r="I6" s="29">
        <v>100937000</v>
      </c>
      <c r="J6" s="29">
        <v>100155000</v>
      </c>
      <c r="K6">
        <v>0</v>
      </c>
    </row>
    <row r="7" spans="1:18" x14ac:dyDescent="0.35">
      <c r="A7" t="s">
        <v>134</v>
      </c>
      <c r="B7" s="29">
        <v>216650000</v>
      </c>
      <c r="C7" s="29">
        <v>205468000</v>
      </c>
      <c r="D7" s="29">
        <v>233537000</v>
      </c>
      <c r="E7" s="29">
        <v>166718000</v>
      </c>
      <c r="F7" s="29">
        <v>190400000</v>
      </c>
      <c r="G7" s="29">
        <v>94820000</v>
      </c>
      <c r="H7" s="29">
        <v>47660000</v>
      </c>
      <c r="I7" s="29">
        <v>119167000</v>
      </c>
      <c r="J7" s="29">
        <v>41136000</v>
      </c>
      <c r="K7" s="29">
        <v>28266000</v>
      </c>
      <c r="L7" s="29">
        <v>22685000</v>
      </c>
      <c r="M7" s="29">
        <v>23246000</v>
      </c>
      <c r="N7" s="29">
        <v>22740000</v>
      </c>
      <c r="O7" s="29">
        <v>15425000</v>
      </c>
      <c r="P7" s="29">
        <v>9471000</v>
      </c>
      <c r="Q7" s="29">
        <v>8347000</v>
      </c>
      <c r="R7" s="29">
        <v>6006000</v>
      </c>
    </row>
    <row r="8" spans="1:18" x14ac:dyDescent="0.35">
      <c r="A8" t="s">
        <v>135</v>
      </c>
      <c r="B8" s="29">
        <v>216650000</v>
      </c>
      <c r="C8" s="29">
        <v>205468000</v>
      </c>
      <c r="D8" s="29">
        <v>197276000</v>
      </c>
      <c r="E8" s="29">
        <v>128828000</v>
      </c>
      <c r="F8" s="29">
        <v>42940000</v>
      </c>
      <c r="G8" s="29">
        <v>73807000</v>
      </c>
      <c r="H8" s="29">
        <v>47660000</v>
      </c>
      <c r="I8" s="29">
        <v>49323000</v>
      </c>
      <c r="J8" s="29">
        <v>41136000</v>
      </c>
      <c r="K8" s="29">
        <v>28266000</v>
      </c>
      <c r="L8" s="29">
        <v>22685000</v>
      </c>
      <c r="M8" s="29">
        <v>23246000</v>
      </c>
      <c r="N8" s="29">
        <v>22740000</v>
      </c>
      <c r="O8" s="29">
        <v>15425000</v>
      </c>
      <c r="P8" s="29">
        <v>9471000</v>
      </c>
      <c r="Q8" s="29">
        <v>8347000</v>
      </c>
      <c r="R8" s="29">
        <v>6006000</v>
      </c>
    </row>
    <row r="9" spans="1:18" x14ac:dyDescent="0.35">
      <c r="A9" t="s">
        <v>136</v>
      </c>
      <c r="P9" s="29">
        <v>9488000</v>
      </c>
      <c r="Q9" s="29">
        <v>8666000</v>
      </c>
    </row>
    <row r="10" spans="1:18" x14ac:dyDescent="0.35">
      <c r="A10" t="s">
        <v>137</v>
      </c>
      <c r="P10" s="29">
        <v>-17000</v>
      </c>
      <c r="Q10" s="29">
        <v>-319000</v>
      </c>
    </row>
    <row r="11" spans="1:18" x14ac:dyDescent="0.35">
      <c r="A11" t="s">
        <v>138</v>
      </c>
      <c r="C11">
        <v>0</v>
      </c>
      <c r="D11" s="29">
        <v>36261000</v>
      </c>
      <c r="E11" s="29">
        <v>37890000</v>
      </c>
      <c r="F11" s="29">
        <v>147460000</v>
      </c>
      <c r="G11" s="29">
        <v>21013000</v>
      </c>
      <c r="H11">
        <v>0</v>
      </c>
      <c r="I11" s="29">
        <v>69844000</v>
      </c>
      <c r="J11">
        <v>0</v>
      </c>
    </row>
    <row r="12" spans="1:18" x14ac:dyDescent="0.35">
      <c r="A12" t="s">
        <v>139</v>
      </c>
      <c r="D12" s="29">
        <v>187589000</v>
      </c>
      <c r="E12" s="29">
        <v>140553000</v>
      </c>
      <c r="F12" s="29">
        <v>198117000</v>
      </c>
      <c r="G12" s="29">
        <v>206345000</v>
      </c>
      <c r="H12" s="29">
        <v>190284000</v>
      </c>
      <c r="I12" s="29">
        <v>261157000</v>
      </c>
      <c r="J12" s="29">
        <v>133654000</v>
      </c>
      <c r="K12" s="29">
        <v>194442000</v>
      </c>
      <c r="L12" s="29">
        <v>66029000</v>
      </c>
      <c r="M12" s="29">
        <v>78955000</v>
      </c>
      <c r="N12" s="29">
        <v>95210000</v>
      </c>
    </row>
    <row r="13" spans="1:18" x14ac:dyDescent="0.35">
      <c r="A13" t="s">
        <v>140</v>
      </c>
      <c r="B13" s="29">
        <v>120579000</v>
      </c>
      <c r="C13" s="29">
        <v>119400000</v>
      </c>
      <c r="D13" s="29">
        <v>119392000</v>
      </c>
      <c r="E13" s="29">
        <v>95400000</v>
      </c>
      <c r="F13" s="29">
        <v>71401000</v>
      </c>
      <c r="G13">
        <v>0</v>
      </c>
      <c r="H13" s="29">
        <v>1004733000</v>
      </c>
      <c r="I13" s="29">
        <v>800849000</v>
      </c>
      <c r="J13" s="29">
        <v>700900000</v>
      </c>
      <c r="K13" s="29">
        <v>803632000</v>
      </c>
      <c r="L13" s="29">
        <v>632784000</v>
      </c>
      <c r="M13" s="29">
        <v>530631000</v>
      </c>
      <c r="N13" s="29">
        <v>416816000</v>
      </c>
      <c r="O13" s="29">
        <v>343328000</v>
      </c>
      <c r="P13" s="29">
        <v>72736000</v>
      </c>
      <c r="Q13" s="29">
        <v>52540000</v>
      </c>
      <c r="R13" s="29">
        <v>69397000</v>
      </c>
    </row>
    <row r="14" spans="1:18" x14ac:dyDescent="0.35">
      <c r="A14" t="s">
        <v>141</v>
      </c>
      <c r="L14" s="29">
        <v>9643000</v>
      </c>
      <c r="M14" s="29">
        <v>16243000</v>
      </c>
      <c r="N14" s="29">
        <v>12591000</v>
      </c>
      <c r="O14" s="29">
        <v>20738000</v>
      </c>
      <c r="P14" s="29">
        <v>51492000</v>
      </c>
      <c r="Q14">
        <v>0</v>
      </c>
    </row>
    <row r="15" spans="1:18" x14ac:dyDescent="0.35">
      <c r="A15" t="s">
        <v>142</v>
      </c>
      <c r="L15" s="29">
        <v>9643000</v>
      </c>
      <c r="M15" s="29">
        <v>16243000</v>
      </c>
      <c r="N15" s="29">
        <v>12591000</v>
      </c>
      <c r="O15" s="29">
        <v>20738000</v>
      </c>
      <c r="P15" s="29">
        <v>51492000</v>
      </c>
      <c r="Q15">
        <v>0</v>
      </c>
    </row>
    <row r="16" spans="1:18" x14ac:dyDescent="0.35">
      <c r="A16" t="s">
        <v>143</v>
      </c>
      <c r="B16" s="29">
        <v>247952000</v>
      </c>
      <c r="C16" s="29">
        <v>209547000</v>
      </c>
      <c r="D16" s="29">
        <v>187589000</v>
      </c>
      <c r="N16" s="29">
        <v>95210000</v>
      </c>
      <c r="O16" s="29">
        <v>63217000</v>
      </c>
      <c r="P16" s="29">
        <v>34806000</v>
      </c>
      <c r="Q16" s="29">
        <v>16757000</v>
      </c>
      <c r="R16" s="29">
        <v>14346000</v>
      </c>
    </row>
    <row r="17" spans="1:18" x14ac:dyDescent="0.35">
      <c r="A17" t="s">
        <v>144</v>
      </c>
      <c r="B17" s="29">
        <v>8134191000</v>
      </c>
      <c r="C17" s="29">
        <v>7905110000</v>
      </c>
      <c r="D17" s="29">
        <v>7190791000</v>
      </c>
      <c r="E17" s="29">
        <v>6697534000</v>
      </c>
      <c r="F17" s="29">
        <v>6042845000</v>
      </c>
      <c r="G17" s="29">
        <v>5657969000</v>
      </c>
      <c r="H17" s="29">
        <v>3819991000</v>
      </c>
      <c r="I17" s="29">
        <v>2863690000</v>
      </c>
      <c r="J17" s="29">
        <v>2176082000</v>
      </c>
      <c r="K17" s="29">
        <v>1504205000</v>
      </c>
      <c r="L17" s="29">
        <v>871255000</v>
      </c>
      <c r="M17" s="29">
        <v>531690000</v>
      </c>
      <c r="N17" s="29">
        <v>372527000</v>
      </c>
      <c r="O17" s="29">
        <v>303105000</v>
      </c>
      <c r="P17" s="29">
        <v>224538000</v>
      </c>
      <c r="Q17" s="29">
        <v>164075000</v>
      </c>
      <c r="R17" s="29">
        <v>134031000</v>
      </c>
    </row>
    <row r="18" spans="1:18" x14ac:dyDescent="0.35">
      <c r="A18" t="s">
        <v>145</v>
      </c>
      <c r="B18" s="29">
        <v>7800285000</v>
      </c>
      <c r="C18" s="29">
        <v>7560873000</v>
      </c>
      <c r="D18" s="29">
        <v>6936625000</v>
      </c>
      <c r="E18" s="29">
        <v>6291934000</v>
      </c>
      <c r="F18" s="29">
        <v>5658811000</v>
      </c>
      <c r="G18" s="29">
        <v>5259469000</v>
      </c>
      <c r="H18" s="29">
        <v>3491525000</v>
      </c>
      <c r="I18" s="29">
        <v>2642772000</v>
      </c>
      <c r="J18" s="29">
        <v>1990325000</v>
      </c>
      <c r="K18" s="29">
        <v>1337539000</v>
      </c>
      <c r="L18" s="29">
        <v>681403000</v>
      </c>
      <c r="M18" s="29">
        <v>354766000</v>
      </c>
      <c r="N18" s="29">
        <v>247474000</v>
      </c>
      <c r="O18" s="29">
        <v>235275000</v>
      </c>
      <c r="P18" s="29">
        <v>19329000</v>
      </c>
      <c r="Q18" s="29">
        <v>18409000</v>
      </c>
      <c r="R18" s="29">
        <v>20840000</v>
      </c>
    </row>
    <row r="19" spans="1:18" x14ac:dyDescent="0.35">
      <c r="A19" t="s">
        <v>146</v>
      </c>
      <c r="B19" s="29">
        <v>9025073000</v>
      </c>
      <c r="C19" s="29">
        <v>8729894000</v>
      </c>
      <c r="D19" s="29">
        <v>8035444000</v>
      </c>
      <c r="E19" s="29">
        <v>7176792000</v>
      </c>
      <c r="F19" s="29">
        <v>6339041000</v>
      </c>
      <c r="G19" s="29">
        <v>5751916000</v>
      </c>
      <c r="H19" s="29">
        <v>3824389000</v>
      </c>
      <c r="I19" s="29">
        <v>2850580000</v>
      </c>
      <c r="J19" s="29">
        <v>2112834000</v>
      </c>
      <c r="K19" s="29">
        <v>1403063000</v>
      </c>
      <c r="L19" s="29">
        <v>717502000</v>
      </c>
      <c r="M19" s="29">
        <v>379987000</v>
      </c>
      <c r="N19" s="29">
        <v>265299000</v>
      </c>
      <c r="O19" s="29">
        <v>262855000</v>
      </c>
      <c r="P19" s="29">
        <v>43342000</v>
      </c>
      <c r="Q19" s="29">
        <v>38788000</v>
      </c>
      <c r="R19" s="29">
        <v>37579000</v>
      </c>
    </row>
    <row r="20" spans="1:18" x14ac:dyDescent="0.35">
      <c r="A20" t="s">
        <v>147</v>
      </c>
      <c r="B20" s="29">
        <v>785335000</v>
      </c>
      <c r="C20" s="29">
        <v>726364000</v>
      </c>
      <c r="D20" s="29">
        <v>521802000</v>
      </c>
      <c r="E20" s="29">
        <v>384928000</v>
      </c>
      <c r="F20" s="29">
        <v>334167000</v>
      </c>
      <c r="G20" s="29">
        <v>291998000</v>
      </c>
      <c r="H20" s="29">
        <v>191661000</v>
      </c>
      <c r="I20" s="29">
        <v>155166000</v>
      </c>
      <c r="J20" s="29">
        <v>126206000</v>
      </c>
      <c r="K20" s="29">
        <v>74814000</v>
      </c>
      <c r="L20" s="29">
        <v>57012000</v>
      </c>
      <c r="M20" s="29">
        <v>48090000</v>
      </c>
      <c r="N20" s="29">
        <v>43580000</v>
      </c>
      <c r="O20" s="29">
        <v>46608000</v>
      </c>
    </row>
    <row r="21" spans="1:18" x14ac:dyDescent="0.35">
      <c r="A21" t="s">
        <v>148</v>
      </c>
      <c r="B21" s="29">
        <v>3775788000</v>
      </c>
      <c r="C21" s="29">
        <v>4442502000</v>
      </c>
      <c r="D21" s="29">
        <v>4814068000</v>
      </c>
      <c r="E21" s="29">
        <v>4841344000</v>
      </c>
      <c r="F21" s="29">
        <v>4533893000</v>
      </c>
      <c r="G21" s="29">
        <v>4022681000</v>
      </c>
      <c r="H21" s="29">
        <v>3493990000</v>
      </c>
      <c r="I21" s="29">
        <v>2544797000</v>
      </c>
      <c r="J21" s="29">
        <v>1787213000</v>
      </c>
      <c r="K21" s="29">
        <v>1121764000</v>
      </c>
      <c r="L21" s="29">
        <v>447343000</v>
      </c>
      <c r="M21" s="29">
        <v>170413000</v>
      </c>
      <c r="N21" s="29">
        <v>99340000</v>
      </c>
      <c r="O21" s="29">
        <v>95632000</v>
      </c>
      <c r="P21" s="29">
        <v>3901000</v>
      </c>
      <c r="Q21" s="29">
        <v>3615000</v>
      </c>
      <c r="R21" s="29">
        <v>3578000</v>
      </c>
    </row>
    <row r="22" spans="1:18" x14ac:dyDescent="0.35">
      <c r="A22" t="s">
        <v>149</v>
      </c>
      <c r="O22" s="29">
        <v>46608000</v>
      </c>
      <c r="P22" s="29">
        <v>39441000</v>
      </c>
      <c r="Q22" s="29">
        <v>35173000</v>
      </c>
      <c r="R22" s="29">
        <v>34001000</v>
      </c>
    </row>
    <row r="23" spans="1:18" x14ac:dyDescent="0.35">
      <c r="A23" t="s">
        <v>150</v>
      </c>
      <c r="B23" s="29">
        <v>4156810000</v>
      </c>
      <c r="C23" s="29">
        <v>3561028000</v>
      </c>
      <c r="D23" s="29">
        <v>2699574000</v>
      </c>
      <c r="E23" s="29">
        <v>1950520000</v>
      </c>
      <c r="F23" s="29">
        <v>1417823000</v>
      </c>
      <c r="G23" s="29">
        <v>1369555000</v>
      </c>
      <c r="H23" s="29">
        <v>191661000</v>
      </c>
      <c r="I23" s="29">
        <v>155166000</v>
      </c>
      <c r="J23" s="29">
        <v>126206000</v>
      </c>
      <c r="K23" s="29">
        <v>74814000</v>
      </c>
      <c r="L23" s="29">
        <v>57012000</v>
      </c>
      <c r="M23" s="29">
        <v>48090000</v>
      </c>
      <c r="N23" s="29">
        <v>43580000</v>
      </c>
      <c r="O23" s="29">
        <v>46608000</v>
      </c>
    </row>
    <row r="24" spans="1:18" x14ac:dyDescent="0.35">
      <c r="A24" t="s">
        <v>151</v>
      </c>
      <c r="B24" s="29">
        <v>307140000</v>
      </c>
      <c r="E24" s="29">
        <v>38166000</v>
      </c>
      <c r="F24" s="29">
        <v>53158000</v>
      </c>
      <c r="G24" s="29">
        <v>67682000</v>
      </c>
      <c r="H24" s="29">
        <v>138738000</v>
      </c>
      <c r="I24" s="29">
        <v>150617000</v>
      </c>
      <c r="J24" s="29">
        <v>199415000</v>
      </c>
      <c r="K24" s="29">
        <v>206485000</v>
      </c>
      <c r="L24" s="29">
        <v>213147000</v>
      </c>
      <c r="M24" s="29">
        <v>161484000</v>
      </c>
      <c r="N24" s="29">
        <v>122379000</v>
      </c>
      <c r="O24" s="29">
        <v>120615000</v>
      </c>
    </row>
    <row r="25" spans="1:18" x14ac:dyDescent="0.35">
      <c r="A25" t="s">
        <v>152</v>
      </c>
      <c r="B25" s="29">
        <v>-1224788000</v>
      </c>
      <c r="C25" s="29">
        <v>-1169021000</v>
      </c>
      <c r="D25" s="29">
        <v>-1098819000</v>
      </c>
      <c r="E25" s="29">
        <v>-884858000</v>
      </c>
      <c r="F25" s="29">
        <v>-680230000</v>
      </c>
      <c r="G25" s="29">
        <v>-492447000</v>
      </c>
      <c r="H25" s="29">
        <v>-332864000</v>
      </c>
      <c r="I25" s="29">
        <v>-207808000</v>
      </c>
      <c r="J25" s="29">
        <v>-122509000</v>
      </c>
      <c r="K25" s="29">
        <v>-65524000</v>
      </c>
      <c r="L25" s="29">
        <v>-36099000</v>
      </c>
      <c r="M25" s="29">
        <v>-25221000</v>
      </c>
      <c r="N25" s="29">
        <v>-17825000</v>
      </c>
      <c r="O25" s="29">
        <v>-27580000</v>
      </c>
      <c r="P25" s="29">
        <v>-24013000</v>
      </c>
      <c r="Q25" s="29">
        <v>-20379000</v>
      </c>
      <c r="R25" s="29">
        <v>-16739000</v>
      </c>
    </row>
    <row r="26" spans="1:18" x14ac:dyDescent="0.35">
      <c r="A26" t="s">
        <v>153</v>
      </c>
      <c r="B26" s="29">
        <v>306746000</v>
      </c>
      <c r="C26" s="29">
        <v>313505000</v>
      </c>
      <c r="D26" s="29">
        <v>190349000</v>
      </c>
      <c r="E26" s="29">
        <v>330062000</v>
      </c>
      <c r="F26" s="29">
        <v>347907000</v>
      </c>
      <c r="G26" s="29">
        <v>361603000</v>
      </c>
      <c r="H26" s="29">
        <v>249010000</v>
      </c>
      <c r="I26" s="29">
        <v>99915000</v>
      </c>
      <c r="J26" s="29">
        <v>75534000</v>
      </c>
      <c r="K26" s="29">
        <v>89127000</v>
      </c>
      <c r="L26" s="29">
        <v>123108000</v>
      </c>
      <c r="M26" s="29">
        <v>125288000</v>
      </c>
      <c r="N26" s="29">
        <v>80533000</v>
      </c>
      <c r="O26" s="29">
        <v>67830000</v>
      </c>
      <c r="P26" s="29">
        <v>1319000</v>
      </c>
      <c r="Q26">
        <v>0</v>
      </c>
    </row>
    <row r="27" spans="1:18" x14ac:dyDescent="0.35">
      <c r="A27" t="s">
        <v>154</v>
      </c>
      <c r="O27">
        <v>0</v>
      </c>
      <c r="P27" s="29">
        <v>1319000</v>
      </c>
      <c r="Q27">
        <v>0</v>
      </c>
    </row>
    <row r="28" spans="1:18" x14ac:dyDescent="0.35">
      <c r="A28" t="s">
        <v>155</v>
      </c>
      <c r="E28" s="29">
        <v>38166000</v>
      </c>
      <c r="F28" s="29">
        <v>53158000</v>
      </c>
      <c r="G28" s="29">
        <v>67682000</v>
      </c>
      <c r="H28" s="29">
        <v>138738000</v>
      </c>
      <c r="I28" s="29">
        <v>150617000</v>
      </c>
      <c r="J28" s="29">
        <v>199415000</v>
      </c>
      <c r="K28" s="29">
        <v>206485000</v>
      </c>
      <c r="L28" s="29">
        <v>213147000</v>
      </c>
      <c r="M28" s="29">
        <v>161484000</v>
      </c>
      <c r="N28" s="29">
        <v>122379000</v>
      </c>
      <c r="O28" s="29">
        <v>120615000</v>
      </c>
      <c r="P28" s="29">
        <v>116857000</v>
      </c>
      <c r="Q28" s="29">
        <v>91294000</v>
      </c>
      <c r="R28" s="29">
        <v>82250000</v>
      </c>
    </row>
    <row r="29" spans="1:18" x14ac:dyDescent="0.35">
      <c r="A29" t="s">
        <v>156</v>
      </c>
      <c r="B29" s="29">
        <v>27160000</v>
      </c>
      <c r="C29" s="29">
        <v>30732000</v>
      </c>
      <c r="D29" s="29">
        <v>63817000</v>
      </c>
      <c r="E29" s="29">
        <v>75538000</v>
      </c>
      <c r="F29" s="29">
        <v>36127000</v>
      </c>
      <c r="G29" s="29">
        <v>36897000</v>
      </c>
      <c r="H29" s="29">
        <v>79456000</v>
      </c>
      <c r="I29" s="29">
        <v>121003000</v>
      </c>
      <c r="J29" s="29">
        <v>110223000</v>
      </c>
      <c r="K29" s="29">
        <v>77539000</v>
      </c>
      <c r="L29" s="29">
        <v>66744000</v>
      </c>
      <c r="M29" s="29">
        <v>51636000</v>
      </c>
      <c r="N29" s="29">
        <v>44520000</v>
      </c>
      <c r="O29" s="29">
        <v>159280000</v>
      </c>
      <c r="P29" s="29">
        <v>87033000</v>
      </c>
      <c r="Q29" s="29">
        <v>54372000</v>
      </c>
      <c r="R29" s="29">
        <v>30941000</v>
      </c>
    </row>
    <row r="30" spans="1:18" x14ac:dyDescent="0.35">
      <c r="A30" t="s">
        <v>157</v>
      </c>
      <c r="B30" s="29">
        <v>8749794000</v>
      </c>
      <c r="C30" s="29">
        <v>8282895000</v>
      </c>
      <c r="D30" s="29">
        <v>7613123000</v>
      </c>
      <c r="E30" s="29">
        <v>6425990000</v>
      </c>
      <c r="F30" s="29">
        <v>6149130000</v>
      </c>
      <c r="G30" s="29">
        <v>4782080000</v>
      </c>
      <c r="H30" s="29">
        <v>3236953000</v>
      </c>
      <c r="I30" s="29">
        <v>2383226000</v>
      </c>
      <c r="J30" s="29">
        <v>1757320000</v>
      </c>
      <c r="K30" s="29">
        <v>1305235000</v>
      </c>
      <c r="L30" s="29">
        <v>589678000</v>
      </c>
      <c r="M30" s="29">
        <v>411648000</v>
      </c>
      <c r="N30" s="29">
        <v>337349000</v>
      </c>
      <c r="O30" s="29">
        <v>279107000</v>
      </c>
      <c r="P30" s="29">
        <v>580834000</v>
      </c>
      <c r="Q30" s="29">
        <v>505993000</v>
      </c>
      <c r="R30" s="29">
        <v>501899000</v>
      </c>
    </row>
    <row r="31" spans="1:18" x14ac:dyDescent="0.35">
      <c r="A31" t="s">
        <v>158</v>
      </c>
      <c r="B31" s="29">
        <v>1511148000</v>
      </c>
      <c r="C31" s="29">
        <v>1671592000</v>
      </c>
      <c r="D31" s="29">
        <v>1596581000</v>
      </c>
      <c r="E31" s="29">
        <v>1275602000</v>
      </c>
      <c r="F31" s="29">
        <v>1342022000</v>
      </c>
      <c r="G31" s="29">
        <v>1112044000</v>
      </c>
      <c r="H31" s="29">
        <v>834535000</v>
      </c>
      <c r="I31" s="29">
        <v>664333000</v>
      </c>
      <c r="J31" s="29">
        <v>531950000</v>
      </c>
      <c r="K31" s="29">
        <v>466240000</v>
      </c>
      <c r="L31" s="29">
        <v>365624000</v>
      </c>
      <c r="M31" s="29">
        <v>335993000</v>
      </c>
      <c r="N31" s="29">
        <v>276894000</v>
      </c>
      <c r="O31" s="29">
        <v>227064000</v>
      </c>
      <c r="P31" s="29">
        <v>214429000</v>
      </c>
      <c r="Q31" s="29">
        <v>163893000</v>
      </c>
      <c r="R31" s="29">
        <v>178269000</v>
      </c>
    </row>
    <row r="32" spans="1:18" x14ac:dyDescent="0.35">
      <c r="A32" t="s">
        <v>159</v>
      </c>
      <c r="B32" s="29">
        <v>553869000</v>
      </c>
      <c r="C32" s="29">
        <v>607227000</v>
      </c>
      <c r="D32" s="29">
        <v>580517000</v>
      </c>
      <c r="E32" s="29">
        <v>469833000</v>
      </c>
      <c r="F32" s="29">
        <v>323225000</v>
      </c>
      <c r="G32" s="29">
        <v>361760000</v>
      </c>
      <c r="H32" s="29">
        <v>338112000</v>
      </c>
      <c r="I32" s="29">
        <v>245083000</v>
      </c>
      <c r="J32" s="29">
        <v>209384000</v>
      </c>
      <c r="K32" s="29">
        <v>161396000</v>
      </c>
      <c r="L32" s="29">
        <v>139308000</v>
      </c>
      <c r="M32" s="29">
        <v>149787000</v>
      </c>
      <c r="N32" s="29">
        <v>126173000</v>
      </c>
      <c r="O32" s="29">
        <v>96848000</v>
      </c>
      <c r="P32" s="29">
        <v>39280000</v>
      </c>
      <c r="Q32" s="29">
        <v>36057000</v>
      </c>
      <c r="R32" s="29">
        <v>21078000</v>
      </c>
    </row>
    <row r="33" spans="1:18" x14ac:dyDescent="0.35">
      <c r="A33" t="s">
        <v>160</v>
      </c>
      <c r="B33" s="29">
        <v>195579000</v>
      </c>
      <c r="C33" s="29">
        <v>146545000</v>
      </c>
      <c r="D33" s="29">
        <v>171873000</v>
      </c>
      <c r="E33" s="29">
        <v>122361000</v>
      </c>
      <c r="F33" s="29">
        <v>65338000</v>
      </c>
      <c r="G33" s="29">
        <v>108913000</v>
      </c>
      <c r="H33" s="29">
        <v>99924000</v>
      </c>
      <c r="I33" s="29">
        <v>64858000</v>
      </c>
      <c r="J33" s="29">
        <v>57257000</v>
      </c>
      <c r="K33" s="29">
        <v>55297000</v>
      </c>
      <c r="L33" s="29">
        <v>56030000</v>
      </c>
      <c r="M33" s="29">
        <v>50877000</v>
      </c>
      <c r="N33" s="29">
        <v>47567000</v>
      </c>
      <c r="O33" s="29">
        <v>33741000</v>
      </c>
      <c r="P33" s="29">
        <v>32395000</v>
      </c>
      <c r="Q33" s="29">
        <v>30857000</v>
      </c>
      <c r="R33" s="29">
        <v>21078000</v>
      </c>
    </row>
    <row r="34" spans="1:18" x14ac:dyDescent="0.35">
      <c r="A34" t="s">
        <v>161</v>
      </c>
      <c r="B34" s="29">
        <v>70014000</v>
      </c>
      <c r="C34" s="29">
        <v>42098000</v>
      </c>
      <c r="D34" s="29">
        <v>75449000</v>
      </c>
      <c r="E34" s="29">
        <v>44952000</v>
      </c>
      <c r="F34" s="29">
        <v>28454000</v>
      </c>
      <c r="G34" s="29">
        <v>43601000</v>
      </c>
      <c r="H34" s="29">
        <v>39320000</v>
      </c>
      <c r="I34" s="29">
        <v>22822000</v>
      </c>
      <c r="J34" s="29">
        <v>15193000</v>
      </c>
      <c r="K34" s="29">
        <v>17043000</v>
      </c>
      <c r="L34" s="29">
        <v>13402000</v>
      </c>
      <c r="M34" s="29">
        <v>23104000</v>
      </c>
      <c r="N34" s="29">
        <v>24166000</v>
      </c>
      <c r="O34" s="29">
        <v>15928000</v>
      </c>
      <c r="P34" s="29">
        <v>13360000</v>
      </c>
      <c r="Q34" s="29">
        <v>15265000</v>
      </c>
      <c r="R34" s="29">
        <v>21078000</v>
      </c>
    </row>
    <row r="35" spans="1:18" x14ac:dyDescent="0.35">
      <c r="A35" t="s">
        <v>162</v>
      </c>
      <c r="B35" s="29">
        <v>125565000</v>
      </c>
      <c r="C35" s="29">
        <v>104447000</v>
      </c>
      <c r="D35" s="29">
        <v>96424000</v>
      </c>
      <c r="E35" s="29">
        <v>77409000</v>
      </c>
      <c r="F35" s="29">
        <v>36884000</v>
      </c>
      <c r="G35" s="29">
        <v>65312000</v>
      </c>
      <c r="H35" s="29">
        <v>60604000</v>
      </c>
      <c r="I35" s="29">
        <v>42036000</v>
      </c>
      <c r="J35" s="29">
        <v>42064000</v>
      </c>
      <c r="K35" s="29">
        <v>38254000</v>
      </c>
      <c r="L35" s="29">
        <v>42628000</v>
      </c>
      <c r="M35" s="29">
        <v>27773000</v>
      </c>
      <c r="N35" s="29">
        <v>23401000</v>
      </c>
      <c r="O35" s="29">
        <v>17813000</v>
      </c>
      <c r="P35" s="29">
        <v>19035000</v>
      </c>
      <c r="Q35" s="29">
        <v>15592000</v>
      </c>
    </row>
    <row r="36" spans="1:18" x14ac:dyDescent="0.35">
      <c r="A36" t="s">
        <v>163</v>
      </c>
      <c r="L36" s="29">
        <v>3286000</v>
      </c>
      <c r="M36" s="29">
        <v>794000</v>
      </c>
    </row>
    <row r="37" spans="1:18" x14ac:dyDescent="0.35">
      <c r="A37" t="s">
        <v>164</v>
      </c>
      <c r="B37" s="29">
        <v>358290000</v>
      </c>
      <c r="C37" s="29">
        <v>460682000</v>
      </c>
      <c r="D37" s="29">
        <v>408644000</v>
      </c>
      <c r="E37" s="29">
        <v>347472000</v>
      </c>
      <c r="F37" s="29">
        <v>257887000</v>
      </c>
      <c r="G37" s="29">
        <v>252847000</v>
      </c>
      <c r="H37" s="29">
        <v>238188000</v>
      </c>
      <c r="I37" s="29">
        <v>180225000</v>
      </c>
      <c r="J37" s="29">
        <v>152127000</v>
      </c>
      <c r="K37" s="29">
        <v>106099000</v>
      </c>
      <c r="L37" s="29">
        <v>83278000</v>
      </c>
      <c r="M37" s="29">
        <v>98910000</v>
      </c>
      <c r="N37" s="29">
        <v>78606000</v>
      </c>
      <c r="O37" s="29">
        <v>63107000</v>
      </c>
      <c r="P37" s="29">
        <v>6885000</v>
      </c>
      <c r="Q37" s="29">
        <v>5200000</v>
      </c>
    </row>
    <row r="38" spans="1:18" x14ac:dyDescent="0.35">
      <c r="A38" t="s">
        <v>165</v>
      </c>
      <c r="B38" s="29">
        <v>26185000</v>
      </c>
      <c r="C38" s="29">
        <v>24732000</v>
      </c>
      <c r="D38" s="29">
        <v>32613000</v>
      </c>
      <c r="E38" s="29">
        <v>24526000</v>
      </c>
      <c r="F38" s="29">
        <v>37202000</v>
      </c>
      <c r="G38" s="29">
        <v>16941000</v>
      </c>
      <c r="H38" s="29">
        <v>18086000</v>
      </c>
      <c r="I38" s="29">
        <v>11384000</v>
      </c>
      <c r="J38" s="29">
        <v>8499000</v>
      </c>
      <c r="K38" s="29">
        <v>12355000</v>
      </c>
      <c r="L38" s="29">
        <v>1708000</v>
      </c>
      <c r="O38" s="29">
        <v>1142000</v>
      </c>
      <c r="P38" s="29">
        <v>6885000</v>
      </c>
      <c r="Q38" s="29">
        <v>5200000</v>
      </c>
    </row>
    <row r="39" spans="1:18" x14ac:dyDescent="0.35">
      <c r="A39" t="s">
        <v>166</v>
      </c>
      <c r="O39" s="29">
        <v>17123000</v>
      </c>
      <c r="P39" s="29">
        <v>14842000</v>
      </c>
      <c r="Q39" s="29">
        <v>12561000</v>
      </c>
    </row>
    <row r="40" spans="1:18" x14ac:dyDescent="0.35">
      <c r="A40" t="s">
        <v>167</v>
      </c>
      <c r="B40" s="29">
        <v>405272000</v>
      </c>
      <c r="C40" s="29">
        <v>576560000</v>
      </c>
      <c r="D40" s="29">
        <v>557252000</v>
      </c>
      <c r="E40" s="29">
        <v>390628000</v>
      </c>
      <c r="F40" s="29">
        <v>585362000</v>
      </c>
      <c r="G40" s="29">
        <v>400170000</v>
      </c>
      <c r="H40" s="29">
        <v>178706000</v>
      </c>
      <c r="I40" s="29">
        <v>132422000</v>
      </c>
      <c r="J40" s="29">
        <v>94732000</v>
      </c>
      <c r="K40" s="29">
        <v>73651000</v>
      </c>
      <c r="L40" s="29">
        <v>20520000</v>
      </c>
      <c r="M40" s="29">
        <v>7993000</v>
      </c>
      <c r="N40" s="29">
        <v>8020000</v>
      </c>
      <c r="O40" s="29">
        <v>7206000</v>
      </c>
      <c r="P40" s="29">
        <v>23240000</v>
      </c>
      <c r="Q40" s="29">
        <v>3240000</v>
      </c>
      <c r="R40" s="29">
        <v>5099000</v>
      </c>
    </row>
    <row r="41" spans="1:18" x14ac:dyDescent="0.35">
      <c r="A41" t="s">
        <v>168</v>
      </c>
      <c r="B41" s="29">
        <v>142815000</v>
      </c>
      <c r="C41" s="29">
        <v>315580000</v>
      </c>
      <c r="D41" s="29">
        <v>346888000</v>
      </c>
      <c r="E41" s="29">
        <v>208948000</v>
      </c>
      <c r="F41" s="29">
        <v>384197000</v>
      </c>
      <c r="G41" s="29">
        <v>258852000</v>
      </c>
      <c r="H41" s="29">
        <v>163557000</v>
      </c>
      <c r="I41" s="29">
        <v>115430000</v>
      </c>
      <c r="J41" s="29">
        <v>84354000</v>
      </c>
      <c r="K41" s="29">
        <v>49637000</v>
      </c>
      <c r="L41" s="29">
        <v>10431000</v>
      </c>
      <c r="P41" s="29">
        <v>23240000</v>
      </c>
      <c r="Q41" s="29">
        <v>3240000</v>
      </c>
      <c r="R41" s="29">
        <v>5099000</v>
      </c>
    </row>
    <row r="42" spans="1:18" x14ac:dyDescent="0.35">
      <c r="A42" t="s">
        <v>169</v>
      </c>
      <c r="B42" s="29">
        <v>142815000</v>
      </c>
      <c r="C42" s="29">
        <v>315580000</v>
      </c>
      <c r="D42" s="29">
        <v>346888000</v>
      </c>
      <c r="E42" s="29">
        <v>208948000</v>
      </c>
      <c r="F42" s="29">
        <v>384197000</v>
      </c>
      <c r="G42" s="29">
        <v>258852000</v>
      </c>
      <c r="H42" s="29">
        <v>163557000</v>
      </c>
      <c r="I42" s="29">
        <v>115430000</v>
      </c>
      <c r="J42" s="29">
        <v>84354000</v>
      </c>
      <c r="K42" s="29">
        <v>49637000</v>
      </c>
      <c r="L42" s="29">
        <v>10431000</v>
      </c>
      <c r="P42" s="29">
        <v>23240000</v>
      </c>
      <c r="Q42" s="29">
        <v>3240000</v>
      </c>
    </row>
    <row r="43" spans="1:18" x14ac:dyDescent="0.35">
      <c r="A43" t="s">
        <v>170</v>
      </c>
      <c r="B43" s="29">
        <v>262457000</v>
      </c>
      <c r="C43" s="29">
        <v>260980000</v>
      </c>
      <c r="D43" s="29">
        <v>210364000</v>
      </c>
      <c r="E43" s="29">
        <v>181680000</v>
      </c>
      <c r="F43" s="29">
        <v>201165000</v>
      </c>
      <c r="G43" s="29">
        <v>141318000</v>
      </c>
      <c r="H43" s="29">
        <v>15149000</v>
      </c>
      <c r="I43" s="29">
        <v>16992000</v>
      </c>
      <c r="J43" s="29">
        <v>10378000</v>
      </c>
      <c r="K43" s="29">
        <v>24014000</v>
      </c>
      <c r="L43" s="29">
        <v>10089000</v>
      </c>
      <c r="M43" s="29">
        <v>7993000</v>
      </c>
      <c r="N43" s="29">
        <v>8020000</v>
      </c>
      <c r="O43" s="29">
        <v>7206000</v>
      </c>
    </row>
    <row r="44" spans="1:18" x14ac:dyDescent="0.35">
      <c r="A44" t="s">
        <v>171</v>
      </c>
      <c r="B44" s="29">
        <v>496985000</v>
      </c>
      <c r="C44" s="29">
        <v>383751000</v>
      </c>
      <c r="D44" s="29">
        <v>429618000</v>
      </c>
      <c r="E44" s="29">
        <v>382317000</v>
      </c>
      <c r="F44" s="29">
        <v>401966000</v>
      </c>
      <c r="G44" s="29">
        <v>315408000</v>
      </c>
      <c r="H44" s="29">
        <v>291981000</v>
      </c>
      <c r="I44" s="29">
        <v>263711000</v>
      </c>
      <c r="J44" s="29">
        <v>206392000</v>
      </c>
      <c r="K44" s="29">
        <v>216831000</v>
      </c>
      <c r="L44" s="29">
        <v>188870000</v>
      </c>
      <c r="M44" s="29">
        <v>167627000</v>
      </c>
      <c r="N44" s="29">
        <v>131414000</v>
      </c>
      <c r="O44" s="29">
        <v>112280000</v>
      </c>
    </row>
    <row r="45" spans="1:18" x14ac:dyDescent="0.35">
      <c r="A45" t="s">
        <v>172</v>
      </c>
      <c r="B45" s="29">
        <v>496985000</v>
      </c>
      <c r="C45" s="29">
        <v>383751000</v>
      </c>
      <c r="D45" s="29">
        <v>429618000</v>
      </c>
      <c r="E45" s="29">
        <v>382317000</v>
      </c>
      <c r="F45" s="29">
        <v>401966000</v>
      </c>
      <c r="G45" s="29">
        <v>315408000</v>
      </c>
      <c r="H45" s="29">
        <v>291981000</v>
      </c>
      <c r="I45" s="29">
        <v>263711000</v>
      </c>
      <c r="J45" s="29">
        <v>206392000</v>
      </c>
      <c r="K45" s="29">
        <v>216831000</v>
      </c>
      <c r="L45" s="29">
        <v>188870000</v>
      </c>
      <c r="M45" s="29">
        <v>167627000</v>
      </c>
      <c r="N45" s="29">
        <v>131414000</v>
      </c>
      <c r="O45" s="29">
        <v>112280000</v>
      </c>
    </row>
    <row r="46" spans="1:18" x14ac:dyDescent="0.35">
      <c r="A46" t="s">
        <v>173</v>
      </c>
      <c r="B46" s="29">
        <v>55022000</v>
      </c>
      <c r="C46" s="29">
        <v>104054000</v>
      </c>
      <c r="D46" s="29">
        <v>29194000</v>
      </c>
      <c r="E46" s="29">
        <v>32824000</v>
      </c>
      <c r="F46" s="29">
        <v>31469000</v>
      </c>
      <c r="G46" s="29">
        <v>34706000</v>
      </c>
      <c r="H46" s="29">
        <v>25736000</v>
      </c>
      <c r="I46" s="29">
        <v>23117000</v>
      </c>
      <c r="J46" s="29">
        <v>21442000</v>
      </c>
      <c r="K46" s="29">
        <v>14362000</v>
      </c>
      <c r="L46" s="29">
        <v>16926000</v>
      </c>
      <c r="M46" s="29">
        <v>10586000</v>
      </c>
      <c r="N46" s="29">
        <v>11287000</v>
      </c>
      <c r="O46" s="29">
        <v>10730000</v>
      </c>
      <c r="P46" s="29">
        <v>137067000</v>
      </c>
      <c r="Q46" s="29">
        <v>112035000</v>
      </c>
      <c r="R46" s="29">
        <v>152092000</v>
      </c>
    </row>
    <row r="47" spans="1:18" x14ac:dyDescent="0.35">
      <c r="A47" t="s">
        <v>174</v>
      </c>
      <c r="B47" s="29">
        <v>7238646000</v>
      </c>
      <c r="C47" s="29">
        <v>6611303000</v>
      </c>
      <c r="D47" s="29">
        <v>6016542000</v>
      </c>
      <c r="E47" s="29">
        <v>5150388000</v>
      </c>
      <c r="F47" s="29">
        <v>4807108000</v>
      </c>
      <c r="G47" s="29">
        <v>3670036000</v>
      </c>
      <c r="H47" s="29">
        <v>2402418000</v>
      </c>
      <c r="I47" s="29">
        <v>1718893000</v>
      </c>
      <c r="J47" s="29">
        <v>1225370000</v>
      </c>
      <c r="K47" s="29">
        <v>838995000</v>
      </c>
      <c r="L47" s="29">
        <v>224054000</v>
      </c>
      <c r="M47" s="29">
        <v>75655000</v>
      </c>
      <c r="N47" s="29">
        <v>60455000</v>
      </c>
      <c r="O47" s="29">
        <v>52043000</v>
      </c>
      <c r="P47" s="29">
        <v>366405000</v>
      </c>
      <c r="Q47" s="29">
        <v>342100000</v>
      </c>
      <c r="R47" s="29">
        <v>323630000</v>
      </c>
    </row>
    <row r="48" spans="1:18" x14ac:dyDescent="0.35">
      <c r="A48" t="s">
        <v>175</v>
      </c>
      <c r="B48" s="29">
        <v>7019348000</v>
      </c>
      <c r="C48" s="29">
        <v>6354092000</v>
      </c>
      <c r="D48" s="29">
        <v>5655995000</v>
      </c>
      <c r="E48" s="29">
        <v>4727174000</v>
      </c>
      <c r="F48" s="29">
        <v>4315154000</v>
      </c>
      <c r="G48" s="29">
        <v>3178467000</v>
      </c>
      <c r="H48" s="29">
        <v>2024774000</v>
      </c>
      <c r="I48" s="29">
        <v>1387498000</v>
      </c>
      <c r="J48" s="29">
        <v>897359000</v>
      </c>
      <c r="K48" s="29">
        <v>596693000</v>
      </c>
      <c r="L48" s="29">
        <v>135232000</v>
      </c>
      <c r="P48" s="29">
        <v>11966000</v>
      </c>
      <c r="Q48" s="29">
        <v>11966000</v>
      </c>
      <c r="R48" s="29">
        <v>209381000</v>
      </c>
    </row>
    <row r="49" spans="1:18" x14ac:dyDescent="0.35">
      <c r="A49" t="s">
        <v>176</v>
      </c>
      <c r="B49" s="29">
        <v>3124079000</v>
      </c>
      <c r="C49" s="29">
        <v>3055221000</v>
      </c>
      <c r="D49" s="29">
        <v>3200376000</v>
      </c>
      <c r="E49" s="29">
        <v>2975823000</v>
      </c>
      <c r="F49" s="29">
        <v>3066635000</v>
      </c>
      <c r="G49" s="29">
        <v>1960453000</v>
      </c>
      <c r="H49" s="29">
        <v>2024774000</v>
      </c>
      <c r="I49" s="29">
        <v>1387498000</v>
      </c>
      <c r="J49" s="29">
        <v>897359000</v>
      </c>
      <c r="K49" s="29">
        <v>596693000</v>
      </c>
      <c r="L49" s="29">
        <v>135232000</v>
      </c>
      <c r="P49" s="29">
        <v>11966000</v>
      </c>
      <c r="Q49" s="29">
        <v>11966000</v>
      </c>
      <c r="R49" s="29">
        <v>209381000</v>
      </c>
    </row>
    <row r="50" spans="1:18" x14ac:dyDescent="0.35">
      <c r="A50" t="s">
        <v>177</v>
      </c>
      <c r="B50" s="29">
        <v>3895269000</v>
      </c>
      <c r="C50" s="29">
        <v>3298871000</v>
      </c>
      <c r="D50" s="29">
        <v>2455619000</v>
      </c>
      <c r="E50" s="29">
        <v>1751351000</v>
      </c>
      <c r="F50" s="29">
        <v>1248519000</v>
      </c>
      <c r="G50" s="29">
        <v>1218014000</v>
      </c>
      <c r="H50">
        <v>0</v>
      </c>
    </row>
    <row r="51" spans="1:18" x14ac:dyDescent="0.35">
      <c r="A51" t="s">
        <v>178</v>
      </c>
      <c r="B51" s="29">
        <v>96450000</v>
      </c>
      <c r="C51" s="29">
        <v>107761000</v>
      </c>
      <c r="D51" s="29">
        <v>226843000</v>
      </c>
      <c r="E51" s="29">
        <v>375472000</v>
      </c>
      <c r="F51" s="29">
        <v>439894000</v>
      </c>
      <c r="G51" s="29">
        <v>469292000</v>
      </c>
      <c r="H51" s="29">
        <v>355141000</v>
      </c>
      <c r="I51" s="29">
        <v>308814000</v>
      </c>
      <c r="J51" s="29">
        <v>308143000</v>
      </c>
      <c r="K51" s="29">
        <v>221481000</v>
      </c>
      <c r="L51" s="29">
        <v>66367000</v>
      </c>
      <c r="M51" s="29">
        <v>48916000</v>
      </c>
      <c r="N51" s="29">
        <v>33216000</v>
      </c>
      <c r="O51" s="29">
        <v>12108000</v>
      </c>
      <c r="P51" s="29">
        <v>29101000</v>
      </c>
      <c r="Q51" s="29">
        <v>27998000</v>
      </c>
      <c r="R51" s="29">
        <v>24564000</v>
      </c>
    </row>
    <row r="52" spans="1:18" x14ac:dyDescent="0.35">
      <c r="A52" t="s">
        <v>179</v>
      </c>
      <c r="B52" s="29">
        <v>96450000</v>
      </c>
      <c r="C52" s="29">
        <v>107761000</v>
      </c>
      <c r="D52" s="29">
        <v>226843000</v>
      </c>
      <c r="E52" s="29">
        <v>375472000</v>
      </c>
      <c r="F52" s="29">
        <v>439894000</v>
      </c>
      <c r="G52" s="29">
        <v>469292000</v>
      </c>
      <c r="H52" s="29">
        <v>355141000</v>
      </c>
      <c r="I52" s="29">
        <v>308814000</v>
      </c>
      <c r="J52" s="29">
        <v>308143000</v>
      </c>
      <c r="K52" s="29">
        <v>221481000</v>
      </c>
      <c r="L52" s="29">
        <v>66367000</v>
      </c>
      <c r="M52" s="29">
        <v>48916000</v>
      </c>
      <c r="N52" s="29">
        <v>33216000</v>
      </c>
      <c r="O52" s="29">
        <v>12108000</v>
      </c>
    </row>
    <row r="53" spans="1:18" x14ac:dyDescent="0.35">
      <c r="A53" t="s">
        <v>180</v>
      </c>
      <c r="C53" s="29">
        <v>149450000</v>
      </c>
      <c r="D53" s="29">
        <v>133704000</v>
      </c>
      <c r="E53" s="29">
        <v>47742000</v>
      </c>
      <c r="F53" s="29">
        <v>52060000</v>
      </c>
      <c r="G53" s="29">
        <v>22277000</v>
      </c>
      <c r="H53" s="29">
        <v>22503000</v>
      </c>
      <c r="I53" s="29">
        <v>22581000</v>
      </c>
      <c r="J53" s="29">
        <v>19868000</v>
      </c>
      <c r="K53" s="29">
        <v>20821000</v>
      </c>
      <c r="L53" s="29">
        <v>22455000</v>
      </c>
      <c r="M53" s="29">
        <v>26739000</v>
      </c>
      <c r="N53" s="29">
        <v>27239000</v>
      </c>
      <c r="O53" s="29">
        <v>39935000</v>
      </c>
    </row>
    <row r="54" spans="1:18" x14ac:dyDescent="0.35">
      <c r="A54" t="s">
        <v>181</v>
      </c>
      <c r="P54">
        <v>0</v>
      </c>
      <c r="Q54">
        <v>0</v>
      </c>
    </row>
    <row r="55" spans="1:18" x14ac:dyDescent="0.35">
      <c r="A55" t="s">
        <v>182</v>
      </c>
      <c r="O55">
        <v>0</v>
      </c>
      <c r="P55" s="29">
        <v>245621000</v>
      </c>
      <c r="Q55" s="29">
        <v>227026000</v>
      </c>
    </row>
    <row r="56" spans="1:18" x14ac:dyDescent="0.35">
      <c r="A56" t="s">
        <v>183</v>
      </c>
      <c r="O56">
        <v>0</v>
      </c>
      <c r="P56" s="29">
        <v>79717000</v>
      </c>
      <c r="Q56" s="29">
        <v>75110000</v>
      </c>
      <c r="R56" s="29">
        <v>89685000</v>
      </c>
    </row>
    <row r="57" spans="1:18" x14ac:dyDescent="0.35">
      <c r="A57" t="s">
        <v>184</v>
      </c>
      <c r="B57" s="29">
        <v>122848000</v>
      </c>
      <c r="C57" s="29">
        <v>149450000</v>
      </c>
      <c r="D57" s="29">
        <v>133704000</v>
      </c>
      <c r="E57" s="29">
        <v>47742000</v>
      </c>
      <c r="F57" s="29">
        <v>52060000</v>
      </c>
      <c r="G57" s="29">
        <v>22277000</v>
      </c>
      <c r="H57" s="29">
        <v>22503000</v>
      </c>
      <c r="I57" s="29">
        <v>22581000</v>
      </c>
      <c r="J57" s="29">
        <v>19868000</v>
      </c>
      <c r="K57" s="29">
        <v>20821000</v>
      </c>
      <c r="L57" s="29">
        <v>22455000</v>
      </c>
      <c r="M57" s="29">
        <v>26739000</v>
      </c>
      <c r="N57" s="29">
        <v>27239000</v>
      </c>
      <c r="O57" s="29">
        <v>39935000</v>
      </c>
    </row>
    <row r="58" spans="1:18" x14ac:dyDescent="0.35">
      <c r="A58" t="s">
        <v>185</v>
      </c>
      <c r="B58" s="29">
        <v>809662000</v>
      </c>
      <c r="C58" s="29">
        <v>1134342000</v>
      </c>
      <c r="D58" s="29">
        <v>1571651000</v>
      </c>
      <c r="E58" s="29">
        <v>2114035000</v>
      </c>
      <c r="F58" s="29">
        <v>2249695000</v>
      </c>
      <c r="G58" s="29">
        <v>2261332000</v>
      </c>
      <c r="H58" s="29">
        <v>1928504000</v>
      </c>
      <c r="I58" s="29">
        <v>1762574000</v>
      </c>
      <c r="J58" s="29">
        <v>1394607000</v>
      </c>
      <c r="K58" s="29">
        <v>1225310000</v>
      </c>
      <c r="L58" s="29">
        <v>1003075000</v>
      </c>
      <c r="M58" s="29">
        <v>769117000</v>
      </c>
      <c r="N58" s="29">
        <v>582535000</v>
      </c>
      <c r="O58" s="29">
        <v>466706000</v>
      </c>
      <c r="P58" s="29">
        <v>-105077000</v>
      </c>
      <c r="Q58" s="29">
        <v>-178127000</v>
      </c>
      <c r="R58" s="29">
        <v>-261890000</v>
      </c>
    </row>
    <row r="59" spans="1:18" x14ac:dyDescent="0.35">
      <c r="A59" t="s">
        <v>186</v>
      </c>
      <c r="B59" s="29">
        <v>809662000</v>
      </c>
      <c r="C59" s="29">
        <v>1134342000</v>
      </c>
      <c r="D59" s="29">
        <v>1571651000</v>
      </c>
      <c r="E59" s="29">
        <v>2114035000</v>
      </c>
      <c r="F59" s="29">
        <v>2249695000</v>
      </c>
      <c r="G59" s="29">
        <v>2261332000</v>
      </c>
      <c r="H59" s="29">
        <v>1928504000</v>
      </c>
      <c r="I59" s="29">
        <v>1762574000</v>
      </c>
      <c r="J59" s="29">
        <v>1394607000</v>
      </c>
      <c r="K59" s="29">
        <v>1225310000</v>
      </c>
      <c r="L59" s="29">
        <v>1003075000</v>
      </c>
      <c r="M59" s="29">
        <v>769117000</v>
      </c>
      <c r="N59" s="29">
        <v>582535000</v>
      </c>
      <c r="O59" s="29">
        <v>466706000</v>
      </c>
      <c r="P59" s="29">
        <v>-105077000</v>
      </c>
      <c r="Q59" s="29">
        <v>-178127000</v>
      </c>
      <c r="R59" s="29">
        <v>-261890000</v>
      </c>
    </row>
    <row r="60" spans="1:18" x14ac:dyDescent="0.35">
      <c r="A60" t="s">
        <v>187</v>
      </c>
      <c r="B60" s="29">
        <v>11000</v>
      </c>
      <c r="C60" s="29">
        <v>11000</v>
      </c>
      <c r="D60" s="29">
        <v>11000</v>
      </c>
      <c r="E60" s="29">
        <v>11000</v>
      </c>
      <c r="F60" s="29">
        <v>10000</v>
      </c>
      <c r="G60" s="29">
        <v>7000</v>
      </c>
      <c r="H60" s="29">
        <v>7000</v>
      </c>
      <c r="I60" s="29">
        <v>7000</v>
      </c>
      <c r="J60" s="29">
        <v>7000</v>
      </c>
      <c r="K60" s="29">
        <v>7000</v>
      </c>
      <c r="L60" s="29">
        <v>7000</v>
      </c>
      <c r="M60" s="29">
        <v>7000</v>
      </c>
      <c r="N60" s="29">
        <v>7000</v>
      </c>
      <c r="O60" s="29">
        <v>7000</v>
      </c>
      <c r="P60" s="29">
        <v>3000</v>
      </c>
      <c r="Q60" s="29">
        <v>3000</v>
      </c>
      <c r="R60" s="29">
        <v>3000</v>
      </c>
    </row>
    <row r="61" spans="1:18" x14ac:dyDescent="0.35">
      <c r="A61" t="s">
        <v>188</v>
      </c>
      <c r="B61" s="29">
        <v>11000</v>
      </c>
      <c r="C61" s="29">
        <v>11000</v>
      </c>
      <c r="D61" s="29">
        <v>11000</v>
      </c>
      <c r="E61" s="29">
        <v>11000</v>
      </c>
      <c r="F61" s="29">
        <v>10000</v>
      </c>
      <c r="G61" s="29">
        <v>7000</v>
      </c>
      <c r="H61" s="29">
        <v>7000</v>
      </c>
      <c r="I61" s="29">
        <v>7000</v>
      </c>
      <c r="J61" s="29">
        <v>7000</v>
      </c>
      <c r="K61" s="29">
        <v>7000</v>
      </c>
      <c r="L61" s="29">
        <v>7000</v>
      </c>
      <c r="M61" s="29">
        <v>7000</v>
      </c>
      <c r="N61" s="29">
        <v>7000</v>
      </c>
      <c r="O61" s="29">
        <v>7000</v>
      </c>
      <c r="P61" s="29">
        <v>3000</v>
      </c>
      <c r="Q61" s="29">
        <v>3000</v>
      </c>
      <c r="R61" s="29">
        <v>3000</v>
      </c>
    </row>
    <row r="62" spans="1:18" x14ac:dyDescent="0.35">
      <c r="A62" t="s">
        <v>189</v>
      </c>
      <c r="B62" s="29">
        <v>-278807000</v>
      </c>
      <c r="C62" s="29">
        <v>56755000</v>
      </c>
      <c r="D62" s="29">
        <v>504219000</v>
      </c>
      <c r="E62" s="29">
        <v>1058369000</v>
      </c>
      <c r="F62" s="29">
        <v>1524878000</v>
      </c>
      <c r="G62" s="29">
        <v>1955187000</v>
      </c>
      <c r="H62" s="29">
        <v>1625481000</v>
      </c>
      <c r="I62" s="29">
        <v>1469732000</v>
      </c>
      <c r="J62" s="29">
        <v>1063633000</v>
      </c>
      <c r="K62" s="29">
        <v>798754000</v>
      </c>
      <c r="L62" s="29">
        <v>481534000</v>
      </c>
      <c r="M62" s="29">
        <v>256070000</v>
      </c>
      <c r="N62" s="29">
        <v>79152000</v>
      </c>
      <c r="O62" s="29">
        <v>-29308000</v>
      </c>
      <c r="P62" s="29">
        <v>-105756000</v>
      </c>
      <c r="Q62" s="29">
        <v>-178237000</v>
      </c>
      <c r="R62" s="29">
        <v>-261930000</v>
      </c>
    </row>
    <row r="63" spans="1:18" x14ac:dyDescent="0.35">
      <c r="A63" t="s">
        <v>190</v>
      </c>
      <c r="B63" s="29">
        <v>1169904000</v>
      </c>
      <c r="C63" s="29">
        <v>1158278000</v>
      </c>
      <c r="D63" s="29">
        <v>1146015000</v>
      </c>
      <c r="E63" s="29">
        <v>1131826000</v>
      </c>
      <c r="F63" s="29">
        <v>799549000</v>
      </c>
      <c r="G63" s="29">
        <v>379380000</v>
      </c>
      <c r="H63" s="29">
        <v>371225000</v>
      </c>
      <c r="I63" s="29">
        <v>360153000</v>
      </c>
      <c r="J63" s="29">
        <v>551004000</v>
      </c>
      <c r="K63" s="29">
        <v>544277000</v>
      </c>
      <c r="L63" s="29">
        <v>526173000</v>
      </c>
      <c r="M63" s="29">
        <v>515331000</v>
      </c>
      <c r="N63" s="29">
        <v>504527000</v>
      </c>
      <c r="O63" s="29">
        <v>496136000</v>
      </c>
      <c r="P63" s="29">
        <v>676000</v>
      </c>
      <c r="Q63" s="29">
        <v>107000</v>
      </c>
      <c r="R63" s="29">
        <v>50000</v>
      </c>
    </row>
    <row r="64" spans="1:18" x14ac:dyDescent="0.35">
      <c r="A64" t="s">
        <v>191</v>
      </c>
      <c r="B64" s="29">
        <v>81280000</v>
      </c>
      <c r="C64" s="29">
        <v>80635000</v>
      </c>
      <c r="D64" s="29">
        <v>77998000</v>
      </c>
      <c r="E64" s="29">
        <v>75639000</v>
      </c>
      <c r="F64" s="29">
        <v>74124000</v>
      </c>
      <c r="G64" s="29">
        <v>72455000</v>
      </c>
      <c r="H64" s="29">
        <v>67016000</v>
      </c>
      <c r="I64" s="29">
        <v>65854000</v>
      </c>
      <c r="J64" s="29">
        <v>218692000</v>
      </c>
      <c r="K64" s="29">
        <v>116182000</v>
      </c>
      <c r="L64" s="29">
        <v>3921000</v>
      </c>
      <c r="M64" s="29">
        <v>2291000</v>
      </c>
      <c r="N64" s="29">
        <v>1151000</v>
      </c>
      <c r="O64" s="29">
        <v>129000</v>
      </c>
      <c r="P64">
        <v>0</v>
      </c>
      <c r="Q64">
        <v>0</v>
      </c>
      <c r="R64" s="29">
        <v>13000</v>
      </c>
    </row>
    <row r="65" spans="1:18" x14ac:dyDescent="0.35">
      <c r="A65" t="s">
        <v>192</v>
      </c>
      <c r="B65" s="29">
        <v>-166000</v>
      </c>
      <c r="C65" s="29">
        <v>-67000</v>
      </c>
      <c r="D65" s="29">
        <v>-596000</v>
      </c>
      <c r="E65" s="29">
        <v>-532000</v>
      </c>
      <c r="F65" s="29">
        <v>-618000</v>
      </c>
      <c r="G65" s="29">
        <v>-787000</v>
      </c>
      <c r="H65" s="29">
        <v>-1193000</v>
      </c>
      <c r="I65" s="29">
        <v>-1464000</v>
      </c>
      <c r="J65" s="29">
        <v>-1345000</v>
      </c>
      <c r="K65" s="29">
        <v>-1546000</v>
      </c>
      <c r="L65" s="29">
        <v>-718000</v>
      </c>
      <c r="M65">
        <v>0</v>
      </c>
    </row>
    <row r="66" spans="1:18" x14ac:dyDescent="0.35">
      <c r="A66" t="s">
        <v>193</v>
      </c>
      <c r="B66" s="29">
        <v>-166000</v>
      </c>
      <c r="C66" s="29">
        <v>-67000</v>
      </c>
      <c r="D66" s="29">
        <v>-596000</v>
      </c>
      <c r="E66" s="29">
        <v>-532000</v>
      </c>
      <c r="F66" s="29">
        <v>-618000</v>
      </c>
      <c r="G66" s="29">
        <v>-787000</v>
      </c>
      <c r="H66" s="29">
        <v>-1193000</v>
      </c>
      <c r="I66" s="29">
        <v>-1464000</v>
      </c>
      <c r="J66" s="29">
        <v>-1345000</v>
      </c>
      <c r="K66" s="29">
        <v>-1546000</v>
      </c>
      <c r="L66" s="29">
        <v>-718000</v>
      </c>
    </row>
    <row r="67" spans="1:18" x14ac:dyDescent="0.35">
      <c r="A67" t="s">
        <v>194</v>
      </c>
      <c r="B67" s="29">
        <v>3933741000</v>
      </c>
      <c r="C67" s="29">
        <v>4189563000</v>
      </c>
      <c r="D67" s="29">
        <v>4772027000</v>
      </c>
      <c r="E67" s="29">
        <v>5089858000</v>
      </c>
      <c r="F67" s="29">
        <v>5316330000</v>
      </c>
      <c r="G67" s="29">
        <v>4221785000</v>
      </c>
      <c r="H67" s="29">
        <v>3953278000</v>
      </c>
      <c r="I67" s="29">
        <v>3150072000</v>
      </c>
      <c r="J67" s="29">
        <v>2291966000</v>
      </c>
      <c r="K67" s="29">
        <v>1822003000</v>
      </c>
      <c r="L67" s="29">
        <v>1138307000</v>
      </c>
      <c r="M67" s="29">
        <v>769117000</v>
      </c>
      <c r="N67" s="29">
        <v>582535000</v>
      </c>
      <c r="O67" s="29">
        <v>466706000</v>
      </c>
      <c r="P67" s="29">
        <v>-93111000</v>
      </c>
      <c r="Q67" s="29">
        <v>-166161000</v>
      </c>
      <c r="R67" s="29">
        <v>-52509000</v>
      </c>
    </row>
    <row r="68" spans="1:18" x14ac:dyDescent="0.35">
      <c r="A68" t="s">
        <v>195</v>
      </c>
      <c r="B68" s="29">
        <v>809662000</v>
      </c>
      <c r="C68" s="29">
        <v>1134342000</v>
      </c>
      <c r="D68" s="29">
        <v>1571651000</v>
      </c>
      <c r="E68" s="29">
        <v>2114035000</v>
      </c>
      <c r="F68" s="29">
        <v>2249695000</v>
      </c>
      <c r="G68" s="29">
        <v>2261332000</v>
      </c>
      <c r="H68" s="29">
        <v>1928504000</v>
      </c>
      <c r="I68" s="29">
        <v>1762574000</v>
      </c>
      <c r="J68" s="29">
        <v>1394607000</v>
      </c>
      <c r="K68" s="29">
        <v>1225310000</v>
      </c>
      <c r="L68" s="29">
        <v>1003075000</v>
      </c>
      <c r="M68" s="29">
        <v>769117000</v>
      </c>
      <c r="N68" s="29">
        <v>582535000</v>
      </c>
      <c r="O68" s="29">
        <v>466706000</v>
      </c>
      <c r="P68" s="29">
        <v>-105077000</v>
      </c>
      <c r="Q68" s="29">
        <v>-178127000</v>
      </c>
      <c r="R68" s="29">
        <v>-261890000</v>
      </c>
    </row>
    <row r="69" spans="1:18" x14ac:dyDescent="0.35">
      <c r="A69" t="s">
        <v>196</v>
      </c>
      <c r="B69" s="29">
        <v>4157726000</v>
      </c>
      <c r="C69" s="29">
        <v>3559851000</v>
      </c>
      <c r="D69" s="29">
        <v>2665983000</v>
      </c>
      <c r="E69" s="29">
        <v>1933031000</v>
      </c>
      <c r="F69" s="29">
        <v>1449684000</v>
      </c>
      <c r="G69" s="29">
        <v>1359332000</v>
      </c>
      <c r="H69" s="29">
        <v>15149000</v>
      </c>
      <c r="I69" s="29">
        <v>16992000</v>
      </c>
      <c r="J69" s="29">
        <v>10378000</v>
      </c>
      <c r="K69" s="29">
        <v>24014000</v>
      </c>
      <c r="L69" s="29">
        <v>10089000</v>
      </c>
      <c r="M69" s="29">
        <v>7993000</v>
      </c>
      <c r="N69" s="29">
        <v>8020000</v>
      </c>
      <c r="O69" s="29">
        <v>7206000</v>
      </c>
    </row>
    <row r="70" spans="1:18" x14ac:dyDescent="0.35">
      <c r="A70" t="s">
        <v>197</v>
      </c>
      <c r="B70" s="29">
        <v>809662000</v>
      </c>
      <c r="C70" s="29">
        <v>1134342000</v>
      </c>
      <c r="D70" s="29">
        <v>1571651000</v>
      </c>
      <c r="E70" s="29">
        <v>2114035000</v>
      </c>
      <c r="F70" s="29">
        <v>2249695000</v>
      </c>
      <c r="G70" s="29">
        <v>2261332000</v>
      </c>
      <c r="H70" s="29">
        <v>1928504000</v>
      </c>
      <c r="I70" s="29">
        <v>1762574000</v>
      </c>
      <c r="J70" s="29">
        <v>1394607000</v>
      </c>
      <c r="K70" s="29">
        <v>1225310000</v>
      </c>
      <c r="L70" s="29">
        <v>1003075000</v>
      </c>
      <c r="M70" s="29">
        <v>769117000</v>
      </c>
      <c r="N70" s="29">
        <v>582535000</v>
      </c>
      <c r="O70" s="29">
        <v>466706000</v>
      </c>
      <c r="P70" s="29">
        <v>-105077000</v>
      </c>
      <c r="Q70" s="29">
        <v>-178127000</v>
      </c>
      <c r="R70" s="29">
        <v>-261890000</v>
      </c>
    </row>
    <row r="71" spans="1:18" x14ac:dyDescent="0.35">
      <c r="A71" t="s">
        <v>198</v>
      </c>
      <c r="B71" s="29">
        <v>-85883000</v>
      </c>
      <c r="C71" s="29">
        <v>-159465000</v>
      </c>
      <c r="D71" s="29">
        <v>397402000</v>
      </c>
      <c r="E71" s="29">
        <v>566889000</v>
      </c>
      <c r="F71" s="29">
        <v>1013958000</v>
      </c>
      <c r="G71" s="29">
        <v>273399000</v>
      </c>
      <c r="H71" s="29">
        <v>510931000</v>
      </c>
      <c r="I71" s="29">
        <v>617777000</v>
      </c>
      <c r="J71" s="29">
        <v>443895000</v>
      </c>
      <c r="K71" s="29">
        <v>560100000</v>
      </c>
      <c r="L71" s="29">
        <v>355874000</v>
      </c>
      <c r="M71" s="29">
        <v>313082000</v>
      </c>
      <c r="N71" s="29">
        <v>270463000</v>
      </c>
      <c r="O71" s="29">
        <v>215644000</v>
      </c>
      <c r="P71" s="29">
        <v>36790000</v>
      </c>
      <c r="Q71" s="29">
        <v>-102000</v>
      </c>
      <c r="R71" s="29">
        <v>-72291000</v>
      </c>
    </row>
    <row r="72" spans="1:18" x14ac:dyDescent="0.35">
      <c r="A72" t="s">
        <v>199</v>
      </c>
      <c r="B72" s="29">
        <v>4076556000</v>
      </c>
      <c r="C72" s="29">
        <v>4505143000</v>
      </c>
      <c r="D72" s="29">
        <v>5118915000</v>
      </c>
      <c r="E72" s="29">
        <v>5298806000</v>
      </c>
      <c r="F72" s="29">
        <v>5700527000</v>
      </c>
      <c r="G72" s="29">
        <v>4480637000</v>
      </c>
      <c r="H72" s="29">
        <v>4116835000</v>
      </c>
      <c r="I72" s="29">
        <v>3265502000</v>
      </c>
      <c r="J72" s="29">
        <v>2376320000</v>
      </c>
      <c r="K72" s="29">
        <v>1871640000</v>
      </c>
      <c r="L72" s="29">
        <v>1148738000</v>
      </c>
      <c r="M72" s="29">
        <v>769117000</v>
      </c>
      <c r="N72" s="29">
        <v>582535000</v>
      </c>
      <c r="O72" s="29">
        <v>466706000</v>
      </c>
      <c r="P72" s="29">
        <v>-69871000</v>
      </c>
      <c r="Q72" s="29">
        <v>-162921000</v>
      </c>
      <c r="R72" s="29">
        <v>-47410000</v>
      </c>
    </row>
    <row r="73" spans="1:18" x14ac:dyDescent="0.35">
      <c r="A73" t="s">
        <v>200</v>
      </c>
      <c r="B73" s="29">
        <v>809662000</v>
      </c>
      <c r="C73" s="29">
        <v>1134342000</v>
      </c>
      <c r="D73" s="29">
        <v>1571651000</v>
      </c>
      <c r="E73" s="29">
        <v>2114035000</v>
      </c>
      <c r="F73" s="29">
        <v>2249695000</v>
      </c>
      <c r="G73" s="29">
        <v>2261332000</v>
      </c>
      <c r="H73" s="29">
        <v>1928504000</v>
      </c>
      <c r="I73" s="29">
        <v>1762574000</v>
      </c>
      <c r="J73" s="29">
        <v>1394607000</v>
      </c>
      <c r="K73" s="29">
        <v>1225310000</v>
      </c>
      <c r="L73" s="29">
        <v>1003075000</v>
      </c>
      <c r="M73" s="29">
        <v>769117000</v>
      </c>
      <c r="N73" s="29">
        <v>582535000</v>
      </c>
      <c r="O73" s="29">
        <v>466706000</v>
      </c>
      <c r="P73" s="29">
        <v>-105077000</v>
      </c>
      <c r="Q73" s="29">
        <v>-178127000</v>
      </c>
      <c r="R73" s="29">
        <v>-261890000</v>
      </c>
    </row>
    <row r="74" spans="1:18" x14ac:dyDescent="0.35">
      <c r="A74" t="s">
        <v>201</v>
      </c>
      <c r="B74" s="29">
        <v>7424620000</v>
      </c>
      <c r="C74" s="29">
        <v>6930652000</v>
      </c>
      <c r="D74" s="29">
        <v>6213247000</v>
      </c>
      <c r="E74" s="29">
        <v>5117802000</v>
      </c>
      <c r="F74" s="29">
        <v>4900516000</v>
      </c>
      <c r="G74" s="29">
        <v>3578637000</v>
      </c>
      <c r="H74" s="29">
        <v>2203480000</v>
      </c>
      <c r="I74" s="29">
        <v>1519920000</v>
      </c>
      <c r="J74" s="29">
        <v>992091000</v>
      </c>
      <c r="K74" s="29">
        <v>670344000</v>
      </c>
      <c r="L74" s="29">
        <v>155752000</v>
      </c>
      <c r="M74" s="29">
        <v>7993000</v>
      </c>
      <c r="N74" s="29">
        <v>8020000</v>
      </c>
      <c r="O74" s="29">
        <v>7206000</v>
      </c>
      <c r="P74" s="29">
        <v>35206000</v>
      </c>
      <c r="Q74" s="29">
        <v>15206000</v>
      </c>
      <c r="R74" s="29">
        <v>214480000</v>
      </c>
    </row>
    <row r="75" spans="1:18" x14ac:dyDescent="0.35">
      <c r="A75" t="s">
        <v>202</v>
      </c>
      <c r="B75" s="29">
        <v>2542100000</v>
      </c>
      <c r="C75" s="29">
        <v>2505590000</v>
      </c>
      <c r="D75" s="29">
        <v>2200914000</v>
      </c>
      <c r="E75" s="29">
        <v>1851264000</v>
      </c>
      <c r="F75" s="29">
        <v>1661109000</v>
      </c>
      <c r="G75" s="29">
        <v>1240348000</v>
      </c>
      <c r="H75" s="29">
        <v>1183598000</v>
      </c>
      <c r="I75" s="29">
        <v>702079000</v>
      </c>
      <c r="J75" s="29">
        <v>280813000</v>
      </c>
      <c r="K75" s="29">
        <v>646330000</v>
      </c>
      <c r="L75" s="29">
        <v>145663000</v>
      </c>
      <c r="Q75" s="29">
        <v>156085000</v>
      </c>
      <c r="R75" s="29">
        <v>198251000</v>
      </c>
    </row>
    <row r="76" spans="1:18" x14ac:dyDescent="0.35">
      <c r="A76" t="s">
        <v>203</v>
      </c>
      <c r="B76" s="29">
        <v>109501395</v>
      </c>
      <c r="C76" s="29">
        <v>111303660</v>
      </c>
      <c r="D76" s="29">
        <v>110840751</v>
      </c>
      <c r="E76" s="29">
        <v>110221939</v>
      </c>
      <c r="F76" s="29">
        <v>99427203</v>
      </c>
      <c r="G76" s="29">
        <v>70148386</v>
      </c>
      <c r="H76" s="29">
        <v>69871535</v>
      </c>
      <c r="I76" s="29">
        <v>69770795</v>
      </c>
      <c r="J76" s="29">
        <v>73549872</v>
      </c>
      <c r="K76" s="29">
        <v>73402877</v>
      </c>
      <c r="L76" s="29">
        <v>72907827</v>
      </c>
      <c r="M76" s="29">
        <v>72670673</v>
      </c>
      <c r="N76" s="29">
        <v>72531027</v>
      </c>
      <c r="O76" s="29">
        <v>72530756</v>
      </c>
      <c r="P76" s="29">
        <v>72492756</v>
      </c>
      <c r="Q76" s="29">
        <v>72492756</v>
      </c>
      <c r="R76" s="29">
        <v>72492756</v>
      </c>
    </row>
    <row r="77" spans="1:18" x14ac:dyDescent="0.35">
      <c r="A77" t="s">
        <v>204</v>
      </c>
      <c r="B77" s="29">
        <v>109501395</v>
      </c>
      <c r="C77" s="29">
        <v>109263005</v>
      </c>
      <c r="D77" s="29">
        <v>108941920</v>
      </c>
      <c r="E77" s="29">
        <v>108429827</v>
      </c>
      <c r="F77" s="29">
        <v>97689583</v>
      </c>
      <c r="G77" s="29">
        <v>68455011</v>
      </c>
      <c r="H77" s="29">
        <v>68269567</v>
      </c>
      <c r="I77" s="29">
        <v>68196964</v>
      </c>
      <c r="J77" s="29">
        <v>69326202</v>
      </c>
      <c r="K77" s="29">
        <v>71541788</v>
      </c>
      <c r="L77" s="29">
        <v>72775685</v>
      </c>
      <c r="M77" s="29">
        <v>72566426</v>
      </c>
      <c r="N77" s="29">
        <v>72470987</v>
      </c>
      <c r="O77" s="29">
        <v>72522541</v>
      </c>
      <c r="P77" s="29">
        <v>72492756</v>
      </c>
      <c r="Q77" s="29">
        <v>72492756</v>
      </c>
      <c r="R77" s="29">
        <v>72492756</v>
      </c>
    </row>
    <row r="78" spans="1:18" x14ac:dyDescent="0.35">
      <c r="A78" t="s">
        <v>205</v>
      </c>
      <c r="C78" s="29">
        <v>2040655</v>
      </c>
      <c r="D78" s="29">
        <v>1898831</v>
      </c>
      <c r="E78" s="29">
        <v>1792112</v>
      </c>
      <c r="F78" s="29">
        <v>1737620</v>
      </c>
      <c r="G78" s="29">
        <v>1693375</v>
      </c>
      <c r="H78" s="29">
        <v>1601968</v>
      </c>
      <c r="I78" s="29">
        <v>1573831</v>
      </c>
      <c r="J78" s="29">
        <v>4223670</v>
      </c>
      <c r="K78" s="29">
        <v>1861089</v>
      </c>
      <c r="L78" s="29">
        <v>132142</v>
      </c>
      <c r="M78" s="29">
        <v>104247</v>
      </c>
      <c r="N78" s="29">
        <v>60040</v>
      </c>
      <c r="O78" s="29">
        <v>8215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B8075-FD0F-44F8-AED7-8717545FEE05}">
  <dimension ref="A1:R62"/>
  <sheetViews>
    <sheetView workbookViewId="0">
      <selection activeCell="F7" sqref="F7"/>
    </sheetView>
  </sheetViews>
  <sheetFormatPr defaultRowHeight="14.5" x14ac:dyDescent="0.35"/>
  <cols>
    <col min="1" max="1" width="38.54296875" bestFit="1" customWidth="1"/>
    <col min="2" max="8" width="12.453125" bestFit="1" customWidth="1"/>
    <col min="9" max="12" width="11.54296875" bestFit="1" customWidth="1"/>
    <col min="13" max="15" width="10.90625" bestFit="1" customWidth="1"/>
    <col min="16" max="17" width="10.54296875" bestFit="1" customWidth="1"/>
    <col min="18" max="18" width="11.54296875" bestFit="1" customWidth="1"/>
  </cols>
  <sheetData>
    <row r="1" spans="1:18" x14ac:dyDescent="0.35">
      <c r="A1" t="s">
        <v>57</v>
      </c>
      <c r="B1" t="s">
        <v>58</v>
      </c>
      <c r="C1" s="28">
        <v>45291</v>
      </c>
      <c r="D1" s="28">
        <v>44926</v>
      </c>
      <c r="E1" s="28">
        <v>44561</v>
      </c>
      <c r="F1" s="28">
        <v>44196</v>
      </c>
      <c r="G1" s="28">
        <v>43830</v>
      </c>
      <c r="H1" s="28">
        <v>43465</v>
      </c>
      <c r="I1" s="28">
        <v>43100</v>
      </c>
      <c r="J1" s="28">
        <v>42735</v>
      </c>
      <c r="K1" s="28">
        <v>42369</v>
      </c>
      <c r="L1" s="28">
        <v>42004</v>
      </c>
      <c r="M1" s="28">
        <v>41639</v>
      </c>
      <c r="N1" s="28">
        <v>41274</v>
      </c>
      <c r="O1" s="28">
        <v>40908</v>
      </c>
      <c r="P1" s="28">
        <v>40543</v>
      </c>
      <c r="Q1" s="28">
        <v>40178</v>
      </c>
      <c r="R1" s="28">
        <v>39813</v>
      </c>
    </row>
    <row r="2" spans="1:18" x14ac:dyDescent="0.35">
      <c r="A2" t="s">
        <v>206</v>
      </c>
      <c r="B2" s="29">
        <v>-647366000</v>
      </c>
      <c r="C2" s="29">
        <v>-246661000</v>
      </c>
      <c r="D2" s="29">
        <v>-89022000</v>
      </c>
      <c r="E2" s="29">
        <v>208888000</v>
      </c>
      <c r="F2" s="29">
        <v>-225274000</v>
      </c>
      <c r="G2" s="29">
        <v>551321000</v>
      </c>
      <c r="H2" s="29">
        <v>506463000</v>
      </c>
      <c r="I2" s="29">
        <v>425240000</v>
      </c>
      <c r="J2" s="29">
        <v>471765000</v>
      </c>
      <c r="K2" s="29">
        <v>472985000</v>
      </c>
      <c r="L2" s="29">
        <v>261830000</v>
      </c>
      <c r="M2" s="29">
        <v>195376000</v>
      </c>
      <c r="N2" s="29">
        <v>113631000</v>
      </c>
      <c r="O2" s="29">
        <v>171198000</v>
      </c>
      <c r="P2" s="29">
        <v>27033000</v>
      </c>
      <c r="Q2" s="29">
        <v>69067000</v>
      </c>
      <c r="R2" s="29">
        <v>-51913000</v>
      </c>
    </row>
    <row r="3" spans="1:18" x14ac:dyDescent="0.35">
      <c r="A3" t="s">
        <v>207</v>
      </c>
      <c r="B3" s="29">
        <v>-647366000</v>
      </c>
      <c r="C3" s="29">
        <v>-246661000</v>
      </c>
      <c r="D3" s="29">
        <v>-89022000</v>
      </c>
      <c r="E3" s="29">
        <v>208888000</v>
      </c>
      <c r="F3" s="29">
        <v>-225274000</v>
      </c>
      <c r="G3" s="29">
        <v>551321000</v>
      </c>
      <c r="H3" s="29">
        <v>506463000</v>
      </c>
      <c r="I3" s="29">
        <v>425240000</v>
      </c>
      <c r="J3" s="29">
        <v>471765000</v>
      </c>
      <c r="K3" s="29">
        <v>472985000</v>
      </c>
      <c r="L3" s="29">
        <v>261830000</v>
      </c>
      <c r="M3" s="29">
        <v>195376000</v>
      </c>
      <c r="N3" s="29">
        <v>113631000</v>
      </c>
      <c r="O3" s="29">
        <v>171198000</v>
      </c>
      <c r="P3" s="29">
        <v>27033000</v>
      </c>
      <c r="Q3" s="29">
        <v>69067000</v>
      </c>
      <c r="R3" s="29">
        <v>-51913000</v>
      </c>
    </row>
    <row r="4" spans="1:18" x14ac:dyDescent="0.35">
      <c r="A4" t="s">
        <v>208</v>
      </c>
      <c r="B4" s="29">
        <v>-676766000</v>
      </c>
      <c r="C4" s="29">
        <v>-447464000</v>
      </c>
      <c r="D4" s="29">
        <v>-554150000</v>
      </c>
      <c r="E4" s="29">
        <v>-472569000</v>
      </c>
      <c r="F4" s="29">
        <v>-428700000</v>
      </c>
      <c r="G4" s="29">
        <v>335255000</v>
      </c>
      <c r="H4" s="29">
        <v>155749000</v>
      </c>
      <c r="I4" s="29">
        <v>415522000</v>
      </c>
      <c r="J4" s="29">
        <v>263483000</v>
      </c>
      <c r="K4" s="29">
        <v>317220000</v>
      </c>
      <c r="L4" s="29">
        <v>225464000</v>
      </c>
      <c r="M4" s="29">
        <v>176918000</v>
      </c>
      <c r="N4" s="29">
        <v>108460000</v>
      </c>
      <c r="O4" s="29">
        <v>76448000</v>
      </c>
      <c r="P4" s="29">
        <v>72481000</v>
      </c>
      <c r="Q4" s="29">
        <v>83693000</v>
      </c>
      <c r="R4" s="29">
        <v>33259000</v>
      </c>
    </row>
    <row r="5" spans="1:18" x14ac:dyDescent="0.35">
      <c r="A5" t="s">
        <v>209</v>
      </c>
      <c r="B5" s="29">
        <v>8988000</v>
      </c>
      <c r="C5" s="29">
        <v>33966000</v>
      </c>
      <c r="D5" s="29">
        <v>46624000</v>
      </c>
      <c r="E5" s="29">
        <v>334950000</v>
      </c>
      <c r="F5" s="29">
        <v>2264000</v>
      </c>
      <c r="G5" s="29">
        <v>17350000</v>
      </c>
      <c r="H5" s="29">
        <v>9580000</v>
      </c>
      <c r="I5" s="29">
        <v>4168000</v>
      </c>
      <c r="J5" s="29">
        <v>4187000</v>
      </c>
      <c r="K5" s="29">
        <v>3806000</v>
      </c>
      <c r="L5" s="29">
        <v>3008000</v>
      </c>
      <c r="M5" s="29">
        <v>790000</v>
      </c>
      <c r="N5" s="29">
        <v>-8058000</v>
      </c>
      <c r="O5" s="29">
        <v>25334000</v>
      </c>
      <c r="P5" s="29">
        <v>41214000</v>
      </c>
      <c r="Q5" s="29">
        <v>-20150000</v>
      </c>
      <c r="R5" s="29">
        <v>-39676000</v>
      </c>
    </row>
    <row r="6" spans="1:18" x14ac:dyDescent="0.35">
      <c r="A6" t="s">
        <v>210</v>
      </c>
      <c r="L6">
        <v>0</v>
      </c>
      <c r="M6">
        <v>0</v>
      </c>
      <c r="N6" s="29">
        <v>-9060000</v>
      </c>
      <c r="O6">
        <v>0</v>
      </c>
      <c r="P6">
        <v>0</v>
      </c>
    </row>
    <row r="7" spans="1:18" x14ac:dyDescent="0.35">
      <c r="A7" t="s">
        <v>211</v>
      </c>
      <c r="K7" s="29">
        <v>2202000</v>
      </c>
      <c r="M7" s="29">
        <v>265000</v>
      </c>
      <c r="N7" s="29">
        <v>46000</v>
      </c>
      <c r="O7" s="29">
        <v>25079000</v>
      </c>
      <c r="P7" s="29">
        <v>41137000</v>
      </c>
      <c r="Q7" s="29">
        <v>-1449000</v>
      </c>
      <c r="R7" s="29">
        <v>9875000</v>
      </c>
    </row>
    <row r="8" spans="1:18" x14ac:dyDescent="0.35">
      <c r="A8" t="s">
        <v>212</v>
      </c>
      <c r="B8" s="29">
        <v>328171000</v>
      </c>
      <c r="C8" s="29">
        <v>320872000</v>
      </c>
      <c r="D8" s="29">
        <v>313090000</v>
      </c>
      <c r="E8" s="29">
        <v>297211000</v>
      </c>
      <c r="F8" s="29">
        <v>278588000</v>
      </c>
      <c r="G8" s="29">
        <v>225264000</v>
      </c>
      <c r="H8" s="29">
        <v>176727000</v>
      </c>
      <c r="I8" s="29">
        <v>140152000</v>
      </c>
      <c r="J8" s="29">
        <v>101136000</v>
      </c>
      <c r="K8" s="29">
        <v>73908000</v>
      </c>
      <c r="L8" s="29">
        <v>46971000</v>
      </c>
      <c r="M8" s="29">
        <v>31947000</v>
      </c>
      <c r="N8" s="29">
        <v>15256000</v>
      </c>
      <c r="O8" s="29">
        <v>7760000</v>
      </c>
      <c r="P8" s="29">
        <v>5620000</v>
      </c>
      <c r="Q8" s="29">
        <v>4924000</v>
      </c>
      <c r="R8" s="29">
        <v>4236000</v>
      </c>
    </row>
    <row r="9" spans="1:18" x14ac:dyDescent="0.35">
      <c r="A9" t="s">
        <v>213</v>
      </c>
      <c r="B9" s="29">
        <v>328171000</v>
      </c>
      <c r="C9" s="29">
        <v>320872000</v>
      </c>
      <c r="D9" s="29">
        <v>313090000</v>
      </c>
      <c r="E9" s="29">
        <v>297211000</v>
      </c>
      <c r="F9" s="29">
        <v>278588000</v>
      </c>
      <c r="G9" s="29">
        <v>225264000</v>
      </c>
      <c r="H9" s="29">
        <v>176727000</v>
      </c>
      <c r="I9" s="29">
        <v>140152000</v>
      </c>
      <c r="J9" s="29">
        <v>101136000</v>
      </c>
      <c r="K9" s="29">
        <v>73908000</v>
      </c>
      <c r="L9" s="29">
        <v>46971000</v>
      </c>
      <c r="M9" s="29">
        <v>31947000</v>
      </c>
      <c r="N9" s="29">
        <v>15256000</v>
      </c>
      <c r="O9" s="29">
        <v>7760000</v>
      </c>
      <c r="P9" s="29">
        <v>5620000</v>
      </c>
      <c r="Q9" s="29">
        <v>4924000</v>
      </c>
      <c r="R9" s="29">
        <v>4236000</v>
      </c>
    </row>
    <row r="10" spans="1:18" x14ac:dyDescent="0.35">
      <c r="A10" t="s">
        <v>214</v>
      </c>
      <c r="C10" s="29">
        <v>218106000</v>
      </c>
      <c r="D10" s="29">
        <v>199118000</v>
      </c>
      <c r="E10" s="29">
        <v>193079000</v>
      </c>
      <c r="F10" s="29">
        <v>179470000</v>
      </c>
      <c r="Q10" s="29">
        <v>5934000</v>
      </c>
    </row>
    <row r="11" spans="1:18" x14ac:dyDescent="0.35">
      <c r="A11" t="s">
        <v>215</v>
      </c>
      <c r="C11" s="29">
        <v>102766000</v>
      </c>
      <c r="D11" s="29">
        <v>113972000</v>
      </c>
      <c r="E11" s="29">
        <v>104132000</v>
      </c>
      <c r="F11" s="29">
        <v>99118000</v>
      </c>
      <c r="Q11" s="29">
        <v>-255000</v>
      </c>
    </row>
    <row r="12" spans="1:18" x14ac:dyDescent="0.35">
      <c r="A12" t="s">
        <v>216</v>
      </c>
      <c r="C12" s="29">
        <v>102766000</v>
      </c>
      <c r="D12" s="29">
        <v>113972000</v>
      </c>
      <c r="E12" s="29">
        <v>104132000</v>
      </c>
      <c r="F12" s="29">
        <v>99118000</v>
      </c>
      <c r="Q12" s="29">
        <v>-255000</v>
      </c>
    </row>
    <row r="13" spans="1:18" x14ac:dyDescent="0.35">
      <c r="A13" t="s">
        <v>217</v>
      </c>
      <c r="B13" s="29">
        <v>-109586000</v>
      </c>
      <c r="C13" s="29">
        <v>-119239000</v>
      </c>
      <c r="D13" s="29">
        <v>-148611000</v>
      </c>
      <c r="E13" s="29">
        <v>-49502000</v>
      </c>
      <c r="F13" s="29">
        <v>-46086000</v>
      </c>
      <c r="G13" s="29">
        <v>115689000</v>
      </c>
      <c r="H13" s="29">
        <v>46303000</v>
      </c>
      <c r="I13" s="29">
        <v>-492000</v>
      </c>
      <c r="J13" s="29">
        <v>85339000</v>
      </c>
      <c r="K13" s="29">
        <v>155614000</v>
      </c>
      <c r="L13" s="29">
        <v>34118000</v>
      </c>
      <c r="M13" s="29">
        <v>12047000</v>
      </c>
      <c r="N13" s="29">
        <v>29255000</v>
      </c>
      <c r="O13" s="29">
        <v>44180000</v>
      </c>
      <c r="P13" s="29">
        <v>-52811000</v>
      </c>
      <c r="Q13">
        <v>0</v>
      </c>
      <c r="R13">
        <v>0</v>
      </c>
    </row>
    <row r="14" spans="1:18" x14ac:dyDescent="0.35">
      <c r="A14" t="s">
        <v>218</v>
      </c>
      <c r="B14" s="29">
        <v>-109586000</v>
      </c>
      <c r="C14" s="29">
        <v>-119239000</v>
      </c>
      <c r="D14" s="29">
        <v>-148611000</v>
      </c>
      <c r="E14" s="29">
        <v>-49502000</v>
      </c>
      <c r="F14" s="29">
        <v>-46086000</v>
      </c>
      <c r="G14" s="29">
        <v>115689000</v>
      </c>
      <c r="H14" s="29">
        <v>46303000</v>
      </c>
      <c r="I14" s="29">
        <v>-492000</v>
      </c>
      <c r="J14" s="29">
        <v>85339000</v>
      </c>
      <c r="K14" s="29">
        <v>155614000</v>
      </c>
      <c r="L14" s="29">
        <v>34118000</v>
      </c>
      <c r="M14" s="29">
        <v>12047000</v>
      </c>
      <c r="N14" s="29">
        <v>29255000</v>
      </c>
      <c r="O14" s="29">
        <v>44180000</v>
      </c>
      <c r="P14" s="29">
        <v>-52811000</v>
      </c>
      <c r="Q14">
        <v>0</v>
      </c>
      <c r="R14">
        <v>0</v>
      </c>
    </row>
    <row r="15" spans="1:18" x14ac:dyDescent="0.35">
      <c r="A15" t="s">
        <v>219</v>
      </c>
      <c r="O15" s="29">
        <v>-1047000</v>
      </c>
      <c r="P15" s="29">
        <v>-574000</v>
      </c>
      <c r="Q15" s="29">
        <v>-255000</v>
      </c>
      <c r="R15" s="29">
        <v>-477000</v>
      </c>
    </row>
    <row r="16" spans="1:18" x14ac:dyDescent="0.35">
      <c r="A16" t="s">
        <v>220</v>
      </c>
      <c r="C16">
        <v>0</v>
      </c>
      <c r="D16" s="29">
        <v>333691000</v>
      </c>
      <c r="E16">
        <v>0</v>
      </c>
      <c r="F16">
        <v>0</v>
      </c>
    </row>
    <row r="17" spans="1:18" x14ac:dyDescent="0.35">
      <c r="A17" t="s">
        <v>221</v>
      </c>
      <c r="B17" s="29">
        <v>976000</v>
      </c>
      <c r="C17" s="29">
        <v>159000</v>
      </c>
      <c r="D17" s="29">
        <v>-108000</v>
      </c>
      <c r="E17" s="29">
        <v>-88000</v>
      </c>
      <c r="F17" s="29">
        <v>-249000</v>
      </c>
      <c r="G17">
        <v>0</v>
      </c>
      <c r="H17" s="29">
        <v>-11000</v>
      </c>
      <c r="I17" s="29">
        <v>-53000</v>
      </c>
      <c r="J17" s="29">
        <v>80000</v>
      </c>
      <c r="K17" s="29">
        <v>12000</v>
      </c>
      <c r="L17" s="29">
        <v>-45000</v>
      </c>
      <c r="M17" s="29">
        <v>143000</v>
      </c>
      <c r="N17" s="29">
        <v>78000</v>
      </c>
      <c r="O17" s="29">
        <v>27000</v>
      </c>
      <c r="P17" s="29">
        <v>-110000</v>
      </c>
      <c r="Q17" s="29">
        <v>109000</v>
      </c>
      <c r="R17" s="29">
        <v>156000</v>
      </c>
    </row>
    <row r="18" spans="1:18" x14ac:dyDescent="0.35">
      <c r="A18" t="s">
        <v>222</v>
      </c>
      <c r="B18" s="29">
        <v>8632000</v>
      </c>
      <c r="C18" s="29">
        <v>11963000</v>
      </c>
      <c r="D18" s="29">
        <v>11483000</v>
      </c>
      <c r="E18" s="29">
        <v>12536000</v>
      </c>
      <c r="F18" s="29">
        <v>11575000</v>
      </c>
      <c r="G18" s="29">
        <v>8154000</v>
      </c>
      <c r="H18" s="29">
        <v>11021000</v>
      </c>
      <c r="I18" s="29">
        <v>8522000</v>
      </c>
      <c r="J18" s="29">
        <v>7105000</v>
      </c>
      <c r="K18" s="29">
        <v>9222000</v>
      </c>
      <c r="L18" s="29">
        <v>8797000</v>
      </c>
      <c r="M18" s="29">
        <v>5689000</v>
      </c>
      <c r="N18" s="29">
        <v>4327000</v>
      </c>
      <c r="O18" s="29">
        <v>530000</v>
      </c>
      <c r="P18" s="29">
        <v>569000</v>
      </c>
      <c r="Q18" s="29">
        <v>113000</v>
      </c>
      <c r="R18" s="29">
        <v>6000</v>
      </c>
    </row>
    <row r="19" spans="1:18" x14ac:dyDescent="0.35">
      <c r="A19" t="s">
        <v>223</v>
      </c>
      <c r="B19" s="29">
        <v>29856000</v>
      </c>
      <c r="C19" s="29">
        <v>27361000</v>
      </c>
      <c r="D19" s="29">
        <v>29118000</v>
      </c>
      <c r="E19" s="29">
        <v>15141000</v>
      </c>
      <c r="F19" s="29">
        <v>21260000</v>
      </c>
      <c r="G19" s="29">
        <v>8147000</v>
      </c>
      <c r="H19" s="29">
        <v>99116000</v>
      </c>
      <c r="I19" s="29">
        <v>21288000</v>
      </c>
      <c r="J19" s="29">
        <v>43481000</v>
      </c>
      <c r="K19" s="29">
        <v>1297000</v>
      </c>
      <c r="L19" s="29">
        <v>-185000</v>
      </c>
      <c r="M19" s="29">
        <v>-772000</v>
      </c>
      <c r="N19" s="29">
        <v>-2180000</v>
      </c>
      <c r="O19" s="29">
        <v>-4090000</v>
      </c>
      <c r="P19" s="29">
        <v>-2277000</v>
      </c>
      <c r="Q19" s="29">
        <v>36809000</v>
      </c>
      <c r="R19" s="29">
        <v>51030000</v>
      </c>
    </row>
    <row r="20" spans="1:18" x14ac:dyDescent="0.35">
      <c r="A20" t="s">
        <v>224</v>
      </c>
      <c r="B20" s="29">
        <v>-237637000</v>
      </c>
      <c r="C20" s="29">
        <v>-74279000</v>
      </c>
      <c r="D20" s="29">
        <v>-120159000</v>
      </c>
      <c r="E20" s="29">
        <v>71209000</v>
      </c>
      <c r="F20" s="29">
        <v>-63926000</v>
      </c>
      <c r="G20" s="29">
        <v>-158538000</v>
      </c>
      <c r="H20" s="29">
        <v>7978000</v>
      </c>
      <c r="I20" s="29">
        <v>-163867000</v>
      </c>
      <c r="J20" s="29">
        <v>-33046000</v>
      </c>
      <c r="K20" s="29">
        <v>-88094000</v>
      </c>
      <c r="L20" s="29">
        <v>-56298000</v>
      </c>
      <c r="M20" s="29">
        <v>-31386000</v>
      </c>
      <c r="N20" s="29">
        <v>-33507000</v>
      </c>
      <c r="O20" s="29">
        <v>21009000</v>
      </c>
      <c r="P20" s="29">
        <v>-37653000</v>
      </c>
      <c r="Q20" s="29">
        <v>-36176000</v>
      </c>
      <c r="R20" s="29">
        <v>-100447000</v>
      </c>
    </row>
    <row r="21" spans="1:18" x14ac:dyDescent="0.35">
      <c r="A21" t="s">
        <v>225</v>
      </c>
      <c r="B21" s="29">
        <v>5374000</v>
      </c>
      <c r="C21" s="29">
        <v>27910000</v>
      </c>
      <c r="D21" s="29">
        <v>-66711000</v>
      </c>
      <c r="E21" s="29">
        <v>23770000</v>
      </c>
      <c r="F21" s="29">
        <v>-95961000</v>
      </c>
      <c r="G21" s="29">
        <v>-47160000</v>
      </c>
      <c r="H21" s="29">
        <v>71518000</v>
      </c>
      <c r="I21" s="29">
        <v>-77978000</v>
      </c>
      <c r="J21" s="29">
        <v>-12951000</v>
      </c>
      <c r="K21" s="29">
        <v>-5592000</v>
      </c>
      <c r="L21" s="29">
        <v>606000</v>
      </c>
      <c r="M21" s="29">
        <v>-461000</v>
      </c>
      <c r="N21" s="29">
        <v>-7393000</v>
      </c>
      <c r="O21" s="29">
        <v>-5728000</v>
      </c>
      <c r="P21" s="29">
        <v>-1014000</v>
      </c>
      <c r="Q21" s="29">
        <v>-2450000</v>
      </c>
      <c r="R21" s="29">
        <v>6442000</v>
      </c>
    </row>
    <row r="22" spans="1:18" x14ac:dyDescent="0.35">
      <c r="A22" t="s">
        <v>226</v>
      </c>
      <c r="B22" s="29">
        <v>-30887000</v>
      </c>
      <c r="C22" s="29">
        <v>-8351000</v>
      </c>
      <c r="D22" s="29">
        <v>-68340000</v>
      </c>
      <c r="E22" s="29">
        <v>-85800000</v>
      </c>
      <c r="F22" s="29">
        <v>30486000</v>
      </c>
      <c r="G22" s="29">
        <v>-26147000</v>
      </c>
      <c r="H22" s="29">
        <v>1674000</v>
      </c>
      <c r="I22" s="29">
        <v>-8134000</v>
      </c>
      <c r="J22" s="29">
        <v>-12951000</v>
      </c>
      <c r="K22" s="29">
        <v>-5592000</v>
      </c>
      <c r="L22" s="29">
        <v>606000</v>
      </c>
      <c r="M22" s="29">
        <v>-461000</v>
      </c>
      <c r="N22" s="29">
        <v>-7393000</v>
      </c>
      <c r="O22" s="29">
        <v>-5728000</v>
      </c>
      <c r="P22" s="29">
        <v>-1014000</v>
      </c>
      <c r="Q22" s="29">
        <v>-2450000</v>
      </c>
      <c r="R22" s="29">
        <v>6442000</v>
      </c>
    </row>
    <row r="23" spans="1:18" x14ac:dyDescent="0.35">
      <c r="A23" t="s">
        <v>227</v>
      </c>
      <c r="B23" s="29">
        <v>-17436000</v>
      </c>
      <c r="C23" s="29">
        <v>4215000</v>
      </c>
      <c r="D23" s="29">
        <v>-28883000</v>
      </c>
      <c r="E23" s="29">
        <v>48011000</v>
      </c>
      <c r="F23" s="29">
        <v>10565000</v>
      </c>
      <c r="G23" s="29">
        <v>38883000</v>
      </c>
      <c r="H23" s="29">
        <v>9216000</v>
      </c>
      <c r="I23" s="29">
        <v>-88881000</v>
      </c>
      <c r="J23" s="29">
        <v>-20795000</v>
      </c>
      <c r="K23" s="29">
        <v>-126587000</v>
      </c>
      <c r="L23" s="29">
        <v>-80307000</v>
      </c>
      <c r="M23" s="29">
        <v>-89712000</v>
      </c>
      <c r="N23" s="29">
        <v>-99815000</v>
      </c>
      <c r="O23" s="29">
        <v>-52840000</v>
      </c>
      <c r="P23" s="29">
        <v>-49675000</v>
      </c>
      <c r="Q23" s="29">
        <v>-26923000</v>
      </c>
      <c r="R23" s="29">
        <v>-21093000</v>
      </c>
    </row>
    <row r="24" spans="1:18" x14ac:dyDescent="0.35">
      <c r="A24" t="s">
        <v>228</v>
      </c>
      <c r="B24" s="29">
        <v>-36150000</v>
      </c>
      <c r="C24" s="29">
        <v>-34051000</v>
      </c>
      <c r="D24" s="29">
        <v>9032000</v>
      </c>
      <c r="E24" s="29">
        <v>13057000</v>
      </c>
      <c r="F24" s="29">
        <v>-17052000</v>
      </c>
      <c r="G24" s="29">
        <v>569000</v>
      </c>
      <c r="H24" s="29">
        <v>15317000</v>
      </c>
      <c r="I24" s="29">
        <v>6030000</v>
      </c>
      <c r="J24" s="29">
        <v>-6823000</v>
      </c>
      <c r="K24" s="29">
        <v>2706000</v>
      </c>
      <c r="L24" s="29">
        <v>-10034000</v>
      </c>
      <c r="M24" s="29">
        <v>-1674000</v>
      </c>
      <c r="N24" s="29">
        <v>8452000</v>
      </c>
      <c r="O24" s="29">
        <v>2457000</v>
      </c>
      <c r="P24" s="29">
        <v>-2007000</v>
      </c>
      <c r="Q24" s="29">
        <v>-6566000</v>
      </c>
      <c r="R24" s="29">
        <v>-5709000</v>
      </c>
    </row>
    <row r="25" spans="1:18" x14ac:dyDescent="0.35">
      <c r="A25" t="s">
        <v>229</v>
      </c>
      <c r="B25" s="29">
        <v>-36150000</v>
      </c>
      <c r="C25" s="29">
        <v>-34051000</v>
      </c>
      <c r="D25" s="29">
        <v>9032000</v>
      </c>
      <c r="E25" s="29">
        <v>13057000</v>
      </c>
      <c r="F25" s="29">
        <v>-17052000</v>
      </c>
      <c r="G25" s="29">
        <v>569000</v>
      </c>
      <c r="H25" s="29">
        <v>15317000</v>
      </c>
      <c r="I25" s="29">
        <v>6030000</v>
      </c>
      <c r="J25" s="29">
        <v>-6823000</v>
      </c>
      <c r="K25" s="29">
        <v>2706000</v>
      </c>
      <c r="L25" s="29">
        <v>-10034000</v>
      </c>
      <c r="M25" s="29">
        <v>-1674000</v>
      </c>
      <c r="N25" s="29">
        <v>8452000</v>
      </c>
      <c r="O25" s="29">
        <v>2457000</v>
      </c>
      <c r="P25" s="29">
        <v>-2007000</v>
      </c>
      <c r="Q25" s="29">
        <v>-6566000</v>
      </c>
      <c r="R25" s="29">
        <v>-5709000</v>
      </c>
    </row>
    <row r="26" spans="1:18" x14ac:dyDescent="0.35">
      <c r="A26" t="s">
        <v>230</v>
      </c>
      <c r="B26" s="29">
        <v>-36150000</v>
      </c>
      <c r="C26" s="29">
        <v>-34051000</v>
      </c>
      <c r="D26" s="29">
        <v>9032000</v>
      </c>
      <c r="E26" s="29">
        <v>13057000</v>
      </c>
      <c r="F26" s="29">
        <v>-17052000</v>
      </c>
      <c r="G26" s="29">
        <v>569000</v>
      </c>
      <c r="H26" s="29">
        <v>15317000</v>
      </c>
      <c r="I26" s="29">
        <v>6030000</v>
      </c>
      <c r="J26" s="29">
        <v>-6823000</v>
      </c>
      <c r="K26" s="29">
        <v>2706000</v>
      </c>
      <c r="L26" s="29">
        <v>-10034000</v>
      </c>
      <c r="M26" s="29">
        <v>-1674000</v>
      </c>
      <c r="N26" s="29">
        <v>8452000</v>
      </c>
      <c r="O26" s="29">
        <v>2457000</v>
      </c>
      <c r="P26" s="29">
        <v>-2007000</v>
      </c>
      <c r="Q26" s="29">
        <v>-6566000</v>
      </c>
      <c r="R26" s="29">
        <v>-5709000</v>
      </c>
    </row>
    <row r="27" spans="1:18" x14ac:dyDescent="0.35">
      <c r="A27" t="s">
        <v>231</v>
      </c>
      <c r="Q27" s="29">
        <v>16857000</v>
      </c>
    </row>
    <row r="28" spans="1:18" x14ac:dyDescent="0.35">
      <c r="A28" t="s">
        <v>232</v>
      </c>
      <c r="B28" s="29">
        <v>-35931000</v>
      </c>
      <c r="C28" s="29">
        <v>130573000</v>
      </c>
      <c r="D28" s="29">
        <v>115690000</v>
      </c>
      <c r="E28" s="29">
        <v>60454000</v>
      </c>
      <c r="F28" s="29">
        <v>113752000</v>
      </c>
      <c r="G28" s="29">
        <v>25127000</v>
      </c>
      <c r="H28" s="29">
        <v>102308000</v>
      </c>
      <c r="I28" s="29">
        <v>75199000</v>
      </c>
      <c r="J28" s="29">
        <v>37745000</v>
      </c>
      <c r="K28" s="29">
        <v>50506000</v>
      </c>
      <c r="L28" s="29">
        <v>33437000</v>
      </c>
      <c r="M28" s="29">
        <v>60461000</v>
      </c>
      <c r="N28" s="29">
        <v>65249000</v>
      </c>
      <c r="O28" s="29">
        <v>4384000</v>
      </c>
      <c r="P28" s="29">
        <v>35239000</v>
      </c>
    </row>
    <row r="29" spans="1:18" x14ac:dyDescent="0.35">
      <c r="A29" t="s">
        <v>233</v>
      </c>
      <c r="B29" s="29">
        <v>-153494000</v>
      </c>
      <c r="C29" s="29">
        <v>-202926000</v>
      </c>
      <c r="D29" s="29">
        <v>-149287000</v>
      </c>
      <c r="E29" s="29">
        <v>-74083000</v>
      </c>
      <c r="F29" s="29">
        <v>-75230000</v>
      </c>
      <c r="G29" s="29">
        <v>-175957000</v>
      </c>
      <c r="H29" s="29">
        <v>-190381000</v>
      </c>
      <c r="I29" s="29">
        <v>-78237000</v>
      </c>
      <c r="J29" s="29">
        <v>-30222000</v>
      </c>
      <c r="K29" s="29">
        <v>-9127000</v>
      </c>
      <c r="L29" s="29">
        <v>21135000</v>
      </c>
      <c r="M29" s="29">
        <v>36226000</v>
      </c>
      <c r="N29" s="29">
        <v>19134000</v>
      </c>
      <c r="O29" s="29">
        <v>72736000</v>
      </c>
      <c r="P29" s="29">
        <v>-20196000</v>
      </c>
      <c r="Q29" s="29">
        <v>-237000</v>
      </c>
      <c r="R29" s="29">
        <v>-80087000</v>
      </c>
    </row>
    <row r="30" spans="1:18" x14ac:dyDescent="0.35">
      <c r="A30" t="s">
        <v>234</v>
      </c>
      <c r="B30" s="29">
        <v>337628000</v>
      </c>
      <c r="C30" s="29">
        <v>-36508000</v>
      </c>
      <c r="D30" s="29">
        <v>-265440000</v>
      </c>
      <c r="E30" s="29">
        <v>-352445000</v>
      </c>
      <c r="F30" s="29">
        <v>-554000000</v>
      </c>
      <c r="G30" s="29">
        <v>-456929000</v>
      </c>
      <c r="H30" s="29">
        <v>-783708000</v>
      </c>
      <c r="I30" s="29">
        <v>-792003000</v>
      </c>
      <c r="J30" s="29">
        <v>-824356000</v>
      </c>
      <c r="K30" s="29">
        <v>-701282000</v>
      </c>
      <c r="L30" s="29">
        <v>-303689000</v>
      </c>
      <c r="M30" s="29">
        <v>-90100000</v>
      </c>
      <c r="N30" s="29">
        <v>-27323000</v>
      </c>
      <c r="O30" s="29">
        <v>-67217000</v>
      </c>
      <c r="P30" s="29">
        <v>-30466000</v>
      </c>
      <c r="Q30" s="29">
        <v>2329000</v>
      </c>
      <c r="R30" s="29">
        <v>9730000</v>
      </c>
    </row>
    <row r="31" spans="1:18" x14ac:dyDescent="0.35">
      <c r="A31" t="s">
        <v>235</v>
      </c>
      <c r="B31" s="29">
        <v>337628000</v>
      </c>
      <c r="C31" s="29">
        <v>-36508000</v>
      </c>
      <c r="D31" s="29">
        <v>-265440000</v>
      </c>
      <c r="E31" s="29">
        <v>-352445000</v>
      </c>
      <c r="F31" s="29">
        <v>-554000000</v>
      </c>
      <c r="G31" s="29">
        <v>-456929000</v>
      </c>
      <c r="H31" s="29">
        <v>-783708000</v>
      </c>
      <c r="I31" s="29">
        <v>-792003000</v>
      </c>
      <c r="J31" s="29">
        <v>-824356000</v>
      </c>
      <c r="K31" s="29">
        <v>-701282000</v>
      </c>
      <c r="L31" s="29">
        <v>-303689000</v>
      </c>
      <c r="M31" s="29">
        <v>-90100000</v>
      </c>
      <c r="N31" s="29">
        <v>-27323000</v>
      </c>
      <c r="O31" s="29">
        <v>-67217000</v>
      </c>
      <c r="P31" s="29">
        <v>-30466000</v>
      </c>
      <c r="Q31" s="29">
        <v>2329000</v>
      </c>
      <c r="R31" s="29">
        <v>9730000</v>
      </c>
    </row>
    <row r="32" spans="1:18" x14ac:dyDescent="0.35">
      <c r="A32" t="s">
        <v>236</v>
      </c>
      <c r="B32" s="29">
        <v>-21846000</v>
      </c>
      <c r="C32" s="29">
        <v>-21860000</v>
      </c>
      <c r="D32" s="29">
        <v>-18166000</v>
      </c>
      <c r="E32" s="29">
        <v>-17258000</v>
      </c>
      <c r="F32" s="29">
        <v>-12233000</v>
      </c>
      <c r="G32" s="29">
        <v>-10774000</v>
      </c>
      <c r="H32" s="29">
        <v>-8729000</v>
      </c>
      <c r="I32" s="29">
        <v>-12305000</v>
      </c>
      <c r="J32" s="29">
        <v>-10834000</v>
      </c>
      <c r="K32" s="29">
        <v>-10159000</v>
      </c>
      <c r="L32" s="29">
        <v>-1318000</v>
      </c>
      <c r="M32">
        <v>0</v>
      </c>
      <c r="P32" s="29">
        <v>-5325000</v>
      </c>
      <c r="Q32" s="29">
        <v>-20036000</v>
      </c>
      <c r="R32" s="29">
        <v>-13953000</v>
      </c>
    </row>
    <row r="33" spans="1:18" x14ac:dyDescent="0.35">
      <c r="A33" t="s">
        <v>237</v>
      </c>
      <c r="B33" s="29">
        <v>371532000</v>
      </c>
      <c r="C33" s="29">
        <v>-1619000</v>
      </c>
      <c r="D33" s="29">
        <v>-246082000</v>
      </c>
      <c r="E33" s="29">
        <v>-333119000</v>
      </c>
      <c r="F33" s="29">
        <v>-536595000</v>
      </c>
      <c r="G33" s="29">
        <v>-436639000</v>
      </c>
      <c r="H33" s="29">
        <v>-772995000</v>
      </c>
      <c r="I33" s="29">
        <v>-628881000</v>
      </c>
      <c r="J33" s="29">
        <v>-713106000</v>
      </c>
      <c r="K33" s="29">
        <v>-691123000</v>
      </c>
      <c r="L33" s="29">
        <v>-302371000</v>
      </c>
      <c r="M33" s="29">
        <v>-90100000</v>
      </c>
      <c r="N33" s="29">
        <v>-36383000</v>
      </c>
      <c r="O33" s="29">
        <v>-67217000</v>
      </c>
      <c r="P33" s="29">
        <v>-30466000</v>
      </c>
      <c r="Q33" s="29">
        <v>4713000</v>
      </c>
      <c r="R33" s="29">
        <v>8990000</v>
      </c>
    </row>
    <row r="34" spans="1:18" x14ac:dyDescent="0.35">
      <c r="A34" t="s">
        <v>238</v>
      </c>
      <c r="B34" s="29">
        <v>-116323000</v>
      </c>
      <c r="C34" s="29">
        <v>-255563000</v>
      </c>
      <c r="D34" s="29">
        <v>-246082000</v>
      </c>
      <c r="E34" s="29">
        <v>-333119000</v>
      </c>
      <c r="F34" s="29">
        <v>-536595000</v>
      </c>
      <c r="G34" s="29">
        <v>-436639000</v>
      </c>
      <c r="H34" s="29">
        <v>-784395000</v>
      </c>
      <c r="I34" s="29">
        <v>-628881000</v>
      </c>
      <c r="J34" s="29">
        <v>-713156000</v>
      </c>
      <c r="K34" s="29">
        <v>-691123000</v>
      </c>
      <c r="L34" s="29">
        <v>-302371000</v>
      </c>
      <c r="M34" s="29">
        <v>-90100000</v>
      </c>
      <c r="N34" s="29">
        <v>-36397000</v>
      </c>
      <c r="O34" s="29">
        <v>-67367000</v>
      </c>
      <c r="P34" s="29">
        <v>-30799000</v>
      </c>
      <c r="Q34" s="29">
        <v>-14778000</v>
      </c>
    </row>
    <row r="35" spans="1:18" x14ac:dyDescent="0.35">
      <c r="A35" t="s">
        <v>239</v>
      </c>
      <c r="B35" s="29">
        <v>487855000</v>
      </c>
      <c r="C35" s="29">
        <v>253944000</v>
      </c>
      <c r="D35">
        <v>0</v>
      </c>
      <c r="E35">
        <v>0</v>
      </c>
      <c r="G35">
        <v>0</v>
      </c>
      <c r="H35" s="29">
        <v>11400000</v>
      </c>
      <c r="I35">
        <v>0</v>
      </c>
      <c r="J35" s="29">
        <v>50000</v>
      </c>
      <c r="K35">
        <v>0</v>
      </c>
      <c r="L35">
        <v>0</v>
      </c>
      <c r="M35">
        <v>0</v>
      </c>
      <c r="N35" s="29">
        <v>14000</v>
      </c>
      <c r="O35" s="29">
        <v>150000</v>
      </c>
      <c r="P35" s="29">
        <v>333000</v>
      </c>
      <c r="Q35" s="29">
        <v>19491000</v>
      </c>
      <c r="R35" s="29">
        <v>8990000</v>
      </c>
    </row>
    <row r="36" spans="1:18" x14ac:dyDescent="0.35">
      <c r="A36" t="s">
        <v>240</v>
      </c>
      <c r="B36" s="29">
        <v>-1481000</v>
      </c>
      <c r="C36" s="29">
        <v>-2057000</v>
      </c>
      <c r="D36" s="29">
        <v>-1190000</v>
      </c>
      <c r="E36" s="29">
        <v>-861000</v>
      </c>
      <c r="F36" s="29">
        <v>-1228000</v>
      </c>
      <c r="G36" s="29">
        <v>-1580000</v>
      </c>
      <c r="H36" s="29">
        <v>-1483000</v>
      </c>
      <c r="I36" s="29">
        <v>-1340000</v>
      </c>
      <c r="J36" s="29">
        <v>-100416000</v>
      </c>
      <c r="K36">
        <v>0</v>
      </c>
      <c r="L36">
        <v>0</v>
      </c>
    </row>
    <row r="37" spans="1:18" x14ac:dyDescent="0.35">
      <c r="A37" t="s">
        <v>241</v>
      </c>
      <c r="B37" s="29">
        <v>-166741000</v>
      </c>
      <c r="C37" s="29">
        <v>-127627000</v>
      </c>
      <c r="D37" s="29">
        <v>-110690000</v>
      </c>
      <c r="E37" s="29">
        <v>-105361000</v>
      </c>
      <c r="F37" s="29">
        <v>-118893000</v>
      </c>
      <c r="G37" s="29">
        <v>-122410000</v>
      </c>
      <c r="H37" s="29">
        <v>-124430000</v>
      </c>
      <c r="I37" s="29">
        <v>-107246000</v>
      </c>
      <c r="J37" s="29">
        <v>-103258000</v>
      </c>
      <c r="K37">
        <v>0</v>
      </c>
      <c r="L37">
        <v>0</v>
      </c>
    </row>
    <row r="38" spans="1:18" x14ac:dyDescent="0.35">
      <c r="A38" t="s">
        <v>242</v>
      </c>
      <c r="B38" s="29">
        <v>165260000</v>
      </c>
      <c r="C38" s="29">
        <v>125570000</v>
      </c>
      <c r="D38" s="29">
        <v>109500000</v>
      </c>
      <c r="E38" s="29">
        <v>104500000</v>
      </c>
      <c r="F38" s="29">
        <v>117665000</v>
      </c>
      <c r="G38" s="29">
        <v>120830000</v>
      </c>
      <c r="H38" s="29">
        <v>122947000</v>
      </c>
      <c r="I38" s="29">
        <v>105906000</v>
      </c>
      <c r="J38" s="29">
        <v>2842000</v>
      </c>
      <c r="K38">
        <v>0</v>
      </c>
      <c r="L38">
        <v>0</v>
      </c>
    </row>
    <row r="39" spans="1:18" x14ac:dyDescent="0.35">
      <c r="A39" t="s">
        <v>243</v>
      </c>
      <c r="F39" s="29">
        <v>-12233000</v>
      </c>
      <c r="G39" s="29">
        <v>-10774000</v>
      </c>
      <c r="H39" s="29">
        <v>-8729000</v>
      </c>
      <c r="I39" s="29">
        <v>-12305000</v>
      </c>
      <c r="J39" s="29">
        <v>-10834000</v>
      </c>
      <c r="K39" s="29">
        <v>-10159000</v>
      </c>
      <c r="L39" s="29">
        <v>-1318000</v>
      </c>
      <c r="M39">
        <v>0</v>
      </c>
    </row>
    <row r="40" spans="1:18" x14ac:dyDescent="0.35">
      <c r="A40" t="s">
        <v>244</v>
      </c>
      <c r="C40" s="29">
        <v>-10972000</v>
      </c>
      <c r="D40" s="29">
        <v>-2000</v>
      </c>
      <c r="E40" s="29">
        <v>-1207000</v>
      </c>
      <c r="F40" s="29">
        <v>-3944000</v>
      </c>
      <c r="G40" s="29">
        <v>-7936000</v>
      </c>
      <c r="H40" s="29">
        <v>-501000</v>
      </c>
      <c r="I40" s="29">
        <v>-149477000</v>
      </c>
      <c r="J40" s="29">
        <v>-173947000</v>
      </c>
      <c r="K40" s="29">
        <v>-142323000</v>
      </c>
      <c r="L40" s="29">
        <v>-115802000</v>
      </c>
      <c r="M40" s="29">
        <v>-70288000</v>
      </c>
      <c r="N40" s="29">
        <v>9060000</v>
      </c>
      <c r="O40" s="29">
        <v>-53274000</v>
      </c>
      <c r="P40" s="29">
        <v>-25474000</v>
      </c>
      <c r="Q40" s="29">
        <v>-2384000</v>
      </c>
      <c r="R40" s="29">
        <v>14693000</v>
      </c>
    </row>
    <row r="41" spans="1:18" x14ac:dyDescent="0.35">
      <c r="A41" t="s">
        <v>245</v>
      </c>
      <c r="B41" s="29">
        <v>-74977000</v>
      </c>
      <c r="C41" s="29">
        <v>-197962000</v>
      </c>
      <c r="D41" s="29">
        <v>391297000</v>
      </c>
      <c r="E41" s="29">
        <v>-288660000</v>
      </c>
      <c r="F41" s="29">
        <v>1661441000</v>
      </c>
      <c r="G41" s="29">
        <v>-120168000</v>
      </c>
      <c r="H41" s="29">
        <v>481129000</v>
      </c>
      <c r="I41" s="29">
        <v>466712000</v>
      </c>
      <c r="J41" s="29">
        <v>249859000</v>
      </c>
      <c r="K41" s="29">
        <v>399145000</v>
      </c>
      <c r="L41" s="29">
        <v>144012000</v>
      </c>
      <c r="M41" s="29">
        <v>8539000</v>
      </c>
      <c r="N41" s="29">
        <v>-12820000</v>
      </c>
      <c r="O41" s="29">
        <v>156633000</v>
      </c>
      <c r="P41">
        <v>0</v>
      </c>
      <c r="Q41" s="29">
        <v>-1478000</v>
      </c>
      <c r="R41" s="29">
        <v>3809000</v>
      </c>
    </row>
    <row r="42" spans="1:18" x14ac:dyDescent="0.35">
      <c r="A42" t="s">
        <v>246</v>
      </c>
      <c r="B42" s="29">
        <v>-74977000</v>
      </c>
      <c r="C42" s="29">
        <v>-197962000</v>
      </c>
      <c r="D42" s="29">
        <v>391297000</v>
      </c>
      <c r="E42" s="29">
        <v>-288660000</v>
      </c>
      <c r="F42" s="29">
        <v>1661441000</v>
      </c>
      <c r="G42" s="29">
        <v>-120168000</v>
      </c>
      <c r="H42" s="29">
        <v>481129000</v>
      </c>
      <c r="I42" s="29">
        <v>466712000</v>
      </c>
      <c r="J42" s="29">
        <v>249859000</v>
      </c>
      <c r="K42" s="29">
        <v>399145000</v>
      </c>
      <c r="L42" s="29">
        <v>144012000</v>
      </c>
      <c r="M42" s="29">
        <v>8539000</v>
      </c>
      <c r="N42" s="29">
        <v>-12820000</v>
      </c>
      <c r="O42" s="29">
        <v>156633000</v>
      </c>
      <c r="P42">
        <v>0</v>
      </c>
      <c r="Q42" s="29">
        <v>-1478000</v>
      </c>
      <c r="R42" s="29">
        <v>3809000</v>
      </c>
    </row>
    <row r="43" spans="1:18" x14ac:dyDescent="0.35">
      <c r="A43" t="s">
        <v>247</v>
      </c>
      <c r="B43" s="29">
        <v>241775000</v>
      </c>
      <c r="C43" s="29">
        <v>119979000</v>
      </c>
      <c r="D43" s="29">
        <v>397125000</v>
      </c>
      <c r="E43" s="29">
        <v>-343123000</v>
      </c>
      <c r="F43" s="29">
        <v>1332686000</v>
      </c>
      <c r="G43" s="29">
        <v>-117439000</v>
      </c>
      <c r="H43" s="29">
        <v>489104000</v>
      </c>
      <c r="I43" s="29">
        <v>526987000</v>
      </c>
      <c r="J43" s="29">
        <v>352854000</v>
      </c>
      <c r="K43" s="29">
        <v>517716000</v>
      </c>
      <c r="L43" s="29">
        <v>153967000</v>
      </c>
      <c r="M43" s="29">
        <v>6900000</v>
      </c>
      <c r="N43" s="29">
        <v>12540000</v>
      </c>
      <c r="O43" s="29">
        <v>-13740000</v>
      </c>
      <c r="P43">
        <v>0</v>
      </c>
      <c r="Q43" s="29">
        <v>-239000</v>
      </c>
      <c r="R43" s="29">
        <v>4110000</v>
      </c>
    </row>
    <row r="44" spans="1:18" x14ac:dyDescent="0.35">
      <c r="A44" t="s">
        <v>248</v>
      </c>
      <c r="B44" s="29">
        <v>241775000</v>
      </c>
      <c r="C44" s="29">
        <v>119979000</v>
      </c>
      <c r="D44" s="29">
        <v>397125000</v>
      </c>
      <c r="E44" s="29">
        <v>-343123000</v>
      </c>
      <c r="F44" s="29">
        <v>1332686000</v>
      </c>
      <c r="G44" s="29">
        <v>-117439000</v>
      </c>
      <c r="H44" s="29">
        <v>489104000</v>
      </c>
      <c r="I44" s="29">
        <v>526987000</v>
      </c>
      <c r="J44" s="29">
        <v>352854000</v>
      </c>
      <c r="K44" s="29">
        <v>517716000</v>
      </c>
      <c r="L44" s="29">
        <v>153967000</v>
      </c>
      <c r="M44" s="29">
        <v>6900000</v>
      </c>
      <c r="N44" s="29">
        <v>12540000</v>
      </c>
      <c r="O44" s="29">
        <v>-13740000</v>
      </c>
      <c r="P44">
        <v>0</v>
      </c>
      <c r="Q44" s="29">
        <v>-239000</v>
      </c>
      <c r="R44" s="29">
        <v>4110000</v>
      </c>
    </row>
    <row r="45" spans="1:18" x14ac:dyDescent="0.35">
      <c r="A45" t="s">
        <v>249</v>
      </c>
      <c r="B45" s="29">
        <v>581450000</v>
      </c>
      <c r="C45" s="29">
        <v>457950000</v>
      </c>
      <c r="D45" s="29">
        <v>591000000</v>
      </c>
      <c r="E45" s="29">
        <v>614496000</v>
      </c>
      <c r="F45" s="29">
        <v>1612391000</v>
      </c>
      <c r="G45" s="29">
        <v>225891000</v>
      </c>
      <c r="H45" s="29">
        <v>832099000</v>
      </c>
      <c r="I45" s="29">
        <v>629725000</v>
      </c>
      <c r="J45" s="29">
        <v>417275000</v>
      </c>
      <c r="K45" s="29">
        <v>544080000</v>
      </c>
      <c r="L45" s="29">
        <v>155200000</v>
      </c>
      <c r="M45" s="29">
        <v>6900000</v>
      </c>
      <c r="N45" s="29">
        <v>12540000</v>
      </c>
      <c r="O45" s="29">
        <v>4481000</v>
      </c>
      <c r="P45">
        <v>0</v>
      </c>
      <c r="Q45" s="29">
        <v>2000000</v>
      </c>
      <c r="R45" s="29">
        <v>5000000</v>
      </c>
    </row>
    <row r="46" spans="1:18" x14ac:dyDescent="0.35">
      <c r="A46" t="s">
        <v>250</v>
      </c>
      <c r="B46" s="29">
        <v>-339675000</v>
      </c>
      <c r="C46" s="29">
        <v>-337971000</v>
      </c>
      <c r="D46" s="29">
        <v>-193875000</v>
      </c>
      <c r="E46" s="29">
        <v>-957619000</v>
      </c>
      <c r="F46" s="29">
        <v>-279705000</v>
      </c>
      <c r="G46" s="29">
        <v>-343330000</v>
      </c>
      <c r="H46" s="29">
        <v>-342995000</v>
      </c>
      <c r="I46" s="29">
        <v>-102738000</v>
      </c>
      <c r="J46" s="29">
        <v>-64421000</v>
      </c>
      <c r="K46" s="29">
        <v>-26364000</v>
      </c>
      <c r="L46" s="29">
        <v>-1233000</v>
      </c>
      <c r="M46">
        <v>0</v>
      </c>
      <c r="N46">
        <v>0</v>
      </c>
      <c r="O46" s="29">
        <v>-18221000</v>
      </c>
      <c r="P46">
        <v>0</v>
      </c>
      <c r="Q46" s="29">
        <v>-2239000</v>
      </c>
      <c r="R46" s="29">
        <v>-890000</v>
      </c>
    </row>
    <row r="47" spans="1:18" x14ac:dyDescent="0.35">
      <c r="A47" t="s">
        <v>251</v>
      </c>
      <c r="B47" s="29">
        <v>-1608000</v>
      </c>
      <c r="C47" s="29">
        <v>-2637000</v>
      </c>
      <c r="D47" s="29">
        <v>-2359000</v>
      </c>
      <c r="E47" s="29">
        <v>374147000</v>
      </c>
      <c r="F47" s="29">
        <v>365114000</v>
      </c>
      <c r="G47" s="29">
        <v>-5439000</v>
      </c>
      <c r="H47" s="29">
        <v>-1162000</v>
      </c>
      <c r="I47" s="29">
        <v>-46580000</v>
      </c>
      <c r="J47" s="29">
        <v>-102510000</v>
      </c>
      <c r="K47" s="29">
        <v>-112261000</v>
      </c>
      <c r="L47" s="29">
        <v>-1630000</v>
      </c>
      <c r="M47" s="29">
        <v>-1140000</v>
      </c>
      <c r="N47" s="29">
        <v>-1022000</v>
      </c>
      <c r="O47" s="29">
        <v>169942000</v>
      </c>
      <c r="P47">
        <v>0</v>
      </c>
      <c r="Q47" s="29">
        <v>-43000</v>
      </c>
      <c r="R47" s="29">
        <v>-1000</v>
      </c>
    </row>
    <row r="48" spans="1:18" x14ac:dyDescent="0.35">
      <c r="A48" t="s">
        <v>252</v>
      </c>
      <c r="C48">
        <v>0</v>
      </c>
      <c r="D48">
        <v>0</v>
      </c>
      <c r="E48" s="29">
        <v>375662000</v>
      </c>
      <c r="F48" s="29">
        <v>366783000</v>
      </c>
      <c r="G48">
        <v>0</v>
      </c>
      <c r="H48">
        <v>0</v>
      </c>
      <c r="M48">
        <v>0</v>
      </c>
      <c r="N48">
        <v>0</v>
      </c>
      <c r="O48" s="29">
        <v>170828000</v>
      </c>
      <c r="P48">
        <v>0</v>
      </c>
      <c r="Q48">
        <v>0</v>
      </c>
    </row>
    <row r="49" spans="1:18" x14ac:dyDescent="0.35">
      <c r="A49" t="s">
        <v>253</v>
      </c>
      <c r="B49" s="29">
        <v>-1608000</v>
      </c>
      <c r="C49" s="29">
        <v>-2637000</v>
      </c>
      <c r="D49" s="29">
        <v>-2359000</v>
      </c>
      <c r="E49" s="29">
        <v>-1515000</v>
      </c>
      <c r="F49" s="29">
        <v>-1669000</v>
      </c>
      <c r="G49" s="29">
        <v>-5439000</v>
      </c>
      <c r="H49" s="29">
        <v>-1162000</v>
      </c>
      <c r="I49" s="29">
        <v>-46580000</v>
      </c>
      <c r="J49" s="29">
        <v>-102510000</v>
      </c>
      <c r="K49" s="29">
        <v>-112261000</v>
      </c>
      <c r="L49" s="29">
        <v>-1630000</v>
      </c>
      <c r="M49" s="29">
        <v>-1140000</v>
      </c>
      <c r="N49" s="29">
        <v>-1022000</v>
      </c>
      <c r="O49" s="29">
        <v>-886000</v>
      </c>
      <c r="P49">
        <v>0</v>
      </c>
      <c r="Q49" s="29">
        <v>-43000</v>
      </c>
      <c r="R49" s="29">
        <v>-1000</v>
      </c>
    </row>
    <row r="50" spans="1:18" x14ac:dyDescent="0.35">
      <c r="A50" t="s">
        <v>254</v>
      </c>
      <c r="D50">
        <v>0</v>
      </c>
      <c r="E50">
        <v>0</v>
      </c>
      <c r="F50" s="29">
        <v>39000</v>
      </c>
      <c r="G50" s="29">
        <v>1000</v>
      </c>
      <c r="H50" s="29">
        <v>51000</v>
      </c>
      <c r="I50" s="29">
        <v>45000</v>
      </c>
      <c r="J50" s="29">
        <v>92000</v>
      </c>
      <c r="K50" s="29">
        <v>32000</v>
      </c>
      <c r="L50" s="29">
        <v>174000</v>
      </c>
      <c r="M50" s="29">
        <v>852000</v>
      </c>
      <c r="N50" s="29">
        <v>469000</v>
      </c>
      <c r="O50" s="29">
        <v>423000</v>
      </c>
      <c r="P50">
        <v>0</v>
      </c>
      <c r="Q50">
        <v>0</v>
      </c>
    </row>
    <row r="51" spans="1:18" x14ac:dyDescent="0.35">
      <c r="A51" t="s">
        <v>255</v>
      </c>
      <c r="B51" s="29">
        <v>-315144000</v>
      </c>
      <c r="C51" s="29">
        <v>-315304000</v>
      </c>
      <c r="D51" s="29">
        <v>-3469000</v>
      </c>
      <c r="E51" s="29">
        <v>-319684000</v>
      </c>
      <c r="F51" s="29">
        <v>-36398000</v>
      </c>
      <c r="G51" s="29">
        <v>2709000</v>
      </c>
      <c r="H51" s="29">
        <v>-6864000</v>
      </c>
      <c r="I51" s="29">
        <v>-13740000</v>
      </c>
      <c r="J51" s="29">
        <v>-577000</v>
      </c>
      <c r="K51" s="29">
        <v>-6342000</v>
      </c>
      <c r="L51" s="29">
        <v>-8499000</v>
      </c>
      <c r="M51" s="29">
        <v>1927000</v>
      </c>
      <c r="N51" s="29">
        <v>-24807000</v>
      </c>
      <c r="O51" s="29">
        <v>8000</v>
      </c>
      <c r="Q51" s="29">
        <v>-1196000</v>
      </c>
      <c r="R51" s="29">
        <v>-300000</v>
      </c>
    </row>
    <row r="52" spans="1:18" x14ac:dyDescent="0.35">
      <c r="A52" t="s">
        <v>256</v>
      </c>
      <c r="B52" s="29">
        <v>845373000</v>
      </c>
      <c r="C52" s="29">
        <v>984611000</v>
      </c>
      <c r="D52" s="29">
        <v>1465742000</v>
      </c>
      <c r="E52" s="29">
        <v>1428907000</v>
      </c>
      <c r="F52" s="29">
        <v>1861124000</v>
      </c>
      <c r="G52" s="29">
        <v>978957000</v>
      </c>
      <c r="H52" s="29">
        <v>1004733000</v>
      </c>
      <c r="I52" s="29">
        <v>800849000</v>
      </c>
      <c r="J52" s="29">
        <v>700900000</v>
      </c>
      <c r="K52" s="29">
        <v>803632000</v>
      </c>
      <c r="L52" s="29">
        <v>632784000</v>
      </c>
      <c r="M52" s="29">
        <v>530631000</v>
      </c>
      <c r="N52" s="29">
        <v>416816000</v>
      </c>
      <c r="O52" s="29">
        <v>343328000</v>
      </c>
      <c r="P52" s="29">
        <v>82714000</v>
      </c>
      <c r="Q52" s="29">
        <v>86147000</v>
      </c>
      <c r="R52" s="29">
        <v>16229000</v>
      </c>
    </row>
    <row r="53" spans="1:18" x14ac:dyDescent="0.35">
      <c r="A53" t="s">
        <v>257</v>
      </c>
      <c r="B53" s="29">
        <v>-384715000</v>
      </c>
      <c r="C53" s="29">
        <v>-481131000</v>
      </c>
      <c r="D53" s="29">
        <v>36835000</v>
      </c>
      <c r="E53" s="29">
        <v>-432217000</v>
      </c>
      <c r="F53" s="29">
        <v>882167000</v>
      </c>
      <c r="G53" s="29">
        <v>-25776000</v>
      </c>
      <c r="H53" s="29">
        <v>203884000</v>
      </c>
      <c r="I53" s="29">
        <v>99949000</v>
      </c>
      <c r="J53" s="29">
        <v>-102732000</v>
      </c>
      <c r="K53" s="29">
        <v>170848000</v>
      </c>
      <c r="L53" s="29">
        <v>102153000</v>
      </c>
      <c r="M53" s="29">
        <v>113815000</v>
      </c>
      <c r="N53" s="29">
        <v>73488000</v>
      </c>
      <c r="O53" s="29">
        <v>260614000</v>
      </c>
      <c r="P53" s="29">
        <v>-3433000</v>
      </c>
      <c r="Q53" s="29">
        <v>69918000</v>
      </c>
      <c r="R53" s="29">
        <v>-38374000</v>
      </c>
    </row>
    <row r="54" spans="1:18" x14ac:dyDescent="0.35">
      <c r="A54" t="s">
        <v>258</v>
      </c>
      <c r="B54" s="29">
        <v>1230088000</v>
      </c>
      <c r="C54" s="29">
        <v>1465742000</v>
      </c>
      <c r="D54" s="29">
        <v>1428907000</v>
      </c>
      <c r="E54" s="29">
        <v>1861124000</v>
      </c>
      <c r="F54" s="29">
        <v>978957000</v>
      </c>
      <c r="G54" s="29">
        <v>1004733000</v>
      </c>
      <c r="H54" s="29">
        <v>800849000</v>
      </c>
      <c r="I54" s="29">
        <v>700900000</v>
      </c>
      <c r="J54" s="29">
        <v>803632000</v>
      </c>
      <c r="K54" s="29">
        <v>632784000</v>
      </c>
      <c r="L54" s="29">
        <v>530631000</v>
      </c>
      <c r="M54" s="29">
        <v>416816000</v>
      </c>
      <c r="N54" s="29">
        <v>343328000</v>
      </c>
      <c r="O54" s="29">
        <v>82714000</v>
      </c>
      <c r="P54" s="29">
        <v>86147000</v>
      </c>
      <c r="Q54" s="29">
        <v>16229000</v>
      </c>
      <c r="R54" s="29">
        <v>54603000</v>
      </c>
    </row>
    <row r="55" spans="1:18" x14ac:dyDescent="0.35">
      <c r="A55" t="s">
        <v>259</v>
      </c>
      <c r="B55" s="29">
        <v>5843000</v>
      </c>
      <c r="D55" s="29">
        <v>82000</v>
      </c>
      <c r="E55" s="29">
        <v>112461000</v>
      </c>
      <c r="F55" s="29">
        <v>17790000</v>
      </c>
      <c r="G55" s="29">
        <v>5843000</v>
      </c>
      <c r="I55" s="29">
        <v>5826000</v>
      </c>
      <c r="J55">
        <v>0</v>
      </c>
      <c r="K55" s="29">
        <v>95933000</v>
      </c>
      <c r="L55" s="29">
        <v>89104000</v>
      </c>
      <c r="M55" s="29">
        <v>85705000</v>
      </c>
      <c r="N55" s="29">
        <v>40204000</v>
      </c>
      <c r="O55" s="29">
        <v>1477000</v>
      </c>
      <c r="P55" s="29">
        <v>562000</v>
      </c>
      <c r="Q55" s="29">
        <v>1974000</v>
      </c>
    </row>
    <row r="56" spans="1:18" x14ac:dyDescent="0.35">
      <c r="A56" t="s">
        <v>260</v>
      </c>
      <c r="B56" s="29">
        <v>152585000</v>
      </c>
      <c r="C56" s="29">
        <v>138380000</v>
      </c>
      <c r="D56" s="29">
        <v>107443000</v>
      </c>
      <c r="E56" s="29">
        <v>135500000</v>
      </c>
      <c r="F56" s="29">
        <v>80837000</v>
      </c>
      <c r="G56" s="29">
        <v>80254000</v>
      </c>
      <c r="H56" s="29">
        <v>65123000</v>
      </c>
      <c r="I56" s="29">
        <v>37902000</v>
      </c>
      <c r="J56" s="29">
        <v>39963000</v>
      </c>
      <c r="K56" s="29">
        <v>7061000</v>
      </c>
      <c r="L56">
        <v>0</v>
      </c>
      <c r="M56">
        <v>0</v>
      </c>
      <c r="N56">
        <v>0</v>
      </c>
      <c r="O56" s="29">
        <v>10562000</v>
      </c>
      <c r="P56" s="29">
        <v>4303000</v>
      </c>
      <c r="Q56" s="29">
        <v>12177000</v>
      </c>
    </row>
    <row r="57" spans="1:18" x14ac:dyDescent="0.35">
      <c r="A57" t="s">
        <v>261</v>
      </c>
      <c r="B57" s="29">
        <v>-138169000</v>
      </c>
      <c r="C57" s="29">
        <v>-277423000</v>
      </c>
      <c r="D57" s="29">
        <v>-264248000</v>
      </c>
      <c r="E57" s="29">
        <v>-350377000</v>
      </c>
      <c r="F57" s="29">
        <v>-548828000</v>
      </c>
      <c r="G57" s="29">
        <v>-447413000</v>
      </c>
      <c r="H57" s="29">
        <v>-793124000</v>
      </c>
      <c r="I57" s="29">
        <v>-641186000</v>
      </c>
      <c r="J57" s="29">
        <v>-723990000</v>
      </c>
      <c r="K57" s="29">
        <v>-701282000</v>
      </c>
      <c r="L57" s="29">
        <v>-303689000</v>
      </c>
      <c r="M57" s="29">
        <v>-90100000</v>
      </c>
      <c r="N57" s="29">
        <v>-36397000</v>
      </c>
      <c r="O57" s="29">
        <v>-67367000</v>
      </c>
      <c r="P57" s="29">
        <v>-30799000</v>
      </c>
      <c r="Q57" s="29">
        <v>-14778000</v>
      </c>
      <c r="R57" s="29">
        <v>-13953000</v>
      </c>
    </row>
    <row r="58" spans="1:18" x14ac:dyDescent="0.35">
      <c r="A58" t="s">
        <v>262</v>
      </c>
      <c r="C58">
        <v>0</v>
      </c>
      <c r="D58">
        <v>0</v>
      </c>
      <c r="E58" s="29">
        <v>375662000</v>
      </c>
      <c r="F58" s="29">
        <v>366783000</v>
      </c>
      <c r="G58">
        <v>0</v>
      </c>
      <c r="H58">
        <v>0</v>
      </c>
      <c r="M58">
        <v>0</v>
      </c>
      <c r="N58">
        <v>0</v>
      </c>
      <c r="O58" s="29">
        <v>170828000</v>
      </c>
      <c r="P58">
        <v>0</v>
      </c>
      <c r="Q58">
        <v>0</v>
      </c>
    </row>
    <row r="59" spans="1:18" x14ac:dyDescent="0.35">
      <c r="A59" t="s">
        <v>263</v>
      </c>
      <c r="B59" s="29">
        <v>581450000</v>
      </c>
      <c r="C59" s="29">
        <v>457950000</v>
      </c>
      <c r="D59" s="29">
        <v>591000000</v>
      </c>
      <c r="E59" s="29">
        <v>614496000</v>
      </c>
      <c r="F59" s="29">
        <v>1612391000</v>
      </c>
      <c r="G59" s="29">
        <v>225891000</v>
      </c>
      <c r="H59" s="29">
        <v>832099000</v>
      </c>
      <c r="I59" s="29">
        <v>629725000</v>
      </c>
      <c r="J59" s="29">
        <v>417275000</v>
      </c>
      <c r="K59" s="29">
        <v>544080000</v>
      </c>
      <c r="L59" s="29">
        <v>155200000</v>
      </c>
      <c r="M59" s="29">
        <v>6900000</v>
      </c>
      <c r="N59" s="29">
        <v>12540000</v>
      </c>
      <c r="O59" s="29">
        <v>4481000</v>
      </c>
      <c r="P59">
        <v>0</v>
      </c>
      <c r="Q59" s="29">
        <v>2000000</v>
      </c>
      <c r="R59" s="29">
        <v>5000000</v>
      </c>
    </row>
    <row r="60" spans="1:18" x14ac:dyDescent="0.35">
      <c r="A60" t="s">
        <v>264</v>
      </c>
      <c r="B60" s="29">
        <v>-339675000</v>
      </c>
      <c r="C60" s="29">
        <v>-337971000</v>
      </c>
      <c r="D60" s="29">
        <v>-193875000</v>
      </c>
      <c r="E60" s="29">
        <v>-957619000</v>
      </c>
      <c r="F60" s="29">
        <v>-279705000</v>
      </c>
      <c r="G60" s="29">
        <v>-343330000</v>
      </c>
      <c r="H60" s="29">
        <v>-342995000</v>
      </c>
      <c r="I60" s="29">
        <v>-102738000</v>
      </c>
      <c r="J60" s="29">
        <v>-64421000</v>
      </c>
      <c r="K60" s="29">
        <v>-26364000</v>
      </c>
      <c r="L60" s="29">
        <v>-1233000</v>
      </c>
      <c r="M60">
        <v>0</v>
      </c>
      <c r="N60">
        <v>0</v>
      </c>
      <c r="O60" s="29">
        <v>-18221000</v>
      </c>
      <c r="P60">
        <v>0</v>
      </c>
      <c r="Q60" s="29">
        <v>-2239000</v>
      </c>
      <c r="R60" s="29">
        <v>-890000</v>
      </c>
    </row>
    <row r="61" spans="1:18" x14ac:dyDescent="0.35">
      <c r="A61" t="s">
        <v>265</v>
      </c>
      <c r="B61" s="29">
        <v>-1608000</v>
      </c>
      <c r="C61" s="29">
        <v>-2637000</v>
      </c>
      <c r="D61" s="29">
        <v>-2359000</v>
      </c>
      <c r="E61" s="29">
        <v>-1515000</v>
      </c>
      <c r="F61" s="29">
        <v>-1669000</v>
      </c>
      <c r="G61" s="29">
        <v>-5439000</v>
      </c>
      <c r="H61" s="29">
        <v>-1162000</v>
      </c>
      <c r="I61" s="29">
        <v>-46580000</v>
      </c>
      <c r="J61" s="29">
        <v>-102510000</v>
      </c>
      <c r="K61" s="29">
        <v>-112261000</v>
      </c>
      <c r="L61" s="29">
        <v>-1630000</v>
      </c>
      <c r="M61" s="29">
        <v>-1140000</v>
      </c>
      <c r="N61" s="29">
        <v>-1022000</v>
      </c>
      <c r="O61" s="29">
        <v>-886000</v>
      </c>
      <c r="P61">
        <v>0</v>
      </c>
      <c r="Q61" s="29">
        <v>-43000</v>
      </c>
      <c r="R61" s="29">
        <v>-1000</v>
      </c>
    </row>
    <row r="62" spans="1:18" x14ac:dyDescent="0.35">
      <c r="A62" t="s">
        <v>266</v>
      </c>
      <c r="B62" s="29">
        <v>-785535000</v>
      </c>
      <c r="C62" s="29">
        <v>-524084000</v>
      </c>
      <c r="D62" s="29">
        <v>-353270000</v>
      </c>
      <c r="E62" s="29">
        <v>-141489000</v>
      </c>
      <c r="F62" s="29">
        <v>-774102000</v>
      </c>
      <c r="G62" s="29">
        <v>103908000</v>
      </c>
      <c r="H62" s="29">
        <v>-286661000</v>
      </c>
      <c r="I62" s="29">
        <v>-215946000</v>
      </c>
      <c r="J62" s="29">
        <v>-252225000</v>
      </c>
      <c r="K62" s="29">
        <v>-228297000</v>
      </c>
      <c r="L62" s="29">
        <v>-41859000</v>
      </c>
      <c r="M62" s="29">
        <v>105276000</v>
      </c>
      <c r="N62" s="29">
        <v>77234000</v>
      </c>
      <c r="O62" s="29">
        <v>103831000</v>
      </c>
      <c r="P62" s="29">
        <v>-3766000</v>
      </c>
      <c r="Q62" s="29">
        <v>54289000</v>
      </c>
      <c r="R62" s="29">
        <v>-65866000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Valuation</vt:lpstr>
      <vt:lpstr>Description</vt:lpstr>
      <vt:lpstr>Historical Stock Prices</vt:lpstr>
      <vt:lpstr>Historical Values</vt:lpstr>
      <vt:lpstr>Income Statement</vt:lpstr>
      <vt:lpstr>Balance Sheet</vt:lpstr>
      <vt:lpstr>Cash Flow Statement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Droussiotis</dc:creator>
  <cp:lastModifiedBy>Chris Droussiotis</cp:lastModifiedBy>
  <dcterms:created xsi:type="dcterms:W3CDTF">2020-07-31T18:35:13Z</dcterms:created>
  <dcterms:modified xsi:type="dcterms:W3CDTF">2024-11-20T23:02:10Z</dcterms:modified>
</cp:coreProperties>
</file>